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1.xml" ContentType="application/vnd.openxmlformats-officedocument.spreadsheetml.comments+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omments2.xml" ContentType="application/vnd.openxmlformats-officedocument.spreadsheetml.comments+xml"/>
  <Override PartName="/xl/drawings/drawing1.xml" ContentType="application/vnd.openxmlformats-officedocument.drawing+xml"/>
  <Override PartName="/xl/tables/table26.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Types.xml" ContentType="application/vnd.ms-excel.rdrichvaluetypes+xml"/>
  <Override PartName="/xl/richData/rdrichvaluestructure.xml" ContentType="application/vnd.ms-excel.rdrichvaluestructure+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ashayankovskaya/Downloads/"/>
    </mc:Choice>
  </mc:AlternateContent>
  <xr:revisionPtr revIDLastSave="0" documentId="13_ncr:1_{0EB2814E-B791-4F4F-A58F-3FAB045C8500}" xr6:coauthVersionLast="47" xr6:coauthVersionMax="47" xr10:uidLastSave="{00000000-0000-0000-0000-000000000000}"/>
  <bookViews>
    <workbookView xWindow="0" yWindow="0" windowWidth="28800" windowHeight="18000" activeTab="1" xr2:uid="{D07BCD20-3BA0-44EF-B934-D34BFE502E6F}"/>
  </bookViews>
  <sheets>
    <sheet name="EntityData" sheetId="2" r:id="rId1"/>
    <sheet name="Trans_Events_Data" sheetId="26" r:id="rId2"/>
    <sheet name="AccountData" sheetId="23" r:id="rId3"/>
    <sheet name="BegBalShData" sheetId="24" r:id="rId4"/>
    <sheet name="AnswerData" sheetId="27" r:id="rId5"/>
    <sheet name="InstructorChoices" sheetId="25" r:id="rId6"/>
    <sheet name="Instructions" sheetId="3" r:id="rId7"/>
    <sheet name="Journal" sheetId="1" r:id="rId8"/>
    <sheet name="Financial_Statements_1" sheetId="5" state="hidden" r:id="rId9"/>
    <sheet name="Financial_Statements_2" sheetId="12" state="hidden" r:id="rId10"/>
    <sheet name="Financial_Statements_3" sheetId="13" state="hidden" r:id="rId11"/>
    <sheet name="Financial_Statements_4" sheetId="14" state="hidden" r:id="rId12"/>
    <sheet name="Financial_Statements_5" sheetId="15" r:id="rId13"/>
    <sheet name="Financial_Statements_6" sheetId="16" r:id="rId14"/>
    <sheet name="Journal_Entry_Tool" sheetId="17" r:id="rId15"/>
    <sheet name="T-Account_Viewers" sheetId="18" state="hidden" r:id="rId16"/>
    <sheet name="Closing_Tool" sheetId="22" state="hidden" r:id="rId17"/>
    <sheet name="Indirect_CFO_Worksheet_Tool" sheetId="8" state="hidden" r:id="rId18"/>
    <sheet name="Indirect_CFO_NonOp_Trans_Tool" sheetId="21" state="hidden" r:id="rId19"/>
    <sheet name="FS_All_Auto_Solution (2)" sheetId="28" r:id="rId20"/>
    <sheet name="FS_All_Auto_Solution" sheetId="20" r:id="rId21"/>
    <sheet name="Notice" sheetId="10" r:id="rId22"/>
  </sheets>
  <definedNames>
    <definedName name="BegDate">EntityData!$B$6</definedName>
    <definedName name="EndDate">EntityData!$B$7</definedName>
    <definedName name="Entity">EntityData!$B$3</definedName>
    <definedName name="EntityActivity">EntityData!$B$5</definedName>
    <definedName name="EntityType">EntityData!$B$4</definedName>
    <definedName name="FS1_1_Line1">Trans_Events_Data!$Q$2</definedName>
    <definedName name="FS1_1_Line2">Trans_Events_Data!$Q$3</definedName>
    <definedName name="FS1_1_Line3">Trans_Events_Data!$Q$4</definedName>
    <definedName name="FS1_1_Line4">Trans_Events_Data!$Q$5</definedName>
    <definedName name="FS1_1_Line5">Trans_Events_Data!$Q$6</definedName>
    <definedName name="FS1_2_Line1">Trans_Events_Data!$T$2</definedName>
    <definedName name="FS1_2_Line2">Trans_Events_Data!$T$3</definedName>
    <definedName name="FS1_2_Line3">Trans_Events_Data!$T$4</definedName>
    <definedName name="FS1_2_Line4">Trans_Events_Data!$T$5</definedName>
    <definedName name="FS1_2_Line5">Trans_Events_Data!$T$6</definedName>
    <definedName name="FS2_1_Line1">Trans_Events_Data!$W$2</definedName>
    <definedName name="FS2_1_Line2">Trans_Events_Data!$W$3</definedName>
    <definedName name="FS2_1_Line3">Trans_Events_Data!$W$4</definedName>
    <definedName name="FS2_1_Line4">Trans_Events_Data!$W$5</definedName>
    <definedName name="FS2_1_Line5">Trans_Events_Data!$W$6</definedName>
    <definedName name="FS2_2_Line1">Trans_Events_Data!$Z$2</definedName>
    <definedName name="FS2_2_Line2">Trans_Events_Data!$Z$3</definedName>
    <definedName name="FS2_2_Line3">Trans_Events_Data!$Z$4</definedName>
    <definedName name="FS2_2_Line4">Trans_Events_Data!$Z$5</definedName>
    <definedName name="FS2_2_Line5">Trans_Events_Data!$Z$6</definedName>
    <definedName name="FS3_1_Line1">Trans_Events_Data!$AC$2</definedName>
    <definedName name="FS3_1_Line2">Trans_Events_Data!$AC$3</definedName>
    <definedName name="FS3_1_Line3">Trans_Events_Data!$AC$4</definedName>
    <definedName name="FS3_1_Line4">Trans_Events_Data!$AC$5</definedName>
    <definedName name="FS3_1_Line5">Trans_Events_Data!$AC$6</definedName>
    <definedName name="FS3_2_Line1">Trans_Events_Data!$AF$2</definedName>
    <definedName name="FS3_2_Line2">Trans_Events_Data!$AF$3</definedName>
    <definedName name="FS3_2_Line3">Trans_Events_Data!$AF$4</definedName>
    <definedName name="FS3_2_Line4">Trans_Events_Data!$AF$5</definedName>
    <definedName name="FS3_2_Line5">Trans_Events_Data!$AF$6</definedName>
    <definedName name="FS4_1_Line1">Trans_Events_Data!$AI$2</definedName>
    <definedName name="FS4_1_Line2">Trans_Events_Data!$AI$3</definedName>
    <definedName name="FS4_1_Line3">Trans_Events_Data!$AI$4</definedName>
    <definedName name="FS4_1_Line4">Trans_Events_Data!$AI$5</definedName>
    <definedName name="FS4_1_Line5">Trans_Events_Data!$AI$6</definedName>
    <definedName name="Issue_CS">Journal!$P$9:$S$12</definedName>
    <definedName name="Line1">Trans_Events_Data!$K$2</definedName>
    <definedName name="Line1J">Trans_Events_Data!$N$2</definedName>
    <definedName name="Line2">Trans_Events_Data!$K$3</definedName>
    <definedName name="Line2J">Trans_Events_Data!$N$3</definedName>
    <definedName name="Line3">Trans_Events_Data!$K$4</definedName>
    <definedName name="Line3J">Trans_Events_Data!$N$4</definedName>
    <definedName name="Line4">Trans_Events_Data!$K$5</definedName>
    <definedName name="Line4J">Trans_Events_Data!$N$5</definedName>
    <definedName name="Line5">Trans_Events_Data!$K$6</definedName>
    <definedName name="Line5J">Trans_Events_Data!$N$6</definedName>
    <definedName name="Net_Income" localSheetId="19">'FS_All_Auto_Solution (2)'!$F$35</definedName>
    <definedName name="Net_Income">FS_All_Auto_Solution!$F$35</definedName>
    <definedName name="ParValue">EntityData!$B$11</definedName>
    <definedName name="Period">EntityData!$B$8</definedName>
    <definedName name="ShrsOut">EntityData!$B$10</definedName>
    <definedName name="TreasShrs">EntityData!$B$12</definedName>
    <definedName name="Units">EntityData!$B$9</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 i="26" l="1"/>
  <c r="AU4" i="16"/>
  <c r="AY190" i="28" l="1"/>
  <c r="AY189" i="28"/>
  <c r="AY188" i="28"/>
  <c r="AZ187" i="28"/>
  <c r="AY187" i="28"/>
  <c r="AZ186" i="28"/>
  <c r="AY186" i="28"/>
  <c r="AZ185" i="28"/>
  <c r="BI139" i="28" s="1"/>
  <c r="AY185" i="28"/>
  <c r="AZ192" i="28" s="1"/>
  <c r="AZ180" i="28"/>
  <c r="AY180" i="28"/>
  <c r="AZ179" i="28"/>
  <c r="AZ178" i="28"/>
  <c r="AY178" i="28"/>
  <c r="AZ177" i="28"/>
  <c r="AY177" i="28"/>
  <c r="AZ176" i="28"/>
  <c r="AY176" i="28"/>
  <c r="AZ171" i="28"/>
  <c r="AY171" i="28"/>
  <c r="BI138" i="28"/>
  <c r="AZ137" i="28"/>
  <c r="R12" i="28" s="1"/>
  <c r="AY137" i="28"/>
  <c r="AZ135" i="28"/>
  <c r="AY135" i="28"/>
  <c r="AY132" i="28"/>
  <c r="AU127" i="28"/>
  <c r="AV127" i="28" s="1" a="1"/>
  <c r="AV127" i="28" s="1"/>
  <c r="BE123" i="28"/>
  <c r="BD123" i="28"/>
  <c r="AU123" i="28"/>
  <c r="BH123" i="28" s="1"/>
  <c r="AU119" i="28"/>
  <c r="AY119" i="28" s="1"/>
  <c r="AU115" i="28"/>
  <c r="BH115" i="28" s="1"/>
  <c r="BH111" i="28"/>
  <c r="BG111" i="28"/>
  <c r="AZ111" i="28"/>
  <c r="AU111" i="28"/>
  <c r="AW111" i="28" s="1"/>
  <c r="AU107" i="28"/>
  <c r="AZ108" i="28" s="1"/>
  <c r="BH103" i="28"/>
  <c r="AU103" i="28"/>
  <c r="AW103" i="28" s="1"/>
  <c r="AU99" i="28"/>
  <c r="BH99" i="28" s="1"/>
  <c r="BH95" i="28"/>
  <c r="AW95" i="28"/>
  <c r="AU95" i="28"/>
  <c r="AZ95" i="28" s="1"/>
  <c r="AW91" i="28"/>
  <c r="AU91" i="28"/>
  <c r="BH91" i="28" s="1"/>
  <c r="AY88" i="28"/>
  <c r="AU87" i="28"/>
  <c r="BH87" i="28" s="1"/>
  <c r="AZ83" i="28"/>
  <c r="AU83" i="28"/>
  <c r="AW83" i="28" s="1"/>
  <c r="AU79" i="28"/>
  <c r="BH79" i="28" s="1"/>
  <c r="AW75" i="28"/>
  <c r="AU75" i="28"/>
  <c r="BG75" i="28" s="1"/>
  <c r="AU71" i="28"/>
  <c r="AY71" i="28" s="1"/>
  <c r="AZ67" i="28"/>
  <c r="AW67" i="28"/>
  <c r="AU67" i="28"/>
  <c r="BH67" i="28" s="1"/>
  <c r="R65" i="28"/>
  <c r="C65" i="28"/>
  <c r="A65" i="28"/>
  <c r="X64" i="28"/>
  <c r="U64" i="28" s="1"/>
  <c r="W64" i="28"/>
  <c r="T64" i="28"/>
  <c r="BH63" i="28"/>
  <c r="BG63" i="28"/>
  <c r="AZ63" i="28"/>
  <c r="AW63" i="28"/>
  <c r="AU63" i="28"/>
  <c r="T63" i="28"/>
  <c r="X63" i="28" s="1"/>
  <c r="C63" i="28"/>
  <c r="W62" i="28"/>
  <c r="T62" i="28"/>
  <c r="X62" i="28" s="1"/>
  <c r="R62" i="28"/>
  <c r="C62" i="28"/>
  <c r="A62" i="28"/>
  <c r="R61" i="28"/>
  <c r="C61" i="28"/>
  <c r="A61" i="28"/>
  <c r="T60" i="28"/>
  <c r="X60" i="28" s="1"/>
  <c r="C60" i="28"/>
  <c r="J9" i="28" s="1"/>
  <c r="A60" i="28"/>
  <c r="AU59" i="28"/>
  <c r="BH59" i="28" s="1"/>
  <c r="C59" i="28"/>
  <c r="B59" i="28"/>
  <c r="T59" i="28" s="1"/>
  <c r="B59" i="28" a="1"/>
  <c r="T61" i="28" s="1"/>
  <c r="A59" i="28"/>
  <c r="Q58" i="28"/>
  <c r="Q57" i="28"/>
  <c r="BH55" i="28"/>
  <c r="BG55" i="28"/>
  <c r="BC55" i="28" s="1"/>
  <c r="AZ55" i="28"/>
  <c r="AW55" i="28"/>
  <c r="AU55" i="28"/>
  <c r="T55" i="28"/>
  <c r="X55" i="28" s="1"/>
  <c r="C55" i="28"/>
  <c r="W54" i="28"/>
  <c r="T54" i="28"/>
  <c r="X54" i="28" s="1"/>
  <c r="U54" i="28" s="1"/>
  <c r="C54" i="28"/>
  <c r="X53" i="28"/>
  <c r="T53" i="28"/>
  <c r="W53" i="28" s="1"/>
  <c r="R53" i="28" a="1"/>
  <c r="R53" i="28" s="1"/>
  <c r="C53" i="28"/>
  <c r="X52" i="28"/>
  <c r="W52" i="28"/>
  <c r="T52" i="28"/>
  <c r="R52" i="28" a="1"/>
  <c r="R52" i="28" s="1"/>
  <c r="C52" i="28"/>
  <c r="AU51" i="28"/>
  <c r="BH51" i="28" s="1"/>
  <c r="T51" i="28"/>
  <c r="X51" i="28" s="1"/>
  <c r="R51" i="28" a="1"/>
  <c r="R51" i="28" s="1"/>
  <c r="C51" i="28"/>
  <c r="T50" i="28"/>
  <c r="X50" i="28" s="1"/>
  <c r="R50" i="28"/>
  <c r="C50" i="28"/>
  <c r="R49" i="28"/>
  <c r="R48" i="28"/>
  <c r="BH47" i="28"/>
  <c r="BG47" i="28"/>
  <c r="AY47" i="28"/>
  <c r="AV47" i="28"/>
  <c r="BB47" i="28" s="1"/>
  <c r="AU47" i="28"/>
  <c r="R47" i="28"/>
  <c r="R46" i="28"/>
  <c r="B46" i="28" a="1"/>
  <c r="T49" i="28" s="1"/>
  <c r="R45" i="28"/>
  <c r="AU43" i="28"/>
  <c r="BH43" i="28" s="1"/>
  <c r="X43" i="28"/>
  <c r="T43" i="28"/>
  <c r="W43" i="28" s="1"/>
  <c r="C43" i="28"/>
  <c r="T42" i="28"/>
  <c r="X42" i="28" s="1"/>
  <c r="F42" i="28"/>
  <c r="C42" i="28"/>
  <c r="R41" i="28" a="1"/>
  <c r="R41" i="28" s="1"/>
  <c r="F41" i="28"/>
  <c r="R40" i="28" a="1"/>
  <c r="R40" i="28" s="1"/>
  <c r="F40" i="28"/>
  <c r="BG39" i="28"/>
  <c r="AY39" i="28"/>
  <c r="AU39" i="28"/>
  <c r="R39" i="28" a="1"/>
  <c r="R39" i="28" s="1"/>
  <c r="F39" i="28"/>
  <c r="R38" i="28" a="1"/>
  <c r="R38" i="28" s="1"/>
  <c r="R37" i="28" a="1"/>
  <c r="R37" i="28" s="1"/>
  <c r="C37" i="28"/>
  <c r="W36" i="28"/>
  <c r="T36" i="28"/>
  <c r="X36" i="28" s="1"/>
  <c r="R36" i="28"/>
  <c r="AU35" i="28"/>
  <c r="BH35" i="28" s="1"/>
  <c r="R35" i="28"/>
  <c r="C35" i="28"/>
  <c r="R34" i="28"/>
  <c r="B34" i="28" a="1"/>
  <c r="T41" i="28" s="1"/>
  <c r="AY33" i="28"/>
  <c r="U33" i="28"/>
  <c r="F33" i="28"/>
  <c r="C33" i="28"/>
  <c r="AY32" i="28"/>
  <c r="R32" i="28"/>
  <c r="F32" i="28"/>
  <c r="BH31" i="28"/>
  <c r="BG31" i="28"/>
  <c r="AY31" i="28"/>
  <c r="AV31" i="28"/>
  <c r="AU31" i="28"/>
  <c r="AZ32" i="28" s="1"/>
  <c r="F31" i="28"/>
  <c r="E30" i="28" a="1"/>
  <c r="E30" i="28" s="1"/>
  <c r="F30" i="28" s="1"/>
  <c r="W29" i="28"/>
  <c r="T29" i="28"/>
  <c r="X29" i="28" s="1"/>
  <c r="C29" i="28"/>
  <c r="X28" i="28"/>
  <c r="T28" i="28"/>
  <c r="W28" i="28" s="1"/>
  <c r="C28" i="28"/>
  <c r="AU27" i="28"/>
  <c r="AY27" i="28" s="1"/>
  <c r="X27" i="28"/>
  <c r="W27" i="28"/>
  <c r="T27" i="28"/>
  <c r="F27" i="28"/>
  <c r="C27" i="28"/>
  <c r="T26" i="28"/>
  <c r="X26" i="28" s="1"/>
  <c r="F26" i="28"/>
  <c r="C26" i="28"/>
  <c r="T25" i="28"/>
  <c r="X25" i="28" s="1"/>
  <c r="F25" i="28"/>
  <c r="C25" i="28"/>
  <c r="X24" i="28"/>
  <c r="W24" i="28"/>
  <c r="T24" i="28"/>
  <c r="E24" i="28" a="1"/>
  <c r="E24" i="28" s="1"/>
  <c r="C24" i="28"/>
  <c r="AU23" i="28"/>
  <c r="BH23" i="28" s="1"/>
  <c r="T23" i="28"/>
  <c r="X23" i="28" s="1"/>
  <c r="C23" i="28"/>
  <c r="T22" i="28"/>
  <c r="X22" i="28" s="1"/>
  <c r="M22" i="28"/>
  <c r="C22" i="28"/>
  <c r="T21" i="28"/>
  <c r="X21" i="28" s="1"/>
  <c r="L21" i="28" a="1"/>
  <c r="L21" i="28" s="1"/>
  <c r="F21" i="28"/>
  <c r="C21" i="28"/>
  <c r="L20" i="28" a="1"/>
  <c r="L20" i="28" s="1"/>
  <c r="F20" i="28"/>
  <c r="B20" i="28"/>
  <c r="C20" i="28" s="1"/>
  <c r="B20" i="28" a="1"/>
  <c r="AY19" i="28"/>
  <c r="AV19" i="28"/>
  <c r="AU19" i="28"/>
  <c r="BG19" i="28" s="1"/>
  <c r="F19" i="28"/>
  <c r="H18" i="28"/>
  <c r="F18" i="28"/>
  <c r="W17" i="28"/>
  <c r="T17" i="28"/>
  <c r="X17" i="28" s="1"/>
  <c r="F17" i="28"/>
  <c r="C17" i="28"/>
  <c r="X16" i="28"/>
  <c r="W16" i="28"/>
  <c r="U16" i="28" s="1"/>
  <c r="T16" i="28"/>
  <c r="F16" i="28"/>
  <c r="C16" i="28"/>
  <c r="AU15" i="28"/>
  <c r="BH15" i="28" s="1"/>
  <c r="F15" i="28"/>
  <c r="X14" i="28"/>
  <c r="W14" i="28"/>
  <c r="T14" i="28"/>
  <c r="E14" i="28" a="1"/>
  <c r="E14" i="28" s="1"/>
  <c r="F14" i="28" s="1"/>
  <c r="AY12" i="28"/>
  <c r="X12" i="28"/>
  <c r="W12" i="28"/>
  <c r="T12" i="28"/>
  <c r="AY11" i="28"/>
  <c r="AV11" i="28"/>
  <c r="AU11" i="28"/>
  <c r="BG11" i="28" s="1"/>
  <c r="T11" i="28"/>
  <c r="W11" i="28" s="1"/>
  <c r="F11" i="28"/>
  <c r="C11" i="28"/>
  <c r="T10" i="28"/>
  <c r="X10" i="28" s="1"/>
  <c r="R10" i="28"/>
  <c r="F10" i="28"/>
  <c r="C10" i="28"/>
  <c r="X9" i="28"/>
  <c r="W9" i="28"/>
  <c r="U9" i="28" s="1"/>
  <c r="T9" i="28"/>
  <c r="L9" i="28"/>
  <c r="K9" i="28"/>
  <c r="I9" i="28"/>
  <c r="H9" i="28"/>
  <c r="F9" i="28"/>
  <c r="C9" i="28"/>
  <c r="T8" i="28"/>
  <c r="W8" i="28" s="1"/>
  <c r="E8" i="28" a="1"/>
  <c r="E8" i="28" s="1"/>
  <c r="F8" i="28" s="1"/>
  <c r="B8" i="28"/>
  <c r="C8" i="28" s="1"/>
  <c r="B8" i="28" a="1"/>
  <c r="T15" i="28" s="1"/>
  <c r="AZ7" i="28"/>
  <c r="AW7" i="28"/>
  <c r="AW7" i="28" a="1"/>
  <c r="AU7" i="28"/>
  <c r="BH7" i="28" s="1"/>
  <c r="U7" i="28"/>
  <c r="C7" i="28"/>
  <c r="Q5" i="28"/>
  <c r="H5" i="28"/>
  <c r="E5" i="28"/>
  <c r="T4" i="28"/>
  <c r="Q4" i="28"/>
  <c r="H4" i="28"/>
  <c r="E4" i="28"/>
  <c r="B4" i="28"/>
  <c r="AU3" i="28"/>
  <c r="AY3" i="28" s="1"/>
  <c r="B3" i="28"/>
  <c r="T2" i="28"/>
  <c r="Q2" i="28"/>
  <c r="H2" i="28"/>
  <c r="E2" i="28"/>
  <c r="B2" i="28"/>
  <c r="AO37" i="13"/>
  <c r="AZ48" i="5"/>
  <c r="BH19" i="28" l="1"/>
  <c r="BG27" i="28"/>
  <c r="BH27" i="28"/>
  <c r="BH75" i="28"/>
  <c r="BC75" i="28" s="1"/>
  <c r="BH83" i="28"/>
  <c r="BH11" i="28"/>
  <c r="BB11" i="28" s="1"/>
  <c r="BG3" i="28"/>
  <c r="BG67" i="28"/>
  <c r="BC67" i="28" s="1"/>
  <c r="BG83" i="28"/>
  <c r="L22" i="28"/>
  <c r="U29" i="28"/>
  <c r="U62" i="28"/>
  <c r="F43" i="28"/>
  <c r="U52" i="28"/>
  <c r="U17" i="28"/>
  <c r="U27" i="28"/>
  <c r="BB31" i="28"/>
  <c r="BC63" i="28"/>
  <c r="U43" i="28"/>
  <c r="BC111" i="28"/>
  <c r="BE111" i="28" s="1"/>
  <c r="AY169" i="28" s="1"/>
  <c r="BB19" i="28"/>
  <c r="U24" i="28"/>
  <c r="F12" i="28"/>
  <c r="F34" i="28"/>
  <c r="F22" i="28"/>
  <c r="W15" i="28"/>
  <c r="X15" i="28"/>
  <c r="U28" i="28"/>
  <c r="C30" i="28"/>
  <c r="U53" i="28"/>
  <c r="X61" i="28"/>
  <c r="W61" i="28"/>
  <c r="Q8" i="28"/>
  <c r="E35" i="28"/>
  <c r="H13" i="28"/>
  <c r="E3" i="28"/>
  <c r="T3" i="28"/>
  <c r="W59" i="28"/>
  <c r="X59" i="28"/>
  <c r="X41" i="28"/>
  <c r="W41" i="28"/>
  <c r="R54" i="28"/>
  <c r="X49" i="28"/>
  <c r="W49" i="28"/>
  <c r="B46" i="28"/>
  <c r="BH3" i="28"/>
  <c r="X8" i="28"/>
  <c r="U8" i="28" s="1"/>
  <c r="C13" i="28"/>
  <c r="AV15" i="28"/>
  <c r="T20" i="28"/>
  <c r="AY23" i="28"/>
  <c r="C39" i="28"/>
  <c r="BH39" i="28"/>
  <c r="BG71" i="28"/>
  <c r="AW79" i="28"/>
  <c r="AV23" i="28"/>
  <c r="AY15" i="28"/>
  <c r="AY36" i="28"/>
  <c r="C40" i="28"/>
  <c r="W60" i="28"/>
  <c r="U60" i="28" s="1"/>
  <c r="A63" i="28"/>
  <c r="BH71" i="28"/>
  <c r="BG95" i="28"/>
  <c r="BC95" i="28" s="1"/>
  <c r="BG103" i="28"/>
  <c r="BC103" i="28" s="1"/>
  <c r="BG119" i="28"/>
  <c r="BG127" i="28"/>
  <c r="BB127" i="28" s="1"/>
  <c r="AZ79" i="28"/>
  <c r="BH119" i="28"/>
  <c r="BH127" i="28"/>
  <c r="BG7" i="28"/>
  <c r="BC7" i="28" s="1"/>
  <c r="J10" i="28"/>
  <c r="AW35" i="28" a="1"/>
  <c r="AW35" i="28" s="1"/>
  <c r="AV43" i="28"/>
  <c r="T39" i="28"/>
  <c r="AY43" i="28"/>
  <c r="W55" i="28"/>
  <c r="U55" i="28" s="1"/>
  <c r="R57" i="28"/>
  <c r="AZ91" i="28"/>
  <c r="AW99" i="28"/>
  <c r="AW107" i="28"/>
  <c r="AV123" i="28" a="1"/>
  <c r="AV123" i="28" s="1"/>
  <c r="X11" i="28"/>
  <c r="U11" i="28" s="1"/>
  <c r="C12" i="28"/>
  <c r="U12" i="28" s="1"/>
  <c r="T13" i="28"/>
  <c r="C15" i="28"/>
  <c r="U15" i="28" s="1"/>
  <c r="W22" i="28"/>
  <c r="U22" i="28" s="1"/>
  <c r="BG23" i="28"/>
  <c r="W25" i="28"/>
  <c r="U25" i="28" s="1"/>
  <c r="T37" i="28"/>
  <c r="T40" i="28"/>
  <c r="C48" i="28"/>
  <c r="W50" i="28"/>
  <c r="U50" i="28" s="1"/>
  <c r="AV51" i="28"/>
  <c r="AW59" i="28"/>
  <c r="W63" i="28"/>
  <c r="U63" i="28" s="1"/>
  <c r="AZ107" i="28"/>
  <c r="AW115" i="28"/>
  <c r="BH139" i="28"/>
  <c r="BG15" i="28"/>
  <c r="W42" i="28"/>
  <c r="U42" i="28" s="1"/>
  <c r="C47" i="28"/>
  <c r="AY51" i="28"/>
  <c r="BG79" i="28"/>
  <c r="AW87" i="28"/>
  <c r="AZ99" i="28"/>
  <c r="T48" i="28"/>
  <c r="AZ59" i="28"/>
  <c r="T35" i="28"/>
  <c r="T47" i="28"/>
  <c r="C66" i="28"/>
  <c r="AZ87" i="28"/>
  <c r="BG91" i="28"/>
  <c r="BC91" i="28" s="1"/>
  <c r="AV3" i="28"/>
  <c r="W10" i="28"/>
  <c r="U10" i="28" s="1"/>
  <c r="C14" i="28"/>
  <c r="U14" i="28" s="1"/>
  <c r="BG35" i="28"/>
  <c r="C38" i="28"/>
  <c r="AV39" i="28"/>
  <c r="BB39" i="28" s="1"/>
  <c r="C41" i="28"/>
  <c r="U41" i="28" s="1"/>
  <c r="BG43" i="28"/>
  <c r="AZ75" i="28"/>
  <c r="BG107" i="28"/>
  <c r="BG115" i="28"/>
  <c r="BG123" i="28"/>
  <c r="AY192" i="28"/>
  <c r="BG99" i="28"/>
  <c r="BH107" i="28"/>
  <c r="C36" i="28"/>
  <c r="U36" i="28" s="1"/>
  <c r="C49" i="28"/>
  <c r="U49" i="28" s="1"/>
  <c r="BG51" i="28"/>
  <c r="BG59" i="28"/>
  <c r="AW71" i="28"/>
  <c r="W21" i="28"/>
  <c r="U21" i="28" s="1"/>
  <c r="W23" i="28"/>
  <c r="U23" i="28" s="1"/>
  <c r="W26" i="28"/>
  <c r="U26" i="28" s="1"/>
  <c r="AV27" i="28"/>
  <c r="B34" i="28"/>
  <c r="T38" i="28"/>
  <c r="W51" i="28"/>
  <c r="U51" i="28" s="1"/>
  <c r="BG87" i="28"/>
  <c r="AW119" i="28"/>
  <c r="F5" i="21" a="1"/>
  <c r="F5" i="21" s="1"/>
  <c r="E5" i="21" a="1"/>
  <c r="E5" i="21" s="1"/>
  <c r="D5" i="21" a="1"/>
  <c r="D5" i="21" s="1"/>
  <c r="C5" i="21" a="1"/>
  <c r="C5" i="21" s="1"/>
  <c r="B5" i="21" a="1"/>
  <c r="B5" i="21" s="1"/>
  <c r="AQ8" i="12" a="1"/>
  <c r="AQ8" i="12" s="1"/>
  <c r="BC83" i="28" l="1"/>
  <c r="BB27" i="28"/>
  <c r="U61" i="28"/>
  <c r="BC119" i="28"/>
  <c r="BB51" i="28"/>
  <c r="BC35" i="28"/>
  <c r="BD111" i="28"/>
  <c r="AZ169" i="28" s="1"/>
  <c r="BC71" i="28"/>
  <c r="BE71" i="28" s="1"/>
  <c r="AY158" i="28" s="1"/>
  <c r="U59" i="28"/>
  <c r="BE127" i="28"/>
  <c r="AY172" i="28" s="1"/>
  <c r="BD127" i="28"/>
  <c r="AZ172" i="28" s="1"/>
  <c r="BE103" i="28"/>
  <c r="AY167" i="28" s="1"/>
  <c r="BD103" i="28"/>
  <c r="AZ167" i="28" s="1"/>
  <c r="U65" i="28"/>
  <c r="X37" i="28"/>
  <c r="W37" i="28"/>
  <c r="X39" i="28"/>
  <c r="W39" i="28"/>
  <c r="BB43" i="28"/>
  <c r="T46" i="28"/>
  <c r="C46" i="28"/>
  <c r="C18" i="28"/>
  <c r="C31" i="28" s="1"/>
  <c r="BB23" i="28"/>
  <c r="X47" i="28"/>
  <c r="W47" i="28"/>
  <c r="BC115" i="28"/>
  <c r="W13" i="28"/>
  <c r="U13" i="28" s="1"/>
  <c r="U18" i="28" s="1"/>
  <c r="X13" i="28"/>
  <c r="BC79" i="28"/>
  <c r="X40" i="28"/>
  <c r="W40" i="28"/>
  <c r="X35" i="28"/>
  <c r="W35" i="28"/>
  <c r="AY194" i="28"/>
  <c r="BB123" i="28"/>
  <c r="N9" i="28"/>
  <c r="M9" i="28"/>
  <c r="BB3" i="28"/>
  <c r="BC59" i="28"/>
  <c r="BC107" i="28"/>
  <c r="X48" i="28"/>
  <c r="W48" i="28"/>
  <c r="BC99" i="28"/>
  <c r="W20" i="28"/>
  <c r="X20" i="28"/>
  <c r="BE119" i="28"/>
  <c r="BD119" i="28"/>
  <c r="W38" i="28"/>
  <c r="U38" i="28" s="1"/>
  <c r="X38" i="28"/>
  <c r="C34" i="28"/>
  <c r="T34" i="28"/>
  <c r="BC87" i="28"/>
  <c r="BB15" i="28"/>
  <c r="C53" i="26"/>
  <c r="B53"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8" i="26"/>
  <c r="D17" i="26"/>
  <c r="D16" i="26"/>
  <c r="D15" i="26"/>
  <c r="D14" i="26"/>
  <c r="D13" i="26"/>
  <c r="D12" i="26"/>
  <c r="D11" i="26"/>
  <c r="D10" i="26"/>
  <c r="D9" i="26"/>
  <c r="D8" i="26"/>
  <c r="D7" i="26"/>
  <c r="AI6" i="26"/>
  <c r="AH6" i="26" s="1"/>
  <c r="AF6" i="26"/>
  <c r="AE6" i="26" s="1"/>
  <c r="AC6" i="26"/>
  <c r="AB6" i="26" s="1"/>
  <c r="Z6" i="26"/>
  <c r="Y6" i="26" s="1"/>
  <c r="W6" i="26"/>
  <c r="V6" i="26" s="1"/>
  <c r="T6" i="26"/>
  <c r="S6" i="26" s="1"/>
  <c r="Q6" i="26"/>
  <c r="P6" i="26" s="1"/>
  <c r="N6" i="26"/>
  <c r="M6" i="26" s="1"/>
  <c r="K6" i="26"/>
  <c r="J6" i="26" s="1"/>
  <c r="D6" i="26"/>
  <c r="AI5" i="26"/>
  <c r="AH5" i="26"/>
  <c r="AF5" i="26"/>
  <c r="AE5" i="26"/>
  <c r="AC5" i="26"/>
  <c r="AB5" i="26" s="1"/>
  <c r="Z5" i="26"/>
  <c r="Y5" i="26"/>
  <c r="W5" i="26"/>
  <c r="V5" i="26"/>
  <c r="T5" i="26"/>
  <c r="S5" i="26"/>
  <c r="Q5" i="26"/>
  <c r="P5" i="26"/>
  <c r="N5" i="26"/>
  <c r="M5" i="26" s="1"/>
  <c r="K5" i="26"/>
  <c r="J5" i="26"/>
  <c r="D5" i="26"/>
  <c r="AI4" i="26"/>
  <c r="AH4" i="26" s="1"/>
  <c r="D4" i="26"/>
  <c r="AI3" i="26"/>
  <c r="AH3" i="26"/>
  <c r="D3" i="26"/>
  <c r="AG2" i="26" a="1"/>
  <c r="AG2" i="26" s="1"/>
  <c r="AI2" i="26" s="1"/>
  <c r="AH2" i="26" s="1"/>
  <c r="AD2" i="26" a="1"/>
  <c r="AD2" i="26" s="1"/>
  <c r="AF2" i="26" s="1"/>
  <c r="AE2" i="26" s="1"/>
  <c r="AA2" i="26" a="1"/>
  <c r="AA2" i="26" s="1"/>
  <c r="AC2" i="26" s="1"/>
  <c r="AB2" i="26" s="1"/>
  <c r="X2" i="26" a="1"/>
  <c r="X2" i="26" s="1"/>
  <c r="Z2" i="26" s="1"/>
  <c r="Y2" i="26" s="1"/>
  <c r="U2" i="26" a="1"/>
  <c r="U2" i="26" s="1"/>
  <c r="W2" i="26" s="1"/>
  <c r="V2" i="26" s="1"/>
  <c r="R2" i="26" a="1"/>
  <c r="R2" i="26" s="1"/>
  <c r="T2" i="26" s="1"/>
  <c r="S2" i="26" s="1"/>
  <c r="O2" i="26" a="1"/>
  <c r="O2" i="26" s="1"/>
  <c r="Q2" i="26" s="1"/>
  <c r="P2" i="26" s="1"/>
  <c r="I2" i="26" a="1"/>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174" i="27"/>
  <c r="H174" i="27"/>
  <c r="I173" i="27"/>
  <c r="H173" i="27"/>
  <c r="I172" i="27"/>
  <c r="H172" i="27"/>
  <c r="I171" i="27"/>
  <c r="H171" i="27"/>
  <c r="I170" i="27"/>
  <c r="H170" i="27"/>
  <c r="I169" i="27"/>
  <c r="H169" i="27"/>
  <c r="I168" i="27"/>
  <c r="H168" i="27"/>
  <c r="I167" i="27"/>
  <c r="H167" i="27"/>
  <c r="I166" i="27"/>
  <c r="H166" i="27"/>
  <c r="I165" i="27"/>
  <c r="H165" i="27"/>
  <c r="I164" i="27"/>
  <c r="H164" i="27"/>
  <c r="I163" i="27"/>
  <c r="H163" i="27"/>
  <c r="I162" i="27"/>
  <c r="H162" i="27"/>
  <c r="I161" i="27"/>
  <c r="H161" i="27"/>
  <c r="I160" i="27"/>
  <c r="H160" i="27"/>
  <c r="I159" i="27"/>
  <c r="H159" i="27"/>
  <c r="I158" i="27"/>
  <c r="H158" i="27"/>
  <c r="I157" i="27"/>
  <c r="H157" i="27"/>
  <c r="I156" i="27"/>
  <c r="H156" i="27"/>
  <c r="I155" i="27"/>
  <c r="H155" i="27"/>
  <c r="I154" i="27"/>
  <c r="H154" i="27"/>
  <c r="I153" i="27"/>
  <c r="H153" i="27"/>
  <c r="I152" i="27"/>
  <c r="H152" i="27"/>
  <c r="I151" i="27"/>
  <c r="H151" i="27"/>
  <c r="I150" i="27"/>
  <c r="H150" i="27"/>
  <c r="I149" i="27"/>
  <c r="H149" i="27"/>
  <c r="I148" i="27"/>
  <c r="H148" i="27"/>
  <c r="I147" i="27"/>
  <c r="H147" i="27"/>
  <c r="I146" i="27"/>
  <c r="H146" i="27"/>
  <c r="I145" i="27"/>
  <c r="H145" i="27"/>
  <c r="I144" i="27"/>
  <c r="H144" i="27"/>
  <c r="I143" i="27"/>
  <c r="H143" i="27"/>
  <c r="I142" i="27"/>
  <c r="H142" i="27"/>
  <c r="I141" i="27"/>
  <c r="H141" i="27"/>
  <c r="I140" i="27"/>
  <c r="H140" i="27"/>
  <c r="I139" i="27"/>
  <c r="H139" i="27"/>
  <c r="I138" i="27"/>
  <c r="H138" i="27"/>
  <c r="I137" i="27"/>
  <c r="H137" i="27"/>
  <c r="I136" i="27"/>
  <c r="H136" i="27"/>
  <c r="I135" i="27"/>
  <c r="H135" i="27"/>
  <c r="I134" i="27"/>
  <c r="H134" i="27"/>
  <c r="I133" i="27"/>
  <c r="H133" i="27"/>
  <c r="I132" i="27"/>
  <c r="H132" i="27"/>
  <c r="I131" i="27"/>
  <c r="H131" i="27"/>
  <c r="I130" i="27"/>
  <c r="H130" i="27"/>
  <c r="I129" i="27"/>
  <c r="H129" i="27"/>
  <c r="I128" i="27"/>
  <c r="H128" i="27"/>
  <c r="I127" i="27"/>
  <c r="H127" i="27"/>
  <c r="I126" i="27"/>
  <c r="H126" i="27"/>
  <c r="I125" i="27"/>
  <c r="H125" i="27"/>
  <c r="I124" i="27"/>
  <c r="H124" i="27"/>
  <c r="I123" i="27"/>
  <c r="H123" i="27"/>
  <c r="I122" i="27"/>
  <c r="H122" i="27"/>
  <c r="I121" i="27"/>
  <c r="H121" i="27"/>
  <c r="I120" i="27"/>
  <c r="H120" i="27"/>
  <c r="I119" i="27"/>
  <c r="H119" i="27"/>
  <c r="I118" i="27"/>
  <c r="H118" i="27"/>
  <c r="I117" i="27"/>
  <c r="H117" i="27"/>
  <c r="I116" i="27"/>
  <c r="H116" i="27"/>
  <c r="I115" i="27"/>
  <c r="H115" i="27"/>
  <c r="I114" i="27"/>
  <c r="H114" i="27"/>
  <c r="I113" i="27"/>
  <c r="H113" i="27"/>
  <c r="I112" i="27"/>
  <c r="H112" i="27"/>
  <c r="I111" i="27"/>
  <c r="H111" i="27"/>
  <c r="I110" i="27"/>
  <c r="H110" i="27"/>
  <c r="I109" i="27"/>
  <c r="H109" i="27"/>
  <c r="I108" i="27"/>
  <c r="H108" i="27"/>
  <c r="I107" i="27"/>
  <c r="H107" i="27"/>
  <c r="I106" i="27"/>
  <c r="H106" i="27"/>
  <c r="I105" i="27"/>
  <c r="H105" i="27"/>
  <c r="I104" i="27"/>
  <c r="H104" i="27"/>
  <c r="I103" i="27"/>
  <c r="H103" i="27"/>
  <c r="I102" i="27"/>
  <c r="H102" i="27"/>
  <c r="I101" i="27"/>
  <c r="H101" i="27"/>
  <c r="I100" i="27"/>
  <c r="H100" i="27"/>
  <c r="I99" i="27"/>
  <c r="H99" i="27"/>
  <c r="I98" i="27"/>
  <c r="H98" i="27"/>
  <c r="I97" i="27"/>
  <c r="H97" i="27"/>
  <c r="I96" i="27"/>
  <c r="H96" i="27"/>
  <c r="I95" i="27"/>
  <c r="H95" i="27"/>
  <c r="I94" i="27"/>
  <c r="H94" i="27"/>
  <c r="I93" i="27"/>
  <c r="H93" i="27"/>
  <c r="I92" i="27"/>
  <c r="H92" i="27"/>
  <c r="I91" i="27"/>
  <c r="H91" i="27"/>
  <c r="I90" i="27"/>
  <c r="H90" i="27"/>
  <c r="I89" i="27"/>
  <c r="H89" i="27"/>
  <c r="I88" i="27"/>
  <c r="H88" i="27"/>
  <c r="I87" i="27"/>
  <c r="H87" i="27"/>
  <c r="I86" i="27"/>
  <c r="H86" i="27"/>
  <c r="I85" i="27"/>
  <c r="H85" i="27"/>
  <c r="I84" i="27"/>
  <c r="H84" i="27"/>
  <c r="I83" i="27"/>
  <c r="H83" i="27"/>
  <c r="I82" i="27"/>
  <c r="H82" i="27"/>
  <c r="I81" i="27"/>
  <c r="H81" i="27"/>
  <c r="I80" i="27"/>
  <c r="H80" i="27"/>
  <c r="I79" i="27"/>
  <c r="H79" i="27"/>
  <c r="I78" i="27"/>
  <c r="H78" i="27"/>
  <c r="I77" i="27"/>
  <c r="H77" i="27"/>
  <c r="I76" i="27"/>
  <c r="H76" i="27"/>
  <c r="I75" i="27"/>
  <c r="H75" i="27"/>
  <c r="I74" i="27"/>
  <c r="H74" i="27"/>
  <c r="I73" i="27"/>
  <c r="H73" i="27"/>
  <c r="I72" i="27"/>
  <c r="H72" i="27"/>
  <c r="I71" i="27"/>
  <c r="H71" i="27"/>
  <c r="I70" i="27"/>
  <c r="H70" i="27"/>
  <c r="I69" i="27"/>
  <c r="H69" i="27"/>
  <c r="I68" i="27"/>
  <c r="H68" i="27"/>
  <c r="I67" i="27"/>
  <c r="H67" i="27"/>
  <c r="I66" i="27"/>
  <c r="H66" i="27"/>
  <c r="I65" i="27"/>
  <c r="H65" i="27"/>
  <c r="I64" i="27"/>
  <c r="H64" i="27"/>
  <c r="I63" i="27"/>
  <c r="H63" i="27"/>
  <c r="I62" i="27"/>
  <c r="H62" i="27"/>
  <c r="I61" i="27"/>
  <c r="H61" i="27"/>
  <c r="I60" i="27"/>
  <c r="H60" i="27"/>
  <c r="I59" i="27"/>
  <c r="H59" i="27"/>
  <c r="I58" i="27"/>
  <c r="H58" i="27"/>
  <c r="I57" i="27"/>
  <c r="H57" i="27"/>
  <c r="I56" i="27"/>
  <c r="H56" i="27"/>
  <c r="I55" i="27"/>
  <c r="H55" i="27"/>
  <c r="I54" i="27"/>
  <c r="H54" i="27"/>
  <c r="I53" i="27"/>
  <c r="H53" i="27"/>
  <c r="I52" i="27"/>
  <c r="H52" i="27"/>
  <c r="I51" i="27"/>
  <c r="H51" i="27"/>
  <c r="I50" i="27"/>
  <c r="H50" i="27"/>
  <c r="I49" i="27"/>
  <c r="H49" i="27"/>
  <c r="I48" i="27"/>
  <c r="H48" i="27"/>
  <c r="I47" i="27"/>
  <c r="H47" i="27"/>
  <c r="I46" i="27"/>
  <c r="H46" i="27"/>
  <c r="I45" i="27"/>
  <c r="H45" i="27"/>
  <c r="I44" i="27"/>
  <c r="H44" i="27"/>
  <c r="I43" i="27"/>
  <c r="H43" i="27"/>
  <c r="I42" i="27"/>
  <c r="H42" i="27"/>
  <c r="I41" i="27"/>
  <c r="H41" i="27"/>
  <c r="I40" i="27"/>
  <c r="H40" i="27"/>
  <c r="I39" i="27"/>
  <c r="H39" i="27"/>
  <c r="I38" i="27"/>
  <c r="H38" i="27"/>
  <c r="I37" i="27"/>
  <c r="H37" i="27"/>
  <c r="I36" i="27"/>
  <c r="H36" i="27"/>
  <c r="I35" i="27"/>
  <c r="H35" i="27"/>
  <c r="I34" i="27"/>
  <c r="H34" i="27"/>
  <c r="I33" i="27"/>
  <c r="H33" i="27"/>
  <c r="I32" i="27"/>
  <c r="H32" i="27"/>
  <c r="I31" i="27"/>
  <c r="H31" i="27"/>
  <c r="I30" i="27"/>
  <c r="H30" i="27"/>
  <c r="I29" i="27"/>
  <c r="H29" i="27"/>
  <c r="I28" i="27"/>
  <c r="H28" i="27"/>
  <c r="I27" i="27"/>
  <c r="H27" i="27"/>
  <c r="I26" i="27"/>
  <c r="H26" i="27"/>
  <c r="I25" i="27"/>
  <c r="H25" i="27"/>
  <c r="I24" i="27"/>
  <c r="H24" i="27"/>
  <c r="I23" i="27"/>
  <c r="H23" i="27"/>
  <c r="I22" i="27"/>
  <c r="H22" i="27"/>
  <c r="I21" i="27"/>
  <c r="H21" i="27"/>
  <c r="I20" i="27"/>
  <c r="H20" i="27"/>
  <c r="I19" i="27"/>
  <c r="H19" i="27"/>
  <c r="I18" i="27"/>
  <c r="H18" i="27"/>
  <c r="I17" i="27"/>
  <c r="H17" i="27"/>
  <c r="F24" i="28" s="1"/>
  <c r="F28" i="28" s="1"/>
  <c r="F35" i="28" s="1"/>
  <c r="I16" i="27"/>
  <c r="H16" i="27"/>
  <c r="I15" i="27"/>
  <c r="H15" i="27"/>
  <c r="I14" i="27"/>
  <c r="H14" i="27"/>
  <c r="I13" i="27"/>
  <c r="H13" i="27"/>
  <c r="I12" i="27"/>
  <c r="H12" i="27"/>
  <c r="C7" i="27"/>
  <c r="B6" i="27"/>
  <c r="B5" i="27"/>
  <c r="A10" i="25"/>
  <c r="A21" i="25"/>
  <c r="A33" i="24"/>
  <c r="A34" i="24"/>
  <c r="A35" i="24"/>
  <c r="A36" i="24"/>
  <c r="A37" i="24"/>
  <c r="A38" i="24"/>
  <c r="A32" i="24"/>
  <c r="A17" i="24"/>
  <c r="A16" i="24"/>
  <c r="A15" i="24"/>
  <c r="A14" i="24"/>
  <c r="A13" i="24"/>
  <c r="A12" i="24"/>
  <c r="A11" i="24"/>
  <c r="A10" i="24"/>
  <c r="A9" i="24"/>
  <c r="A8" i="24"/>
  <c r="C8" i="24" s="1"/>
  <c r="A7" i="24"/>
  <c r="C7" i="24" s="1"/>
  <c r="A6" i="24"/>
  <c r="A5" i="24"/>
  <c r="A4" i="24"/>
  <c r="A3" i="24"/>
  <c r="A20" i="24"/>
  <c r="A21" i="24"/>
  <c r="A22" i="24"/>
  <c r="A23" i="24"/>
  <c r="A24" i="24"/>
  <c r="A25" i="24"/>
  <c r="A26" i="24"/>
  <c r="A27" i="24"/>
  <c r="A28" i="24"/>
  <c r="A29" i="24"/>
  <c r="A30" i="24"/>
  <c r="A19" i="24"/>
  <c r="B6" i="23"/>
  <c r="C6" i="23"/>
  <c r="D6" i="23"/>
  <c r="B7" i="23"/>
  <c r="C7" i="23"/>
  <c r="D7" i="23"/>
  <c r="B8" i="23"/>
  <c r="C8" i="23"/>
  <c r="D8" i="23"/>
  <c r="B9" i="23"/>
  <c r="C9" i="23"/>
  <c r="D9" i="23"/>
  <c r="B10" i="23"/>
  <c r="C10" i="23"/>
  <c r="D10" i="23"/>
  <c r="B11" i="23"/>
  <c r="C11" i="23"/>
  <c r="D11" i="23"/>
  <c r="B12" i="23"/>
  <c r="C12" i="23"/>
  <c r="D12" i="23"/>
  <c r="B13" i="23"/>
  <c r="C13" i="23"/>
  <c r="D13" i="23"/>
  <c r="B14" i="23"/>
  <c r="C14" i="23"/>
  <c r="D14" i="23"/>
  <c r="B15" i="23"/>
  <c r="C15" i="23"/>
  <c r="D15" i="23"/>
  <c r="B16" i="23"/>
  <c r="C16" i="23"/>
  <c r="D16" i="23"/>
  <c r="B17" i="23"/>
  <c r="C17" i="23"/>
  <c r="D17" i="23"/>
  <c r="B43" i="24"/>
  <c r="B42" i="24"/>
  <c r="B41" i="24"/>
  <c r="BD71" i="28" l="1"/>
  <c r="AZ158" i="28" s="1"/>
  <c r="U40" i="28"/>
  <c r="U47" i="28"/>
  <c r="L13" i="28"/>
  <c r="AY134" i="28"/>
  <c r="U39" i="28"/>
  <c r="U37" i="28"/>
  <c r="U48" i="28"/>
  <c r="Z51" i="28" a="1"/>
  <c r="Z51" i="28" s="1"/>
  <c r="AG27" i="28" a="1"/>
  <c r="AG27" i="28" s="1"/>
  <c r="Z11" i="28" a="1"/>
  <c r="Z11" i="28" s="1"/>
  <c r="BM2" i="28" a="1"/>
  <c r="BM2" i="28" s="1"/>
  <c r="AN19" i="28" a="1"/>
  <c r="AN19" i="28" s="1"/>
  <c r="AZ3" i="28" a="1"/>
  <c r="AZ3" i="28" s="1"/>
  <c r="BE3" i="28" s="1"/>
  <c r="AN59" i="28" a="1"/>
  <c r="AN59" i="28" s="1"/>
  <c r="Z27" i="28" a="1"/>
  <c r="Z27" i="28" s="1"/>
  <c r="N14" i="28" a="1"/>
  <c r="N14" i="28" s="1"/>
  <c r="O14" i="28" s="1"/>
  <c r="K17" i="28" a="1"/>
  <c r="K17" i="28" s="1"/>
  <c r="AG11" i="28" a="1"/>
  <c r="AG11" i="28" s="1"/>
  <c r="Z59" i="28" a="1"/>
  <c r="Z59" i="28" s="1"/>
  <c r="K11" i="28" a="1"/>
  <c r="K11" i="28" s="1"/>
  <c r="AN3" i="28" a="1"/>
  <c r="AN3" i="28" s="1"/>
  <c r="J17" i="28" a="1"/>
  <c r="J17" i="28" s="1"/>
  <c r="AN67" i="28" a="1"/>
  <c r="AN67" i="28" s="1"/>
  <c r="AN43" i="28" a="1"/>
  <c r="AN43" i="28" s="1"/>
  <c r="J11" i="28" a="1"/>
  <c r="J11" i="28" s="1"/>
  <c r="L12" i="28" a="1"/>
  <c r="L12" i="28" s="1"/>
  <c r="O12" i="28" s="1"/>
  <c r="AG3" i="28" a="1"/>
  <c r="AG3" i="28" s="1"/>
  <c r="AG43" i="28" a="1"/>
  <c r="AG43" i="28" s="1"/>
  <c r="I10" i="28" a="1"/>
  <c r="I10" i="28" s="1"/>
  <c r="AN83" i="28" a="1"/>
  <c r="AN83" i="28" s="1"/>
  <c r="AG67" i="28" a="1"/>
  <c r="AG83" i="28" a="1"/>
  <c r="AG83" i="28" s="1"/>
  <c r="Z67" i="28" a="1"/>
  <c r="Z67" i="28" s="1"/>
  <c r="AG19" i="28" a="1"/>
  <c r="AG19" i="28" s="1"/>
  <c r="AN11" i="28" a="1"/>
  <c r="AN11" i="28" s="1"/>
  <c r="Z3" i="28" a="1"/>
  <c r="Z3" i="28" s="1"/>
  <c r="Z19" i="28" a="1"/>
  <c r="Z19" i="28" s="1"/>
  <c r="N15" i="28" a="1"/>
  <c r="N15" i="28" s="1"/>
  <c r="O15" i="28" s="1"/>
  <c r="AN75" i="28" a="1"/>
  <c r="AN75" i="28" s="1"/>
  <c r="AN35" i="28" a="1"/>
  <c r="AN35" i="28" s="1"/>
  <c r="Z75" i="28" a="1"/>
  <c r="Z75" i="28" s="1"/>
  <c r="AG35" i="28" a="1"/>
  <c r="AG35" i="28" s="1"/>
  <c r="AG91" i="28" a="1"/>
  <c r="AG91" i="28" s="1"/>
  <c r="AN51" i="28" a="1"/>
  <c r="AN51" i="28" s="1"/>
  <c r="AG51" i="28" a="1"/>
  <c r="AG51" i="28" s="1"/>
  <c r="Z35" i="28" a="1"/>
  <c r="Z35" i="28" s="1"/>
  <c r="AN27" i="28" a="1"/>
  <c r="AN27" i="28" s="1"/>
  <c r="W34" i="28"/>
  <c r="X34" i="28"/>
  <c r="R8" i="28"/>
  <c r="O13" i="28"/>
  <c r="C44" i="28"/>
  <c r="U35" i="28"/>
  <c r="U20" i="28"/>
  <c r="C56" i="28"/>
  <c r="BE107" i="28"/>
  <c r="AY168" i="28" s="1"/>
  <c r="BD107" i="28"/>
  <c r="AZ168" i="28" s="1"/>
  <c r="X46" i="28"/>
  <c r="W46" i="28"/>
  <c r="M21" i="28"/>
  <c r="M23" i="28" s="1"/>
  <c r="M16" i="28" s="1"/>
  <c r="O16" i="28" s="1"/>
  <c r="O9" i="28"/>
  <c r="BE115" i="28"/>
  <c r="AY170" i="28" s="1"/>
  <c r="BD115" i="28"/>
  <c r="AZ170" i="28" s="1"/>
  <c r="C10" i="24"/>
  <c r="C11" i="24"/>
  <c r="C13" i="24"/>
  <c r="C6" i="24"/>
  <c r="C9" i="24"/>
  <c r="C12" i="24"/>
  <c r="C14" i="24"/>
  <c r="C15" i="24"/>
  <c r="C16" i="24"/>
  <c r="C17" i="24"/>
  <c r="I2" i="26"/>
  <c r="K2" i="26" s="1"/>
  <c r="J2" i="26" s="1"/>
  <c r="K3" i="26"/>
  <c r="K4" i="26"/>
  <c r="C4" i="27" s="1"/>
  <c r="AF4" i="26"/>
  <c r="AE4" i="26" s="1"/>
  <c r="AC4" i="26"/>
  <c r="AB4" i="26" s="1"/>
  <c r="AC3" i="26"/>
  <c r="AB3" i="26" s="1"/>
  <c r="AF3" i="26"/>
  <c r="AE3" i="26" s="1"/>
  <c r="W3" i="26"/>
  <c r="V3" i="26" s="1"/>
  <c r="Z3" i="26"/>
  <c r="Y3" i="26" s="1"/>
  <c r="W4" i="26"/>
  <c r="V4" i="26" s="1"/>
  <c r="Z4" i="26"/>
  <c r="Y4" i="26" s="1"/>
  <c r="T3" i="26"/>
  <c r="S3" i="26" s="1"/>
  <c r="Q4" i="26"/>
  <c r="P4" i="26" s="1"/>
  <c r="Q3" i="26"/>
  <c r="P3" i="26" s="1"/>
  <c r="T4" i="26"/>
  <c r="S4" i="26" s="1"/>
  <c r="AF3" i="5"/>
  <c r="N2" i="26"/>
  <c r="M2" i="26" s="1"/>
  <c r="N4" i="26"/>
  <c r="M4" i="26" s="1"/>
  <c r="N3" i="26"/>
  <c r="M3" i="26" s="1"/>
  <c r="E8" i="27"/>
  <c r="F8" i="27"/>
  <c r="B44" i="24"/>
  <c r="I13" i="23"/>
  <c r="I27" i="23"/>
  <c r="I37" i="23"/>
  <c r="I14" i="23"/>
  <c r="I28" i="23"/>
  <c r="I38" i="23"/>
  <c r="I15" i="23"/>
  <c r="I29" i="23"/>
  <c r="I39" i="23"/>
  <c r="I16" i="23"/>
  <c r="I30" i="23"/>
  <c r="I40" i="23"/>
  <c r="I17" i="23"/>
  <c r="I31" i="23"/>
  <c r="I41" i="23"/>
  <c r="I18" i="23"/>
  <c r="I19" i="23"/>
  <c r="H33" i="23"/>
  <c r="H43" i="23"/>
  <c r="I20" i="23"/>
  <c r="I21" i="23"/>
  <c r="I22" i="23"/>
  <c r="H23" i="23"/>
  <c r="H8" i="23"/>
  <c r="I6" i="23"/>
  <c r="I5" i="23"/>
  <c r="I4" i="23"/>
  <c r="I3" i="23"/>
  <c r="B46" i="23"/>
  <c r="C46" i="23"/>
  <c r="B47" i="23"/>
  <c r="C47" i="23"/>
  <c r="B48" i="23"/>
  <c r="C48" i="23"/>
  <c r="B49" i="23"/>
  <c r="C49" i="23"/>
  <c r="B50" i="23"/>
  <c r="C50" i="23"/>
  <c r="B51" i="23"/>
  <c r="C51" i="23"/>
  <c r="B52" i="23"/>
  <c r="C52" i="23"/>
  <c r="A56" i="23"/>
  <c r="B26" i="23"/>
  <c r="C26" i="23"/>
  <c r="D26" i="23"/>
  <c r="B27" i="23"/>
  <c r="C27" i="23"/>
  <c r="D27" i="23"/>
  <c r="B28" i="23"/>
  <c r="C28" i="23"/>
  <c r="D28" i="23"/>
  <c r="B29" i="23"/>
  <c r="C29" i="23"/>
  <c r="D29" i="23"/>
  <c r="B30" i="23"/>
  <c r="C30" i="23"/>
  <c r="D30" i="23"/>
  <c r="B31" i="23"/>
  <c r="C31" i="23"/>
  <c r="D31" i="23"/>
  <c r="B32" i="23"/>
  <c r="C32" i="23"/>
  <c r="D32" i="23"/>
  <c r="B33" i="23"/>
  <c r="C33" i="23"/>
  <c r="D33" i="23"/>
  <c r="B34" i="23"/>
  <c r="C34" i="23"/>
  <c r="D34" i="23"/>
  <c r="B35" i="23"/>
  <c r="C35" i="23"/>
  <c r="D35" i="23"/>
  <c r="B36" i="23"/>
  <c r="C36" i="23"/>
  <c r="D36" i="23"/>
  <c r="B37" i="23"/>
  <c r="C37" i="23"/>
  <c r="D37" i="23"/>
  <c r="A38" i="23"/>
  <c r="A18" i="23"/>
  <c r="D5" i="23"/>
  <c r="C5" i="23"/>
  <c r="C5" i="24" s="1"/>
  <c r="B5" i="23"/>
  <c r="D4" i="23"/>
  <c r="C4" i="23"/>
  <c r="C4" i="24" s="1"/>
  <c r="B4" i="23"/>
  <c r="D3" i="23"/>
  <c r="C3" i="23"/>
  <c r="C3" i="24" s="1"/>
  <c r="B3" i="23"/>
  <c r="A95" i="23"/>
  <c r="B95" i="23"/>
  <c r="C95" i="23"/>
  <c r="D95" i="23"/>
  <c r="E95" i="23"/>
  <c r="A112" i="23"/>
  <c r="B112" i="23"/>
  <c r="C112" i="23"/>
  <c r="D112" i="23"/>
  <c r="E112" i="23"/>
  <c r="A123" i="23"/>
  <c r="B123" i="23"/>
  <c r="C123" i="23"/>
  <c r="D123" i="23"/>
  <c r="A132" i="23"/>
  <c r="B132" i="23"/>
  <c r="A146" i="23"/>
  <c r="B146" i="23"/>
  <c r="A158" i="23"/>
  <c r="B158" i="23"/>
  <c r="A169" i="23"/>
  <c r="B169" i="23"/>
  <c r="BD3" i="28" l="1"/>
  <c r="U46" i="28"/>
  <c r="U56" i="28" s="1"/>
  <c r="O17" i="28"/>
  <c r="L18" i="28"/>
  <c r="K18" i="28"/>
  <c r="U34" i="28"/>
  <c r="I18" i="28"/>
  <c r="O10" i="28"/>
  <c r="AY179" i="28"/>
  <c r="AY7" i="28"/>
  <c r="AY67" i="28"/>
  <c r="AY83" i="28"/>
  <c r="AZ19" i="28"/>
  <c r="AG67" i="28"/>
  <c r="R33" i="28"/>
  <c r="R42" i="28" s="1"/>
  <c r="AZ27" i="28"/>
  <c r="AZ11" i="28"/>
  <c r="AZ47" i="28"/>
  <c r="AY55" i="28"/>
  <c r="AZ31" i="28"/>
  <c r="AY136" i="28"/>
  <c r="AY75" i="28"/>
  <c r="AY63" i="28"/>
  <c r="AY95" i="28"/>
  <c r="AZ39" i="28"/>
  <c r="AY91" i="28"/>
  <c r="AY35" i="28"/>
  <c r="AZ136" i="28"/>
  <c r="AY59" i="28"/>
  <c r="AY87" i="28"/>
  <c r="AZ23" i="28"/>
  <c r="AZ43" i="28"/>
  <c r="AY79" i="28"/>
  <c r="AZ15" i="28"/>
  <c r="AY99" i="28"/>
  <c r="AZ51" i="28"/>
  <c r="O11" i="28"/>
  <c r="J18" i="28"/>
  <c r="N18" i="28"/>
  <c r="U44" i="28"/>
  <c r="U57" i="28"/>
  <c r="U66" i="28" s="1"/>
  <c r="M18" i="28"/>
  <c r="U30" i="28"/>
  <c r="U31" i="28"/>
  <c r="AZ143" i="28"/>
  <c r="AY143" i="28"/>
  <c r="C57" i="28"/>
  <c r="C67" i="28" s="1"/>
  <c r="J4" i="26"/>
  <c r="J3" i="26"/>
  <c r="C3" i="27"/>
  <c r="G8" i="27"/>
  <c r="C38" i="24"/>
  <c r="C37" i="24"/>
  <c r="C36" i="24"/>
  <c r="C35" i="24"/>
  <c r="C33" i="24"/>
  <c r="C32" i="24"/>
  <c r="C34" i="24"/>
  <c r="C24" i="24"/>
  <c r="C22" i="24"/>
  <c r="C27" i="24"/>
  <c r="C23" i="24"/>
  <c r="C21" i="24"/>
  <c r="C29" i="24"/>
  <c r="C28" i="24"/>
  <c r="C26" i="24"/>
  <c r="C20" i="24"/>
  <c r="C19" i="24"/>
  <c r="C30" i="24"/>
  <c r="C25" i="24"/>
  <c r="O18" i="28" l="1"/>
  <c r="R11" i="28"/>
  <c r="BD75" i="28"/>
  <c r="AZ159" i="28" s="1"/>
  <c r="BE75" i="28"/>
  <c r="AY159" i="28" s="1"/>
  <c r="BD79" i="28"/>
  <c r="AZ160" i="28" s="1"/>
  <c r="BE79" i="28"/>
  <c r="AY160" i="28" s="1"/>
  <c r="BE11" i="28"/>
  <c r="AY138" i="28" s="1"/>
  <c r="BD11" i="28"/>
  <c r="AZ138" i="28" s="1"/>
  <c r="BE51" i="28"/>
  <c r="AY152" i="28" s="1"/>
  <c r="BD51" i="28"/>
  <c r="AZ152" i="28" s="1"/>
  <c r="BE47" i="28"/>
  <c r="AY151" i="28" s="1"/>
  <c r="BD47" i="28"/>
  <c r="AZ151" i="28" s="1"/>
  <c r="BE23" i="28"/>
  <c r="AY147" i="28" s="1"/>
  <c r="BD23" i="28"/>
  <c r="AZ147" i="28" s="1"/>
  <c r="BE67" i="28"/>
  <c r="AY157" i="28" s="1"/>
  <c r="BD67" i="28"/>
  <c r="AZ157" i="28" s="1"/>
  <c r="BE55" i="28"/>
  <c r="AY154" i="28" s="1"/>
  <c r="BD55" i="28"/>
  <c r="AZ154" i="28" s="1"/>
  <c r="BH135" i="28"/>
  <c r="BE7" i="28"/>
  <c r="BD7" i="28"/>
  <c r="BE59" i="28"/>
  <c r="AY155" i="28" s="1"/>
  <c r="BD59" i="28"/>
  <c r="AZ155" i="28" s="1"/>
  <c r="BD83" i="28"/>
  <c r="AZ161" i="28" s="1"/>
  <c r="BE83" i="28"/>
  <c r="AY161" i="28" s="1"/>
  <c r="BH138" i="28"/>
  <c r="AZ183" i="28"/>
  <c r="AY183" i="28"/>
  <c r="BE99" i="28"/>
  <c r="AY165" i="28" s="1"/>
  <c r="BD99" i="28"/>
  <c r="AZ165" i="28" s="1"/>
  <c r="BI135" i="28"/>
  <c r="BD15" i="28"/>
  <c r="AZ145" i="28" s="1"/>
  <c r="BE15" i="28"/>
  <c r="AY145" i="28" s="1"/>
  <c r="BE43" i="28"/>
  <c r="AY150" i="28" s="1"/>
  <c r="BD43" i="28"/>
  <c r="AZ150" i="28" s="1"/>
  <c r="BD87" i="28"/>
  <c r="AZ162" i="28" s="1"/>
  <c r="BE87" i="28"/>
  <c r="AY162" i="28" s="1"/>
  <c r="BE91" i="28"/>
  <c r="AY163" i="28" s="1"/>
  <c r="BD91" i="28"/>
  <c r="AZ163" i="28" s="1"/>
  <c r="BE95" i="28"/>
  <c r="AY164" i="28" s="1"/>
  <c r="BD95" i="28"/>
  <c r="AZ164" i="28" s="1"/>
  <c r="BD31" i="28"/>
  <c r="AZ149" i="28" s="1"/>
  <c r="BE31" i="28"/>
  <c r="AY149" i="28" s="1"/>
  <c r="BD27" i="28"/>
  <c r="AZ148" i="28" s="1"/>
  <c r="BE27" i="28"/>
  <c r="AY148" i="28" s="1"/>
  <c r="BD19" i="28"/>
  <c r="AZ146" i="28" s="1"/>
  <c r="BE19" i="28"/>
  <c r="AY146" i="28" s="1"/>
  <c r="R20" i="28" s="1"/>
  <c r="BE35" i="28"/>
  <c r="AY140" i="28" s="1"/>
  <c r="R14" i="28" s="1"/>
  <c r="BD35" i="28"/>
  <c r="BD39" i="28"/>
  <c r="BE39" i="28"/>
  <c r="AY141" i="28" s="1"/>
  <c r="R15" i="28" s="1"/>
  <c r="BE63" i="28"/>
  <c r="AY156" i="28" s="1"/>
  <c r="BD63" i="28"/>
  <c r="AZ156" i="28" s="1"/>
  <c r="R17" i="28"/>
  <c r="K34" i="5"/>
  <c r="K28" i="5"/>
  <c r="K22" i="5"/>
  <c r="K12" i="5"/>
  <c r="K35" i="5" s="1"/>
  <c r="R19" i="28" l="1"/>
  <c r="R22" i="28"/>
  <c r="R21" i="28"/>
  <c r="R13" i="28"/>
  <c r="R27" i="28"/>
  <c r="R28" i="28"/>
  <c r="R23" i="28"/>
  <c r="AZ144" i="28"/>
  <c r="AY174" i="28" s="1"/>
  <c r="BH136" i="28"/>
  <c r="R25" i="28"/>
  <c r="R24" i="28"/>
  <c r="BI136" i="28"/>
  <c r="R26" i="28"/>
  <c r="BH137" i="28"/>
  <c r="AZ174" i="28"/>
  <c r="U33" i="16"/>
  <c r="AE33" i="15"/>
  <c r="AO33" i="14"/>
  <c r="AY33" i="13"/>
  <c r="BE33" i="12"/>
  <c r="BJ33" i="5"/>
  <c r="U33" i="20"/>
  <c r="E47" i="3" a="1"/>
  <c r="E47" i="3" s="1"/>
  <c r="D47" i="3" a="1"/>
  <c r="D47" i="3" s="1"/>
  <c r="C47" i="3" a="1"/>
  <c r="C47" i="3" s="1"/>
  <c r="E24" i="3" a="1"/>
  <c r="E24" i="3" s="1"/>
  <c r="D24" i="3" a="1"/>
  <c r="D24" i="3" s="1"/>
  <c r="C24" i="3" a="1"/>
  <c r="C24" i="3" s="1"/>
  <c r="C61" i="3" a="1"/>
  <c r="C61" i="3" s="1"/>
  <c r="A10" i="3"/>
  <c r="F10" i="3" s="1" a="1"/>
  <c r="F10" i="3" s="1"/>
  <c r="G6" i="3"/>
  <c r="G5" i="3"/>
  <c r="G4" i="3"/>
  <c r="G3" i="3"/>
  <c r="E5" i="3"/>
  <c r="E4" i="3"/>
  <c r="E3" i="3"/>
  <c r="C5" i="3"/>
  <c r="C4" i="3"/>
  <c r="C3" i="3"/>
  <c r="BH140" i="28" l="1"/>
  <c r="R18" i="28"/>
  <c r="R29" i="28" s="1"/>
  <c r="R56" i="28" s="1"/>
  <c r="R58" i="28" s="1"/>
  <c r="BI137" i="28"/>
  <c r="BI140" i="28" s="1"/>
  <c r="AY193" i="28"/>
  <c r="AY195" i="28" s="1"/>
  <c r="C10" i="3" a="1"/>
  <c r="C10" i="3" s="1"/>
  <c r="BK8" i="5" a="1"/>
  <c r="BK8" i="5" s="1"/>
  <c r="BL6" i="5"/>
  <c r="BL8" i="5" s="1" a="1"/>
  <c r="BL8" i="5" s="1"/>
  <c r="BL1" i="5"/>
  <c r="A134" i="8"/>
  <c r="A130" i="8"/>
  <c r="A126" i="8"/>
  <c r="A122" i="8"/>
  <c r="A118" i="8"/>
  <c r="A114" i="8"/>
  <c r="A110" i="8"/>
  <c r="A105" i="8"/>
  <c r="A101" i="8"/>
  <c r="A97" i="8"/>
  <c r="A93" i="8"/>
  <c r="A89" i="8"/>
  <c r="A85" i="8"/>
  <c r="A81" i="8"/>
  <c r="A77" i="8"/>
  <c r="A73" i="8"/>
  <c r="A69" i="8"/>
  <c r="A65" i="8"/>
  <c r="A61" i="8"/>
  <c r="A56" i="8"/>
  <c r="A52" i="8"/>
  <c r="A48" i="8"/>
  <c r="A44" i="8"/>
  <c r="A40" i="8"/>
  <c r="A36" i="8"/>
  <c r="A32" i="8"/>
  <c r="A28" i="8"/>
  <c r="A24" i="8"/>
  <c r="A20" i="8"/>
  <c r="A16" i="8"/>
  <c r="A12" i="8"/>
  <c r="A8" i="8"/>
  <c r="A4" i="8"/>
  <c r="R6" i="21" a="1"/>
  <c r="R6" i="21" s="1"/>
  <c r="Q6" i="21" a="1"/>
  <c r="Q6" i="21" s="1"/>
  <c r="P6" i="21" a="1"/>
  <c r="P6" i="21" s="1"/>
  <c r="O6" i="21" a="1"/>
  <c r="O6" i="21" s="1"/>
  <c r="N6" i="21" a="1"/>
  <c r="N6" i="21" s="1"/>
  <c r="I4" i="21" a="1"/>
  <c r="I4" i="21" s="1"/>
  <c r="L146" i="8"/>
  <c r="G146" i="8"/>
  <c r="AA1" i="8"/>
  <c r="L4" i="21" a="1"/>
  <c r="L4" i="21" s="1"/>
  <c r="K4" i="21" a="1"/>
  <c r="K4" i="21" s="1"/>
  <c r="J4" i="21" a="1"/>
  <c r="J4" i="21" s="1"/>
  <c r="BJ2" i="28" l="1"/>
  <c r="BM8" i="5" a="1"/>
  <c r="BM8" i="5" s="1"/>
  <c r="BN8" i="5" a="1"/>
  <c r="BN8" i="5" s="1"/>
  <c r="AH6" i="13"/>
  <c r="X7" i="14"/>
  <c r="X8" i="14"/>
  <c r="AH7" i="13"/>
  <c r="U3" i="13"/>
  <c r="K146" i="8"/>
  <c r="BE46" i="5"/>
  <c r="BB46" i="5"/>
  <c r="BE13" i="5"/>
  <c r="BD13" i="5"/>
  <c r="BC13" i="5"/>
  <c r="BB13" i="5"/>
  <c r="BE12" i="5"/>
  <c r="BD12" i="5"/>
  <c r="BC12" i="5"/>
  <c r="BB12" i="5"/>
  <c r="BE11" i="5"/>
  <c r="BD11" i="5"/>
  <c r="BC11" i="5"/>
  <c r="BB11" i="5"/>
  <c r="BE10" i="5"/>
  <c r="BD10" i="5"/>
  <c r="BC10" i="5"/>
  <c r="BB10" i="5"/>
  <c r="BE9" i="5"/>
  <c r="BD9" i="5"/>
  <c r="BC9" i="5"/>
  <c r="BB9" i="5"/>
  <c r="BE8" i="5"/>
  <c r="BD8" i="5"/>
  <c r="BC8" i="5"/>
  <c r="BB8" i="5"/>
  <c r="BE7" i="5"/>
  <c r="BD7" i="5"/>
  <c r="BC7" i="5"/>
  <c r="BB14" i="5"/>
  <c r="BB7" i="5"/>
  <c r="AZ8" i="12"/>
  <c r="AZ9" i="12"/>
  <c r="AZ10" i="12"/>
  <c r="AZ11" i="12"/>
  <c r="AZ12" i="12"/>
  <c r="AZ13" i="12"/>
  <c r="AZ7" i="12"/>
  <c r="AY13" i="12"/>
  <c r="AX13" i="12"/>
  <c r="AW13" i="12"/>
  <c r="AY12" i="12"/>
  <c r="AX12" i="12"/>
  <c r="AW12" i="12"/>
  <c r="AY11" i="12"/>
  <c r="AX11" i="12"/>
  <c r="AW11" i="12"/>
  <c r="AY10" i="12"/>
  <c r="AX10" i="12"/>
  <c r="AW10" i="12"/>
  <c r="AY9" i="12"/>
  <c r="AX9" i="12"/>
  <c r="AW9" i="12"/>
  <c r="AY8" i="12"/>
  <c r="AX8" i="12"/>
  <c r="AW8" i="12"/>
  <c r="AY7" i="12"/>
  <c r="AX7" i="12"/>
  <c r="AW7" i="12"/>
  <c r="AW14" i="12"/>
  <c r="AT13" i="13"/>
  <c r="AT12" i="13"/>
  <c r="AT11" i="13"/>
  <c r="AT10" i="13"/>
  <c r="AT9" i="13"/>
  <c r="AT8" i="13"/>
  <c r="AT7" i="13"/>
  <c r="AS7" i="13"/>
  <c r="AS8" i="13"/>
  <c r="AS9" i="13"/>
  <c r="AS10" i="13"/>
  <c r="AS11" i="13"/>
  <c r="AS12" i="13"/>
  <c r="AS13" i="13"/>
  <c r="AT47" i="13"/>
  <c r="AQ47" i="13"/>
  <c r="AR7" i="13"/>
  <c r="AR8" i="13"/>
  <c r="AR9" i="13"/>
  <c r="AR10" i="13"/>
  <c r="AR11" i="13"/>
  <c r="AR12" i="13"/>
  <c r="AR13" i="13"/>
  <c r="AQ7" i="13"/>
  <c r="AQ8" i="13"/>
  <c r="AQ9" i="13"/>
  <c r="AQ10" i="13"/>
  <c r="AQ11" i="13"/>
  <c r="AQ12" i="13"/>
  <c r="AQ13" i="13"/>
  <c r="AX2" i="13"/>
  <c r="AX3" i="13"/>
  <c r="AX4" i="13"/>
  <c r="AJ13" i="14"/>
  <c r="AI13" i="14"/>
  <c r="AJ12" i="14"/>
  <c r="AI12" i="14"/>
  <c r="AJ11" i="14"/>
  <c r="AI11" i="14"/>
  <c r="AJ10" i="14"/>
  <c r="AI10" i="14"/>
  <c r="AJ9" i="14"/>
  <c r="AI9" i="14"/>
  <c r="AJ8" i="14"/>
  <c r="AI8" i="14"/>
  <c r="AJ7" i="14"/>
  <c r="AI7" i="14"/>
  <c r="AH13" i="14"/>
  <c r="AH12" i="14"/>
  <c r="AH11" i="14"/>
  <c r="AH10" i="14"/>
  <c r="AH9" i="14"/>
  <c r="AH8" i="14"/>
  <c r="AH7" i="14"/>
  <c r="AG13" i="14"/>
  <c r="AG12" i="14"/>
  <c r="AG11" i="14"/>
  <c r="AG10" i="14"/>
  <c r="AG9" i="14"/>
  <c r="AG8" i="14"/>
  <c r="AG7" i="14"/>
  <c r="Y13" i="15"/>
  <c r="X13" i="15"/>
  <c r="Y12" i="15"/>
  <c r="X12" i="15"/>
  <c r="Y11" i="15"/>
  <c r="X11" i="15"/>
  <c r="Y10" i="15"/>
  <c r="X10" i="15"/>
  <c r="Y9" i="15"/>
  <c r="X9" i="15"/>
  <c r="Y8" i="15"/>
  <c r="X8" i="15"/>
  <c r="Y7" i="15"/>
  <c r="X7" i="15"/>
  <c r="Z47" i="15"/>
  <c r="W47" i="15"/>
  <c r="Z8" i="15"/>
  <c r="Z9" i="15"/>
  <c r="Z10" i="15"/>
  <c r="Z11" i="15"/>
  <c r="Z12" i="15"/>
  <c r="Z13" i="15"/>
  <c r="Z7" i="15"/>
  <c r="W8" i="15"/>
  <c r="W9" i="15"/>
  <c r="W10" i="15"/>
  <c r="W11" i="15"/>
  <c r="W12" i="15"/>
  <c r="W13" i="15"/>
  <c r="W14" i="15"/>
  <c r="W7" i="15"/>
  <c r="B22" i="22" a="1"/>
  <c r="B22" i="22" s="1"/>
  <c r="D22" i="22" s="1"/>
  <c r="B10" i="22" a="1"/>
  <c r="B10" i="22" s="1"/>
  <c r="D10" i="22" s="1"/>
  <c r="B29" i="22" a="1"/>
  <c r="B29" i="22" s="1"/>
  <c r="D29" i="22" s="1"/>
  <c r="B4" i="22" a="1"/>
  <c r="B4" i="22" s="1"/>
  <c r="D4" i="22" s="1"/>
  <c r="AH5" i="13" l="1"/>
  <c r="AH4" i="13"/>
  <c r="X5" i="14"/>
  <c r="X6" i="14"/>
  <c r="X4" i="14"/>
  <c r="AH3" i="13" a="1"/>
  <c r="AH3" i="13" s="1"/>
  <c r="P186" i="8"/>
  <c r="D15" i="22"/>
  <c r="D12" i="22"/>
  <c r="D6" i="22"/>
  <c r="D11" i="22"/>
  <c r="D26" i="22"/>
  <c r="D25" i="22"/>
  <c r="D13" i="22"/>
  <c r="D24" i="22"/>
  <c r="D18" i="22"/>
  <c r="D23" i="22"/>
  <c r="D19" i="22"/>
  <c r="D7" i="22"/>
  <c r="D16" i="22"/>
  <c r="D33" i="22"/>
  <c r="D32" i="22"/>
  <c r="D5" i="22"/>
  <c r="D14" i="22"/>
  <c r="D31" i="22"/>
  <c r="D17" i="22"/>
  <c r="D30" i="22"/>
  <c r="F146" i="8" l="1"/>
  <c r="P185" i="8" s="1"/>
  <c r="S177" i="8"/>
  <c r="S165" i="8"/>
  <c r="S151" i="8"/>
  <c r="S166" i="8" l="1"/>
  <c r="S178" i="8"/>
  <c r="S152" i="8"/>
  <c r="S179" i="8" l="1"/>
  <c r="S180" i="8" s="1"/>
  <c r="S167" i="8"/>
  <c r="S153" i="8"/>
  <c r="S168" i="8" l="1"/>
  <c r="S181" i="8"/>
  <c r="S154" i="8"/>
  <c r="S182" i="8" l="1"/>
  <c r="S169" i="8"/>
  <c r="S155" i="8"/>
  <c r="S170" i="8" l="1"/>
  <c r="S156" i="8"/>
  <c r="S171" i="8" l="1"/>
  <c r="S157" i="8"/>
  <c r="S172" i="8" l="1"/>
  <c r="S158" i="8"/>
  <c r="S173" i="8" l="1"/>
  <c r="S159" i="8"/>
  <c r="S174" i="8" l="1"/>
  <c r="S160" i="8"/>
  <c r="S175" i="8" l="1"/>
  <c r="S161" i="8"/>
  <c r="S162" i="8" l="1"/>
  <c r="S163" i="8" l="1"/>
  <c r="X134" i="8"/>
  <c r="X56" i="8"/>
  <c r="X52" i="8"/>
  <c r="W48" i="8"/>
  <c r="AD10" i="12" a="1"/>
  <c r="AD10" i="12" s="1"/>
  <c r="AC10" i="12" a="1"/>
  <c r="AC10" i="12" s="1"/>
  <c r="AB10" i="12" a="1"/>
  <c r="AB10" i="12" s="1"/>
  <c r="AA10" i="12" a="1"/>
  <c r="AA10" i="12" s="1"/>
  <c r="AI9" i="5" a="1"/>
  <c r="AI9" i="5" s="1"/>
  <c r="AH9" i="5" a="1"/>
  <c r="AH9" i="5" s="1"/>
  <c r="AG9" i="5" a="1"/>
  <c r="AG9" i="5" s="1"/>
  <c r="AF9" i="5" a="1"/>
  <c r="AF9" i="5" s="1"/>
  <c r="W10" i="13" a="1"/>
  <c r="W10" i="13" s="1"/>
  <c r="V10" i="13" a="1"/>
  <c r="V10" i="13" s="1"/>
  <c r="U10" i="13" a="1"/>
  <c r="U10" i="13" s="1"/>
  <c r="X10" i="13" a="1"/>
  <c r="X10" i="13" s="1"/>
  <c r="AO6" i="5"/>
  <c r="AN8" i="5" a="1"/>
  <c r="AN8" i="5" s="1"/>
  <c r="AQ8" i="5" a="1"/>
  <c r="AQ8" i="5" s="1"/>
  <c r="AW12" i="5" a="1"/>
  <c r="AW12" i="5" s="1"/>
  <c r="AV10" i="5" a="1"/>
  <c r="AV10" i="5" s="1"/>
  <c r="AU10" i="5" a="1"/>
  <c r="AU10" i="5" s="1"/>
  <c r="AT10" i="5" a="1"/>
  <c r="AT10" i="5" s="1"/>
  <c r="AS10" i="5" a="1"/>
  <c r="AS10" i="5" s="1"/>
  <c r="AN10" i="12" a="1"/>
  <c r="AN10" i="12" s="1"/>
  <c r="AR12" i="12" a="1"/>
  <c r="AR12" i="12" s="1"/>
  <c r="AQ10" i="12" a="1"/>
  <c r="AQ10" i="12" s="1"/>
  <c r="AP10" i="12" a="1"/>
  <c r="AP10" i="12" s="1"/>
  <c r="AO10" i="12" a="1"/>
  <c r="AO10" i="12" s="1"/>
  <c r="AK10" i="13" a="1"/>
  <c r="AK10" i="13" s="1"/>
  <c r="AJ10" i="13" a="1"/>
  <c r="AJ10" i="13" s="1"/>
  <c r="AI10" i="13" a="1"/>
  <c r="AI10" i="13" s="1"/>
  <c r="AH10" i="13" a="1"/>
  <c r="AH10" i="13" s="1"/>
  <c r="AL12" i="13" a="1"/>
  <c r="AL12" i="13" s="1"/>
  <c r="AB11" i="14" a="1"/>
  <c r="AB11" i="14" s="1"/>
  <c r="AA11" i="14" a="1"/>
  <c r="AA11" i="14" s="1"/>
  <c r="Z11" i="14" a="1"/>
  <c r="Z11" i="14" s="1"/>
  <c r="Y11" i="14" a="1"/>
  <c r="Y11" i="14" s="1"/>
  <c r="X11" i="14" a="1"/>
  <c r="X11" i="14" s="1"/>
  <c r="G8" i="1"/>
  <c r="F8" i="1"/>
  <c r="W130" i="8"/>
  <c r="X118" i="8"/>
  <c r="X114" i="8"/>
  <c r="X61" i="8"/>
  <c r="X85" i="8"/>
  <c r="X81" i="8"/>
  <c r="X77" i="8"/>
  <c r="X40" i="8"/>
  <c r="X24" i="8"/>
  <c r="X20" i="8"/>
  <c r="W12" i="8"/>
  <c r="O134" i="8" l="1"/>
  <c r="W134" i="8"/>
  <c r="O56" i="8"/>
  <c r="W56" i="8"/>
  <c r="O52" i="8"/>
  <c r="W52" i="8"/>
  <c r="O48" i="8"/>
  <c r="X48" i="8"/>
  <c r="W89" i="8"/>
  <c r="X89" i="8"/>
  <c r="W93" i="8"/>
  <c r="X130" i="8"/>
  <c r="W122" i="8"/>
  <c r="X4" i="8"/>
  <c r="X12" i="8"/>
  <c r="W4" i="8"/>
  <c r="W8" i="8"/>
  <c r="X8" i="8"/>
  <c r="X93" i="8"/>
  <c r="W16" i="8"/>
  <c r="W65" i="8"/>
  <c r="X65" i="8"/>
  <c r="X69" i="8"/>
  <c r="W73" i="8"/>
  <c r="W61" i="8"/>
  <c r="W69" i="8"/>
  <c r="X73" i="8"/>
  <c r="W77" i="8"/>
  <c r="W81" i="8"/>
  <c r="W85" i="8"/>
  <c r="X122" i="8"/>
  <c r="W126" i="8"/>
  <c r="W28" i="8"/>
  <c r="W97" i="8"/>
  <c r="X28" i="8"/>
  <c r="X97" i="8"/>
  <c r="W32" i="8"/>
  <c r="W101" i="8"/>
  <c r="W24" i="8"/>
  <c r="X32" i="8"/>
  <c r="X101" i="8"/>
  <c r="X126" i="8"/>
  <c r="W36" i="8"/>
  <c r="W105" i="8"/>
  <c r="X16" i="8"/>
  <c r="X36" i="8"/>
  <c r="X105" i="8"/>
  <c r="W44" i="8"/>
  <c r="W110" i="8"/>
  <c r="X44" i="8"/>
  <c r="X110" i="8"/>
  <c r="W114" i="8"/>
  <c r="W20" i="8"/>
  <c r="W40" i="8"/>
  <c r="W118" i="8"/>
  <c r="S40" i="17"/>
  <c r="S38" i="17"/>
  <c r="T38" i="17" s="1" a="1"/>
  <c r="T38" i="17" s="1"/>
  <c r="R40" i="17"/>
  <c r="R38" i="17"/>
  <c r="R36" i="17"/>
  <c r="R35" i="17"/>
  <c r="R34" i="17"/>
  <c r="R33" i="17"/>
  <c r="R32" i="17"/>
  <c r="R31" i="17"/>
  <c r="S31" i="17"/>
  <c r="S32" i="17"/>
  <c r="T32" i="17" s="1" a="1"/>
  <c r="T32" i="17" s="1"/>
  <c r="S33" i="17"/>
  <c r="T33" i="17" s="1" a="1"/>
  <c r="T33" i="17" s="1"/>
  <c r="S34" i="17"/>
  <c r="T34" i="17" s="1" a="1"/>
  <c r="T34" i="17" s="1"/>
  <c r="S35" i="17"/>
  <c r="T35" i="17" s="1" a="1"/>
  <c r="T35" i="17" s="1"/>
  <c r="S36" i="17"/>
  <c r="T36" i="17" s="1" a="1"/>
  <c r="T36" i="17" s="1"/>
  <c r="E35" i="18" a="1"/>
  <c r="E35" i="18" s="1"/>
  <c r="D35" i="18" a="1"/>
  <c r="D35" i="18" s="1"/>
  <c r="C35" i="18" a="1"/>
  <c r="C35" i="18" s="1"/>
  <c r="B35" i="18" a="1"/>
  <c r="B35" i="18" s="1"/>
  <c r="C34" i="18"/>
  <c r="C28" i="18"/>
  <c r="E9" i="18" a="1"/>
  <c r="E9" i="18" s="1"/>
  <c r="D9" i="18" a="1"/>
  <c r="D9" i="18" s="1"/>
  <c r="C9" i="18" a="1"/>
  <c r="C9" i="18" s="1"/>
  <c r="B9" i="18" a="1"/>
  <c r="B9" i="18" s="1"/>
  <c r="C1" i="18"/>
  <c r="C7" i="18"/>
  <c r="F33" i="20"/>
  <c r="F27" i="20"/>
  <c r="F19" i="20"/>
  <c r="F18" i="20"/>
  <c r="F10" i="20"/>
  <c r="F9" i="20"/>
  <c r="G95" i="17"/>
  <c r="G94" i="17"/>
  <c r="G93" i="17"/>
  <c r="G92" i="17"/>
  <c r="G91" i="17"/>
  <c r="G90" i="17"/>
  <c r="G89" i="17"/>
  <c r="G38" i="17"/>
  <c r="G32" i="17"/>
  <c r="G33" i="17"/>
  <c r="G34" i="17"/>
  <c r="G35" i="17"/>
  <c r="G36" i="17"/>
  <c r="B49" i="17" a="1"/>
  <c r="B49" i="17" s="1"/>
  <c r="R162" i="8" a="1"/>
  <c r="R163" i="8" a="1"/>
  <c r="R161" i="8" a="1"/>
  <c r="R161" i="8" l="1"/>
  <c r="R162" i="8"/>
  <c r="R163" i="8"/>
  <c r="R134" i="8"/>
  <c r="R56" i="8"/>
  <c r="R52" i="8"/>
  <c r="R48" i="8"/>
  <c r="N32" i="17"/>
  <c r="N33" i="17"/>
  <c r="N34" i="17"/>
  <c r="N35" i="17"/>
  <c r="N36" i="17"/>
  <c r="M32" i="17"/>
  <c r="M33" i="17"/>
  <c r="M34" i="17"/>
  <c r="M35" i="17"/>
  <c r="M36" i="17"/>
  <c r="L32" i="17"/>
  <c r="Q32" i="17" s="1" a="1"/>
  <c r="Q32" i="17" s="1"/>
  <c r="L33" i="17"/>
  <c r="Q33" i="17" s="1" a="1"/>
  <c r="Q33" i="17" s="1"/>
  <c r="L34" i="17"/>
  <c r="Q34" i="17" s="1" a="1"/>
  <c r="Q34" i="17" s="1"/>
  <c r="L35" i="17"/>
  <c r="Q35" i="17" s="1" a="1"/>
  <c r="Q35" i="17" s="1"/>
  <c r="L36" i="17"/>
  <c r="Q36" i="17" s="1" a="1"/>
  <c r="Q36" i="17" s="1"/>
  <c r="A62" i="17" a="1"/>
  <c r="A4" i="17" a="1"/>
  <c r="C5" i="2"/>
  <c r="C4" i="2"/>
  <c r="C3" i="2"/>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0" i="1"/>
  <c r="T44" i="15"/>
  <c r="T45" i="15"/>
  <c r="T46" i="15"/>
  <c r="T47" i="15"/>
  <c r="T48" i="15"/>
  <c r="T49" i="15"/>
  <c r="T50" i="15"/>
  <c r="T51" i="15"/>
  <c r="T38" i="15"/>
  <c r="T39" i="15"/>
  <c r="T31" i="15"/>
  <c r="T32" i="15"/>
  <c r="T33" i="15"/>
  <c r="T34" i="15"/>
  <c r="T35" i="15"/>
  <c r="T36" i="15"/>
  <c r="T37" i="15"/>
  <c r="F42" i="20"/>
  <c r="F41" i="20"/>
  <c r="F40" i="20"/>
  <c r="F39" i="20"/>
  <c r="F21" i="20"/>
  <c r="F20" i="20"/>
  <c r="F11" i="20"/>
  <c r="AY190" i="20"/>
  <c r="AY189" i="20"/>
  <c r="AY188" i="20"/>
  <c r="AZ187" i="20"/>
  <c r="AY187" i="20"/>
  <c r="AY186" i="20"/>
  <c r="AZ180" i="20"/>
  <c r="AY180" i="20"/>
  <c r="AZ178" i="20"/>
  <c r="AY178" i="20"/>
  <c r="AY176" i="20"/>
  <c r="AU127" i="20"/>
  <c r="BH127" i="20" s="1"/>
  <c r="BE123" i="20"/>
  <c r="AY171" i="20" s="1"/>
  <c r="BD123" i="20"/>
  <c r="AZ171" i="20" s="1"/>
  <c r="AU123" i="20"/>
  <c r="AU119" i="20"/>
  <c r="AY119" i="20" s="1"/>
  <c r="AU115" i="20"/>
  <c r="BH115" i="20" s="1"/>
  <c r="AU111" i="20"/>
  <c r="BG111" i="20" s="1"/>
  <c r="AU107" i="20"/>
  <c r="AU103" i="20"/>
  <c r="AU99" i="20"/>
  <c r="BH99" i="20" s="1"/>
  <c r="AU95" i="20"/>
  <c r="BH95" i="20" s="1"/>
  <c r="AU91" i="20"/>
  <c r="BH91" i="20" s="1"/>
  <c r="AU87" i="20"/>
  <c r="BH87" i="20" s="1"/>
  <c r="AU83" i="20"/>
  <c r="BH83" i="20" s="1"/>
  <c r="AU79" i="20"/>
  <c r="BH79" i="20" s="1"/>
  <c r="AU75" i="20"/>
  <c r="BH75" i="20" s="1"/>
  <c r="AU71" i="20"/>
  <c r="BH71" i="20" s="1"/>
  <c r="AU67" i="20"/>
  <c r="BH67" i="20" s="1"/>
  <c r="AU63" i="20"/>
  <c r="BG63" i="20" s="1"/>
  <c r="AU59" i="20"/>
  <c r="BG59" i="20" s="1"/>
  <c r="B59" i="20" a="1"/>
  <c r="B59" i="20" s="1"/>
  <c r="Q58" i="20"/>
  <c r="Q57" i="20"/>
  <c r="AU55" i="20"/>
  <c r="BH55" i="20" s="1"/>
  <c r="T55" i="20"/>
  <c r="X55" i="20" s="1"/>
  <c r="C55" i="20"/>
  <c r="T54" i="20"/>
  <c r="X54" i="20" s="1"/>
  <c r="C54" i="20"/>
  <c r="T53" i="20"/>
  <c r="X53" i="20" s="1"/>
  <c r="R53" i="20" a="1"/>
  <c r="R53" i="20" s="1"/>
  <c r="C53" i="20"/>
  <c r="T52" i="20"/>
  <c r="X52" i="20" s="1"/>
  <c r="C52" i="20"/>
  <c r="AU51" i="20"/>
  <c r="T51" i="20"/>
  <c r="X51" i="20" s="1"/>
  <c r="C51" i="20"/>
  <c r="T50" i="20"/>
  <c r="W50" i="20" s="1"/>
  <c r="R50" i="20"/>
  <c r="C50" i="20"/>
  <c r="R49" i="20"/>
  <c r="R48" i="20"/>
  <c r="AU47" i="20"/>
  <c r="R47" i="20"/>
  <c r="R46" i="20"/>
  <c r="AU43" i="20"/>
  <c r="BH43" i="20" s="1"/>
  <c r="T43" i="20"/>
  <c r="X43" i="20" s="1"/>
  <c r="C43" i="20"/>
  <c r="T42" i="20"/>
  <c r="X42" i="20" s="1"/>
  <c r="C42" i="20"/>
  <c r="R41" i="20" a="1"/>
  <c r="R41" i="20" s="1"/>
  <c r="R40" i="20" a="1"/>
  <c r="R40" i="20" s="1"/>
  <c r="AU39" i="20"/>
  <c r="R36" i="20"/>
  <c r="AU35" i="20"/>
  <c r="BH35" i="20" s="1"/>
  <c r="R35" i="20"/>
  <c r="R34" i="20"/>
  <c r="C33" i="20"/>
  <c r="AU31" i="20"/>
  <c r="E30" i="20" a="1"/>
  <c r="T29" i="20"/>
  <c r="X29" i="20" s="1"/>
  <c r="C29" i="20"/>
  <c r="T28" i="20"/>
  <c r="X28" i="20" s="1"/>
  <c r="C28" i="20"/>
  <c r="AU27" i="20"/>
  <c r="E24" i="20" a="1"/>
  <c r="AU23" i="20"/>
  <c r="M22" i="20"/>
  <c r="AU19" i="20"/>
  <c r="H18" i="20"/>
  <c r="T17" i="20"/>
  <c r="X17" i="20" s="1"/>
  <c r="C17" i="20"/>
  <c r="T16" i="20"/>
  <c r="W16" i="20" s="1"/>
  <c r="C16" i="20"/>
  <c r="AU15" i="20"/>
  <c r="BH15" i="20" s="1"/>
  <c r="E14" i="20" a="1"/>
  <c r="AU11" i="20"/>
  <c r="H9" i="20"/>
  <c r="E8" i="20" a="1"/>
  <c r="E8" i="20" s="1"/>
  <c r="AU7" i="20"/>
  <c r="BH7" i="20" s="1"/>
  <c r="U7" i="20"/>
  <c r="C7" i="20"/>
  <c r="Q5" i="20"/>
  <c r="H5" i="20"/>
  <c r="E5" i="20"/>
  <c r="T4" i="20"/>
  <c r="Q4" i="20"/>
  <c r="H4" i="20"/>
  <c r="E4" i="20"/>
  <c r="B4" i="20"/>
  <c r="AU3" i="20"/>
  <c r="B3" i="20"/>
  <c r="T2" i="20"/>
  <c r="Q2" i="20"/>
  <c r="H2" i="20"/>
  <c r="E2" i="20"/>
  <c r="B2" i="20"/>
  <c r="O161" i="8" a="1"/>
  <c r="O163" i="8" a="1"/>
  <c r="O162" i="8" a="1"/>
  <c r="BG3" i="20" l="1"/>
  <c r="AZ3" i="20" a="1"/>
  <c r="AZ3" i="20" s="1"/>
  <c r="BM2" i="20" a="1"/>
  <c r="BM2" i="20" s="1"/>
  <c r="F8" i="20"/>
  <c r="F12" i="20" s="1"/>
  <c r="L12" i="20" a="1"/>
  <c r="L12" i="20" s="1"/>
  <c r="O12" i="20" s="1"/>
  <c r="K11" i="20" a="1"/>
  <c r="K11" i="20" s="1"/>
  <c r="J11" i="20" a="1"/>
  <c r="J11" i="20" s="1"/>
  <c r="I10" i="20" a="1"/>
  <c r="I10" i="20" s="1"/>
  <c r="I10" i="16" a="1"/>
  <c r="I10" i="16" s="1"/>
  <c r="O36" i="17" a="1"/>
  <c r="O36" i="17" s="1"/>
  <c r="O161" i="8"/>
  <c r="O162" i="8"/>
  <c r="O163" i="8"/>
  <c r="O35" i="17" a="1"/>
  <c r="O35" i="17" s="1"/>
  <c r="O32" i="17" a="1"/>
  <c r="O32" i="17" s="1"/>
  <c r="X50" i="20"/>
  <c r="U50" i="20" s="1"/>
  <c r="T64" i="20"/>
  <c r="T63" i="20"/>
  <c r="X63" i="20" s="1"/>
  <c r="T62" i="20"/>
  <c r="T61" i="20"/>
  <c r="W61" i="20" s="1"/>
  <c r="F15" i="20"/>
  <c r="F16" i="20"/>
  <c r="F17" i="20"/>
  <c r="AQ83" i="15" a="1"/>
  <c r="AQ83" i="15" s="1"/>
  <c r="AT67" i="14" a="1"/>
  <c r="AT67" i="14" s="1"/>
  <c r="AX75" i="15" a="1"/>
  <c r="AX75" i="15" s="1"/>
  <c r="BA59" i="14" a="1"/>
  <c r="BA59" i="14" s="1"/>
  <c r="AQ67" i="15" a="1"/>
  <c r="AQ67" i="15" s="1"/>
  <c r="AJ35" i="15" a="1"/>
  <c r="AJ35" i="15" s="1"/>
  <c r="AN67" i="16" a="1"/>
  <c r="AN67" i="16" s="1"/>
  <c r="Z35" i="16" a="1"/>
  <c r="Z35" i="16" s="1"/>
  <c r="Z11" i="16" a="1"/>
  <c r="Z11" i="16" s="1"/>
  <c r="AJ75" i="15" a="1"/>
  <c r="AJ75" i="15" s="1"/>
  <c r="AT59" i="14" a="1"/>
  <c r="AT59" i="14" s="1"/>
  <c r="AX67" i="15" a="1"/>
  <c r="AX67" i="15" s="1"/>
  <c r="BA51" i="14" a="1"/>
  <c r="BA51" i="14" s="1"/>
  <c r="AT51" i="14" a="1"/>
  <c r="AT51" i="14" s="1"/>
  <c r="AG43" i="16" a="1"/>
  <c r="AG43" i="16" s="1"/>
  <c r="AJ11" i="15" a="1"/>
  <c r="AJ11" i="15" s="1"/>
  <c r="AJ67" i="15" a="1"/>
  <c r="AJ67" i="15" s="1"/>
  <c r="BA43" i="14" a="1"/>
  <c r="BA43" i="14" s="1"/>
  <c r="AX59" i="15" a="1"/>
  <c r="AX59" i="15" s="1"/>
  <c r="BA35" i="14" a="1"/>
  <c r="BA35" i="14" s="1"/>
  <c r="AX51" i="15" a="1"/>
  <c r="AX19" i="15" a="1"/>
  <c r="AX19" i="15" s="1"/>
  <c r="AN19" i="16" a="1"/>
  <c r="AN19" i="16" s="1"/>
  <c r="AG11" i="16" a="1"/>
  <c r="AG11" i="16" s="1"/>
  <c r="AJ59" i="15" a="1"/>
  <c r="AJ59" i="15" s="1"/>
  <c r="AT35" i="14" a="1"/>
  <c r="AT35" i="14" s="1"/>
  <c r="BA27" i="14" a="1"/>
  <c r="BA27" i="14" s="1"/>
  <c r="AT3" i="14" a="1"/>
  <c r="AT3" i="14" s="1"/>
  <c r="AN35" i="16" a="1"/>
  <c r="AN35" i="16" s="1"/>
  <c r="AQ19" i="15" a="1"/>
  <c r="AQ19" i="15" s="1"/>
  <c r="AN43" i="16" a="1"/>
  <c r="AN43" i="16" s="1"/>
  <c r="AN3" i="16" a="1"/>
  <c r="AN3" i="16" s="1"/>
  <c r="AQ51" i="15" a="1"/>
  <c r="AQ51" i="15" s="1"/>
  <c r="AT27" i="14" a="1"/>
  <c r="AT27" i="14" s="1"/>
  <c r="AT11" i="14" a="1"/>
  <c r="AT11" i="14" s="1"/>
  <c r="AQ35" i="15" a="1"/>
  <c r="AQ35" i="15" s="1"/>
  <c r="AG51" i="16" a="1"/>
  <c r="AG51" i="16" s="1"/>
  <c r="AJ51" i="15" a="1"/>
  <c r="AJ51" i="15" s="1"/>
  <c r="BA19" i="14" a="1"/>
  <c r="BA19" i="14" s="1"/>
  <c r="Z75" i="16" a="1"/>
  <c r="Z75" i="16" s="1"/>
  <c r="AG35" i="16" a="1"/>
  <c r="AG35" i="16" s="1"/>
  <c r="AQ11" i="15" a="1"/>
  <c r="AQ11" i="15" s="1"/>
  <c r="AX43" i="15" a="1"/>
  <c r="AT19" i="14" a="1"/>
  <c r="AT19" i="14" s="1"/>
  <c r="AX35" i="15" a="1"/>
  <c r="AX35" i="15" s="1"/>
  <c r="BA3" i="14" a="1"/>
  <c r="BA3" i="14" s="1"/>
  <c r="AX27" i="15" a="1"/>
  <c r="AX27" i="15" s="1"/>
  <c r="AN27" i="16" a="1"/>
  <c r="AN27" i="16" s="1"/>
  <c r="AG91" i="16" a="1"/>
  <c r="AG91" i="16" s="1"/>
  <c r="AQ43" i="15" a="1"/>
  <c r="AQ43" i="15" s="1"/>
  <c r="BA11" i="14" a="1"/>
  <c r="BA11" i="14" s="1"/>
  <c r="AN75" i="16" a="1"/>
  <c r="AN75" i="16" s="1"/>
  <c r="AQ27" i="15" a="1"/>
  <c r="AQ27" i="15" s="1"/>
  <c r="AN59" i="16" a="1"/>
  <c r="AN59" i="16" s="1"/>
  <c r="AX3" i="15" a="1"/>
  <c r="AX3" i="15" s="1"/>
  <c r="AN83" i="16" a="1"/>
  <c r="AN83" i="16" s="1"/>
  <c r="AG67" i="16" a="1"/>
  <c r="AG67" i="16" s="1"/>
  <c r="AN11" i="16" a="1"/>
  <c r="AN11" i="16" s="1"/>
  <c r="AG83" i="16" a="1"/>
  <c r="AG83" i="16" s="1"/>
  <c r="AJ27" i="15" a="1"/>
  <c r="AJ27" i="15" s="1"/>
  <c r="AQ3" i="15" a="1"/>
  <c r="AQ3" i="15" s="1"/>
  <c r="Z59" i="16" a="1"/>
  <c r="Z59" i="16" s="1"/>
  <c r="AJ19" i="15" a="1"/>
  <c r="AJ19" i="15" s="1"/>
  <c r="AG19" i="16" a="1"/>
  <c r="AG19" i="16" s="1"/>
  <c r="AN51" i="16" a="1"/>
  <c r="AN51" i="16" s="1"/>
  <c r="AX11" i="15" a="1"/>
  <c r="AX11" i="15" s="1"/>
  <c r="Z27" i="16" a="1"/>
  <c r="Z27" i="16" s="1"/>
  <c r="AJ3" i="15" a="1"/>
  <c r="AJ3" i="15" s="1"/>
  <c r="AG3" i="16" a="1"/>
  <c r="AG3" i="16" s="1"/>
  <c r="BA75" i="14" a="1"/>
  <c r="BA75" i="14" s="1"/>
  <c r="Z67" i="16" a="1"/>
  <c r="Z67" i="16" s="1"/>
  <c r="Z51" i="16" a="1"/>
  <c r="Z51" i="16" s="1"/>
  <c r="Z3" i="16" a="1"/>
  <c r="Z3" i="16" s="1"/>
  <c r="AQ91" i="15" a="1"/>
  <c r="AQ91" i="15" s="1"/>
  <c r="AT75" i="14" a="1"/>
  <c r="AT75" i="14" s="1"/>
  <c r="AG27" i="16" a="1"/>
  <c r="AG27" i="16" s="1"/>
  <c r="Z19" i="16" a="1"/>
  <c r="Z19" i="16" s="1"/>
  <c r="AX83" i="15" a="1"/>
  <c r="AX83" i="15" s="1"/>
  <c r="BA67" i="14" a="1"/>
  <c r="BA67" i="14" s="1"/>
  <c r="BA83" i="14" a="1"/>
  <c r="BA83" i="14" s="1"/>
  <c r="F32" i="20"/>
  <c r="F31" i="20"/>
  <c r="AN51" i="20" a="1"/>
  <c r="AN51" i="20" s="1"/>
  <c r="N15" i="20" a="1"/>
  <c r="N15" i="20" s="1"/>
  <c r="O15" i="20" s="1"/>
  <c r="AN19" i="20" a="1"/>
  <c r="AN19" i="20" s="1"/>
  <c r="AG11" i="20" a="1"/>
  <c r="AG11" i="20" s="1"/>
  <c r="Z75" i="20" a="1"/>
  <c r="Z75" i="20" s="1"/>
  <c r="Z51" i="20" a="1"/>
  <c r="Z51" i="20" s="1"/>
  <c r="Z11" i="20" a="1"/>
  <c r="Z11" i="20" s="1"/>
  <c r="AN83" i="20" a="1"/>
  <c r="AN83" i="20" s="1"/>
  <c r="AN43" i="20" a="1"/>
  <c r="AN43" i="20" s="1"/>
  <c r="Z27" i="20" a="1"/>
  <c r="Z27" i="20" s="1"/>
  <c r="AN35" i="20" a="1"/>
  <c r="AN35" i="20" s="1"/>
  <c r="N14" i="20" a="1"/>
  <c r="N14" i="20" s="1"/>
  <c r="O14" i="20" s="1"/>
  <c r="AN27" i="20" a="1"/>
  <c r="AN27" i="20" s="1"/>
  <c r="Z59" i="20" a="1"/>
  <c r="Z59" i="20" s="1"/>
  <c r="AN11" i="20" a="1"/>
  <c r="AN11" i="20" s="1"/>
  <c r="AN3" i="20" a="1"/>
  <c r="AN3" i="20" s="1"/>
  <c r="AG83" i="20" a="1"/>
  <c r="AG83" i="20" s="1"/>
  <c r="AG91" i="20" a="1"/>
  <c r="AG91" i="20" s="1"/>
  <c r="AG67" i="20" a="1"/>
  <c r="AG67" i="20" s="1"/>
  <c r="AG3" i="20" a="1"/>
  <c r="AG3" i="20" s="1"/>
  <c r="Z67" i="20" a="1"/>
  <c r="Z67" i="20" s="1"/>
  <c r="AG51" i="20" a="1"/>
  <c r="AG51" i="20" s="1"/>
  <c r="AG27" i="20" a="1"/>
  <c r="AG27" i="20" s="1"/>
  <c r="AG19" i="20" a="1"/>
  <c r="AG19" i="20" s="1"/>
  <c r="K17" i="20" a="1"/>
  <c r="K17" i="20" s="1"/>
  <c r="AG43" i="20" a="1"/>
  <c r="AG43" i="20" s="1"/>
  <c r="Z19" i="20" a="1"/>
  <c r="Z19" i="20" s="1"/>
  <c r="AG35" i="20" a="1"/>
  <c r="AG35" i="20" s="1"/>
  <c r="AN75" i="20" a="1"/>
  <c r="AN75" i="20" s="1"/>
  <c r="J17" i="20" a="1"/>
  <c r="J17" i="20" s="1"/>
  <c r="AN67" i="20" a="1"/>
  <c r="AN67" i="20" s="1"/>
  <c r="AN59" i="20" a="1"/>
  <c r="AN59" i="20" s="1"/>
  <c r="Z35" i="20" a="1"/>
  <c r="Z35" i="20" s="1"/>
  <c r="Z3" i="20" a="1"/>
  <c r="Z3" i="20" s="1"/>
  <c r="F26" i="20"/>
  <c r="F25" i="20"/>
  <c r="D52" i="18"/>
  <c r="C52" i="18"/>
  <c r="O33" i="17" a="1"/>
  <c r="O33" i="17" s="1"/>
  <c r="O34" i="17" a="1"/>
  <c r="O34" i="17" s="1"/>
  <c r="A62" i="17"/>
  <c r="A85" i="17" s="1" a="1"/>
  <c r="A94" i="17" a="1"/>
  <c r="A94" i="17" s="1"/>
  <c r="A92" i="17" a="1"/>
  <c r="A92" i="17" s="1"/>
  <c r="A91" i="17" a="1"/>
  <c r="A91" i="17" s="1"/>
  <c r="A89" i="17" a="1"/>
  <c r="A89" i="17" s="1"/>
  <c r="A88" i="17" a="1"/>
  <c r="A87" i="17" a="1"/>
  <c r="A104" i="17" a="1"/>
  <c r="A103" i="17" a="1"/>
  <c r="A102" i="17" a="1"/>
  <c r="A101" i="17" a="1"/>
  <c r="A100" i="17" a="1"/>
  <c r="A99" i="17" a="1"/>
  <c r="A98" i="17" a="1"/>
  <c r="A97" i="17" a="1"/>
  <c r="A96" i="17" a="1"/>
  <c r="A95" i="17" a="1"/>
  <c r="A95" i="17" s="1"/>
  <c r="A93" i="17" a="1"/>
  <c r="A93" i="17" s="1"/>
  <c r="A90" i="17" a="1"/>
  <c r="A90" i="17" s="1"/>
  <c r="A86" i="17" a="1"/>
  <c r="A4" i="17"/>
  <c r="A28" i="17" s="1" a="1"/>
  <c r="A39" i="17" a="1"/>
  <c r="A40" i="17" a="1"/>
  <c r="A42" i="17" a="1"/>
  <c r="A43" i="17" a="1"/>
  <c r="A44" i="17" a="1"/>
  <c r="A46" i="17" a="1"/>
  <c r="A38" i="17" a="1"/>
  <c r="A38" i="17" s="1"/>
  <c r="J21" i="17" a="1"/>
  <c r="J21" i="17" s="1"/>
  <c r="A36" i="17" a="1"/>
  <c r="A36" i="17" s="1"/>
  <c r="A35" i="17" a="1"/>
  <c r="A35" i="17" s="1"/>
  <c r="A33" i="17" a="1"/>
  <c r="A33" i="17" s="1"/>
  <c r="A31" i="17" a="1"/>
  <c r="A29" i="17" a="1"/>
  <c r="A41" i="17" a="1"/>
  <c r="A45" i="17" a="1"/>
  <c r="A47" i="17" a="1"/>
  <c r="J20" i="17" a="1"/>
  <c r="J20" i="17" s="1"/>
  <c r="A37" i="17" a="1"/>
  <c r="A34" i="17" a="1"/>
  <c r="A34" i="17" s="1"/>
  <c r="A32" i="17" a="1"/>
  <c r="A32" i="17" s="1"/>
  <c r="A30" i="17" a="1"/>
  <c r="J22" i="17" a="1"/>
  <c r="J22" i="17" s="1"/>
  <c r="I64" i="17"/>
  <c r="I70" i="17"/>
  <c r="I71" i="17"/>
  <c r="I65" i="17"/>
  <c r="I67" i="17"/>
  <c r="I63" i="17"/>
  <c r="I66" i="17"/>
  <c r="I68" i="17"/>
  <c r="I69" i="17"/>
  <c r="L20" i="20" a="1"/>
  <c r="L20" i="20" s="1"/>
  <c r="L21" i="20" a="1"/>
  <c r="L21" i="20" s="1"/>
  <c r="BH63" i="20"/>
  <c r="F43" i="20"/>
  <c r="T3" i="20" s="1"/>
  <c r="BG23" i="20"/>
  <c r="BH23" i="20"/>
  <c r="BH3" i="20"/>
  <c r="BG7" i="20"/>
  <c r="W51" i="20"/>
  <c r="U51" i="20" s="1"/>
  <c r="BH59" i="20"/>
  <c r="BG35" i="20"/>
  <c r="BG15" i="20"/>
  <c r="J10" i="20"/>
  <c r="X16" i="20"/>
  <c r="U16" i="20" s="1"/>
  <c r="BG47" i="20"/>
  <c r="W17" i="20"/>
  <c r="U17" i="20" s="1"/>
  <c r="BH47" i="20"/>
  <c r="BG31" i="20"/>
  <c r="BH31" i="20"/>
  <c r="BG43" i="20"/>
  <c r="BG83" i="20"/>
  <c r="BG87" i="20"/>
  <c r="BG91" i="20"/>
  <c r="BG95" i="20"/>
  <c r="BG99" i="20"/>
  <c r="BG103" i="20"/>
  <c r="BH103" i="20"/>
  <c r="BG107" i="20"/>
  <c r="E30" i="20"/>
  <c r="F30" i="20" s="1"/>
  <c r="BG115" i="20"/>
  <c r="BG51" i="20"/>
  <c r="BG119" i="20"/>
  <c r="BG39" i="20"/>
  <c r="BH51" i="20"/>
  <c r="BG67" i="20"/>
  <c r="BH119" i="20"/>
  <c r="BH111" i="20"/>
  <c r="BH39" i="20"/>
  <c r="W52" i="20"/>
  <c r="U52" i="20" s="1"/>
  <c r="BG123" i="20"/>
  <c r="BG71" i="20"/>
  <c r="BH123" i="20"/>
  <c r="BG27" i="20"/>
  <c r="W53" i="20"/>
  <c r="U53" i="20" s="1"/>
  <c r="BG127" i="20"/>
  <c r="BG19" i="20"/>
  <c r="BH27" i="20"/>
  <c r="BH19" i="20"/>
  <c r="W28" i="20"/>
  <c r="U28" i="20" s="1"/>
  <c r="W54" i="20"/>
  <c r="U54" i="20" s="1"/>
  <c r="W42" i="20"/>
  <c r="U42" i="20" s="1"/>
  <c r="BG75" i="20"/>
  <c r="BH11" i="20"/>
  <c r="W29" i="20"/>
  <c r="U29" i="20" s="1"/>
  <c r="W55" i="20"/>
  <c r="U55" i="20" s="1"/>
  <c r="W43" i="20"/>
  <c r="U43" i="20" s="1"/>
  <c r="BG79" i="20"/>
  <c r="BG11" i="20"/>
  <c r="BG55" i="20"/>
  <c r="BH107" i="20"/>
  <c r="T59" i="20"/>
  <c r="E24" i="20"/>
  <c r="F24" i="20" s="1"/>
  <c r="T60" i="20"/>
  <c r="E14" i="20"/>
  <c r="F14" i="20" s="1"/>
  <c r="R39" i="17" l="1"/>
  <c r="S39" i="17" s="1"/>
  <c r="X61" i="20"/>
  <c r="W63" i="20"/>
  <c r="X64" i="20"/>
  <c r="W64" i="20"/>
  <c r="W62" i="20"/>
  <c r="X62" i="20"/>
  <c r="AX51" i="15"/>
  <c r="U60" i="15" a="1"/>
  <c r="U60" i="15" s="1"/>
  <c r="R11" i="15" a="1"/>
  <c r="R11" i="15" s="1"/>
  <c r="AX43" i="15"/>
  <c r="U59" i="15" a="1"/>
  <c r="U59" i="15" s="1"/>
  <c r="A37" i="17"/>
  <c r="R37" i="17"/>
  <c r="S37" i="17" s="1"/>
  <c r="T37" i="17" s="1" a="1"/>
  <c r="T37" i="17" s="1"/>
  <c r="G37" i="17"/>
  <c r="N37" i="17"/>
  <c r="M37" i="17"/>
  <c r="L37" i="17"/>
  <c r="Q37" i="17" s="1" a="1"/>
  <c r="Q37" i="17" s="1"/>
  <c r="R32" i="20"/>
  <c r="AY36" i="20"/>
  <c r="R30" i="17"/>
  <c r="S30" i="17" s="1"/>
  <c r="T30" i="17" s="1" a="1"/>
  <c r="T30" i="17" s="1"/>
  <c r="AY135" i="20"/>
  <c r="AY177" i="20"/>
  <c r="AZ135" i="20"/>
  <c r="R42" i="17"/>
  <c r="S42" i="17" s="1"/>
  <c r="T42" i="17" s="1" a="1"/>
  <c r="T42" i="17" s="1"/>
  <c r="R46" i="17"/>
  <c r="S46" i="17" s="1"/>
  <c r="T46" i="17" s="1" a="1"/>
  <c r="T46" i="17" s="1"/>
  <c r="R43" i="17"/>
  <c r="S43" i="17" s="1"/>
  <c r="T43" i="17" s="1" a="1"/>
  <c r="T43" i="17" s="1"/>
  <c r="R41" i="17"/>
  <c r="S41" i="17" s="1"/>
  <c r="T41" i="17" s="1" a="1"/>
  <c r="T41" i="17" s="1"/>
  <c r="R29" i="17"/>
  <c r="S29" i="17" s="1"/>
  <c r="T29" i="17" s="1" a="1"/>
  <c r="T29" i="17" s="1"/>
  <c r="L28" i="17"/>
  <c r="R28" i="17"/>
  <c r="S28" i="17" s="1"/>
  <c r="T28" i="17" s="1" a="1"/>
  <c r="T28" i="17" s="1"/>
  <c r="R44" i="17"/>
  <c r="S44" i="17" s="1"/>
  <c r="T44" i="17" s="1" a="1"/>
  <c r="T44" i="17" s="1"/>
  <c r="R47" i="17"/>
  <c r="S47" i="17" s="1"/>
  <c r="T47" i="17" s="1" a="1"/>
  <c r="T47" i="17" s="1"/>
  <c r="R45" i="17"/>
  <c r="S45" i="17" s="1"/>
  <c r="T45" i="17" s="1" a="1"/>
  <c r="T45" i="17" s="1"/>
  <c r="A88" i="17"/>
  <c r="G88" i="17"/>
  <c r="A31" i="17"/>
  <c r="T31" i="17" a="1"/>
  <c r="T31" i="17" s="1"/>
  <c r="G31" i="17"/>
  <c r="N31" i="17"/>
  <c r="M31" i="17"/>
  <c r="L31" i="17"/>
  <c r="Q31" i="17" s="1" a="1"/>
  <c r="Q31" i="17" s="1"/>
  <c r="A40" i="17"/>
  <c r="T40" i="17" a="1"/>
  <c r="T40" i="17" s="1"/>
  <c r="G40" i="17"/>
  <c r="A97" i="17"/>
  <c r="G97" i="17"/>
  <c r="A39" i="17"/>
  <c r="G39" i="17"/>
  <c r="T39" i="17" a="1"/>
  <c r="T39" i="17" s="1"/>
  <c r="A96" i="17"/>
  <c r="G96" i="17"/>
  <c r="A86" i="17"/>
  <c r="G86" i="17"/>
  <c r="A85" i="17"/>
  <c r="G85" i="17"/>
  <c r="A99" i="17"/>
  <c r="G99" i="17"/>
  <c r="A101" i="17"/>
  <c r="G101" i="17"/>
  <c r="A87" i="17"/>
  <c r="G87" i="17"/>
  <c r="A98" i="17"/>
  <c r="G98" i="17"/>
  <c r="A100" i="17"/>
  <c r="G100" i="17"/>
  <c r="A102" i="17"/>
  <c r="G102" i="17"/>
  <c r="A104" i="17"/>
  <c r="G104" i="17"/>
  <c r="A103" i="17"/>
  <c r="G103" i="17"/>
  <c r="A29" i="17"/>
  <c r="G29" i="17"/>
  <c r="G47" i="17"/>
  <c r="A41" i="17"/>
  <c r="G41" i="17"/>
  <c r="A28" i="17"/>
  <c r="G28" i="17"/>
  <c r="A30" i="17"/>
  <c r="G30" i="17"/>
  <c r="A43" i="17"/>
  <c r="G43" i="17"/>
  <c r="A42" i="17"/>
  <c r="G42" i="17"/>
  <c r="G46" i="17"/>
  <c r="G45" i="17"/>
  <c r="A44" i="17"/>
  <c r="G44" i="17"/>
  <c r="A47" i="17"/>
  <c r="N47" i="17"/>
  <c r="M47" i="17"/>
  <c r="L47" i="17"/>
  <c r="Q47" i="17" s="1" a="1"/>
  <c r="Q47" i="17" s="1"/>
  <c r="A46" i="17"/>
  <c r="N46" i="17"/>
  <c r="M46" i="17"/>
  <c r="L46" i="17"/>
  <c r="Q46" i="17" s="1" a="1"/>
  <c r="Q46" i="17" s="1"/>
  <c r="A45" i="17"/>
  <c r="N45" i="17"/>
  <c r="L45" i="17"/>
  <c r="Q45" i="17" s="1" a="1"/>
  <c r="Q45" i="17" s="1"/>
  <c r="M45" i="17"/>
  <c r="H68" i="17"/>
  <c r="H63" i="17"/>
  <c r="H69" i="17"/>
  <c r="H66" i="17"/>
  <c r="H70" i="17"/>
  <c r="H67" i="17"/>
  <c r="H64" i="17"/>
  <c r="H71" i="17"/>
  <c r="H65" i="17"/>
  <c r="AY32" i="20"/>
  <c r="AZ177" i="20"/>
  <c r="AZ32" i="20"/>
  <c r="R37" i="20" a="1"/>
  <c r="R37" i="20" s="1"/>
  <c r="O11" i="20"/>
  <c r="AZ111" i="20"/>
  <c r="R45" i="20"/>
  <c r="O17" i="20"/>
  <c r="AZ107" i="20"/>
  <c r="AY185" i="20"/>
  <c r="BH139" i="20" s="1"/>
  <c r="AZ19" i="20"/>
  <c r="AY87" i="20"/>
  <c r="AZ51" i="20"/>
  <c r="AZ47" i="20"/>
  <c r="AY136" i="20"/>
  <c r="AY63" i="20"/>
  <c r="AZ43" i="20"/>
  <c r="AY67" i="20"/>
  <c r="AZ136" i="20"/>
  <c r="AY179" i="20"/>
  <c r="AY7" i="20"/>
  <c r="AZ15" i="20"/>
  <c r="AY55" i="20"/>
  <c r="R33" i="20"/>
  <c r="AZ23" i="20"/>
  <c r="AY79" i="20"/>
  <c r="AZ31" i="20"/>
  <c r="AY91" i="20"/>
  <c r="AY59" i="20"/>
  <c r="AY99" i="20"/>
  <c r="AY75" i="20"/>
  <c r="AZ27" i="20"/>
  <c r="AY95" i="20"/>
  <c r="AY35" i="20"/>
  <c r="AY83" i="20"/>
  <c r="AZ11" i="20"/>
  <c r="AZ39" i="20"/>
  <c r="H62" i="17"/>
  <c r="I62" i="17"/>
  <c r="AZ75" i="20"/>
  <c r="AZ91" i="20"/>
  <c r="AY19" i="20"/>
  <c r="AY51" i="20"/>
  <c r="AY11" i="20"/>
  <c r="AY27" i="20"/>
  <c r="AZ63" i="20"/>
  <c r="AY15" i="20"/>
  <c r="AZ7" i="20"/>
  <c r="AY31" i="20"/>
  <c r="AY43" i="20"/>
  <c r="AZ59" i="20"/>
  <c r="AZ83" i="20"/>
  <c r="AZ99" i="20"/>
  <c r="AY23" i="20"/>
  <c r="AY47" i="20"/>
  <c r="AZ55" i="20"/>
  <c r="AZ79" i="20"/>
  <c r="AY3" i="20"/>
  <c r="AZ67" i="20"/>
  <c r="AZ179" i="20"/>
  <c r="R38" i="20" a="1"/>
  <c r="R38" i="20" s="1"/>
  <c r="AZ87" i="20"/>
  <c r="AY39" i="20"/>
  <c r="AZ95" i="20"/>
  <c r="AY88" i="20"/>
  <c r="AY137" i="20"/>
  <c r="AZ185" i="20"/>
  <c r="R52" i="20" a="1"/>
  <c r="R52" i="20" s="1"/>
  <c r="AZ137" i="20"/>
  <c r="AZ176" i="20"/>
  <c r="R39" i="20" a="1"/>
  <c r="R39" i="20" s="1"/>
  <c r="AY12" i="20"/>
  <c r="AY33" i="20"/>
  <c r="R65" i="20"/>
  <c r="AZ108" i="20"/>
  <c r="R62" i="20"/>
  <c r="AZ186" i="20"/>
  <c r="AY71" i="20"/>
  <c r="R51" i="20" a="1"/>
  <c r="R51" i="20" s="1"/>
  <c r="R61" i="20"/>
  <c r="L22" i="20"/>
  <c r="O10" i="20"/>
  <c r="E3" i="20"/>
  <c r="Q8" i="20"/>
  <c r="H13" i="20"/>
  <c r="E35" i="20"/>
  <c r="F34" i="20"/>
  <c r="F28" i="20"/>
  <c r="W59" i="20"/>
  <c r="X59" i="20"/>
  <c r="F22" i="20"/>
  <c r="X60" i="20"/>
  <c r="W60" i="20"/>
  <c r="C12" i="2"/>
  <c r="C11" i="2"/>
  <c r="C10" i="2"/>
  <c r="C9" i="2"/>
  <c r="C8" i="2"/>
  <c r="C7" i="2"/>
  <c r="C6" i="2"/>
  <c r="M22" i="16"/>
  <c r="L21" i="16" a="1"/>
  <c r="L21" i="16" s="1"/>
  <c r="L20" i="16" a="1"/>
  <c r="L20" i="16" s="1"/>
  <c r="K17" i="16" a="1"/>
  <c r="K17" i="16" s="1"/>
  <c r="J17" i="16" a="1"/>
  <c r="J17" i="16" s="1"/>
  <c r="N15" i="16" a="1"/>
  <c r="N15" i="16" s="1"/>
  <c r="O15" i="16" s="1"/>
  <c r="N14" i="16" a="1"/>
  <c r="N14" i="16" s="1"/>
  <c r="L12" i="16" a="1"/>
  <c r="L12" i="16" s="1"/>
  <c r="K11" i="16" a="1"/>
  <c r="K11" i="16" s="1"/>
  <c r="J11" i="16" a="1"/>
  <c r="J11" i="16" s="1"/>
  <c r="L21" i="15" a="1"/>
  <c r="L21" i="15" s="1"/>
  <c r="L20" i="15" a="1"/>
  <c r="L20" i="15" s="1"/>
  <c r="K17" i="15" a="1"/>
  <c r="K17" i="15" s="1"/>
  <c r="J17" i="15" a="1"/>
  <c r="J17" i="15" s="1"/>
  <c r="N15" i="15" a="1"/>
  <c r="N15" i="15" s="1"/>
  <c r="O15" i="15" s="1"/>
  <c r="N14" i="15" a="1"/>
  <c r="N14" i="15" s="1"/>
  <c r="L12" i="15" a="1"/>
  <c r="L12" i="15" s="1"/>
  <c r="K11" i="15" a="1"/>
  <c r="K11" i="15" s="1"/>
  <c r="J11" i="15" a="1"/>
  <c r="J11" i="15" s="1"/>
  <c r="J10" i="15"/>
  <c r="I10" i="15"/>
  <c r="N15" i="14" a="1"/>
  <c r="N15" i="14" s="1"/>
  <c r="N14" i="14" a="1"/>
  <c r="N14" i="14" s="1"/>
  <c r="L20" i="14" a="1"/>
  <c r="L20" i="14" s="1"/>
  <c r="L21" i="14" a="1"/>
  <c r="L21" i="14" s="1"/>
  <c r="L12" i="14" a="1"/>
  <c r="L12" i="14" s="1"/>
  <c r="K17" i="14" a="1"/>
  <c r="K17" i="14" s="1"/>
  <c r="J17" i="14" a="1"/>
  <c r="J17" i="14" s="1"/>
  <c r="K11" i="14" a="1"/>
  <c r="K11" i="14" s="1"/>
  <c r="J11" i="14" a="1"/>
  <c r="J11" i="14" s="1"/>
  <c r="I10" i="14"/>
  <c r="R53" i="16" a="1"/>
  <c r="R53" i="16" s="1"/>
  <c r="R50" i="16"/>
  <c r="R49" i="16"/>
  <c r="R48" i="16"/>
  <c r="R47" i="16"/>
  <c r="R46" i="16"/>
  <c r="R40" i="16" a="1"/>
  <c r="R40" i="16" s="1"/>
  <c r="R36" i="16"/>
  <c r="R35" i="16"/>
  <c r="R34" i="16"/>
  <c r="R41" i="16" a="1"/>
  <c r="R41" i="16" s="1"/>
  <c r="AO46" i="13"/>
  <c r="R25" i="15" a="1"/>
  <c r="R25" i="15" s="1"/>
  <c r="U39" i="15" s="1"/>
  <c r="R24" i="15" a="1"/>
  <c r="R24" i="15" s="1"/>
  <c r="U38" i="15" s="1"/>
  <c r="R20" i="15"/>
  <c r="U34" i="15" s="1"/>
  <c r="R19" i="15"/>
  <c r="U33" i="15" s="1"/>
  <c r="R18" i="15"/>
  <c r="U32" i="15" s="1"/>
  <c r="R37" i="15" a="1"/>
  <c r="R37" i="15" s="1"/>
  <c r="U51" i="15" s="1"/>
  <c r="R34" i="15"/>
  <c r="U48" i="15" s="1"/>
  <c r="R33" i="15"/>
  <c r="U47" i="15" s="1"/>
  <c r="R32" i="15"/>
  <c r="U46" i="15" s="1"/>
  <c r="R31" i="15"/>
  <c r="U45" i="15" s="1"/>
  <c r="R30" i="15"/>
  <c r="U44" i="15" s="1"/>
  <c r="M22" i="15"/>
  <c r="C2" i="27"/>
  <c r="AZ187" i="16"/>
  <c r="AY190" i="16"/>
  <c r="AY189" i="16"/>
  <c r="AY188" i="16"/>
  <c r="AY187" i="16"/>
  <c r="AY186" i="16"/>
  <c r="AY180" i="16"/>
  <c r="AZ180" i="16"/>
  <c r="AZ178" i="16"/>
  <c r="AY178" i="16"/>
  <c r="AY176" i="16"/>
  <c r="R51" i="16" a="1"/>
  <c r="R51" i="16" s="1"/>
  <c r="AU59" i="16"/>
  <c r="O105" i="8"/>
  <c r="R175" i="8" a="1"/>
  <c r="R175" i="8" l="1"/>
  <c r="O37" i="17" a="1"/>
  <c r="O37" i="17" s="1"/>
  <c r="R105" i="8"/>
  <c r="O10" i="15"/>
  <c r="R10" i="20"/>
  <c r="O31" i="17" a="1"/>
  <c r="O31" i="17" s="1"/>
  <c r="O47" i="17" a="1"/>
  <c r="O47" i="17" s="1"/>
  <c r="O45" i="17" a="1"/>
  <c r="O45" i="17" s="1"/>
  <c r="O46" i="17" a="1"/>
  <c r="O46" i="17" s="1"/>
  <c r="N28" i="17"/>
  <c r="M28" i="17"/>
  <c r="N38" i="17"/>
  <c r="M38" i="17"/>
  <c r="M43" i="17"/>
  <c r="N43" i="17"/>
  <c r="N42" i="17"/>
  <c r="M42" i="17"/>
  <c r="M29" i="17"/>
  <c r="N29" i="17"/>
  <c r="N41" i="17"/>
  <c r="M41" i="17"/>
  <c r="N40" i="17"/>
  <c r="M40" i="17"/>
  <c r="N44" i="17"/>
  <c r="M44" i="17"/>
  <c r="M39" i="17"/>
  <c r="N39" i="17"/>
  <c r="M30" i="17"/>
  <c r="N30" i="17"/>
  <c r="L40" i="17"/>
  <c r="Q40" i="17" s="1" a="1"/>
  <c r="Q40" i="17" s="1"/>
  <c r="L38" i="17"/>
  <c r="Q38" i="17" s="1" a="1"/>
  <c r="Q38" i="17" s="1"/>
  <c r="L43" i="17"/>
  <c r="Q43" i="17" s="1" a="1"/>
  <c r="Q43" i="17" s="1"/>
  <c r="L42" i="17"/>
  <c r="Q42" i="17" s="1" a="1"/>
  <c r="Q42" i="17" s="1"/>
  <c r="L41" i="17"/>
  <c r="Q41" i="17" s="1" a="1"/>
  <c r="Q41" i="17" s="1"/>
  <c r="L44" i="17"/>
  <c r="Q44" i="17" s="1" a="1"/>
  <c r="Q44" i="17" s="1"/>
  <c r="L39" i="17"/>
  <c r="Q39" i="17" s="1" a="1"/>
  <c r="Q39" i="17" s="1"/>
  <c r="L29" i="17"/>
  <c r="Q29" i="17" s="1" a="1"/>
  <c r="Q29" i="17" s="1"/>
  <c r="L30" i="17"/>
  <c r="Q30" i="17" s="1" a="1"/>
  <c r="Q30" i="17" s="1"/>
  <c r="Q28" i="17" a="1"/>
  <c r="Q28" i="17" s="1"/>
  <c r="J45" i="17"/>
  <c r="BI138" i="20"/>
  <c r="BD27" i="20"/>
  <c r="AZ148" i="20" s="1"/>
  <c r="R54" i="20"/>
  <c r="AZ183" i="20"/>
  <c r="R42" i="20"/>
  <c r="R11" i="20"/>
  <c r="BI135" i="20"/>
  <c r="AY192" i="20"/>
  <c r="BH135" i="20"/>
  <c r="R12" i="20"/>
  <c r="BE27" i="20"/>
  <c r="AY148" i="20" s="1"/>
  <c r="AZ192" i="20"/>
  <c r="BI139" i="20"/>
  <c r="BH138" i="20"/>
  <c r="AY183" i="20"/>
  <c r="O17" i="16"/>
  <c r="O11" i="16"/>
  <c r="L22" i="16"/>
  <c r="L13" i="16" s="1"/>
  <c r="O13" i="16" s="1"/>
  <c r="L22" i="15"/>
  <c r="L13" i="15" s="1"/>
  <c r="O13" i="15" s="1"/>
  <c r="C26" i="17"/>
  <c r="O11" i="15"/>
  <c r="O17" i="15"/>
  <c r="F35" i="20"/>
  <c r="M21" i="15"/>
  <c r="M23" i="15" s="1"/>
  <c r="M16" i="15" s="1"/>
  <c r="O16" i="15" s="1"/>
  <c r="O12" i="16"/>
  <c r="O14" i="16"/>
  <c r="O14" i="15"/>
  <c r="O12" i="15"/>
  <c r="L22" i="14"/>
  <c r="L13" i="14" s="1"/>
  <c r="R23" i="15" a="1"/>
  <c r="R23" i="15" s="1"/>
  <c r="U37" i="15" s="1"/>
  <c r="R45" i="16"/>
  <c r="R39" i="16" a="1"/>
  <c r="R39" i="16" s="1"/>
  <c r="R61" i="16"/>
  <c r="R62" i="16"/>
  <c r="R65" i="16"/>
  <c r="R52" i="16" a="1"/>
  <c r="R52" i="16" s="1"/>
  <c r="R32" i="16"/>
  <c r="R33" i="16"/>
  <c r="R37" i="16" a="1"/>
  <c r="R37" i="16" s="1"/>
  <c r="R38" i="16" a="1"/>
  <c r="R38" i="16" s="1"/>
  <c r="R12" i="15" a="1"/>
  <c r="R12" i="15" s="1"/>
  <c r="R9" i="15"/>
  <c r="R10" i="15" a="1"/>
  <c r="R10" i="15" s="1"/>
  <c r="R21" i="15" a="1"/>
  <c r="R21" i="15" s="1"/>
  <c r="U35" i="15" s="1"/>
  <c r="R8" i="15"/>
  <c r="R29" i="15"/>
  <c r="R35" i="15" a="1"/>
  <c r="R35" i="15" s="1"/>
  <c r="U49" i="15" s="1"/>
  <c r="R36" i="15" a="1"/>
  <c r="R36" i="15" s="1"/>
  <c r="U50" i="15" s="1"/>
  <c r="R46" i="15"/>
  <c r="R16" i="15"/>
  <c r="R17" i="15"/>
  <c r="U31" i="15" s="1"/>
  <c r="R22" i="15" a="1"/>
  <c r="R22" i="15" s="1"/>
  <c r="U36" i="15" s="1"/>
  <c r="AZ137" i="16"/>
  <c r="AY137" i="16"/>
  <c r="AY135" i="16"/>
  <c r="AZ135" i="16"/>
  <c r="AY59" i="16"/>
  <c r="AZ59" i="16"/>
  <c r="AY136" i="16"/>
  <c r="AZ136" i="16"/>
  <c r="AZ186" i="16"/>
  <c r="AY177" i="16"/>
  <c r="AY179" i="16"/>
  <c r="AZ179" i="16"/>
  <c r="AY185" i="16"/>
  <c r="AZ176" i="16"/>
  <c r="AZ177" i="16"/>
  <c r="AZ185" i="16"/>
  <c r="BH59" i="16"/>
  <c r="BG59" i="16"/>
  <c r="O175" i="8" a="1"/>
  <c r="L13" i="20" l="1"/>
  <c r="O13" i="20" s="1"/>
  <c r="AE8" i="14"/>
  <c r="AO8" i="13"/>
  <c r="AU8" i="12"/>
  <c r="AY134" i="20"/>
  <c r="R8" i="20" s="1"/>
  <c r="Q122" i="8"/>
  <c r="P140" i="8" a="1"/>
  <c r="P140" i="8" s="1"/>
  <c r="P122" i="8"/>
  <c r="U8" i="15"/>
  <c r="Q140" i="8"/>
  <c r="O175" i="8"/>
  <c r="H38" i="17" a="1"/>
  <c r="H38" i="17" s="1"/>
  <c r="H28" i="17" a="1"/>
  <c r="H28" i="17" s="1"/>
  <c r="J47" i="17"/>
  <c r="O44" i="17" a="1"/>
  <c r="O44" i="17" s="1"/>
  <c r="O39" i="17" a="1"/>
  <c r="O39" i="17" s="1"/>
  <c r="O29" i="17" a="1"/>
  <c r="O29" i="17" s="1"/>
  <c r="O43" i="17" a="1"/>
  <c r="O43" i="17" s="1"/>
  <c r="O28" i="17" a="1"/>
  <c r="O28" i="17" s="1"/>
  <c r="O30" i="17" a="1"/>
  <c r="O30" i="17" s="1"/>
  <c r="O40" i="17" a="1"/>
  <c r="O40" i="17" s="1"/>
  <c r="O41" i="17" a="1"/>
  <c r="O41" i="17" s="1"/>
  <c r="O42" i="17" a="1"/>
  <c r="O42" i="17" s="1"/>
  <c r="O38" i="17" a="1"/>
  <c r="O38" i="17" s="1"/>
  <c r="I34" i="17"/>
  <c r="I46" i="17"/>
  <c r="I45" i="17"/>
  <c r="K45" i="17" s="1"/>
  <c r="J34" i="17"/>
  <c r="I33" i="17"/>
  <c r="I31" i="17"/>
  <c r="I47" i="17"/>
  <c r="I37" i="17"/>
  <c r="I36" i="17"/>
  <c r="I32" i="17"/>
  <c r="J46" i="17"/>
  <c r="J33" i="17"/>
  <c r="I41" i="17"/>
  <c r="J41" i="17"/>
  <c r="J36" i="17"/>
  <c r="I30" i="17"/>
  <c r="J30" i="17"/>
  <c r="J29" i="17"/>
  <c r="I29" i="17"/>
  <c r="J35" i="17"/>
  <c r="J32" i="17"/>
  <c r="I43" i="17"/>
  <c r="J43" i="17"/>
  <c r="J40" i="17"/>
  <c r="I40" i="17"/>
  <c r="J37" i="17"/>
  <c r="I42" i="17"/>
  <c r="J42" i="17"/>
  <c r="J28" i="17"/>
  <c r="I28" i="17"/>
  <c r="I35" i="17"/>
  <c r="I39" i="17"/>
  <c r="J39" i="17"/>
  <c r="J38" i="17"/>
  <c r="I38" i="17"/>
  <c r="J31" i="17"/>
  <c r="I44" i="17"/>
  <c r="J44" i="17"/>
  <c r="R54" i="16"/>
  <c r="R12" i="16"/>
  <c r="R10" i="16"/>
  <c r="R11" i="16"/>
  <c r="R13" i="15"/>
  <c r="O101" i="8"/>
  <c r="O40" i="8"/>
  <c r="R174" i="8" a="1"/>
  <c r="R159" i="8" a="1"/>
  <c r="AO27" i="13" l="1"/>
  <c r="AO48" i="13" s="1"/>
  <c r="AY5" i="12"/>
  <c r="BD5" i="5"/>
  <c r="AS5" i="13"/>
  <c r="Y5" i="15"/>
  <c r="AI5" i="14"/>
  <c r="AH5" i="14"/>
  <c r="AR5" i="13"/>
  <c r="AX5" i="12"/>
  <c r="BC5" i="5"/>
  <c r="X5" i="15"/>
  <c r="R159" i="8"/>
  <c r="R174" i="8"/>
  <c r="R101" i="8"/>
  <c r="R40" i="8"/>
  <c r="K47" i="17"/>
  <c r="K46" i="17"/>
  <c r="K33" i="17"/>
  <c r="K34" i="17"/>
  <c r="K32" i="17"/>
  <c r="K36" i="17"/>
  <c r="K38" i="17"/>
  <c r="K31" i="17"/>
  <c r="K43" i="17"/>
  <c r="K41" i="17"/>
  <c r="K37" i="17"/>
  <c r="K44" i="17"/>
  <c r="K29" i="17"/>
  <c r="K40" i="17"/>
  <c r="K39" i="17"/>
  <c r="K35" i="17"/>
  <c r="K28" i="17"/>
  <c r="K42" i="17"/>
  <c r="K30" i="17"/>
  <c r="AU127" i="16"/>
  <c r="AU123" i="16"/>
  <c r="AU119" i="16"/>
  <c r="AY119" i="16" s="1"/>
  <c r="AU115" i="16"/>
  <c r="AU111" i="16"/>
  <c r="AZ111" i="16" s="1"/>
  <c r="AU107" i="16"/>
  <c r="AU103" i="16"/>
  <c r="AU99" i="16"/>
  <c r="AU95" i="16"/>
  <c r="AU91" i="16"/>
  <c r="AU51" i="16"/>
  <c r="AU87" i="16"/>
  <c r="AU83" i="16"/>
  <c r="AU79" i="16"/>
  <c r="AU75" i="16"/>
  <c r="AU71" i="16"/>
  <c r="AY71" i="16" s="1"/>
  <c r="AU67" i="16"/>
  <c r="AU63" i="16"/>
  <c r="AU55" i="16"/>
  <c r="AU47" i="16"/>
  <c r="AU43" i="16"/>
  <c r="AU39" i="16"/>
  <c r="AU35" i="16"/>
  <c r="AU31" i="16"/>
  <c r="AU27" i="16"/>
  <c r="AU23" i="16"/>
  <c r="AU19" i="16"/>
  <c r="AU15" i="16"/>
  <c r="AU11" i="16"/>
  <c r="AU7" i="16"/>
  <c r="AZ192" i="16"/>
  <c r="AY183" i="16"/>
  <c r="BI139" i="16"/>
  <c r="BH139" i="16"/>
  <c r="BI138" i="16"/>
  <c r="BH138" i="16"/>
  <c r="O159" i="8" a="1"/>
  <c r="O174" i="8" a="1"/>
  <c r="O174" i="8" l="1"/>
  <c r="O159" i="8"/>
  <c r="J10" i="16"/>
  <c r="AZ3" i="16"/>
  <c r="AY3" i="16"/>
  <c r="AZ7" i="16"/>
  <c r="AY7" i="16"/>
  <c r="AY15" i="16"/>
  <c r="AZ15" i="16"/>
  <c r="AY36" i="16"/>
  <c r="AY35" i="16"/>
  <c r="AZ23" i="16"/>
  <c r="AY23" i="16"/>
  <c r="AZ55" i="16"/>
  <c r="AY55" i="16"/>
  <c r="AY75" i="16"/>
  <c r="AZ75" i="16"/>
  <c r="AY95" i="16"/>
  <c r="AZ95" i="16"/>
  <c r="AY88" i="16"/>
  <c r="AZ87" i="16"/>
  <c r="AY87" i="16"/>
  <c r="AZ19" i="16"/>
  <c r="AY19" i="16"/>
  <c r="AZ27" i="16"/>
  <c r="AY27" i="16"/>
  <c r="AY63" i="16"/>
  <c r="AZ63" i="16"/>
  <c r="AY79" i="16"/>
  <c r="AZ79" i="16"/>
  <c r="AY91" i="16"/>
  <c r="AZ91" i="16"/>
  <c r="AZ108" i="16"/>
  <c r="AZ107" i="16"/>
  <c r="AY39" i="16"/>
  <c r="AZ39" i="16"/>
  <c r="AY83" i="16"/>
  <c r="AZ83" i="16"/>
  <c r="AY33" i="16"/>
  <c r="AY31" i="16"/>
  <c r="AZ32" i="16"/>
  <c r="AY32" i="16"/>
  <c r="AZ31" i="16"/>
  <c r="AZ67" i="16"/>
  <c r="AY67" i="16"/>
  <c r="AZ51" i="16"/>
  <c r="AY51" i="16"/>
  <c r="AY99" i="16"/>
  <c r="AZ99" i="16"/>
  <c r="AY12" i="16"/>
  <c r="AY11" i="16"/>
  <c r="AZ11" i="16"/>
  <c r="AY47" i="16"/>
  <c r="AZ47" i="16"/>
  <c r="AY43" i="16"/>
  <c r="AZ43" i="16"/>
  <c r="BH79" i="16"/>
  <c r="BG79" i="16"/>
  <c r="BG47" i="16"/>
  <c r="BH47" i="16"/>
  <c r="BH91" i="16"/>
  <c r="BG91" i="16"/>
  <c r="BG15" i="16"/>
  <c r="BH15" i="16"/>
  <c r="BH55" i="16"/>
  <c r="BG55" i="16"/>
  <c r="BG95" i="16"/>
  <c r="BH95" i="16"/>
  <c r="BH35" i="16"/>
  <c r="BG35" i="16"/>
  <c r="BH75" i="16"/>
  <c r="BG75" i="16"/>
  <c r="BH99" i="16"/>
  <c r="BG99" i="16"/>
  <c r="BG43" i="16"/>
  <c r="BH43" i="16"/>
  <c r="BH103" i="16"/>
  <c r="BG103" i="16"/>
  <c r="BH11" i="16"/>
  <c r="BG11" i="16"/>
  <c r="BH63" i="16"/>
  <c r="BG63" i="16"/>
  <c r="BH107" i="16"/>
  <c r="BG107" i="16"/>
  <c r="BH31" i="16"/>
  <c r="BG31" i="16"/>
  <c r="BG87" i="16"/>
  <c r="BH87" i="16"/>
  <c r="BG111" i="16"/>
  <c r="BH111" i="16"/>
  <c r="BH7" i="16"/>
  <c r="BG7" i="16"/>
  <c r="BH39" i="16"/>
  <c r="BG39" i="16"/>
  <c r="BG83" i="16"/>
  <c r="BH83" i="16"/>
  <c r="BH115" i="16"/>
  <c r="BG115" i="16"/>
  <c r="BG23" i="16"/>
  <c r="BH23" i="16"/>
  <c r="BH71" i="16"/>
  <c r="BG71" i="16"/>
  <c r="BG119" i="16"/>
  <c r="BH119" i="16"/>
  <c r="BH19" i="16"/>
  <c r="BG19" i="16"/>
  <c r="BH67" i="16"/>
  <c r="BG67" i="16"/>
  <c r="BG123" i="16"/>
  <c r="BH123" i="16"/>
  <c r="BH51" i="16"/>
  <c r="BG51" i="16"/>
  <c r="BH127" i="16"/>
  <c r="BG127" i="16"/>
  <c r="BH27" i="16"/>
  <c r="BG3" i="16"/>
  <c r="BH3" i="16"/>
  <c r="BG27" i="16"/>
  <c r="AZ183" i="16"/>
  <c r="AY192" i="16"/>
  <c r="O10" i="16" l="1"/>
  <c r="BE27" i="16"/>
  <c r="AY148" i="16" s="1"/>
  <c r="BD27" i="16"/>
  <c r="AZ148" i="16" s="1"/>
  <c r="BH135" i="16"/>
  <c r="BE123" i="16" l="1"/>
  <c r="AY171" i="16" s="1"/>
  <c r="BD123" i="16"/>
  <c r="AZ171" i="16" s="1"/>
  <c r="B59" i="16" l="1" a="1"/>
  <c r="T55" i="16"/>
  <c r="W55" i="16" s="1"/>
  <c r="C55" i="16"/>
  <c r="T54" i="16"/>
  <c r="W54" i="16" s="1"/>
  <c r="C54" i="16"/>
  <c r="T53" i="16"/>
  <c r="W53" i="16" s="1"/>
  <c r="C53" i="16"/>
  <c r="T52" i="16"/>
  <c r="X52" i="16" s="1"/>
  <c r="C52" i="16"/>
  <c r="T51" i="16"/>
  <c r="X51" i="16" s="1"/>
  <c r="C51" i="16"/>
  <c r="T50" i="16"/>
  <c r="X50" i="16" s="1"/>
  <c r="Q58" i="16"/>
  <c r="C50" i="16"/>
  <c r="Q57" i="16"/>
  <c r="T43" i="16"/>
  <c r="X43" i="16" s="1"/>
  <c r="C43" i="16"/>
  <c r="T42" i="16"/>
  <c r="X42" i="16" s="1"/>
  <c r="C42" i="16"/>
  <c r="F33" i="16"/>
  <c r="C33" i="16"/>
  <c r="E30" i="16" a="1"/>
  <c r="E30" i="16" s="1"/>
  <c r="F30" i="16" s="1"/>
  <c r="T29" i="16"/>
  <c r="X29" i="16" s="1"/>
  <c r="C29" i="16"/>
  <c r="T28" i="16"/>
  <c r="X28" i="16" s="1"/>
  <c r="C28" i="16"/>
  <c r="F27" i="16"/>
  <c r="E24" i="16" a="1"/>
  <c r="E24" i="16" s="1"/>
  <c r="F24" i="16" s="1"/>
  <c r="F21" i="16"/>
  <c r="F20" i="16"/>
  <c r="F19" i="16"/>
  <c r="H18" i="16"/>
  <c r="F18" i="16"/>
  <c r="T17" i="16"/>
  <c r="X17" i="16" s="1"/>
  <c r="C17" i="16"/>
  <c r="T16" i="16"/>
  <c r="X16" i="16" s="1"/>
  <c r="C16" i="16"/>
  <c r="E14" i="16" a="1"/>
  <c r="F15" i="16" s="1"/>
  <c r="F11" i="16"/>
  <c r="F10" i="16"/>
  <c r="H9" i="16"/>
  <c r="F9" i="16"/>
  <c r="E8" i="16" a="1"/>
  <c r="E8" i="16" s="1"/>
  <c r="F8" i="16" s="1"/>
  <c r="U7" i="16"/>
  <c r="C7" i="16"/>
  <c r="Q5" i="16"/>
  <c r="H5" i="16"/>
  <c r="E5" i="16"/>
  <c r="T4" i="16"/>
  <c r="Q4" i="16"/>
  <c r="H4" i="16"/>
  <c r="E4" i="16"/>
  <c r="B4" i="16"/>
  <c r="T3" i="16"/>
  <c r="B3" i="16"/>
  <c r="T2" i="16"/>
  <c r="Q2" i="16"/>
  <c r="H2" i="16"/>
  <c r="E2" i="16"/>
  <c r="B2" i="16"/>
  <c r="U4" i="13"/>
  <c r="AN3" i="12"/>
  <c r="AA3" i="12"/>
  <c r="AS6" i="5"/>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s="1"/>
  <c r="L58" i="1" a="1"/>
  <c r="L58" i="1" s="1"/>
  <c r="L59" i="1" a="1"/>
  <c r="L59" i="1" s="1"/>
  <c r="L60" i="1" a="1"/>
  <c r="L60" i="1" s="1"/>
  <c r="L61" i="1" a="1"/>
  <c r="L61" i="1" s="1"/>
  <c r="L62" i="1" a="1"/>
  <c r="L62" i="1" s="1"/>
  <c r="L63" i="1" a="1"/>
  <c r="L63" i="1" s="1"/>
  <c r="L64" i="1" a="1"/>
  <c r="L64" i="1" s="1"/>
  <c r="L65" i="1" a="1"/>
  <c r="L65" i="1" s="1"/>
  <c r="L66" i="1" a="1"/>
  <c r="L66" i="1" s="1"/>
  <c r="L67" i="1" a="1"/>
  <c r="L67" i="1" s="1"/>
  <c r="L68" i="1" a="1"/>
  <c r="L68" i="1" s="1"/>
  <c r="L69" i="1" a="1"/>
  <c r="L69" i="1" s="1"/>
  <c r="L70" i="1" a="1"/>
  <c r="L70" i="1" s="1"/>
  <c r="L71" i="1" a="1"/>
  <c r="L71" i="1" s="1"/>
  <c r="L72" i="1" a="1"/>
  <c r="L72" i="1" s="1"/>
  <c r="L73" i="1" a="1"/>
  <c r="L73" i="1" s="1"/>
  <c r="L74" i="1" a="1"/>
  <c r="L74" i="1" s="1"/>
  <c r="L75" i="1" a="1"/>
  <c r="L75" i="1" s="1"/>
  <c r="L76" i="1" a="1"/>
  <c r="L76" i="1" s="1"/>
  <c r="L77" i="1" a="1"/>
  <c r="L77" i="1" s="1"/>
  <c r="L78" i="1" a="1"/>
  <c r="L78" i="1" s="1"/>
  <c r="L79" i="1" a="1"/>
  <c r="L79" i="1" s="1"/>
  <c r="L80" i="1" a="1"/>
  <c r="L80" i="1" s="1"/>
  <c r="L81" i="1" a="1"/>
  <c r="L81" i="1" s="1"/>
  <c r="L82" i="1" a="1"/>
  <c r="L82" i="1" s="1"/>
  <c r="L83" i="1" a="1"/>
  <c r="L83" i="1" s="1"/>
  <c r="L84" i="1" a="1"/>
  <c r="L84" i="1" s="1"/>
  <c r="L85" i="1" a="1"/>
  <c r="L85" i="1" s="1"/>
  <c r="L86" i="1" a="1"/>
  <c r="L86" i="1" s="1"/>
  <c r="L87" i="1" a="1"/>
  <c r="L87" i="1" s="1"/>
  <c r="L88" i="1" a="1"/>
  <c r="L88" i="1" s="1"/>
  <c r="L89" i="1" a="1"/>
  <c r="L89" i="1" s="1"/>
  <c r="L90" i="1" a="1"/>
  <c r="L90" i="1" s="1"/>
  <c r="L91" i="1" a="1"/>
  <c r="L91" i="1" s="1"/>
  <c r="L92" i="1" a="1"/>
  <c r="L92" i="1" s="1"/>
  <c r="L93" i="1" a="1"/>
  <c r="L93" i="1" s="1"/>
  <c r="L94" i="1" a="1"/>
  <c r="L94" i="1" s="1"/>
  <c r="L95" i="1" a="1"/>
  <c r="L95" i="1" s="1"/>
  <c r="L96" i="1" a="1"/>
  <c r="L96" i="1" s="1"/>
  <c r="L97" i="1" a="1"/>
  <c r="L97" i="1" s="1"/>
  <c r="L98" i="1" a="1"/>
  <c r="L98" i="1" s="1"/>
  <c r="L99" i="1" a="1"/>
  <c r="L99" i="1" s="1"/>
  <c r="L100" i="1" a="1"/>
  <c r="L100" i="1" s="1"/>
  <c r="L101" i="1" a="1"/>
  <c r="L101" i="1" s="1"/>
  <c r="L102" i="1" a="1"/>
  <c r="L102" i="1" s="1"/>
  <c r="L103" i="1" a="1"/>
  <c r="L103" i="1" s="1"/>
  <c r="L104" i="1" a="1"/>
  <c r="L104" i="1" s="1"/>
  <c r="L105" i="1" a="1"/>
  <c r="L105" i="1" s="1"/>
  <c r="L106" i="1" a="1"/>
  <c r="L106" i="1" s="1"/>
  <c r="L107" i="1" a="1"/>
  <c r="L107" i="1" s="1"/>
  <c r="L108" i="1" a="1"/>
  <c r="L108" i="1" s="1"/>
  <c r="L109" i="1" a="1"/>
  <c r="L109" i="1" s="1"/>
  <c r="L110" i="1" a="1"/>
  <c r="L110" i="1" s="1"/>
  <c r="L111" i="1" a="1"/>
  <c r="L111" i="1" s="1"/>
  <c r="L112" i="1" a="1"/>
  <c r="L112" i="1" s="1"/>
  <c r="L113" i="1" a="1"/>
  <c r="L113" i="1" s="1"/>
  <c r="L114" i="1" a="1"/>
  <c r="L114" i="1" s="1"/>
  <c r="L115" i="1" a="1"/>
  <c r="L115" i="1" s="1"/>
  <c r="L116" i="1" a="1"/>
  <c r="L116" i="1" s="1"/>
  <c r="L117" i="1" a="1"/>
  <c r="L117" i="1" s="1"/>
  <c r="L118" i="1" a="1"/>
  <c r="L118" i="1" s="1"/>
  <c r="L119" i="1" a="1"/>
  <c r="L119" i="1" s="1"/>
  <c r="L120" i="1" a="1"/>
  <c r="L120" i="1" s="1"/>
  <c r="L121" i="1" a="1"/>
  <c r="L121" i="1" s="1"/>
  <c r="L122" i="1" a="1"/>
  <c r="L122" i="1" s="1"/>
  <c r="L123" i="1" a="1"/>
  <c r="L123" i="1" s="1"/>
  <c r="L124" i="1" a="1"/>
  <c r="L124" i="1" s="1"/>
  <c r="L125" i="1" a="1"/>
  <c r="L125" i="1" s="1"/>
  <c r="L126" i="1" a="1"/>
  <c r="L126" i="1" s="1"/>
  <c r="L127" i="1" a="1"/>
  <c r="L127" i="1" s="1"/>
  <c r="L128" i="1" a="1"/>
  <c r="L128" i="1" s="1"/>
  <c r="L129" i="1" a="1"/>
  <c r="L129" i="1" s="1"/>
  <c r="L130" i="1" a="1"/>
  <c r="L130" i="1" s="1"/>
  <c r="L131" i="1" a="1"/>
  <c r="L131" i="1" s="1"/>
  <c r="L132" i="1" a="1"/>
  <c r="L132" i="1" s="1"/>
  <c r="L133" i="1" a="1"/>
  <c r="L133" i="1" s="1"/>
  <c r="L134" i="1" a="1"/>
  <c r="L134" i="1" s="1"/>
  <c r="L135" i="1" a="1"/>
  <c r="L135" i="1" s="1"/>
  <c r="L136" i="1" a="1"/>
  <c r="L136" i="1" s="1"/>
  <c r="L137" i="1" a="1"/>
  <c r="L137" i="1" s="1"/>
  <c r="L138" i="1" a="1"/>
  <c r="L138" i="1" s="1"/>
  <c r="L139" i="1" a="1"/>
  <c r="L139" i="1" s="1"/>
  <c r="L140" i="1" a="1"/>
  <c r="L140" i="1" s="1"/>
  <c r="L141" i="1" a="1"/>
  <c r="L141" i="1" s="1"/>
  <c r="L142" i="1" a="1"/>
  <c r="L142" i="1" s="1"/>
  <c r="L143" i="1" a="1"/>
  <c r="L143" i="1" s="1"/>
  <c r="L144" i="1" a="1"/>
  <c r="L144" i="1" s="1"/>
  <c r="L145" i="1" a="1"/>
  <c r="L145" i="1" s="1"/>
  <c r="L146" i="1" a="1"/>
  <c r="L146" i="1" s="1"/>
  <c r="L147" i="1" a="1"/>
  <c r="L147" i="1" s="1"/>
  <c r="L148" i="1" a="1"/>
  <c r="L148" i="1" s="1"/>
  <c r="L149" i="1" a="1"/>
  <c r="L149" i="1" s="1"/>
  <c r="L150" i="1" a="1"/>
  <c r="L150" i="1" s="1"/>
  <c r="L151" i="1" a="1"/>
  <c r="L151" i="1" s="1"/>
  <c r="L152" i="1" a="1"/>
  <c r="L152" i="1" s="1"/>
  <c r="L153" i="1" a="1"/>
  <c r="L153" i="1" s="1"/>
  <c r="L154" i="1" a="1"/>
  <c r="L154" i="1" s="1"/>
  <c r="L155" i="1" a="1"/>
  <c r="L155" i="1" s="1"/>
  <c r="L156" i="1" a="1"/>
  <c r="L156" i="1" s="1"/>
  <c r="L157" i="1" a="1"/>
  <c r="L157" i="1" s="1"/>
  <c r="L158" i="1" a="1"/>
  <c r="L158" i="1" s="1"/>
  <c r="L159" i="1" a="1"/>
  <c r="L159" i="1" s="1"/>
  <c r="L160" i="1" a="1"/>
  <c r="L160" i="1" s="1"/>
  <c r="L161" i="1" a="1"/>
  <c r="L161" i="1" s="1"/>
  <c r="L162" i="1" a="1"/>
  <c r="L162" i="1" s="1"/>
  <c r="L163" i="1" a="1"/>
  <c r="L163" i="1" s="1"/>
  <c r="L164" i="1" a="1"/>
  <c r="L164" i="1" s="1"/>
  <c r="L165" i="1" a="1"/>
  <c r="L165" i="1" s="1"/>
  <c r="L166" i="1" a="1"/>
  <c r="L166" i="1" s="1"/>
  <c r="L167" i="1" a="1"/>
  <c r="L167" i="1" s="1"/>
  <c r="L168" i="1" a="1"/>
  <c r="L168" i="1" s="1"/>
  <c r="L169" i="1" a="1"/>
  <c r="L169" i="1" s="1"/>
  <c r="L170" i="1" a="1"/>
  <c r="L170" i="1" s="1"/>
  <c r="L171" i="1" a="1"/>
  <c r="L171" i="1" s="1"/>
  <c r="L172" i="1" a="1"/>
  <c r="L172" i="1" s="1"/>
  <c r="L173" i="1" a="1"/>
  <c r="L173" i="1" s="1"/>
  <c r="L174" i="1" a="1"/>
  <c r="L174" i="1" s="1"/>
  <c r="L175" i="1" a="1"/>
  <c r="L175" i="1" s="1"/>
  <c r="L176" i="1" a="1"/>
  <c r="L176" i="1" s="1"/>
  <c r="L177" i="1" a="1"/>
  <c r="L177" i="1" s="1"/>
  <c r="L178" i="1" a="1"/>
  <c r="L178" i="1" s="1"/>
  <c r="L179" i="1" a="1"/>
  <c r="L179" i="1" s="1"/>
  <c r="L180" i="1" a="1"/>
  <c r="L180" i="1" s="1"/>
  <c r="L181" i="1" a="1"/>
  <c r="L181" i="1" s="1"/>
  <c r="L182" i="1" a="1"/>
  <c r="L182" i="1" s="1"/>
  <c r="L183" i="1" a="1"/>
  <c r="L183" i="1" s="1"/>
  <c r="L184" i="1" a="1"/>
  <c r="L184" i="1" s="1"/>
  <c r="L185" i="1" a="1"/>
  <c r="L185" i="1" s="1"/>
  <c r="L186" i="1" a="1"/>
  <c r="L186" i="1" s="1"/>
  <c r="L187" i="1" a="1"/>
  <c r="L187" i="1" s="1"/>
  <c r="L188" i="1" a="1"/>
  <c r="L188" i="1" s="1"/>
  <c r="L189" i="1" a="1"/>
  <c r="L189" i="1" s="1"/>
  <c r="L190" i="1" a="1"/>
  <c r="L190" i="1" s="1"/>
  <c r="L191" i="1" a="1"/>
  <c r="L191" i="1" s="1"/>
  <c r="L192" i="1" a="1"/>
  <c r="L192" i="1" s="1"/>
  <c r="L193" i="1" a="1"/>
  <c r="L193" i="1" s="1"/>
  <c r="L194" i="1" a="1"/>
  <c r="L194" i="1" s="1"/>
  <c r="L195" i="1" a="1"/>
  <c r="L195" i="1" s="1"/>
  <c r="L10" i="1" a="1"/>
  <c r="L10" i="1" s="1"/>
  <c r="U67" i="15"/>
  <c r="T67" i="15"/>
  <c r="U66" i="15"/>
  <c r="T66" i="15"/>
  <c r="U65" i="15"/>
  <c r="T65" i="15"/>
  <c r="B59" i="15" a="1"/>
  <c r="U64" i="15"/>
  <c r="T64" i="15"/>
  <c r="U63" i="15"/>
  <c r="T63" i="15"/>
  <c r="AD55" i="15"/>
  <c r="AH55" i="15" s="1"/>
  <c r="C55" i="15"/>
  <c r="AD54" i="15"/>
  <c r="AG54" i="15" s="1"/>
  <c r="C54" i="15"/>
  <c r="AD53" i="15"/>
  <c r="AH53" i="15" s="1"/>
  <c r="C53" i="15"/>
  <c r="AD52" i="15"/>
  <c r="AH52" i="15" s="1"/>
  <c r="C52" i="15"/>
  <c r="AD51" i="15"/>
  <c r="AG51" i="15" s="1"/>
  <c r="C51" i="15"/>
  <c r="AD50" i="15"/>
  <c r="AH50" i="15" s="1"/>
  <c r="T56" i="15"/>
  <c r="C50" i="15"/>
  <c r="T55" i="15"/>
  <c r="AD43" i="15"/>
  <c r="AH43" i="15" s="1"/>
  <c r="C43" i="15"/>
  <c r="AD42" i="15"/>
  <c r="AG42" i="15" s="1"/>
  <c r="C42" i="15"/>
  <c r="T43" i="15"/>
  <c r="Q42" i="15"/>
  <c r="Q41" i="15"/>
  <c r="F33" i="15"/>
  <c r="C33" i="15"/>
  <c r="T30" i="15"/>
  <c r="E30" i="15" a="1"/>
  <c r="E30" i="15" s="1"/>
  <c r="F30" i="15" s="1"/>
  <c r="AD29" i="15"/>
  <c r="AH29" i="15" s="1"/>
  <c r="C29" i="15"/>
  <c r="AD28" i="15"/>
  <c r="AH28" i="15" s="1"/>
  <c r="C28" i="15"/>
  <c r="U27" i="15"/>
  <c r="U54" i="15" s="1"/>
  <c r="F27" i="15"/>
  <c r="E24" i="15" a="1"/>
  <c r="F25" i="15" s="1"/>
  <c r="F21" i="15"/>
  <c r="F20" i="15"/>
  <c r="F19" i="15"/>
  <c r="H18" i="15"/>
  <c r="F18" i="15"/>
  <c r="AD17" i="15"/>
  <c r="AH17" i="15" s="1"/>
  <c r="C17" i="15"/>
  <c r="AD16" i="15"/>
  <c r="AH16" i="15" s="1"/>
  <c r="C16" i="15"/>
  <c r="E14" i="15" a="1"/>
  <c r="F16" i="15" s="1"/>
  <c r="F11" i="15"/>
  <c r="F10" i="15"/>
  <c r="H9" i="15"/>
  <c r="F9" i="15"/>
  <c r="E8" i="15" a="1"/>
  <c r="E8" i="15" s="1"/>
  <c r="F8" i="15" s="1"/>
  <c r="AE7" i="15"/>
  <c r="C7" i="15"/>
  <c r="T5" i="15"/>
  <c r="Q5" i="15"/>
  <c r="H5" i="15"/>
  <c r="E5" i="15"/>
  <c r="AD4" i="15"/>
  <c r="T4" i="15"/>
  <c r="Q4" i="15"/>
  <c r="H4" i="15"/>
  <c r="E4" i="15"/>
  <c r="B4" i="15"/>
  <c r="AD3" i="15"/>
  <c r="B3" i="15"/>
  <c r="AD2" i="15"/>
  <c r="T2" i="15"/>
  <c r="Q2" i="15"/>
  <c r="H2" i="15"/>
  <c r="E2" i="15"/>
  <c r="B2" i="15"/>
  <c r="J10" i="14"/>
  <c r="U7" i="13" l="1"/>
  <c r="AA6" i="12"/>
  <c r="AN6" i="12"/>
  <c r="AN7" i="12"/>
  <c r="AA7" i="12"/>
  <c r="U6" i="13"/>
  <c r="U5" i="13"/>
  <c r="R42" i="16"/>
  <c r="F32" i="16"/>
  <c r="F32" i="15"/>
  <c r="F31" i="15"/>
  <c r="F31" i="16"/>
  <c r="F26" i="16"/>
  <c r="F26" i="15"/>
  <c r="X54" i="16"/>
  <c r="U54" i="16" s="1"/>
  <c r="W28" i="16"/>
  <c r="U28" i="16" s="1"/>
  <c r="W43" i="16"/>
  <c r="U43" i="16" s="1"/>
  <c r="X55" i="16"/>
  <c r="U55" i="16" s="1"/>
  <c r="F12" i="16"/>
  <c r="W17" i="16"/>
  <c r="U17" i="16" s="1"/>
  <c r="X53" i="16"/>
  <c r="U53" i="16" s="1"/>
  <c r="T62" i="16"/>
  <c r="X62" i="16" s="1"/>
  <c r="F25" i="16"/>
  <c r="E14" i="16"/>
  <c r="F14" i="16" s="1"/>
  <c r="T61" i="16"/>
  <c r="W50" i="16"/>
  <c r="U50" i="16" s="1"/>
  <c r="T63" i="16"/>
  <c r="W52" i="16"/>
  <c r="U52" i="16" s="1"/>
  <c r="B59" i="16"/>
  <c r="F16" i="16"/>
  <c r="T64" i="16"/>
  <c r="W42" i="16"/>
  <c r="U42" i="16" s="1"/>
  <c r="W16" i="16"/>
  <c r="U16" i="16" s="1"/>
  <c r="W29" i="16"/>
  <c r="U29" i="16" s="1"/>
  <c r="W51" i="16"/>
  <c r="U51" i="16" s="1"/>
  <c r="T60" i="16"/>
  <c r="F17" i="16"/>
  <c r="AN4" i="12"/>
  <c r="AS3" i="5" a="1"/>
  <c r="AS3" i="5" s="1"/>
  <c r="AS7" i="5"/>
  <c r="AA4" i="12"/>
  <c r="AH51" i="15"/>
  <c r="AE51" i="15" s="1"/>
  <c r="F15" i="15"/>
  <c r="F17" i="15"/>
  <c r="AG43" i="15"/>
  <c r="AE43" i="15" s="1"/>
  <c r="AH54" i="15"/>
  <c r="AE54" i="15" s="1"/>
  <c r="AG53" i="15"/>
  <c r="AE53" i="15" s="1"/>
  <c r="AG16" i="15"/>
  <c r="AE16" i="15" s="1"/>
  <c r="AG55" i="15"/>
  <c r="AE55" i="15" s="1"/>
  <c r="AH42" i="15"/>
  <c r="AE42" i="15" s="1"/>
  <c r="AD61" i="15"/>
  <c r="AG61" i="15" s="1"/>
  <c r="AD63" i="15"/>
  <c r="AH63" i="15" s="1"/>
  <c r="F12" i="15"/>
  <c r="AG17" i="15"/>
  <c r="AE17" i="15" s="1"/>
  <c r="AG50" i="15"/>
  <c r="AE50" i="15" s="1"/>
  <c r="E14" i="15"/>
  <c r="F14" i="15" s="1"/>
  <c r="AD62" i="15"/>
  <c r="B59" i="15"/>
  <c r="AG52" i="15"/>
  <c r="AE52" i="15" s="1"/>
  <c r="AD64" i="15"/>
  <c r="E24" i="15"/>
  <c r="F24" i="15" s="1"/>
  <c r="AG28" i="15"/>
  <c r="AE28" i="15" s="1"/>
  <c r="AG29" i="15"/>
  <c r="AE29" i="15" s="1"/>
  <c r="AD60" i="15"/>
  <c r="M22" i="14"/>
  <c r="M21" i="14"/>
  <c r="H8" i="1"/>
  <c r="M10" i="1"/>
  <c r="M11" i="1"/>
  <c r="M12" i="1"/>
  <c r="M13" i="1"/>
  <c r="M14" i="1"/>
  <c r="M15" i="1"/>
  <c r="M16" i="1"/>
  <c r="M17" i="1"/>
  <c r="M18" i="1"/>
  <c r="M19" i="1"/>
  <c r="M20" i="1"/>
  <c r="M21" i="1"/>
  <c r="AN5" i="12" l="1"/>
  <c r="AA5" i="12"/>
  <c r="U30" i="15"/>
  <c r="F28" i="16"/>
  <c r="F28" i="15"/>
  <c r="F34" i="16"/>
  <c r="F34" i="15"/>
  <c r="R26" i="15"/>
  <c r="W62" i="16"/>
  <c r="X64" i="16"/>
  <c r="W64" i="16"/>
  <c r="X63" i="16"/>
  <c r="W63" i="16"/>
  <c r="X60" i="16"/>
  <c r="W60" i="16"/>
  <c r="T59" i="16"/>
  <c r="X61" i="16"/>
  <c r="W61" i="16"/>
  <c r="F22" i="16"/>
  <c r="F22" i="15"/>
  <c r="AG63" i="15"/>
  <c r="AH61" i="15"/>
  <c r="AH62" i="15"/>
  <c r="AG62" i="15"/>
  <c r="AD59" i="15"/>
  <c r="AH64" i="15"/>
  <c r="AG64" i="15"/>
  <c r="AH60" i="15"/>
  <c r="AG60" i="15"/>
  <c r="M23" i="14"/>
  <c r="M16" i="14" s="1"/>
  <c r="AD61" i="14"/>
  <c r="AE61" i="14"/>
  <c r="AE60" i="14"/>
  <c r="AD60" i="14"/>
  <c r="AE59" i="14"/>
  <c r="AD59" i="14"/>
  <c r="AE58" i="14"/>
  <c r="AD58" i="14"/>
  <c r="AE57" i="14"/>
  <c r="AD57" i="14"/>
  <c r="AE45" i="14"/>
  <c r="AD45" i="14"/>
  <c r="AE44" i="14"/>
  <c r="AD44" i="14"/>
  <c r="AE43" i="14"/>
  <c r="AD43" i="14"/>
  <c r="AE42" i="14"/>
  <c r="AD42" i="14"/>
  <c r="AE41" i="14"/>
  <c r="AD41" i="14"/>
  <c r="AE40" i="14"/>
  <c r="AD40" i="14"/>
  <c r="AE36" i="14"/>
  <c r="AD36" i="14"/>
  <c r="AE35" i="14"/>
  <c r="AD35" i="14"/>
  <c r="AE34" i="14"/>
  <c r="AD34" i="14"/>
  <c r="AE33" i="14"/>
  <c r="AD33" i="14"/>
  <c r="AE32" i="14"/>
  <c r="AD32" i="14"/>
  <c r="AE31" i="14"/>
  <c r="AD31" i="14"/>
  <c r="AE30" i="14"/>
  <c r="AD30" i="14"/>
  <c r="AZ57" i="5"/>
  <c r="AY58" i="5"/>
  <c r="AZ58" i="5"/>
  <c r="AY59" i="5"/>
  <c r="AZ59" i="5"/>
  <c r="AY60" i="5"/>
  <c r="AZ60" i="5"/>
  <c r="AY61" i="5"/>
  <c r="AZ61" i="5"/>
  <c r="AY57" i="5"/>
  <c r="AU61" i="12"/>
  <c r="AT61" i="12"/>
  <c r="AU60" i="12"/>
  <c r="AT60" i="12"/>
  <c r="AU59" i="12"/>
  <c r="AT59" i="12"/>
  <c r="AU58" i="12"/>
  <c r="AT58" i="12"/>
  <c r="AU57" i="12"/>
  <c r="AT57" i="12"/>
  <c r="AO61" i="13"/>
  <c r="AN61" i="13"/>
  <c r="AO60" i="13"/>
  <c r="AN60" i="13"/>
  <c r="AO59" i="13"/>
  <c r="AN59" i="13"/>
  <c r="AO58" i="13"/>
  <c r="AN58" i="13"/>
  <c r="AO57" i="13"/>
  <c r="AN57" i="13"/>
  <c r="AN40" i="13"/>
  <c r="AO36" i="13"/>
  <c r="AN36" i="13"/>
  <c r="AO35" i="13"/>
  <c r="AN35" i="13"/>
  <c r="AO34" i="13"/>
  <c r="AN34" i="13"/>
  <c r="AO33" i="13"/>
  <c r="AN33" i="13"/>
  <c r="AO32" i="13"/>
  <c r="AN32" i="13"/>
  <c r="AO31" i="13"/>
  <c r="AN31" i="13"/>
  <c r="AO30" i="13"/>
  <c r="AN30" i="13"/>
  <c r="AT30" i="12"/>
  <c r="AT40" i="12"/>
  <c r="AT45" i="12"/>
  <c r="AU45" i="12"/>
  <c r="AU44" i="12"/>
  <c r="AT44" i="12"/>
  <c r="AU43" i="12"/>
  <c r="AT43" i="12"/>
  <c r="AU42" i="12"/>
  <c r="AT42" i="12"/>
  <c r="AU41" i="12"/>
  <c r="AT41" i="12"/>
  <c r="AU40" i="12"/>
  <c r="AU36" i="12"/>
  <c r="AT36" i="12"/>
  <c r="AU35" i="12"/>
  <c r="AT35" i="12"/>
  <c r="AU34" i="12"/>
  <c r="AT34" i="12"/>
  <c r="AU33" i="12"/>
  <c r="AT33" i="12"/>
  <c r="AU32" i="12"/>
  <c r="AT32" i="12"/>
  <c r="AU31" i="12"/>
  <c r="AT31" i="12"/>
  <c r="AU30" i="12"/>
  <c r="AZ45" i="5"/>
  <c r="AY45" i="5"/>
  <c r="AZ44" i="5"/>
  <c r="AY44" i="5"/>
  <c r="AZ43" i="5"/>
  <c r="AY43" i="5"/>
  <c r="AZ42" i="5"/>
  <c r="AY42" i="5"/>
  <c r="AZ41" i="5"/>
  <c r="AY41" i="5"/>
  <c r="AZ40" i="5"/>
  <c r="AY40" i="5"/>
  <c r="AZ36" i="5"/>
  <c r="AY36" i="5"/>
  <c r="AZ35" i="5"/>
  <c r="AY35" i="5"/>
  <c r="AZ34" i="5"/>
  <c r="AY34" i="5"/>
  <c r="AZ33" i="5"/>
  <c r="AY33" i="5"/>
  <c r="AZ32" i="5"/>
  <c r="AY32" i="5"/>
  <c r="AZ31" i="5"/>
  <c r="AY31" i="5"/>
  <c r="AZ30" i="5"/>
  <c r="AY30" i="5"/>
  <c r="AZ46" i="5" l="1"/>
  <c r="F35" i="15"/>
  <c r="AU46" i="12"/>
  <c r="AE46" i="14"/>
  <c r="F35" i="16"/>
  <c r="U40" i="15"/>
  <c r="U43" i="15"/>
  <c r="U52" i="15" s="1"/>
  <c r="R38" i="15"/>
  <c r="R40" i="15" s="1"/>
  <c r="X59" i="16"/>
  <c r="W59" i="16"/>
  <c r="AH59" i="15"/>
  <c r="AG59" i="15"/>
  <c r="B59" i="14" a="1"/>
  <c r="AN55" i="14"/>
  <c r="AR55" i="14" s="1"/>
  <c r="C55" i="14"/>
  <c r="AN54" i="14"/>
  <c r="AR54" i="14" s="1"/>
  <c r="C54" i="14"/>
  <c r="AN53" i="14"/>
  <c r="AR53" i="14" s="1"/>
  <c r="C53" i="14"/>
  <c r="AN52" i="14"/>
  <c r="AQ52" i="14" s="1"/>
  <c r="C52" i="14"/>
  <c r="AN51" i="14"/>
  <c r="AR51" i="14" s="1"/>
  <c r="C51" i="14"/>
  <c r="AN50" i="14"/>
  <c r="AQ50" i="14" s="1"/>
  <c r="AD50" i="14"/>
  <c r="C50" i="14"/>
  <c r="AD49" i="14"/>
  <c r="AN43" i="14"/>
  <c r="AR43" i="14" s="1"/>
  <c r="C43" i="14"/>
  <c r="AN42" i="14"/>
  <c r="AR42" i="14" s="1"/>
  <c r="C42" i="14"/>
  <c r="Q38" i="14"/>
  <c r="AE37" i="14"/>
  <c r="Q37" i="14"/>
  <c r="R34" i="14"/>
  <c r="F33" i="14"/>
  <c r="C33" i="14"/>
  <c r="E30" i="14" a="1"/>
  <c r="E30" i="14" s="1"/>
  <c r="F30" i="14" s="1"/>
  <c r="AN29" i="14"/>
  <c r="AQ29" i="14" s="1"/>
  <c r="C29" i="14"/>
  <c r="AN28" i="14"/>
  <c r="AR28" i="14" s="1"/>
  <c r="C28" i="14"/>
  <c r="AE27" i="14"/>
  <c r="AE48" i="14" s="1"/>
  <c r="F27" i="14"/>
  <c r="R25" i="14"/>
  <c r="E24" i="14" a="1"/>
  <c r="E24" i="14" s="1"/>
  <c r="F24" i="14" s="1"/>
  <c r="F21" i="14"/>
  <c r="F20" i="14"/>
  <c r="F19" i="14"/>
  <c r="H18" i="14"/>
  <c r="F18" i="14"/>
  <c r="AN17" i="14"/>
  <c r="AQ17" i="14" s="1"/>
  <c r="O17" i="14"/>
  <c r="C17" i="14"/>
  <c r="AN16" i="14"/>
  <c r="AR16" i="14" s="1"/>
  <c r="O16" i="14"/>
  <c r="C16" i="14"/>
  <c r="R15" i="14"/>
  <c r="O15" i="14"/>
  <c r="O14" i="14"/>
  <c r="E14" i="14" a="1"/>
  <c r="F16" i="14" s="1"/>
  <c r="O12" i="14"/>
  <c r="AA3" i="14"/>
  <c r="Z3" i="14"/>
  <c r="O11" i="14"/>
  <c r="F11" i="14"/>
  <c r="O10" i="14"/>
  <c r="F10" i="14"/>
  <c r="H9" i="14"/>
  <c r="F9" i="14"/>
  <c r="T6" i="14"/>
  <c r="E8" i="14" a="1"/>
  <c r="E8" i="14" s="1"/>
  <c r="F8" i="14" s="1"/>
  <c r="AO7" i="14"/>
  <c r="C7" i="14"/>
  <c r="AD5" i="14"/>
  <c r="Q5" i="14"/>
  <c r="H5" i="14"/>
  <c r="E5" i="14"/>
  <c r="AN4" i="14"/>
  <c r="AD4" i="14"/>
  <c r="Q4" i="14"/>
  <c r="H4" i="14"/>
  <c r="E4" i="14"/>
  <c r="B4" i="14"/>
  <c r="AN3" i="14"/>
  <c r="T1" i="14"/>
  <c r="B3" i="14"/>
  <c r="AN2" i="14"/>
  <c r="AD2" i="14"/>
  <c r="Q2" i="14"/>
  <c r="H2" i="14"/>
  <c r="E2" i="14"/>
  <c r="B2" i="14"/>
  <c r="AN62" i="14" l="1"/>
  <c r="AQ62" i="14" s="1"/>
  <c r="V8" i="14" a="1"/>
  <c r="V8" i="14" s="1"/>
  <c r="S8" i="14" a="1"/>
  <c r="S8" i="14" s="1"/>
  <c r="AY134" i="16"/>
  <c r="R8" i="16" s="1"/>
  <c r="F32" i="14"/>
  <c r="F31" i="14"/>
  <c r="F26" i="14"/>
  <c r="X3" i="14"/>
  <c r="R36" i="14"/>
  <c r="F12" i="14"/>
  <c r="F25" i="14"/>
  <c r="AN64" i="14"/>
  <c r="AR64" i="14" s="1"/>
  <c r="AN63" i="14"/>
  <c r="AR63" i="14" s="1"/>
  <c r="AN61" i="14"/>
  <c r="AQ61" i="14" s="1"/>
  <c r="AQ51" i="14"/>
  <c r="AO51" i="14" s="1"/>
  <c r="B59" i="14"/>
  <c r="AQ42" i="14"/>
  <c r="AO42" i="14" s="1"/>
  <c r="AQ53" i="14"/>
  <c r="AO53" i="14" s="1"/>
  <c r="AQ28" i="14"/>
  <c r="AO28" i="14" s="1"/>
  <c r="AR62" i="14"/>
  <c r="AR17" i="14"/>
  <c r="AO17" i="14" s="1"/>
  <c r="AR29" i="14"/>
  <c r="AO29" i="14" s="1"/>
  <c r="AR50" i="14"/>
  <c r="AO50" i="14" s="1"/>
  <c r="AQ16" i="14"/>
  <c r="AO16" i="14" s="1"/>
  <c r="E14" i="14"/>
  <c r="F14" i="14" s="1"/>
  <c r="F17" i="14"/>
  <c r="AR52" i="14"/>
  <c r="AO52" i="14" s="1"/>
  <c r="F15" i="14"/>
  <c r="U8" i="14" a="1"/>
  <c r="U8" i="14" s="1"/>
  <c r="AQ54" i="14"/>
  <c r="AO54" i="14" s="1"/>
  <c r="AQ43" i="14"/>
  <c r="AO43" i="14" s="1"/>
  <c r="T8" i="14" a="1"/>
  <c r="T8" i="14" s="1"/>
  <c r="AN60" i="14"/>
  <c r="AQ55" i="14"/>
  <c r="AO55" i="14" s="1"/>
  <c r="F27" i="13"/>
  <c r="F11" i="13"/>
  <c r="F10" i="13"/>
  <c r="F9" i="13"/>
  <c r="F33" i="13"/>
  <c r="F21" i="13"/>
  <c r="F20" i="13"/>
  <c r="F19" i="13"/>
  <c r="F18" i="13"/>
  <c r="E30" i="13" a="1"/>
  <c r="E30" i="13" s="1"/>
  <c r="F30" i="13" s="1"/>
  <c r="E24" i="13" a="1"/>
  <c r="E24" i="13" s="1"/>
  <c r="F24" i="13" s="1"/>
  <c r="E14" i="13" a="1"/>
  <c r="E14" i="13" s="1"/>
  <c r="F14" i="13" s="1"/>
  <c r="E8" i="13" a="1"/>
  <c r="E8" i="13" s="1"/>
  <c r="F8" i="13" s="1"/>
  <c r="B59" i="13" a="1"/>
  <c r="AX55" i="13"/>
  <c r="BB55" i="13" s="1"/>
  <c r="C55" i="13"/>
  <c r="AX54" i="13"/>
  <c r="BA54" i="13" s="1"/>
  <c r="C54" i="13"/>
  <c r="AX53" i="13"/>
  <c r="BB53" i="13" s="1"/>
  <c r="C53" i="13"/>
  <c r="AX52" i="13"/>
  <c r="BB52" i="13" s="1"/>
  <c r="C52" i="13"/>
  <c r="AX51" i="13"/>
  <c r="BA51" i="13" s="1"/>
  <c r="C51" i="13"/>
  <c r="AX50" i="13"/>
  <c r="BB50" i="13" s="1"/>
  <c r="AN50" i="13"/>
  <c r="C50" i="13"/>
  <c r="AN49" i="13"/>
  <c r="AX43" i="13"/>
  <c r="BB43" i="13" s="1"/>
  <c r="C43" i="13"/>
  <c r="AX42" i="13"/>
  <c r="BA42" i="13" s="1"/>
  <c r="C42" i="13"/>
  <c r="AA38" i="13"/>
  <c r="AA37" i="13"/>
  <c r="AB34" i="13"/>
  <c r="C33" i="13"/>
  <c r="AX29" i="13"/>
  <c r="BB29" i="13" s="1"/>
  <c r="C29" i="13"/>
  <c r="AX28" i="13"/>
  <c r="BA28" i="13" s="1"/>
  <c r="C28" i="13"/>
  <c r="AB25" i="13"/>
  <c r="H18" i="13"/>
  <c r="AX17" i="13"/>
  <c r="BA17" i="13" s="1"/>
  <c r="O17" i="13"/>
  <c r="C17" i="13"/>
  <c r="AX16" i="13"/>
  <c r="BA16" i="13" s="1"/>
  <c r="O16" i="13"/>
  <c r="C16" i="13"/>
  <c r="AB15" i="13"/>
  <c r="O15" i="13"/>
  <c r="O14" i="13"/>
  <c r="O13" i="13"/>
  <c r="O12" i="13"/>
  <c r="O11" i="13"/>
  <c r="O10" i="13"/>
  <c r="H9" i="13"/>
  <c r="AD6" i="13"/>
  <c r="AY7" i="13"/>
  <c r="C7" i="13"/>
  <c r="AN5" i="13"/>
  <c r="AA5" i="13"/>
  <c r="H5" i="13"/>
  <c r="E5" i="13"/>
  <c r="AN4" i="13"/>
  <c r="AA4" i="13"/>
  <c r="H4" i="13"/>
  <c r="E4" i="13"/>
  <c r="B4" i="13"/>
  <c r="AD1" i="13"/>
  <c r="B3" i="13"/>
  <c r="AN2" i="13"/>
  <c r="AA2" i="13"/>
  <c r="H2" i="13"/>
  <c r="E2" i="13"/>
  <c r="B2" i="13"/>
  <c r="B59" i="12" a="1"/>
  <c r="C55" i="12"/>
  <c r="C54" i="12"/>
  <c r="C53" i="12"/>
  <c r="C52" i="12"/>
  <c r="C51" i="12"/>
  <c r="C50" i="12"/>
  <c r="C43" i="12"/>
  <c r="C42" i="12"/>
  <c r="C29" i="12"/>
  <c r="C28" i="12"/>
  <c r="C16" i="12"/>
  <c r="C17" i="12"/>
  <c r="BD55" i="12"/>
  <c r="BH55" i="12" s="1"/>
  <c r="BD54" i="12"/>
  <c r="BH54" i="12" s="1"/>
  <c r="BD53" i="12"/>
  <c r="BH53" i="12" s="1"/>
  <c r="BD52" i="12"/>
  <c r="BH52" i="12" s="1"/>
  <c r="BD51" i="12"/>
  <c r="BH51" i="12" s="1"/>
  <c r="BD50" i="12"/>
  <c r="BG50" i="12" s="1"/>
  <c r="AT50" i="12"/>
  <c r="AT49" i="12"/>
  <c r="BD43" i="12"/>
  <c r="BH43" i="12" s="1"/>
  <c r="BD42" i="12"/>
  <c r="BH42" i="12" s="1"/>
  <c r="AG38" i="12"/>
  <c r="AU37" i="12"/>
  <c r="AG37" i="12"/>
  <c r="AH34" i="12"/>
  <c r="C33" i="12"/>
  <c r="BD29" i="12"/>
  <c r="BG29" i="12" s="1"/>
  <c r="BD28" i="12"/>
  <c r="BH28" i="12" s="1"/>
  <c r="AU27" i="12"/>
  <c r="AU48" i="12" s="1"/>
  <c r="AH25" i="12"/>
  <c r="N18" i="12"/>
  <c r="BD17" i="12"/>
  <c r="BG17" i="12" s="1"/>
  <c r="U17" i="12"/>
  <c r="BD16" i="12"/>
  <c r="BG16" i="12" s="1"/>
  <c r="U16" i="12"/>
  <c r="AH15" i="12"/>
  <c r="U15" i="12"/>
  <c r="U14" i="12"/>
  <c r="U13" i="12"/>
  <c r="U12" i="12"/>
  <c r="U11" i="12"/>
  <c r="U10" i="12"/>
  <c r="N9" i="12"/>
  <c r="AJ6" i="12"/>
  <c r="K8" i="12" a="1"/>
  <c r="K8" i="12" s="1"/>
  <c r="J8" i="12" a="1"/>
  <c r="J8" i="12" s="1"/>
  <c r="I8" i="12" a="1"/>
  <c r="I8" i="12" s="1"/>
  <c r="H8" i="12" a="1"/>
  <c r="H8" i="12" s="1"/>
  <c r="BE7" i="12"/>
  <c r="C7" i="12"/>
  <c r="AT5" i="12"/>
  <c r="AG5" i="12"/>
  <c r="N5" i="12"/>
  <c r="E5" i="12"/>
  <c r="BD4" i="12"/>
  <c r="AT4" i="12"/>
  <c r="AG4" i="12"/>
  <c r="N4" i="12"/>
  <c r="E4" i="12"/>
  <c r="B4" i="12"/>
  <c r="BD3" i="12"/>
  <c r="AJ1" i="12"/>
  <c r="B3" i="12"/>
  <c r="BD2" i="12"/>
  <c r="AT2" i="12"/>
  <c r="AG2" i="12"/>
  <c r="N2" i="12"/>
  <c r="E2" i="12"/>
  <c r="B2" i="12"/>
  <c r="BI65" i="5"/>
  <c r="BI64" i="5"/>
  <c r="BI63" i="5"/>
  <c r="BI62" i="5"/>
  <c r="BI60" i="5"/>
  <c r="BI59" i="5"/>
  <c r="BI55" i="5"/>
  <c r="BI54" i="5"/>
  <c r="BI53" i="5"/>
  <c r="BI52" i="5"/>
  <c r="BI51" i="5"/>
  <c r="BI50" i="5"/>
  <c r="BI49" i="5"/>
  <c r="BI48" i="5"/>
  <c r="BI47" i="5"/>
  <c r="BI46" i="5"/>
  <c r="BI43" i="5"/>
  <c r="BI42" i="5"/>
  <c r="BI41" i="5"/>
  <c r="BI40" i="5"/>
  <c r="BI39" i="5"/>
  <c r="BI38" i="5"/>
  <c r="BI37" i="5"/>
  <c r="BI36" i="5"/>
  <c r="BI35" i="5"/>
  <c r="BI34" i="5"/>
  <c r="BI29" i="5"/>
  <c r="BI28" i="5"/>
  <c r="BI27" i="5"/>
  <c r="BI26" i="5"/>
  <c r="BI25" i="5"/>
  <c r="BI24" i="5"/>
  <c r="BI23" i="5"/>
  <c r="BI22" i="5"/>
  <c r="BI21" i="5"/>
  <c r="BI20" i="5"/>
  <c r="BI17" i="5"/>
  <c r="BI16" i="5"/>
  <c r="BI15" i="5"/>
  <c r="BI14" i="5"/>
  <c r="BI13" i="5"/>
  <c r="BI12" i="5"/>
  <c r="BI11" i="5"/>
  <c r="BI10" i="5"/>
  <c r="BI9" i="5"/>
  <c r="BJ7" i="5"/>
  <c r="BI3" i="5"/>
  <c r="BJ66" i="5"/>
  <c r="BJ56" i="5"/>
  <c r="BJ44" i="5"/>
  <c r="BJ30" i="5"/>
  <c r="BJ18" i="5"/>
  <c r="BI4" i="5"/>
  <c r="BI2" i="5"/>
  <c r="AO1" i="5"/>
  <c r="AY50" i="5"/>
  <c r="AY49" i="5"/>
  <c r="AZ37" i="5"/>
  <c r="AZ27" i="5"/>
  <c r="B3" i="5"/>
  <c r="AM34" i="5"/>
  <c r="AM25" i="5"/>
  <c r="AM15" i="5"/>
  <c r="AL38" i="5"/>
  <c r="AL37" i="5"/>
  <c r="AY5" i="5"/>
  <c r="AY4" i="5"/>
  <c r="AY2" i="5"/>
  <c r="AL5" i="5"/>
  <c r="AL4" i="5"/>
  <c r="AL2" i="5"/>
  <c r="Z17" i="5"/>
  <c r="Z16" i="5"/>
  <c r="Z15" i="5"/>
  <c r="Z14" i="5"/>
  <c r="Z13" i="5"/>
  <c r="Z12" i="5"/>
  <c r="Z11" i="5"/>
  <c r="Z10" i="5"/>
  <c r="C33" i="5"/>
  <c r="C7" i="5"/>
  <c r="C66" i="5"/>
  <c r="C56" i="5"/>
  <c r="C44" i="5"/>
  <c r="C30" i="5"/>
  <c r="C18" i="5"/>
  <c r="BH50" i="12" l="1"/>
  <c r="BD62" i="12"/>
  <c r="BH62" i="12" s="1"/>
  <c r="AL8" i="12" a="1"/>
  <c r="AL8" i="12" s="1"/>
  <c r="AI8" i="12" a="1"/>
  <c r="AI8" i="12" s="1"/>
  <c r="AX63" i="13"/>
  <c r="BB63" i="13" s="1"/>
  <c r="AF8" i="13" a="1"/>
  <c r="AF8" i="13" s="1"/>
  <c r="AC8" i="13" a="1"/>
  <c r="AC8" i="13" s="1"/>
  <c r="B46" i="20" a="1"/>
  <c r="B34" i="20" a="1"/>
  <c r="B20" i="20" a="1"/>
  <c r="B8" i="20" a="1"/>
  <c r="F28" i="14"/>
  <c r="F32" i="13"/>
  <c r="F34" i="14"/>
  <c r="F31" i="13"/>
  <c r="F26" i="13"/>
  <c r="B34" i="16" a="1"/>
  <c r="B46" i="16" a="1"/>
  <c r="B8" i="16" a="1"/>
  <c r="B20" i="16" a="1"/>
  <c r="B20" i="15" a="1"/>
  <c r="B8" i="15" a="1"/>
  <c r="AQ63" i="14"/>
  <c r="B34" i="15" a="1"/>
  <c r="B46" i="15" a="1"/>
  <c r="BG51" i="12"/>
  <c r="BE51" i="12" s="1"/>
  <c r="BH17" i="12"/>
  <c r="BE17" i="12" s="1"/>
  <c r="BH16" i="12"/>
  <c r="BE16" i="12" s="1"/>
  <c r="BG42" i="12"/>
  <c r="BE42" i="12" s="1"/>
  <c r="BG43" i="12"/>
  <c r="BE43" i="12" s="1"/>
  <c r="AQ64" i="14"/>
  <c r="B34" i="12" a="1"/>
  <c r="AO8" i="5" a="1"/>
  <c r="AO8" i="5" s="1"/>
  <c r="B20" i="12" a="1"/>
  <c r="BJ31" i="5"/>
  <c r="AP8" i="5" a="1"/>
  <c r="AP8" i="5" s="1"/>
  <c r="B34" i="13" a="1"/>
  <c r="B8" i="13" a="1"/>
  <c r="B20" i="13" a="1"/>
  <c r="B8" i="12" a="1"/>
  <c r="B46" i="12" a="1"/>
  <c r="B46" i="13" a="1"/>
  <c r="B8" i="14" a="1"/>
  <c r="B20" i="14" a="1"/>
  <c r="B34" i="14" a="1"/>
  <c r="B46" i="14" a="1"/>
  <c r="AF6" i="5" a="1"/>
  <c r="AF6" i="5" s="1"/>
  <c r="AF7" i="5" a="1"/>
  <c r="AF7" i="5" s="1"/>
  <c r="AX64" i="13"/>
  <c r="BA64" i="13" s="1"/>
  <c r="BD64" i="12"/>
  <c r="BH64" i="12" s="1"/>
  <c r="BD63" i="12"/>
  <c r="BH63" i="12" s="1"/>
  <c r="BD60" i="12"/>
  <c r="BH60" i="12" s="1"/>
  <c r="AX62" i="13"/>
  <c r="BB62" i="13" s="1"/>
  <c r="AR61" i="14"/>
  <c r="BG62" i="12"/>
  <c r="B59" i="12"/>
  <c r="BD59" i="12" s="1"/>
  <c r="BD61" i="12"/>
  <c r="AN59" i="14"/>
  <c r="F22" i="14"/>
  <c r="AR60" i="14"/>
  <c r="AQ60" i="14"/>
  <c r="BG52" i="12"/>
  <c r="BE52" i="12" s="1"/>
  <c r="BH29" i="12"/>
  <c r="BE29" i="12" s="1"/>
  <c r="BG53" i="12"/>
  <c r="BE53" i="12" s="1"/>
  <c r="BG28" i="12"/>
  <c r="BE28" i="12" s="1"/>
  <c r="BG54" i="12"/>
  <c r="BE54" i="12" s="1"/>
  <c r="BG55" i="12"/>
  <c r="BE55" i="12" s="1"/>
  <c r="BB54" i="13"/>
  <c r="AY54" i="13" s="1"/>
  <c r="F12" i="13"/>
  <c r="AB36" i="13"/>
  <c r="BB17" i="13"/>
  <c r="AY17" i="13" s="1"/>
  <c r="BA29" i="13"/>
  <c r="AY29" i="13" s="1"/>
  <c r="BB16" i="13"/>
  <c r="AY16" i="13" s="1"/>
  <c r="BB42" i="13"/>
  <c r="AY42" i="13" s="1"/>
  <c r="BA55" i="13"/>
  <c r="AY55" i="13" s="1"/>
  <c r="AX60" i="13"/>
  <c r="BB60" i="13" s="1"/>
  <c r="AD8" i="13" a="1"/>
  <c r="AD8" i="13" s="1"/>
  <c r="AX61" i="13"/>
  <c r="BB61" i="13" s="1"/>
  <c r="BA52" i="13"/>
  <c r="AY52" i="13" s="1"/>
  <c r="F25" i="13"/>
  <c r="F15" i="13"/>
  <c r="F16" i="13"/>
  <c r="F17" i="13"/>
  <c r="BE50" i="12"/>
  <c r="BA43" i="13"/>
  <c r="AY43" i="13" s="1"/>
  <c r="BA53" i="13"/>
  <c r="AY53" i="13" s="1"/>
  <c r="BA50" i="13"/>
  <c r="AY50" i="13" s="1"/>
  <c r="B59" i="13"/>
  <c r="AE8" i="13" a="1"/>
  <c r="AE8" i="13" s="1"/>
  <c r="BB28" i="13"/>
  <c r="AY28" i="13" s="1"/>
  <c r="BB51" i="13"/>
  <c r="AY51" i="13" s="1"/>
  <c r="AH36" i="12"/>
  <c r="AJ8" i="12" a="1"/>
  <c r="AJ8" i="12" s="1"/>
  <c r="AK8" i="12" a="1"/>
  <c r="AK8" i="12" s="1"/>
  <c r="BJ57" i="5"/>
  <c r="BJ67" i="5" s="1"/>
  <c r="AM36" i="5"/>
  <c r="C57" i="5"/>
  <c r="C67" i="5" s="1"/>
  <c r="C31" i="5"/>
  <c r="BA63" i="13" l="1"/>
  <c r="T15" i="16"/>
  <c r="BD15" i="12"/>
  <c r="T15" i="20"/>
  <c r="AX15" i="13"/>
  <c r="T41" i="16"/>
  <c r="AX41" i="13"/>
  <c r="BD41" i="12"/>
  <c r="T41" i="20"/>
  <c r="BD39" i="12"/>
  <c r="BH39" i="12" s="1"/>
  <c r="BD40" i="12"/>
  <c r="AX39" i="13"/>
  <c r="BB39" i="13" s="1"/>
  <c r="AX40" i="13"/>
  <c r="T39" i="16"/>
  <c r="W39" i="16" s="1"/>
  <c r="T40" i="16"/>
  <c r="T40" i="20"/>
  <c r="AX49" i="13"/>
  <c r="BD49" i="12"/>
  <c r="T49" i="16"/>
  <c r="AD49" i="15"/>
  <c r="AN49" i="14"/>
  <c r="T49" i="20"/>
  <c r="AD48" i="15"/>
  <c r="T48" i="16"/>
  <c r="BD48" i="12"/>
  <c r="AX48" i="13"/>
  <c r="AN48" i="14"/>
  <c r="T48" i="20"/>
  <c r="B46" i="14"/>
  <c r="AN46" i="14" s="1"/>
  <c r="AN47" i="14"/>
  <c r="B46" i="16"/>
  <c r="T46" i="16" s="1"/>
  <c r="T47" i="16"/>
  <c r="B46" i="13"/>
  <c r="AX46" i="13" s="1"/>
  <c r="BB46" i="13" s="1"/>
  <c r="AX47" i="13"/>
  <c r="B46" i="12"/>
  <c r="BD46" i="12" s="1"/>
  <c r="BH46" i="12" s="1"/>
  <c r="BD47" i="12"/>
  <c r="B46" i="15"/>
  <c r="AD46" i="15" s="1"/>
  <c r="AD47" i="15"/>
  <c r="B46" i="20"/>
  <c r="T46" i="20" s="1"/>
  <c r="T47" i="20"/>
  <c r="T27" i="16"/>
  <c r="AD27" i="15"/>
  <c r="AX27" i="13"/>
  <c r="BD27" i="12"/>
  <c r="AN27" i="14"/>
  <c r="T27" i="20"/>
  <c r="T26" i="16"/>
  <c r="AX26" i="13"/>
  <c r="BD26" i="12"/>
  <c r="T26" i="20"/>
  <c r="T25" i="16"/>
  <c r="AX25" i="13"/>
  <c r="BD25" i="12"/>
  <c r="T25" i="20"/>
  <c r="AX24" i="13"/>
  <c r="BD24" i="12"/>
  <c r="T24" i="16"/>
  <c r="T24" i="20"/>
  <c r="BD14" i="12"/>
  <c r="AX14" i="13"/>
  <c r="T14" i="16"/>
  <c r="T14" i="20"/>
  <c r="T13" i="20"/>
  <c r="T10" i="20"/>
  <c r="B8" i="20"/>
  <c r="T9" i="20"/>
  <c r="T11" i="20"/>
  <c r="T12" i="20"/>
  <c r="T22" i="20"/>
  <c r="B20" i="20"/>
  <c r="T21" i="20"/>
  <c r="T23" i="20"/>
  <c r="T39" i="20"/>
  <c r="B34" i="20"/>
  <c r="T37" i="20"/>
  <c r="T38" i="20"/>
  <c r="T35" i="20"/>
  <c r="T36" i="20"/>
  <c r="F35" i="14"/>
  <c r="O13" i="14" s="1"/>
  <c r="F28" i="13"/>
  <c r="BI135" i="16"/>
  <c r="F34" i="13"/>
  <c r="BD13" i="12"/>
  <c r="T13" i="16"/>
  <c r="AX13" i="13"/>
  <c r="BD21" i="12"/>
  <c r="BH21" i="12" s="1"/>
  <c r="BD23" i="12"/>
  <c r="B8" i="12"/>
  <c r="BD8" i="12" s="1"/>
  <c r="BH8" i="12" s="1"/>
  <c r="BD12" i="12"/>
  <c r="B34" i="12"/>
  <c r="BD34" i="12" s="1"/>
  <c r="BH34" i="12" s="1"/>
  <c r="BD38" i="12"/>
  <c r="AX23" i="13"/>
  <c r="AX9" i="13"/>
  <c r="BA9" i="13" s="1"/>
  <c r="AX12" i="13"/>
  <c r="T23" i="16"/>
  <c r="T12" i="16"/>
  <c r="B34" i="13"/>
  <c r="AX34" i="13" s="1"/>
  <c r="BA34" i="13" s="1"/>
  <c r="AX38" i="13"/>
  <c r="T38" i="16"/>
  <c r="T37" i="16"/>
  <c r="T35" i="16"/>
  <c r="B34" i="16"/>
  <c r="T36" i="16"/>
  <c r="T21" i="16"/>
  <c r="B20" i="16"/>
  <c r="T22" i="16"/>
  <c r="T10" i="16"/>
  <c r="B8" i="16"/>
  <c r="T9" i="16"/>
  <c r="T11" i="16"/>
  <c r="AS4" i="5"/>
  <c r="AS5" i="5"/>
  <c r="B34" i="15"/>
  <c r="B8" i="15"/>
  <c r="B20" i="15"/>
  <c r="AX36" i="13"/>
  <c r="BA36" i="13" s="1"/>
  <c r="BD35" i="12"/>
  <c r="BG35" i="12" s="1"/>
  <c r="BD36" i="12"/>
  <c r="BH36" i="12" s="1"/>
  <c r="BD37" i="12"/>
  <c r="BG37" i="12" s="1"/>
  <c r="AX35" i="13"/>
  <c r="BB35" i="13" s="1"/>
  <c r="AX10" i="13"/>
  <c r="BB10" i="13" s="1"/>
  <c r="AX37" i="13"/>
  <c r="BA37" i="13" s="1"/>
  <c r="BD9" i="12"/>
  <c r="BG9" i="12" s="1"/>
  <c r="AX22" i="13"/>
  <c r="AX11" i="13"/>
  <c r="BB11" i="13" s="1"/>
  <c r="B20" i="12"/>
  <c r="BD20" i="12" s="1"/>
  <c r="BH20" i="12" s="1"/>
  <c r="BD22" i="12"/>
  <c r="B20" i="13"/>
  <c r="AX20" i="13" s="1"/>
  <c r="BA20" i="13" s="1"/>
  <c r="AX21" i="13"/>
  <c r="BA21" i="13" s="1"/>
  <c r="BD11" i="12"/>
  <c r="BG11" i="12" s="1"/>
  <c r="B8" i="13"/>
  <c r="AX8" i="13" s="1"/>
  <c r="BA8" i="13" s="1"/>
  <c r="BD10" i="12"/>
  <c r="BG10" i="12" s="1"/>
  <c r="B5" i="1" a="1"/>
  <c r="B5" i="1" s="1"/>
  <c r="BG64" i="12"/>
  <c r="BG63" i="12"/>
  <c r="B34" i="14"/>
  <c r="B20" i="14"/>
  <c r="B8" i="14"/>
  <c r="BB64" i="13"/>
  <c r="BG60" i="12"/>
  <c r="AZ49" i="5"/>
  <c r="AZ50" i="5" s="1"/>
  <c r="AM37" i="5"/>
  <c r="AM38" i="5" s="1"/>
  <c r="BI8" i="5"/>
  <c r="AF5" i="5" a="1"/>
  <c r="AF5" i="5" s="1"/>
  <c r="BA62" i="13"/>
  <c r="BG61" i="12"/>
  <c r="BH61" i="12"/>
  <c r="AR59" i="14"/>
  <c r="AQ59" i="14"/>
  <c r="BH59" i="12"/>
  <c r="BG59" i="12"/>
  <c r="BA61" i="13"/>
  <c r="F22" i="13"/>
  <c r="BA60" i="13"/>
  <c r="AX59" i="13"/>
  <c r="AF4" i="5" a="1"/>
  <c r="AF4" i="5" s="1"/>
  <c r="B4" i="1" a="1"/>
  <c r="B4" i="1" s="1"/>
  <c r="X39" i="16" l="1"/>
  <c r="BG39" i="12"/>
  <c r="BB15" i="13"/>
  <c r="BA15" i="13"/>
  <c r="X15" i="20"/>
  <c r="W15" i="20"/>
  <c r="BG15" i="12"/>
  <c r="BH15" i="12"/>
  <c r="W15" i="16"/>
  <c r="X15" i="16"/>
  <c r="BG46" i="12"/>
  <c r="X41" i="20"/>
  <c r="W41" i="20"/>
  <c r="BA39" i="13"/>
  <c r="BH41" i="12"/>
  <c r="BG41" i="12"/>
  <c r="BA41" i="13"/>
  <c r="BB41" i="13"/>
  <c r="X41" i="16"/>
  <c r="W41" i="16"/>
  <c r="X40" i="20"/>
  <c r="W40" i="20"/>
  <c r="X40" i="16"/>
  <c r="W40" i="16"/>
  <c r="BB40" i="13"/>
  <c r="BA40" i="13"/>
  <c r="BG40" i="12"/>
  <c r="BH40" i="12"/>
  <c r="X49" i="20"/>
  <c r="W49" i="20"/>
  <c r="AR49" i="14"/>
  <c r="AQ49" i="14"/>
  <c r="AH49" i="15"/>
  <c r="AG49" i="15"/>
  <c r="X49" i="16"/>
  <c r="W49" i="16"/>
  <c r="BH49" i="12"/>
  <c r="BG49" i="12"/>
  <c r="BB49" i="13"/>
  <c r="BA49" i="13"/>
  <c r="X48" i="20"/>
  <c r="W48" i="20"/>
  <c r="AR48" i="14"/>
  <c r="AQ48" i="14"/>
  <c r="BA48" i="13"/>
  <c r="BB48" i="13"/>
  <c r="BH48" i="12"/>
  <c r="BG48" i="12"/>
  <c r="BA46" i="13"/>
  <c r="X48" i="16"/>
  <c r="W48" i="16"/>
  <c r="AH48" i="15"/>
  <c r="AG48" i="15"/>
  <c r="X47" i="20"/>
  <c r="W47" i="20"/>
  <c r="AH47" i="15"/>
  <c r="AG47" i="15"/>
  <c r="BH47" i="12"/>
  <c r="BG47" i="12"/>
  <c r="BB47" i="13"/>
  <c r="BA47" i="13"/>
  <c r="X47" i="16"/>
  <c r="W47" i="16"/>
  <c r="AR47" i="14"/>
  <c r="AQ47" i="14"/>
  <c r="X27" i="20"/>
  <c r="W27" i="20"/>
  <c r="AQ27" i="14"/>
  <c r="AR27" i="14"/>
  <c r="BH27" i="12"/>
  <c r="BG27" i="12"/>
  <c r="BB27" i="13"/>
  <c r="BA27" i="13"/>
  <c r="AH27" i="15"/>
  <c r="AG27" i="15"/>
  <c r="X27" i="16"/>
  <c r="W27" i="16"/>
  <c r="X26" i="20"/>
  <c r="W26" i="20"/>
  <c r="BG26" i="12"/>
  <c r="BH26" i="12"/>
  <c r="BB26" i="13"/>
  <c r="BA26" i="13"/>
  <c r="W26" i="16"/>
  <c r="X26" i="16"/>
  <c r="W25" i="20"/>
  <c r="X25" i="20"/>
  <c r="BG25" i="12"/>
  <c r="BH25" i="12"/>
  <c r="BB25" i="13"/>
  <c r="BA25" i="13"/>
  <c r="X25" i="16"/>
  <c r="W25" i="16"/>
  <c r="X24" i="20"/>
  <c r="W24" i="20"/>
  <c r="X24" i="16"/>
  <c r="W24" i="16"/>
  <c r="BG24" i="12"/>
  <c r="BH24" i="12"/>
  <c r="BB24" i="13"/>
  <c r="BA24" i="13"/>
  <c r="X14" i="20"/>
  <c r="W14" i="20"/>
  <c r="W14" i="16"/>
  <c r="X14" i="16"/>
  <c r="BB14" i="13"/>
  <c r="BA14" i="13"/>
  <c r="BG14" i="12"/>
  <c r="BH14" i="12"/>
  <c r="W13" i="20"/>
  <c r="X13" i="20"/>
  <c r="W46" i="20"/>
  <c r="X46" i="20"/>
  <c r="W38" i="20"/>
  <c r="X38" i="20"/>
  <c r="T34" i="20"/>
  <c r="X39" i="20"/>
  <c r="W39" i="20"/>
  <c r="X23" i="20"/>
  <c r="W23" i="20"/>
  <c r="W21" i="20"/>
  <c r="X21" i="20"/>
  <c r="T20" i="20"/>
  <c r="X22" i="20"/>
  <c r="W22" i="20"/>
  <c r="W35" i="20"/>
  <c r="X35" i="20"/>
  <c r="X36" i="20"/>
  <c r="W36" i="20"/>
  <c r="W12" i="20"/>
  <c r="X12" i="20"/>
  <c r="F35" i="13"/>
  <c r="W11" i="20"/>
  <c r="X11" i="20"/>
  <c r="W37" i="20"/>
  <c r="X37" i="20"/>
  <c r="X9" i="20"/>
  <c r="W9" i="20"/>
  <c r="T8" i="20"/>
  <c r="X10" i="20"/>
  <c r="W10" i="20"/>
  <c r="BG21" i="12"/>
  <c r="BH9" i="12"/>
  <c r="BG8" i="12"/>
  <c r="BB13" i="13"/>
  <c r="BA13" i="13"/>
  <c r="BB9" i="13"/>
  <c r="X13" i="16"/>
  <c r="W13" i="16"/>
  <c r="BG13" i="12"/>
  <c r="BH13" i="12"/>
  <c r="BH10" i="12"/>
  <c r="BB38" i="13"/>
  <c r="BA38" i="13"/>
  <c r="BB12" i="13"/>
  <c r="BA12" i="13"/>
  <c r="BA23" i="13"/>
  <c r="BB23" i="13"/>
  <c r="BH38" i="12"/>
  <c r="BG38" i="12"/>
  <c r="BH12" i="12"/>
  <c r="BG12" i="12"/>
  <c r="X12" i="16"/>
  <c r="W12" i="16"/>
  <c r="BG23" i="12"/>
  <c r="BH23" i="12"/>
  <c r="X38" i="16"/>
  <c r="W38" i="16"/>
  <c r="W23" i="16"/>
  <c r="X23" i="16"/>
  <c r="BB34" i="13"/>
  <c r="BG34" i="12"/>
  <c r="W36" i="16"/>
  <c r="X36" i="16"/>
  <c r="T34" i="16"/>
  <c r="X35" i="16"/>
  <c r="W35" i="16"/>
  <c r="X37" i="16"/>
  <c r="W37" i="16"/>
  <c r="W46" i="16"/>
  <c r="X46" i="16"/>
  <c r="W9" i="16"/>
  <c r="X9" i="16"/>
  <c r="T8" i="16"/>
  <c r="X11" i="16"/>
  <c r="W11" i="16"/>
  <c r="W10" i="16"/>
  <c r="X10" i="16"/>
  <c r="X22" i="16"/>
  <c r="W22" i="16"/>
  <c r="T20" i="16"/>
  <c r="X21" i="16"/>
  <c r="W21" i="16"/>
  <c r="BB21" i="13"/>
  <c r="BB37" i="13"/>
  <c r="BG36" i="12"/>
  <c r="AD8" i="15"/>
  <c r="BH35" i="12"/>
  <c r="AD34" i="15"/>
  <c r="BA35" i="13"/>
  <c r="BH37" i="12"/>
  <c r="AH46" i="15"/>
  <c r="AG46" i="15"/>
  <c r="AD20" i="15"/>
  <c r="BA10" i="13"/>
  <c r="BB36" i="13"/>
  <c r="BB20" i="13"/>
  <c r="BB8" i="13"/>
  <c r="BA11" i="13"/>
  <c r="BG20" i="12"/>
  <c r="B2" i="1"/>
  <c r="BH11" i="12"/>
  <c r="BG22" i="12"/>
  <c r="BH22" i="12"/>
  <c r="BB22" i="13"/>
  <c r="BA22" i="13"/>
  <c r="B6" i="1" a="1"/>
  <c r="B6" i="1" s="1"/>
  <c r="AN8" i="14"/>
  <c r="AN20" i="14"/>
  <c r="AN34" i="14"/>
  <c r="AR46" i="14"/>
  <c r="AQ46" i="14"/>
  <c r="BB59" i="13"/>
  <c r="BA59" i="13"/>
  <c r="B3" i="1" a="1"/>
  <c r="B3" i="1" s="1"/>
  <c r="X8" i="20" l="1"/>
  <c r="W8" i="20"/>
  <c r="X20" i="20"/>
  <c r="W20" i="20"/>
  <c r="X34" i="20"/>
  <c r="W34" i="20"/>
  <c r="X34" i="16"/>
  <c r="W34" i="16"/>
  <c r="W8" i="16"/>
  <c r="X8" i="16"/>
  <c r="X20" i="16"/>
  <c r="W20" i="16"/>
  <c r="AH20" i="15"/>
  <c r="AG20" i="15"/>
  <c r="AG34" i="15"/>
  <c r="AH34" i="15"/>
  <c r="AH8" i="15"/>
  <c r="AG8" i="15"/>
  <c r="AR34" i="14"/>
  <c r="AQ34" i="14"/>
  <c r="AR8" i="14"/>
  <c r="AQ8" i="14"/>
  <c r="AQ20" i="14"/>
  <c r="AR20" i="14"/>
  <c r="S18" i="5"/>
  <c r="S9" i="5"/>
  <c r="J5" i="5"/>
  <c r="S5" i="5"/>
  <c r="S4" i="5"/>
  <c r="S2" i="5"/>
  <c r="P3" i="5" a="1"/>
  <c r="P3" i="5" s="1"/>
  <c r="O3" i="5" a="1"/>
  <c r="O3" i="5" s="1"/>
  <c r="N3" i="5" a="1"/>
  <c r="N3" i="5" s="1"/>
  <c r="M3" i="5" a="1"/>
  <c r="J10" i="1" a="1"/>
  <c r="J10" i="1" s="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J4" i="5"/>
  <c r="J2" i="5"/>
  <c r="E6" i="5"/>
  <c r="E1" i="5"/>
  <c r="B4" i="5"/>
  <c r="B2" i="5"/>
  <c r="O118" i="8"/>
  <c r="A63" i="5"/>
  <c r="O65" i="8"/>
  <c r="O69" i="8"/>
  <c r="O73" i="8"/>
  <c r="O77" i="8"/>
  <c r="O81" i="8"/>
  <c r="O85" i="8"/>
  <c r="O89" i="8"/>
  <c r="O93" i="8"/>
  <c r="O97" i="8"/>
  <c r="O61" i="8"/>
  <c r="O4" i="8"/>
  <c r="O8" i="8"/>
  <c r="O12" i="8"/>
  <c r="O16" i="8"/>
  <c r="O20" i="8"/>
  <c r="O24" i="8"/>
  <c r="O36" i="8"/>
  <c r="A10" i="2" a="1"/>
  <c r="A10" i="2" s="1"/>
  <c r="R150" i="8" a="1"/>
  <c r="R169" i="8" a="1"/>
  <c r="R164" i="8" a="1"/>
  <c r="R168" i="8" a="1"/>
  <c r="R167" i="8" a="1"/>
  <c r="R151" i="8" a="1"/>
  <c r="R178" i="8" a="1"/>
  <c r="R170" i="8" a="1"/>
  <c r="R158" i="8" a="1"/>
  <c r="R173" i="8" a="1"/>
  <c r="R154" i="8" a="1"/>
  <c r="R165" i="8" a="1"/>
  <c r="R155" i="8" a="1"/>
  <c r="R166" i="8" a="1"/>
  <c r="R171" i="8" a="1"/>
  <c r="R172" i="8" a="1"/>
  <c r="R152" i="8" a="1"/>
  <c r="R153" i="8" a="1"/>
  <c r="O32" i="8" l="1"/>
  <c r="C27" i="20"/>
  <c r="U27" i="20" s="1"/>
  <c r="C27" i="15"/>
  <c r="AE27" i="15" s="1"/>
  <c r="C27" i="13"/>
  <c r="AY27" i="13" s="1"/>
  <c r="C27" i="12"/>
  <c r="BE27" i="12" s="1"/>
  <c r="C27" i="16"/>
  <c r="U27" i="16" s="1"/>
  <c r="C27" i="14"/>
  <c r="AO27" i="14" s="1"/>
  <c r="R151" i="8"/>
  <c r="BL26" i="5"/>
  <c r="E26" i="5"/>
  <c r="P183" i="8"/>
  <c r="O130" i="8"/>
  <c r="R130" i="8" s="1"/>
  <c r="A64" i="12"/>
  <c r="O126" i="8"/>
  <c r="R126" i="8" s="1"/>
  <c r="A63" i="14"/>
  <c r="A63" i="13"/>
  <c r="C62" i="20"/>
  <c r="U62" i="20" s="1"/>
  <c r="C15" i="13"/>
  <c r="AY15" i="13" s="1"/>
  <c r="C15" i="16"/>
  <c r="U15" i="16" s="1"/>
  <c r="C15" i="12"/>
  <c r="BE15" i="12" s="1"/>
  <c r="C15" i="20"/>
  <c r="U15" i="20" s="1"/>
  <c r="C13" i="20"/>
  <c r="U13" i="20" s="1"/>
  <c r="C63" i="20"/>
  <c r="U63" i="20" s="1"/>
  <c r="B4" i="8"/>
  <c r="B56" i="8"/>
  <c r="C52" i="8"/>
  <c r="B52" i="8"/>
  <c r="C56" i="8"/>
  <c r="B48" i="8"/>
  <c r="C48" i="8"/>
  <c r="C63" i="14"/>
  <c r="C24" i="12"/>
  <c r="BE24" i="12" s="1"/>
  <c r="C48" i="20"/>
  <c r="U48" i="20" s="1"/>
  <c r="C14" i="20"/>
  <c r="U14" i="20" s="1"/>
  <c r="C26" i="16"/>
  <c r="U26" i="16" s="1"/>
  <c r="C24" i="16"/>
  <c r="U24" i="16" s="1"/>
  <c r="C47" i="15"/>
  <c r="AE47" i="15" s="1"/>
  <c r="C24" i="13"/>
  <c r="AY24" i="13" s="1"/>
  <c r="C24" i="20"/>
  <c r="U24" i="20" s="1"/>
  <c r="C26" i="20"/>
  <c r="U26" i="20" s="1"/>
  <c r="C47" i="12"/>
  <c r="BE47" i="12" s="1"/>
  <c r="C26" i="13"/>
  <c r="AY26" i="13" s="1"/>
  <c r="C40" i="13"/>
  <c r="AY40" i="13" s="1"/>
  <c r="C47" i="14"/>
  <c r="AO47" i="14" s="1"/>
  <c r="C26" i="12"/>
  <c r="BE26" i="12" s="1"/>
  <c r="C40" i="16"/>
  <c r="U40" i="16" s="1"/>
  <c r="C47" i="16"/>
  <c r="U47" i="16" s="1"/>
  <c r="C14" i="12"/>
  <c r="BE14" i="12" s="1"/>
  <c r="C25" i="12"/>
  <c r="BE25" i="12" s="1"/>
  <c r="C48" i="14"/>
  <c r="AO48" i="14" s="1"/>
  <c r="C25" i="20"/>
  <c r="U25" i="20" s="1"/>
  <c r="C48" i="13"/>
  <c r="AY48" i="13" s="1"/>
  <c r="C40" i="20"/>
  <c r="U40" i="20" s="1"/>
  <c r="C47" i="13"/>
  <c r="AY47" i="13" s="1"/>
  <c r="C14" i="13"/>
  <c r="AY14" i="13" s="1"/>
  <c r="C48" i="15"/>
  <c r="AE48" i="15" s="1"/>
  <c r="C47" i="20"/>
  <c r="U47" i="20" s="1"/>
  <c r="C49" i="13"/>
  <c r="AY49" i="13" s="1"/>
  <c r="C14" i="16"/>
  <c r="U14" i="16" s="1"/>
  <c r="C49" i="12"/>
  <c r="BE49" i="12" s="1"/>
  <c r="C25" i="16"/>
  <c r="U25" i="16" s="1"/>
  <c r="C49" i="16"/>
  <c r="U49" i="16" s="1"/>
  <c r="C41" i="16"/>
  <c r="U41" i="16" s="1"/>
  <c r="C25" i="13"/>
  <c r="AY25" i="13" s="1"/>
  <c r="C49" i="15"/>
  <c r="AE49" i="15" s="1"/>
  <c r="C41" i="13"/>
  <c r="AY41" i="13" s="1"/>
  <c r="C49" i="14"/>
  <c r="AO49" i="14" s="1"/>
  <c r="C41" i="12"/>
  <c r="BE41" i="12" s="1"/>
  <c r="C49" i="20"/>
  <c r="U49" i="20" s="1"/>
  <c r="C41" i="20"/>
  <c r="U41" i="20" s="1"/>
  <c r="C48" i="16"/>
  <c r="U48" i="16" s="1"/>
  <c r="C40" i="12"/>
  <c r="BE40" i="12" s="1"/>
  <c r="C48" i="12"/>
  <c r="BE48" i="12" s="1"/>
  <c r="C65" i="20"/>
  <c r="U64" i="20" s="1"/>
  <c r="C61" i="20"/>
  <c r="U61" i="20" s="1"/>
  <c r="R153" i="8"/>
  <c r="R158" i="8"/>
  <c r="R154" i="8"/>
  <c r="R172" i="8"/>
  <c r="R165" i="8"/>
  <c r="R150" i="8"/>
  <c r="R166" i="8"/>
  <c r="R164" i="8"/>
  <c r="R169" i="8"/>
  <c r="R178" i="8"/>
  <c r="R155" i="8"/>
  <c r="R171" i="8"/>
  <c r="R173" i="8"/>
  <c r="R170" i="8"/>
  <c r="R167" i="8"/>
  <c r="R152" i="8"/>
  <c r="R168" i="8"/>
  <c r="B134" i="8" a="1"/>
  <c r="B134" i="8" s="1"/>
  <c r="C134" i="8" a="1"/>
  <c r="C134" i="8" s="1"/>
  <c r="R118" i="8"/>
  <c r="R73" i="8"/>
  <c r="R69" i="8"/>
  <c r="R65" i="8"/>
  <c r="R61" i="8"/>
  <c r="R97" i="8"/>
  <c r="R93" i="8"/>
  <c r="R85" i="8"/>
  <c r="R81" i="8"/>
  <c r="R89" i="8"/>
  <c r="R77" i="8"/>
  <c r="R24" i="8"/>
  <c r="R16" i="8"/>
  <c r="R36" i="8"/>
  <c r="R8" i="8"/>
  <c r="R32" i="8"/>
  <c r="R20" i="8"/>
  <c r="R12" i="8"/>
  <c r="R4" i="8"/>
  <c r="O28" i="8"/>
  <c r="O44" i="8"/>
  <c r="G8" i="18"/>
  <c r="C13" i="16"/>
  <c r="U13" i="16" s="1"/>
  <c r="C13" i="13"/>
  <c r="AY13" i="13" s="1"/>
  <c r="C13" i="12"/>
  <c r="BE13" i="12" s="1"/>
  <c r="C61" i="8"/>
  <c r="B61" i="8"/>
  <c r="A60" i="20"/>
  <c r="O114" i="8"/>
  <c r="B77" i="8"/>
  <c r="C77" i="8"/>
  <c r="B69" i="8"/>
  <c r="C69" i="8"/>
  <c r="C65" i="8"/>
  <c r="B65" i="8"/>
  <c r="B81" i="8"/>
  <c r="C81" i="8"/>
  <c r="A59" i="20"/>
  <c r="O110" i="8"/>
  <c r="C114" i="8" a="1"/>
  <c r="C114" i="8" s="1"/>
  <c r="B114" i="8" a="1"/>
  <c r="B114" i="8" s="1"/>
  <c r="C73" i="8"/>
  <c r="B73" i="8"/>
  <c r="C85" i="8"/>
  <c r="B85" i="8"/>
  <c r="B28" i="8"/>
  <c r="C28" i="8"/>
  <c r="B16" i="8"/>
  <c r="C16" i="8"/>
  <c r="B8" i="8"/>
  <c r="C8" i="8"/>
  <c r="C12" i="8"/>
  <c r="B12" i="8"/>
  <c r="D28" i="18"/>
  <c r="G8" i="5" a="1"/>
  <c r="G8" i="5" s="1"/>
  <c r="D8" i="5" a="1"/>
  <c r="D8" i="5" s="1"/>
  <c r="AY132" i="20"/>
  <c r="AV47" i="20"/>
  <c r="BB47" i="20" s="1"/>
  <c r="AV15" i="20"/>
  <c r="BB15" i="20" s="1"/>
  <c r="AV31" i="20"/>
  <c r="BB31" i="20" s="1"/>
  <c r="AW63" i="20"/>
  <c r="BC63" i="20" s="1"/>
  <c r="AW115" i="20"/>
  <c r="BC115" i="20" s="1"/>
  <c r="AV43" i="20"/>
  <c r="BB43" i="20" s="1"/>
  <c r="AW35" i="20" a="1"/>
  <c r="AW35" i="20" s="1"/>
  <c r="BC35" i="20" s="1"/>
  <c r="C60" i="20"/>
  <c r="U60" i="20" s="1"/>
  <c r="AW91" i="20"/>
  <c r="BC91" i="20" s="1"/>
  <c r="AV39" i="20"/>
  <c r="BB39" i="20" s="1"/>
  <c r="AW71" i="20"/>
  <c r="BC71" i="20" s="1"/>
  <c r="AW103" i="20"/>
  <c r="BC103" i="20" s="1"/>
  <c r="AV127" i="20" a="1"/>
  <c r="AV127" i="20" s="1"/>
  <c r="BB127" i="20" s="1"/>
  <c r="AW111" i="20"/>
  <c r="BC111" i="20" s="1"/>
  <c r="AW107" i="20"/>
  <c r="BC107" i="20" s="1"/>
  <c r="AV19" i="20"/>
  <c r="BB19" i="20" s="1"/>
  <c r="AV23" i="20"/>
  <c r="BB23" i="20" s="1"/>
  <c r="AW79" i="20"/>
  <c r="BC79" i="20" s="1"/>
  <c r="AV3" i="20"/>
  <c r="BB3" i="20" s="1"/>
  <c r="AW119" i="20"/>
  <c r="BC119" i="20" s="1"/>
  <c r="AV123" i="20" a="1"/>
  <c r="AV123" i="20" s="1"/>
  <c r="BB123" i="20" s="1"/>
  <c r="AW99" i="20"/>
  <c r="BC99" i="20" s="1"/>
  <c r="AW95" i="20"/>
  <c r="BC95" i="20" s="1"/>
  <c r="AV51" i="20"/>
  <c r="BB51" i="20" s="1"/>
  <c r="AW55" i="20"/>
  <c r="BC55" i="20" s="1"/>
  <c r="AV27" i="20"/>
  <c r="BB27" i="20" s="1"/>
  <c r="AW67" i="20"/>
  <c r="BC67" i="20" s="1"/>
  <c r="AW75" i="20"/>
  <c r="BC75" i="20" s="1"/>
  <c r="C59" i="20"/>
  <c r="AW7" i="20" a="1"/>
  <c r="AW7" i="20" s="1"/>
  <c r="BC7" i="20" s="1"/>
  <c r="AW87" i="20"/>
  <c r="BC87" i="20" s="1"/>
  <c r="AV11" i="20"/>
  <c r="BB11" i="20" s="1"/>
  <c r="AW59" i="20"/>
  <c r="BC59" i="20" s="1"/>
  <c r="AW83" i="20"/>
  <c r="BC83" i="20" s="1"/>
  <c r="C11" i="20"/>
  <c r="U11" i="20" s="1"/>
  <c r="C12" i="20"/>
  <c r="U12" i="20" s="1"/>
  <c r="C9" i="20"/>
  <c r="U9" i="20" s="1"/>
  <c r="C10" i="20"/>
  <c r="U10" i="20" s="1"/>
  <c r="C23" i="20"/>
  <c r="U23" i="20" s="1"/>
  <c r="C46" i="20"/>
  <c r="C21" i="20"/>
  <c r="U21" i="20" s="1"/>
  <c r="C22" i="20"/>
  <c r="U22" i="20" s="1"/>
  <c r="C38" i="20"/>
  <c r="U38" i="20" s="1"/>
  <c r="C35" i="20"/>
  <c r="U35" i="20" s="1"/>
  <c r="C36" i="20"/>
  <c r="U36" i="20" s="1"/>
  <c r="C37" i="20"/>
  <c r="U37" i="20" s="1"/>
  <c r="C39" i="20"/>
  <c r="U39" i="20" s="1"/>
  <c r="C34" i="20"/>
  <c r="C20" i="20"/>
  <c r="U20" i="20" s="1"/>
  <c r="C8" i="20"/>
  <c r="U8" i="20" s="1"/>
  <c r="A62" i="20"/>
  <c r="A61" i="20"/>
  <c r="A65" i="20"/>
  <c r="A63" i="20"/>
  <c r="AY132" i="16"/>
  <c r="AW59" i="16"/>
  <c r="BC59" i="16" s="1"/>
  <c r="AW103" i="16"/>
  <c r="BC103" i="16" s="1"/>
  <c r="AW35" i="16" a="1"/>
  <c r="AW35" i="16" s="1"/>
  <c r="BC35" i="16" s="1"/>
  <c r="AW55" i="16"/>
  <c r="BC55" i="16" s="1"/>
  <c r="AV19" i="16"/>
  <c r="BB19" i="16" s="1"/>
  <c r="AW79" i="16"/>
  <c r="BC79" i="16" s="1"/>
  <c r="AV39" i="16"/>
  <c r="BB39" i="16" s="1"/>
  <c r="AW107" i="16"/>
  <c r="BC107" i="16" s="1"/>
  <c r="AV27" i="16"/>
  <c r="BB27" i="16" s="1"/>
  <c r="AW67" i="16"/>
  <c r="BC67" i="16" s="1"/>
  <c r="AW111" i="16"/>
  <c r="BC111" i="16" s="1"/>
  <c r="AV31" i="16"/>
  <c r="BB31" i="16" s="1"/>
  <c r="AV123" i="16" a="1"/>
  <c r="AV123" i="16" s="1"/>
  <c r="BB123" i="16" s="1"/>
  <c r="AV127" i="16" a="1"/>
  <c r="AV127" i="16" s="1"/>
  <c r="BB127" i="16" s="1"/>
  <c r="AV47" i="16"/>
  <c r="BB47" i="16" s="1"/>
  <c r="AW7" i="16" a="1"/>
  <c r="AW7" i="16" s="1"/>
  <c r="BC7" i="16" s="1"/>
  <c r="AW115" i="16"/>
  <c r="BC115" i="16" s="1"/>
  <c r="AV3" i="16"/>
  <c r="BB3" i="16" s="1"/>
  <c r="M21" i="16" s="1"/>
  <c r="M23" i="16" s="1"/>
  <c r="M16" i="16" s="1"/>
  <c r="O16" i="16" s="1"/>
  <c r="AV11" i="16"/>
  <c r="BB11" i="16" s="1"/>
  <c r="AV23" i="16"/>
  <c r="BB23" i="16" s="1"/>
  <c r="AW63" i="16"/>
  <c r="BC63" i="16" s="1"/>
  <c r="AV15" i="16"/>
  <c r="BB15" i="16" s="1"/>
  <c r="AW99" i="16"/>
  <c r="BC99" i="16" s="1"/>
  <c r="AW119" i="16"/>
  <c r="BC119" i="16" s="1"/>
  <c r="AW75" i="16"/>
  <c r="BC75" i="16" s="1"/>
  <c r="AW87" i="16"/>
  <c r="BC87" i="16" s="1"/>
  <c r="AV51" i="16"/>
  <c r="BB51" i="16" s="1"/>
  <c r="AV43" i="16"/>
  <c r="BB43" i="16" s="1"/>
  <c r="AW95" i="16"/>
  <c r="BC95" i="16" s="1"/>
  <c r="AW71" i="16"/>
  <c r="BC71" i="16" s="1"/>
  <c r="AW83" i="16"/>
  <c r="BC83" i="16" s="1"/>
  <c r="AW91" i="16"/>
  <c r="BC91" i="16" s="1"/>
  <c r="C12" i="12"/>
  <c r="BE12" i="12" s="1"/>
  <c r="C23" i="13"/>
  <c r="AY23" i="13" s="1"/>
  <c r="C23" i="12"/>
  <c r="BE23" i="12" s="1"/>
  <c r="C12" i="13"/>
  <c r="AY12" i="13" s="1"/>
  <c r="C23" i="16"/>
  <c r="U23" i="16" s="1"/>
  <c r="C12" i="16"/>
  <c r="U12" i="16" s="1"/>
  <c r="C39" i="16"/>
  <c r="U39" i="16" s="1"/>
  <c r="C39" i="13"/>
  <c r="AY39" i="13" s="1"/>
  <c r="C39" i="12"/>
  <c r="BE39" i="12" s="1"/>
  <c r="C38" i="16"/>
  <c r="U38" i="16" s="1"/>
  <c r="C38" i="12"/>
  <c r="BE38" i="12" s="1"/>
  <c r="C38" i="13"/>
  <c r="AY38" i="13" s="1"/>
  <c r="C11" i="16"/>
  <c r="U11" i="16" s="1"/>
  <c r="C21" i="16"/>
  <c r="U21" i="16" s="1"/>
  <c r="C10" i="16"/>
  <c r="U10" i="16" s="1"/>
  <c r="C22" i="16"/>
  <c r="U22" i="16" s="1"/>
  <c r="C9" i="16"/>
  <c r="U9" i="16" s="1"/>
  <c r="C20" i="16"/>
  <c r="C8" i="16"/>
  <c r="C61" i="16"/>
  <c r="U61" i="16" s="1"/>
  <c r="C63" i="16"/>
  <c r="U63" i="16" s="1"/>
  <c r="C60" i="16"/>
  <c r="U60" i="16" s="1"/>
  <c r="C65" i="16"/>
  <c r="U64" i="16" s="1"/>
  <c r="C62" i="16"/>
  <c r="U62" i="16" s="1"/>
  <c r="C59" i="16"/>
  <c r="C46" i="16"/>
  <c r="C35" i="16"/>
  <c r="U35" i="16" s="1"/>
  <c r="C37" i="16"/>
  <c r="U37" i="16" s="1"/>
  <c r="C36" i="16"/>
  <c r="U36" i="16" s="1"/>
  <c r="C34" i="16"/>
  <c r="A64" i="15"/>
  <c r="A65" i="16"/>
  <c r="A62" i="15"/>
  <c r="A62" i="16"/>
  <c r="A61" i="15"/>
  <c r="A61" i="16"/>
  <c r="A60" i="15"/>
  <c r="A60" i="16"/>
  <c r="A59" i="15"/>
  <c r="A59" i="16"/>
  <c r="A63" i="15"/>
  <c r="A63" i="16"/>
  <c r="C61" i="15"/>
  <c r="AE61" i="15" s="1"/>
  <c r="C62" i="15"/>
  <c r="AE62" i="15" s="1"/>
  <c r="C64" i="15"/>
  <c r="AE64" i="15" s="1"/>
  <c r="C63" i="15"/>
  <c r="AE63" i="15" s="1"/>
  <c r="C60" i="15"/>
  <c r="AE60" i="15" s="1"/>
  <c r="C59" i="15"/>
  <c r="C46" i="15"/>
  <c r="C8" i="15"/>
  <c r="C34" i="15"/>
  <c r="C20" i="15"/>
  <c r="BM1" i="5"/>
  <c r="C22" i="13"/>
  <c r="AY22" i="13" s="1"/>
  <c r="C22" i="12"/>
  <c r="BE22" i="12" s="1"/>
  <c r="C37" i="13"/>
  <c r="AY37" i="13" s="1"/>
  <c r="C36" i="13"/>
  <c r="AY36" i="13" s="1"/>
  <c r="C34" i="13"/>
  <c r="C21" i="13"/>
  <c r="AY21" i="13" s="1"/>
  <c r="C46" i="12"/>
  <c r="C35" i="12"/>
  <c r="BE35" i="12" s="1"/>
  <c r="C46" i="13"/>
  <c r="C10" i="13"/>
  <c r="AY10" i="13" s="1"/>
  <c r="C36" i="12"/>
  <c r="BE36" i="12" s="1"/>
  <c r="C37" i="12"/>
  <c r="BE37" i="12" s="1"/>
  <c r="C21" i="12"/>
  <c r="BE21" i="12" s="1"/>
  <c r="C34" i="12"/>
  <c r="C10" i="12"/>
  <c r="BE10" i="12" s="1"/>
  <c r="C35" i="13"/>
  <c r="AY35" i="13" s="1"/>
  <c r="C9" i="12"/>
  <c r="BE9" i="12" s="1"/>
  <c r="C11" i="13"/>
  <c r="AY11" i="13" s="1"/>
  <c r="C20" i="12"/>
  <c r="C20" i="13"/>
  <c r="C11" i="12"/>
  <c r="BE11" i="12" s="1"/>
  <c r="C46" i="14"/>
  <c r="C8" i="12"/>
  <c r="C8" i="13"/>
  <c r="C9" i="13"/>
  <c r="AY9" i="13" s="1"/>
  <c r="C20" i="14"/>
  <c r="AO20" i="14" s="1"/>
  <c r="C8" i="14"/>
  <c r="AO8" i="14" s="1"/>
  <c r="C34" i="14"/>
  <c r="AO34" i="14" s="1"/>
  <c r="C65" i="14"/>
  <c r="AO64" i="14" s="1"/>
  <c r="C65" i="12"/>
  <c r="BE64" i="12" s="1"/>
  <c r="C65" i="13"/>
  <c r="AY64" i="13" s="1"/>
  <c r="A65" i="14"/>
  <c r="A65" i="13"/>
  <c r="A64" i="14"/>
  <c r="A64" i="13"/>
  <c r="C64" i="14"/>
  <c r="AO63" i="14" s="1"/>
  <c r="C64" i="13"/>
  <c r="AY63" i="13" s="1"/>
  <c r="C63" i="12"/>
  <c r="BE63" i="12" s="1"/>
  <c r="A60" i="14"/>
  <c r="A60" i="13"/>
  <c r="C60" i="14"/>
  <c r="AO60" i="14" s="1"/>
  <c r="C60" i="13"/>
  <c r="AY60" i="13" s="1"/>
  <c r="C59" i="12"/>
  <c r="BE59" i="12" s="1"/>
  <c r="C60" i="12"/>
  <c r="BE60" i="12" s="1"/>
  <c r="C59" i="14"/>
  <c r="AO59" i="14" s="1"/>
  <c r="C59" i="13"/>
  <c r="AY59" i="13" s="1"/>
  <c r="Q3" i="13"/>
  <c r="Q47" i="13"/>
  <c r="W3" i="12"/>
  <c r="W14" i="12"/>
  <c r="AB3" i="5"/>
  <c r="Q36" i="13"/>
  <c r="AB14" i="5"/>
  <c r="Q14" i="13"/>
  <c r="Q58" i="13"/>
  <c r="A59" i="14"/>
  <c r="A59" i="13"/>
  <c r="C61" i="14"/>
  <c r="AO61" i="14" s="1"/>
  <c r="C61" i="13"/>
  <c r="AY61" i="13" s="1"/>
  <c r="C61" i="12"/>
  <c r="BE61" i="12" s="1"/>
  <c r="AB25" i="5"/>
  <c r="AB58" i="5"/>
  <c r="Q25" i="13"/>
  <c r="A61" i="14"/>
  <c r="A61" i="13"/>
  <c r="AB47" i="5"/>
  <c r="W36" i="12"/>
  <c r="W47" i="12"/>
  <c r="W25" i="12"/>
  <c r="W58" i="12"/>
  <c r="AB36" i="5"/>
  <c r="A62" i="14"/>
  <c r="A62" i="13"/>
  <c r="C62" i="14"/>
  <c r="C62" i="12"/>
  <c r="C62" i="13"/>
  <c r="B32" i="8"/>
  <c r="A59" i="5"/>
  <c r="A65" i="12"/>
  <c r="A63" i="12"/>
  <c r="A61" i="12"/>
  <c r="A64" i="5"/>
  <c r="A60" i="12"/>
  <c r="A60" i="5"/>
  <c r="A61" i="5"/>
  <c r="A62" i="5"/>
  <c r="A59" i="12"/>
  <c r="A65" i="5"/>
  <c r="A62" i="12"/>
  <c r="F8" i="5" a="1"/>
  <c r="F8" i="5" s="1"/>
  <c r="E8" i="5" a="1"/>
  <c r="E8" i="5" s="1"/>
  <c r="M3" i="5"/>
  <c r="K10" i="1"/>
  <c r="J11" i="1" a="1"/>
  <c r="J11" i="1" s="1"/>
  <c r="O157" i="8" a="1"/>
  <c r="O154" i="8" a="1"/>
  <c r="O158" i="8" a="1"/>
  <c r="O179" i="8" a="1"/>
  <c r="O171" i="8" a="1"/>
  <c r="R176" i="8" a="1"/>
  <c r="R180" i="8" a="1"/>
  <c r="O166" i="8" a="1"/>
  <c r="O180" i="8" a="1"/>
  <c r="R157" i="8" a="1"/>
  <c r="O178" i="8" a="1"/>
  <c r="O170" i="8" a="1"/>
  <c r="O168" i="8" a="1"/>
  <c r="R156" i="8" a="1"/>
  <c r="O172" i="8" a="1"/>
  <c r="R160" i="8" a="1"/>
  <c r="O153" i="8" a="1"/>
  <c r="O151" i="8" a="1"/>
  <c r="O155" i="8" a="1"/>
  <c r="R179" i="8" a="1"/>
  <c r="O165" i="8" a="1"/>
  <c r="O167" i="8" a="1"/>
  <c r="O152" i="8" a="1"/>
  <c r="O150" i="8" a="1"/>
  <c r="O173" i="8" a="1"/>
  <c r="R177" i="8" a="1"/>
  <c r="O169" i="8" a="1"/>
  <c r="O164" i="8" a="1"/>
  <c r="Z56" i="8" l="1"/>
  <c r="U56" i="8" s="1"/>
  <c r="Y52" i="8"/>
  <c r="T52" i="8" s="1"/>
  <c r="R157" i="8"/>
  <c r="C32" i="8"/>
  <c r="BE11" i="16"/>
  <c r="AY138" i="16" s="1"/>
  <c r="BD11" i="16"/>
  <c r="AZ138" i="16" s="1"/>
  <c r="BE11" i="20"/>
  <c r="AY138" i="20" s="1"/>
  <c r="BD11" i="20"/>
  <c r="AZ138" i="20" s="1"/>
  <c r="R179" i="8"/>
  <c r="R180" i="8"/>
  <c r="BM27" i="5" a="1"/>
  <c r="BM27" i="5" s="1"/>
  <c r="BM7" i="5" s="1"/>
  <c r="BK7" i="5" a="1"/>
  <c r="BK7" i="5" s="1"/>
  <c r="BN7" i="5" a="1"/>
  <c r="BN7" i="5" s="1"/>
  <c r="BL27" i="5" a="1"/>
  <c r="BL27" i="5" s="1"/>
  <c r="BL7" i="5" s="1"/>
  <c r="C4" i="8"/>
  <c r="Z4" i="8" s="1"/>
  <c r="U4" i="8" s="1"/>
  <c r="Y48" i="8"/>
  <c r="T48" i="8" s="1"/>
  <c r="J9" i="13"/>
  <c r="J18" i="13" s="1"/>
  <c r="Z48" i="8"/>
  <c r="U48" i="8" s="1"/>
  <c r="Z52" i="8"/>
  <c r="U52" i="8" s="1"/>
  <c r="D1" i="18"/>
  <c r="H9" i="18" s="1" a="1"/>
  <c r="H9" i="18" s="1"/>
  <c r="D8" i="18" s="1"/>
  <c r="Y56" i="8"/>
  <c r="T56" i="8" s="1"/>
  <c r="O172" i="8"/>
  <c r="O180" i="8"/>
  <c r="R160" i="8"/>
  <c r="R156" i="8"/>
  <c r="O150" i="8"/>
  <c r="O152" i="8"/>
  <c r="O154" i="8"/>
  <c r="O164" i="8"/>
  <c r="R177" i="8"/>
  <c r="O157" i="8"/>
  <c r="O165" i="8"/>
  <c r="O151" i="8"/>
  <c r="O158" i="8"/>
  <c r="O153" i="8"/>
  <c r="O178" i="8"/>
  <c r="O155" i="8"/>
  <c r="O167" i="8"/>
  <c r="O168" i="8"/>
  <c r="O171" i="8"/>
  <c r="O166" i="8"/>
  <c r="O179" i="8"/>
  <c r="R176" i="8"/>
  <c r="O169" i="8"/>
  <c r="O173" i="8"/>
  <c r="O170" i="8"/>
  <c r="AC4" i="5"/>
  <c r="AD5" i="5" a="1"/>
  <c r="AD5" i="5" s="1"/>
  <c r="AA5" i="5" a="1"/>
  <c r="AA5" i="5" s="1"/>
  <c r="AD16" i="5" a="1"/>
  <c r="AD16" i="5" s="1"/>
  <c r="AA16" i="5" a="1"/>
  <c r="AA16" i="5" s="1"/>
  <c r="V5" i="12" a="1"/>
  <c r="V5" i="12" s="1"/>
  <c r="Y5" i="12" a="1"/>
  <c r="Y5" i="12" s="1"/>
  <c r="Y16" i="12" a="1"/>
  <c r="Y16" i="12" s="1"/>
  <c r="V16" i="12" a="1"/>
  <c r="V16" i="12" s="1"/>
  <c r="P16" i="13" a="1"/>
  <c r="P16" i="13" s="1"/>
  <c r="S16" i="13" a="1"/>
  <c r="S16" i="13" s="1"/>
  <c r="P5" i="13" a="1"/>
  <c r="P5" i="13" s="1"/>
  <c r="S5" i="13" a="1"/>
  <c r="S5" i="13" s="1"/>
  <c r="S60" i="13" a="1"/>
  <c r="S60" i="13" s="1"/>
  <c r="P60" i="13" a="1"/>
  <c r="P60" i="13" s="1"/>
  <c r="P49" i="13" a="1"/>
  <c r="P49" i="13" s="1"/>
  <c r="S49" i="13" a="1"/>
  <c r="S49" i="13" s="1"/>
  <c r="P38" i="13" a="1"/>
  <c r="P38" i="13" s="1"/>
  <c r="S38" i="13" a="1"/>
  <c r="S38" i="13" s="1"/>
  <c r="P27" i="13" a="1"/>
  <c r="P27" i="13" s="1"/>
  <c r="S27" i="13" a="1"/>
  <c r="S27" i="13" s="1"/>
  <c r="Z134" i="8"/>
  <c r="U134" i="8" s="1"/>
  <c r="Y134" i="8"/>
  <c r="T134" i="8" s="1"/>
  <c r="I9" i="16"/>
  <c r="I18" i="16" s="1"/>
  <c r="R114" i="8"/>
  <c r="R110" i="8"/>
  <c r="R28" i="8"/>
  <c r="R44" i="8"/>
  <c r="Z69" i="8"/>
  <c r="U69" i="8" s="1"/>
  <c r="Z81" i="8"/>
  <c r="U81" i="8" s="1"/>
  <c r="L9" i="20"/>
  <c r="L18" i="20" s="1"/>
  <c r="Y28" i="8"/>
  <c r="T28" i="8" s="1"/>
  <c r="Z65" i="8"/>
  <c r="U65" i="8" s="1"/>
  <c r="Y32" i="8"/>
  <c r="T32" i="8" s="1"/>
  <c r="Z114" i="8"/>
  <c r="U114" i="8" s="1"/>
  <c r="Z85" i="8"/>
  <c r="U85" i="8" s="1"/>
  <c r="Z73" i="8"/>
  <c r="U73" i="8" s="1"/>
  <c r="Z77" i="8"/>
  <c r="U77" i="8" s="1"/>
  <c r="Y61" i="8"/>
  <c r="T61" i="8" s="1"/>
  <c r="Y85" i="8"/>
  <c r="T85" i="8" s="1"/>
  <c r="Y73" i="8"/>
  <c r="T73" i="8" s="1"/>
  <c r="Y114" i="8"/>
  <c r="T114" i="8" s="1"/>
  <c r="Y81" i="8"/>
  <c r="T81" i="8" s="1"/>
  <c r="Y65" i="8"/>
  <c r="T65" i="8" s="1"/>
  <c r="Y69" i="8"/>
  <c r="T69" i="8" s="1"/>
  <c r="Y77" i="8"/>
  <c r="T77" i="8" s="1"/>
  <c r="B110" i="8" a="1"/>
  <c r="B110" i="8" s="1"/>
  <c r="C110" i="8" a="1"/>
  <c r="C110" i="8" s="1"/>
  <c r="Z61" i="8"/>
  <c r="U61" i="8" s="1"/>
  <c r="Z16" i="8"/>
  <c r="U16" i="8" s="1"/>
  <c r="Z28" i="8"/>
  <c r="U28" i="8" s="1"/>
  <c r="Z12" i="8"/>
  <c r="U12" i="8" s="1"/>
  <c r="Y12" i="8"/>
  <c r="T12" i="8" s="1"/>
  <c r="Z32" i="8"/>
  <c r="U32" i="8" s="1"/>
  <c r="C130" i="8" a="1"/>
  <c r="C130" i="8" s="1"/>
  <c r="B89" i="8"/>
  <c r="C122" i="8" a="1"/>
  <c r="C122" i="8" s="1"/>
  <c r="C118" i="8" a="1"/>
  <c r="C118" i="8" s="1"/>
  <c r="B105" i="8"/>
  <c r="B44" i="8"/>
  <c r="C105" i="8"/>
  <c r="C126" i="8" a="1"/>
  <c r="C126" i="8" s="1"/>
  <c r="B126" i="8" a="1"/>
  <c r="B126" i="8" s="1"/>
  <c r="B118" i="8" a="1"/>
  <c r="B118" i="8" s="1"/>
  <c r="C97" i="8"/>
  <c r="C44" i="8"/>
  <c r="B97" i="8"/>
  <c r="C89" i="8"/>
  <c r="B101" i="8"/>
  <c r="B36" i="8"/>
  <c r="B93" i="8"/>
  <c r="B40" i="8"/>
  <c r="C93" i="8"/>
  <c r="B130" i="8" a="1"/>
  <c r="B130" i="8" s="1"/>
  <c r="C36" i="8"/>
  <c r="B122" i="8" a="1"/>
  <c r="B122" i="8" s="1"/>
  <c r="C40" i="8"/>
  <c r="C101" i="8"/>
  <c r="U30" i="20"/>
  <c r="B20" i="8"/>
  <c r="C20" i="8"/>
  <c r="Y8" i="8"/>
  <c r="T8" i="8" s="1"/>
  <c r="Z8" i="8"/>
  <c r="U8" i="8" s="1"/>
  <c r="Y16" i="8"/>
  <c r="T16" i="8" s="1"/>
  <c r="C30" i="20"/>
  <c r="C24" i="8"/>
  <c r="B24" i="8"/>
  <c r="M9" i="20"/>
  <c r="C66" i="20"/>
  <c r="U59" i="20"/>
  <c r="U65" i="20" s="1"/>
  <c r="BE75" i="20"/>
  <c r="AY159" i="20" s="1"/>
  <c r="BD75" i="20"/>
  <c r="AZ159" i="20" s="1"/>
  <c r="BD67" i="20"/>
  <c r="AZ157" i="20" s="1"/>
  <c r="BE67" i="20"/>
  <c r="AY157" i="20" s="1"/>
  <c r="BD55" i="20"/>
  <c r="AZ154" i="20" s="1"/>
  <c r="BE55" i="20"/>
  <c r="AY154" i="20" s="1"/>
  <c r="I9" i="20"/>
  <c r="BD51" i="20"/>
  <c r="AZ152" i="20" s="1"/>
  <c r="BE51" i="20"/>
  <c r="AY152" i="20" s="1"/>
  <c r="BE87" i="20"/>
  <c r="AY162" i="20" s="1"/>
  <c r="BD87" i="20"/>
  <c r="AZ162" i="20" s="1"/>
  <c r="K9" i="20"/>
  <c r="K18" i="20" s="1"/>
  <c r="BD95" i="20"/>
  <c r="AZ164" i="20" s="1"/>
  <c r="BE95" i="20"/>
  <c r="AY164" i="20" s="1"/>
  <c r="BE7" i="20"/>
  <c r="BD7" i="20"/>
  <c r="AZ144" i="20" s="1"/>
  <c r="R18" i="20" s="1"/>
  <c r="BD99" i="20"/>
  <c r="AZ165" i="20" s="1"/>
  <c r="BE99" i="20"/>
  <c r="AY165" i="20" s="1"/>
  <c r="N9" i="20"/>
  <c r="N18" i="20" s="1"/>
  <c r="AY194" i="20"/>
  <c r="U18" i="20"/>
  <c r="BD119" i="20"/>
  <c r="BE119" i="20"/>
  <c r="J9" i="20"/>
  <c r="J18" i="20" s="1"/>
  <c r="BD3" i="20"/>
  <c r="M21" i="20"/>
  <c r="M23" i="20" s="1"/>
  <c r="M16" i="20" s="1"/>
  <c r="O16" i="20" s="1"/>
  <c r="BE3" i="20"/>
  <c r="R57" i="20"/>
  <c r="C18" i="20"/>
  <c r="BE79" i="20"/>
  <c r="AY160" i="20" s="1"/>
  <c r="BD79" i="20"/>
  <c r="AZ160" i="20" s="1"/>
  <c r="BE23" i="20"/>
  <c r="AY147" i="20" s="1"/>
  <c r="BD23" i="20"/>
  <c r="AZ147" i="20" s="1"/>
  <c r="C44" i="20"/>
  <c r="U34" i="20"/>
  <c r="BE19" i="20"/>
  <c r="AY146" i="20" s="1"/>
  <c r="BD19" i="20"/>
  <c r="AZ146" i="20" s="1"/>
  <c r="BD107" i="20"/>
  <c r="AZ168" i="20" s="1"/>
  <c r="BE107" i="20"/>
  <c r="AY168" i="20" s="1"/>
  <c r="BD111" i="20"/>
  <c r="AZ169" i="20" s="1"/>
  <c r="BE111" i="20"/>
  <c r="AY169" i="20" s="1"/>
  <c r="BD127" i="20"/>
  <c r="AZ172" i="20" s="1"/>
  <c r="BE127" i="20"/>
  <c r="AY172" i="20" s="1"/>
  <c r="BD103" i="20"/>
  <c r="AZ167" i="20" s="1"/>
  <c r="BE103" i="20"/>
  <c r="AY167" i="20" s="1"/>
  <c r="BE71" i="20"/>
  <c r="AY158" i="20" s="1"/>
  <c r="BD71" i="20"/>
  <c r="AZ158" i="20" s="1"/>
  <c r="BD39" i="20"/>
  <c r="BE39" i="20"/>
  <c r="AY141" i="20" s="1"/>
  <c r="R15" i="20" s="1"/>
  <c r="BD91" i="20"/>
  <c r="AZ163" i="20" s="1"/>
  <c r="BE91" i="20"/>
  <c r="AY163" i="20" s="1"/>
  <c r="C56" i="20"/>
  <c r="U46" i="20"/>
  <c r="U56" i="20" s="1"/>
  <c r="BE35" i="20"/>
  <c r="AY140" i="20" s="1"/>
  <c r="BD35" i="20"/>
  <c r="BD43" i="20"/>
  <c r="AZ150" i="20" s="1"/>
  <c r="BE43" i="20"/>
  <c r="AY150" i="20" s="1"/>
  <c r="BD115" i="20"/>
  <c r="AZ170" i="20" s="1"/>
  <c r="BE115" i="20"/>
  <c r="AY170" i="20" s="1"/>
  <c r="BE63" i="20"/>
  <c r="AY156" i="20" s="1"/>
  <c r="BD63" i="20"/>
  <c r="AZ156" i="20" s="1"/>
  <c r="BE31" i="20"/>
  <c r="AY149" i="20" s="1"/>
  <c r="BD31" i="20"/>
  <c r="AZ149" i="20" s="1"/>
  <c r="BE83" i="20"/>
  <c r="AY161" i="20" s="1"/>
  <c r="BD83" i="20"/>
  <c r="AZ161" i="20" s="1"/>
  <c r="BD15" i="20"/>
  <c r="AZ145" i="20" s="1"/>
  <c r="BE15" i="20"/>
  <c r="AY145" i="20" s="1"/>
  <c r="BE59" i="20"/>
  <c r="AY155" i="20" s="1"/>
  <c r="BD59" i="20"/>
  <c r="AZ155" i="20" s="1"/>
  <c r="BE47" i="20"/>
  <c r="AY151" i="20" s="1"/>
  <c r="BD47" i="20"/>
  <c r="AZ151" i="20" s="1"/>
  <c r="BD83" i="16"/>
  <c r="AZ161" i="16" s="1"/>
  <c r="BE83" i="16"/>
  <c r="AY161" i="16" s="1"/>
  <c r="BE71" i="16"/>
  <c r="AY158" i="16" s="1"/>
  <c r="BD71" i="16"/>
  <c r="AZ158" i="16" s="1"/>
  <c r="BD87" i="16"/>
  <c r="AZ162" i="16" s="1"/>
  <c r="BE87" i="16"/>
  <c r="AY162" i="16" s="1"/>
  <c r="BE75" i="16"/>
  <c r="AY159" i="16" s="1"/>
  <c r="BD75" i="16"/>
  <c r="AZ159" i="16" s="1"/>
  <c r="BD119" i="16"/>
  <c r="BE119" i="16"/>
  <c r="BE99" i="16"/>
  <c r="AY165" i="16" s="1"/>
  <c r="BD99" i="16"/>
  <c r="AZ165" i="16" s="1"/>
  <c r="BD63" i="16"/>
  <c r="AZ156" i="16" s="1"/>
  <c r="BE63" i="16"/>
  <c r="AY156" i="16" s="1"/>
  <c r="BD115" i="16"/>
  <c r="AZ170" i="16" s="1"/>
  <c r="BE115" i="16"/>
  <c r="AY170" i="16" s="1"/>
  <c r="BE127" i="16"/>
  <c r="AY172" i="16" s="1"/>
  <c r="BD127" i="16"/>
  <c r="AZ172" i="16" s="1"/>
  <c r="BD111" i="16"/>
  <c r="AZ169" i="16" s="1"/>
  <c r="BE111" i="16"/>
  <c r="AY169" i="16" s="1"/>
  <c r="BD67" i="16"/>
  <c r="AZ157" i="16" s="1"/>
  <c r="BE67" i="16"/>
  <c r="AY157" i="16" s="1"/>
  <c r="BE107" i="16"/>
  <c r="AY168" i="16" s="1"/>
  <c r="BD107" i="16"/>
  <c r="AZ168" i="16" s="1"/>
  <c r="BE79" i="16"/>
  <c r="AY160" i="16" s="1"/>
  <c r="BD79" i="16"/>
  <c r="AZ160" i="16" s="1"/>
  <c r="BD55" i="16"/>
  <c r="AZ154" i="16" s="1"/>
  <c r="BE55" i="16"/>
  <c r="AY154" i="16" s="1"/>
  <c r="BD103" i="16"/>
  <c r="AZ167" i="16" s="1"/>
  <c r="BE103" i="16"/>
  <c r="AY167" i="16" s="1"/>
  <c r="BE95" i="16"/>
  <c r="AY164" i="16" s="1"/>
  <c r="BD95" i="16"/>
  <c r="AZ164" i="16" s="1"/>
  <c r="BE59" i="16"/>
  <c r="AY155" i="16" s="1"/>
  <c r="BD59" i="16"/>
  <c r="AZ155" i="16" s="1"/>
  <c r="BD91" i="16"/>
  <c r="AZ163" i="16" s="1"/>
  <c r="BE91" i="16"/>
  <c r="AY163" i="16" s="1"/>
  <c r="BE7" i="16"/>
  <c r="BD7" i="16"/>
  <c r="AZ144" i="16" s="1"/>
  <c r="R18" i="16" s="1"/>
  <c r="BD35" i="16"/>
  <c r="BE35" i="16"/>
  <c r="AY140" i="16" s="1"/>
  <c r="R14" i="16" s="1"/>
  <c r="C30" i="16"/>
  <c r="C44" i="16"/>
  <c r="R57" i="16"/>
  <c r="C18" i="16"/>
  <c r="U8" i="16"/>
  <c r="P188" i="8" s="1"/>
  <c r="U20" i="16"/>
  <c r="U30" i="16" s="1"/>
  <c r="BE31" i="16"/>
  <c r="AY149" i="16" s="1"/>
  <c r="BD31" i="16"/>
  <c r="AZ149" i="16" s="1"/>
  <c r="BE19" i="16"/>
  <c r="AY146" i="16" s="1"/>
  <c r="BD19" i="16"/>
  <c r="AZ146" i="16" s="1"/>
  <c r="BD51" i="16"/>
  <c r="AZ152" i="16" s="1"/>
  <c r="BE51" i="16"/>
  <c r="AY152" i="16" s="1"/>
  <c r="BE47" i="16"/>
  <c r="AY151" i="16" s="1"/>
  <c r="BD47" i="16"/>
  <c r="AZ151" i="16" s="1"/>
  <c r="BD39" i="16"/>
  <c r="BE39" i="16"/>
  <c r="AY141" i="16" s="1"/>
  <c r="R15" i="16" s="1"/>
  <c r="BD15" i="16"/>
  <c r="AZ145" i="16" s="1"/>
  <c r="BE15" i="16"/>
  <c r="AY145" i="16" s="1"/>
  <c r="BD3" i="16"/>
  <c r="AZ143" i="16" s="1"/>
  <c r="BE3" i="16"/>
  <c r="AY143" i="16" s="1"/>
  <c r="BE23" i="16"/>
  <c r="AY147" i="16" s="1"/>
  <c r="BD23" i="16"/>
  <c r="AZ147" i="16" s="1"/>
  <c r="BE43" i="16"/>
  <c r="AY150" i="16" s="1"/>
  <c r="BD43" i="16"/>
  <c r="AZ150" i="16" s="1"/>
  <c r="U34" i="16"/>
  <c r="U44" i="16" s="1"/>
  <c r="C56" i="16"/>
  <c r="U46" i="16"/>
  <c r="U56" i="16" s="1"/>
  <c r="C66" i="16"/>
  <c r="U59" i="16"/>
  <c r="U65" i="16" s="1"/>
  <c r="L9" i="16"/>
  <c r="L18" i="16" s="1"/>
  <c r="N9" i="16"/>
  <c r="N18" i="16" s="1"/>
  <c r="M9" i="16"/>
  <c r="M18" i="16" s="1"/>
  <c r="J9" i="16"/>
  <c r="J18" i="16" s="1"/>
  <c r="K9" i="16"/>
  <c r="K18" i="16" s="1"/>
  <c r="AK1" i="12"/>
  <c r="AJ7" i="12" s="1" a="1"/>
  <c r="AJ7" i="12" s="1"/>
  <c r="C56" i="15"/>
  <c r="AE46" i="15"/>
  <c r="AE56" i="15" s="1"/>
  <c r="C65" i="15"/>
  <c r="AE59" i="15"/>
  <c r="AE65" i="15" s="1"/>
  <c r="C44" i="15"/>
  <c r="AE34" i="15"/>
  <c r="R41" i="15"/>
  <c r="R42" i="15" s="1"/>
  <c r="C18" i="15"/>
  <c r="AE8" i="15"/>
  <c r="U55" i="15"/>
  <c r="U56" i="15" s="1"/>
  <c r="L9" i="15"/>
  <c r="L18" i="15" s="1"/>
  <c r="J9" i="15"/>
  <c r="J18" i="15" s="1"/>
  <c r="N9" i="15"/>
  <c r="N18" i="15" s="1"/>
  <c r="M9" i="15"/>
  <c r="M18" i="15" s="1"/>
  <c r="C30" i="15"/>
  <c r="AE20" i="15"/>
  <c r="I9" i="15"/>
  <c r="I18" i="15" s="1"/>
  <c r="K9" i="15"/>
  <c r="K18" i="15" s="1"/>
  <c r="BE34" i="12"/>
  <c r="C44" i="12"/>
  <c r="C56" i="14"/>
  <c r="AO46" i="14"/>
  <c r="AO56" i="14" s="1"/>
  <c r="C56" i="13"/>
  <c r="AY46" i="13"/>
  <c r="AY56" i="13" s="1"/>
  <c r="C56" i="12"/>
  <c r="BE46" i="12"/>
  <c r="BE56" i="12" s="1"/>
  <c r="C44" i="13"/>
  <c r="AY34" i="13"/>
  <c r="C44" i="14"/>
  <c r="R37" i="14"/>
  <c r="R38" i="14" s="1"/>
  <c r="C18" i="14"/>
  <c r="AE49" i="14"/>
  <c r="AE50" i="14" s="1"/>
  <c r="BE20" i="12"/>
  <c r="BE30" i="12" s="1"/>
  <c r="C30" i="12"/>
  <c r="C30" i="14"/>
  <c r="AE1" i="13"/>
  <c r="AO49" i="13"/>
  <c r="C18" i="13"/>
  <c r="AB37" i="13"/>
  <c r="AB38" i="13" s="1"/>
  <c r="AY8" i="13"/>
  <c r="U1" i="14"/>
  <c r="AH37" i="12"/>
  <c r="AH38" i="12" s="1"/>
  <c r="AU49" i="12"/>
  <c r="AU50" i="12" s="1"/>
  <c r="C18" i="12"/>
  <c r="BE8" i="12"/>
  <c r="BE18" i="12" s="1"/>
  <c r="C30" i="13"/>
  <c r="AY20" i="13"/>
  <c r="AY30" i="13" s="1"/>
  <c r="X4" i="12"/>
  <c r="X5" i="12" a="1"/>
  <c r="X5" i="12" s="1"/>
  <c r="X1" i="12"/>
  <c r="W4" i="12"/>
  <c r="W5" i="12" a="1"/>
  <c r="W5" i="12" s="1"/>
  <c r="Q37" i="13"/>
  <c r="R38" i="13" a="1"/>
  <c r="R38" i="13" s="1"/>
  <c r="Q38" i="13" a="1"/>
  <c r="Q38" i="13" s="1"/>
  <c r="R35" i="13"/>
  <c r="R37" i="13"/>
  <c r="Q48" i="13"/>
  <c r="R46" i="13"/>
  <c r="R49" i="13" a="1"/>
  <c r="R49" i="13" s="1"/>
  <c r="R48" i="13"/>
  <c r="Q49" i="13" a="1"/>
  <c r="Q49" i="13" s="1"/>
  <c r="R4" i="13"/>
  <c r="Q4" i="13"/>
  <c r="Q5" i="13" a="1"/>
  <c r="Q5" i="13" s="1"/>
  <c r="R1" i="13"/>
  <c r="R5" i="13" a="1"/>
  <c r="R5" i="13" s="1"/>
  <c r="J9" i="14"/>
  <c r="J18" i="14" s="1"/>
  <c r="L9" i="14"/>
  <c r="L18" i="14" s="1"/>
  <c r="N9" i="14"/>
  <c r="N18" i="14" s="1"/>
  <c r="M9" i="14"/>
  <c r="M18" i="14" s="1"/>
  <c r="I9" i="14"/>
  <c r="I18" i="14" s="1"/>
  <c r="N9" i="13"/>
  <c r="N18" i="13" s="1"/>
  <c r="L9" i="13"/>
  <c r="L18" i="13" s="1"/>
  <c r="I9" i="13"/>
  <c r="I18" i="13" s="1"/>
  <c r="M9" i="13"/>
  <c r="M18" i="13" s="1"/>
  <c r="Q60" i="13" a="1"/>
  <c r="Q60" i="13" s="1"/>
  <c r="R60" i="13" a="1"/>
  <c r="R60" i="13" s="1"/>
  <c r="Q59" i="13"/>
  <c r="R59" i="13"/>
  <c r="R57" i="13"/>
  <c r="AB15" i="5"/>
  <c r="AC16" i="5" a="1"/>
  <c r="AC16" i="5" s="1"/>
  <c r="AC13" i="5"/>
  <c r="AB16" i="5" a="1"/>
  <c r="AB16" i="5" s="1"/>
  <c r="AC15" i="5"/>
  <c r="AB4" i="5"/>
  <c r="X16" i="12" a="1"/>
  <c r="X16" i="12" s="1"/>
  <c r="X13" i="12"/>
  <c r="W15" i="12"/>
  <c r="W16" i="12" a="1"/>
  <c r="W16" i="12" s="1"/>
  <c r="X15" i="12"/>
  <c r="R13" i="13"/>
  <c r="Q15" i="13"/>
  <c r="R15" i="13"/>
  <c r="Q16" i="13" a="1"/>
  <c r="Q16" i="13" s="1"/>
  <c r="R16" i="13" a="1"/>
  <c r="R16" i="13" s="1"/>
  <c r="AC5" i="5" a="1"/>
  <c r="AC5" i="5" s="1"/>
  <c r="AB5" i="5" a="1"/>
  <c r="AB5" i="5" s="1"/>
  <c r="AC1" i="5"/>
  <c r="K9" i="13"/>
  <c r="K9" i="14"/>
  <c r="Q27" i="13" a="1"/>
  <c r="Q27" i="13" s="1"/>
  <c r="R27" i="13" a="1"/>
  <c r="R27" i="13" s="1"/>
  <c r="Q26" i="13"/>
  <c r="R26" i="13"/>
  <c r="R24" i="13"/>
  <c r="AB59" i="5"/>
  <c r="AC59" i="5"/>
  <c r="AC60" i="5" a="1"/>
  <c r="AC60" i="5" s="1"/>
  <c r="AC57" i="5"/>
  <c r="AB60" i="5" a="1"/>
  <c r="AB60" i="5" s="1"/>
  <c r="AA61" i="5" a="1"/>
  <c r="AA61" i="5" s="1"/>
  <c r="AD61" i="5" a="1"/>
  <c r="AD61" i="5" s="1"/>
  <c r="AC26" i="5"/>
  <c r="AC24" i="5"/>
  <c r="AB26" i="5"/>
  <c r="AA27" i="5" a="1"/>
  <c r="AA27" i="5" s="1"/>
  <c r="AC27" i="5" a="1"/>
  <c r="AC27" i="5" s="1"/>
  <c r="AB27" i="5" a="1"/>
  <c r="AB27" i="5" s="1"/>
  <c r="AD27" i="5" a="1"/>
  <c r="AD27" i="5" s="1"/>
  <c r="AY62" i="13"/>
  <c r="C66" i="13"/>
  <c r="AB37" i="5"/>
  <c r="AB38" i="5" a="1"/>
  <c r="AB38" i="5" s="1"/>
  <c r="AC35" i="5"/>
  <c r="AD38" i="5" a="1"/>
  <c r="AD38" i="5" s="1"/>
  <c r="AC38" i="5" a="1"/>
  <c r="AC38" i="5" s="1"/>
  <c r="AC37" i="5"/>
  <c r="AA38" i="5" a="1"/>
  <c r="AA38" i="5" s="1"/>
  <c r="BE62" i="12"/>
  <c r="C66" i="12"/>
  <c r="Y61" i="12" a="1"/>
  <c r="Y61" i="12" s="1"/>
  <c r="V61" i="12" a="1"/>
  <c r="V61" i="12" s="1"/>
  <c r="W59" i="12"/>
  <c r="X60" i="12" a="1"/>
  <c r="X60" i="12" s="1"/>
  <c r="X59" i="12"/>
  <c r="W60" i="12" a="1"/>
  <c r="W60" i="12" s="1"/>
  <c r="X57" i="12"/>
  <c r="W26" i="12"/>
  <c r="Y27" i="12" a="1"/>
  <c r="Y27" i="12" s="1"/>
  <c r="X27" i="12" a="1"/>
  <c r="X27" i="12" s="1"/>
  <c r="V27" i="12" a="1"/>
  <c r="V27" i="12" s="1"/>
  <c r="W27" i="12" a="1"/>
  <c r="W27" i="12" s="1"/>
  <c r="X24" i="12"/>
  <c r="X26" i="12"/>
  <c r="X49" i="12" a="1"/>
  <c r="X49" i="12" s="1"/>
  <c r="X46" i="12"/>
  <c r="W48" i="12"/>
  <c r="X48" i="12"/>
  <c r="W49" i="12" a="1"/>
  <c r="W49" i="12" s="1"/>
  <c r="V49" i="12" a="1"/>
  <c r="V49" i="12" s="1"/>
  <c r="Y49" i="12" a="1"/>
  <c r="Y49" i="12" s="1"/>
  <c r="W38" i="12" a="1"/>
  <c r="W38" i="12" s="1"/>
  <c r="X38" i="12" a="1"/>
  <c r="X38" i="12" s="1"/>
  <c r="V38" i="12" a="1"/>
  <c r="V38" i="12" s="1"/>
  <c r="Y38" i="12" a="1"/>
  <c r="Y38" i="12" s="1"/>
  <c r="X35" i="12"/>
  <c r="W37" i="12"/>
  <c r="X37" i="12"/>
  <c r="AO62" i="14"/>
  <c r="C66" i="14"/>
  <c r="AC46" i="5"/>
  <c r="AA49" i="5" a="1"/>
  <c r="AA49" i="5" s="1"/>
  <c r="AC48" i="5"/>
  <c r="AB48" i="5"/>
  <c r="AB49" i="5" a="1"/>
  <c r="AB49" i="5" s="1"/>
  <c r="AC49" i="5" a="1"/>
  <c r="AC49" i="5" s="1"/>
  <c r="AD49" i="5" a="1"/>
  <c r="AD49" i="5" s="1"/>
  <c r="AP1" i="5"/>
  <c r="T9" i="5"/>
  <c r="W9" i="5"/>
  <c r="W18" i="5" s="1"/>
  <c r="Y9" i="5"/>
  <c r="Y18" i="5" s="1"/>
  <c r="V9" i="5"/>
  <c r="V18" i="5" s="1"/>
  <c r="U9" i="5"/>
  <c r="U18" i="5" s="1"/>
  <c r="X9" i="5"/>
  <c r="X18" i="5" s="1"/>
  <c r="T9" i="12"/>
  <c r="T18" i="12" s="1"/>
  <c r="O9" i="12"/>
  <c r="P9" i="12"/>
  <c r="P18" i="12" s="1"/>
  <c r="Q9" i="12"/>
  <c r="Q18" i="12" s="1"/>
  <c r="S9" i="12"/>
  <c r="S18" i="12" s="1"/>
  <c r="R9" i="12"/>
  <c r="R18" i="12" s="1"/>
  <c r="F1" i="5"/>
  <c r="K11" i="1"/>
  <c r="J12" i="1" a="1"/>
  <c r="J12" i="1" s="1"/>
  <c r="O177" i="8" a="1"/>
  <c r="O156" i="8" a="1"/>
  <c r="O176" i="8" a="1"/>
  <c r="O160" i="8" a="1"/>
  <c r="Q52" i="8" l="1"/>
  <c r="BL24" i="5"/>
  <c r="Y4" i="8"/>
  <c r="T4" i="8" s="1"/>
  <c r="Q4" i="8" s="1"/>
  <c r="Q48" i="8"/>
  <c r="E8" i="18" a="1"/>
  <c r="E8" i="18" s="1"/>
  <c r="R13" i="20"/>
  <c r="R13" i="16"/>
  <c r="BM24" i="5"/>
  <c r="B8" i="18" a="1"/>
  <c r="B8" i="18" s="1"/>
  <c r="G9" i="18" a="1"/>
  <c r="G9" i="18" s="1"/>
  <c r="C8" i="18" s="1"/>
  <c r="D25" i="18" s="1"/>
  <c r="P48" i="8"/>
  <c r="P56" i="8"/>
  <c r="Q56" i="8"/>
  <c r="P52" i="8"/>
  <c r="O160" i="8"/>
  <c r="O176" i="8"/>
  <c r="O177" i="8"/>
  <c r="O156" i="8"/>
  <c r="P32" i="8"/>
  <c r="Q32" i="8"/>
  <c r="P134" i="8"/>
  <c r="Q134" i="8"/>
  <c r="P8" i="8"/>
  <c r="Q8" i="8"/>
  <c r="Q28" i="8"/>
  <c r="P28" i="8"/>
  <c r="Q77" i="8"/>
  <c r="P77" i="8"/>
  <c r="Q69" i="8"/>
  <c r="P69" i="8"/>
  <c r="P65" i="8"/>
  <c r="Q65" i="8"/>
  <c r="P81" i="8"/>
  <c r="Q81" i="8"/>
  <c r="Q114" i="8"/>
  <c r="P114" i="8"/>
  <c r="Q16" i="8"/>
  <c r="P16" i="8"/>
  <c r="Q12" i="8"/>
  <c r="P12" i="8"/>
  <c r="P73" i="8"/>
  <c r="Q73" i="8"/>
  <c r="P85" i="8"/>
  <c r="Q85" i="8"/>
  <c r="Q61" i="8"/>
  <c r="P61" i="8"/>
  <c r="F27" i="5" a="1"/>
  <c r="F27" i="5" s="1"/>
  <c r="F7" i="5" s="1"/>
  <c r="E27" i="5" a="1"/>
  <c r="E27" i="5" s="1"/>
  <c r="E7" i="5" s="1"/>
  <c r="C31" i="20"/>
  <c r="Y118" i="8"/>
  <c r="T118" i="8" s="1"/>
  <c r="Y20" i="8"/>
  <c r="T20" i="8" s="1"/>
  <c r="Z44" i="8"/>
  <c r="U44" i="8" s="1"/>
  <c r="Z110" i="8"/>
  <c r="U110" i="8" s="1"/>
  <c r="Z89" i="8"/>
  <c r="U89" i="8" s="1"/>
  <c r="Y110" i="8"/>
  <c r="T110" i="8" s="1"/>
  <c r="Z101" i="8"/>
  <c r="U101" i="8" s="1"/>
  <c r="Y122" i="8"/>
  <c r="T122" i="8" s="1"/>
  <c r="Z36" i="8"/>
  <c r="U36" i="8" s="1"/>
  <c r="Y130" i="8"/>
  <c r="T130" i="8" s="1"/>
  <c r="Y97" i="8"/>
  <c r="T97" i="8" s="1"/>
  <c r="Y24" i="8"/>
  <c r="T24" i="8" s="1"/>
  <c r="Z97" i="8"/>
  <c r="U97" i="8" s="1"/>
  <c r="Y105" i="8"/>
  <c r="T105" i="8" s="1"/>
  <c r="Z40" i="8"/>
  <c r="U40" i="8" s="1"/>
  <c r="Z93" i="8"/>
  <c r="U93" i="8" s="1"/>
  <c r="Z20" i="8"/>
  <c r="U20" i="8" s="1"/>
  <c r="Y40" i="8"/>
  <c r="T40" i="8" s="1"/>
  <c r="Y93" i="8"/>
  <c r="T93" i="8" s="1"/>
  <c r="Y36" i="8"/>
  <c r="T36" i="8" s="1"/>
  <c r="Y101" i="8"/>
  <c r="T101" i="8" s="1"/>
  <c r="Y126" i="8"/>
  <c r="T126" i="8" s="1"/>
  <c r="Z126" i="8"/>
  <c r="U126" i="8" s="1"/>
  <c r="Z105" i="8"/>
  <c r="U105" i="8" s="1"/>
  <c r="Y44" i="8"/>
  <c r="T44" i="8" s="1"/>
  <c r="Z118" i="8"/>
  <c r="U118" i="8" s="1"/>
  <c r="Z122" i="8"/>
  <c r="U122" i="8" s="1"/>
  <c r="Z24" i="8"/>
  <c r="U24" i="8" s="1"/>
  <c r="Y89" i="8"/>
  <c r="T89" i="8" s="1"/>
  <c r="Z130" i="8"/>
  <c r="U130" i="8" s="1"/>
  <c r="U31" i="20"/>
  <c r="AN7" i="5" a="1"/>
  <c r="AN7" i="5" s="1"/>
  <c r="AO7" i="5" a="1"/>
  <c r="AO7" i="5" s="1"/>
  <c r="AP7" i="5" a="1"/>
  <c r="AP7" i="5" s="1"/>
  <c r="AQ7" i="5" a="1"/>
  <c r="AQ7" i="5" s="1"/>
  <c r="C31" i="16"/>
  <c r="J13" i="1" a="1"/>
  <c r="J13" i="1" s="1"/>
  <c r="J14" i="1" s="1" a="1"/>
  <c r="J14" i="1" s="1"/>
  <c r="K14" i="1" s="1"/>
  <c r="K12" i="1"/>
  <c r="R22" i="20"/>
  <c r="C31" i="15"/>
  <c r="R25" i="20"/>
  <c r="R20" i="20"/>
  <c r="R26" i="20"/>
  <c r="R28" i="20"/>
  <c r="BI136" i="20"/>
  <c r="AY143" i="20"/>
  <c r="AZ143" i="20"/>
  <c r="BI137" i="20" s="1"/>
  <c r="BH136" i="20"/>
  <c r="R14" i="20"/>
  <c r="O9" i="20"/>
  <c r="O18" i="20" s="1"/>
  <c r="I18" i="20"/>
  <c r="R23" i="20"/>
  <c r="R19" i="20"/>
  <c r="U44" i="20"/>
  <c r="U57" i="20" s="1"/>
  <c r="U66" i="20" s="1"/>
  <c r="C57" i="20"/>
  <c r="C67" i="20" s="1"/>
  <c r="R21" i="20"/>
  <c r="R27" i="20"/>
  <c r="R24" i="20"/>
  <c r="M18" i="20"/>
  <c r="R25" i="16"/>
  <c r="R19" i="16"/>
  <c r="R17" i="16"/>
  <c r="R24" i="16"/>
  <c r="R20" i="16"/>
  <c r="R23" i="16"/>
  <c r="R22" i="16"/>
  <c r="R27" i="16"/>
  <c r="R28" i="16"/>
  <c r="R26" i="16"/>
  <c r="R21" i="16"/>
  <c r="AY174" i="16"/>
  <c r="AZ174" i="16"/>
  <c r="BI137" i="16"/>
  <c r="BH137" i="16"/>
  <c r="U18" i="16"/>
  <c r="U31" i="16" s="1"/>
  <c r="AY194" i="16"/>
  <c r="BI136" i="16"/>
  <c r="BH136" i="16"/>
  <c r="AL7" i="12" a="1"/>
  <c r="AL7" i="12" s="1"/>
  <c r="C57" i="15"/>
  <c r="C66" i="15" s="1"/>
  <c r="AI7" i="12" a="1"/>
  <c r="AI7" i="12" s="1"/>
  <c r="AK7" i="12" a="1"/>
  <c r="AK7" i="12" s="1"/>
  <c r="AK24" i="12" s="1"/>
  <c r="C57" i="16"/>
  <c r="C67" i="16" s="1"/>
  <c r="U57" i="16"/>
  <c r="U66" i="16" s="1"/>
  <c r="O9" i="16"/>
  <c r="O18" i="16" s="1"/>
  <c r="O9" i="15"/>
  <c r="O18" i="15" s="1"/>
  <c r="C57" i="14"/>
  <c r="C67" i="14" s="1"/>
  <c r="C57" i="13"/>
  <c r="C67" i="13" s="1"/>
  <c r="C31" i="13"/>
  <c r="AB11" i="5"/>
  <c r="BE31" i="12"/>
  <c r="C31" i="12"/>
  <c r="C31" i="14"/>
  <c r="S7" i="14" a="1"/>
  <c r="S7" i="14" s="1"/>
  <c r="V7" i="14" a="1"/>
  <c r="V7" i="14" s="1"/>
  <c r="T7" i="14" a="1"/>
  <c r="T7" i="14" s="1"/>
  <c r="U7" i="14" a="1"/>
  <c r="U7" i="14" s="1"/>
  <c r="AY18" i="13"/>
  <c r="AY31" i="13" s="1"/>
  <c r="AF7" i="13" a="1"/>
  <c r="AF7" i="13" s="1"/>
  <c r="AC7" i="13" a="1"/>
  <c r="AC7" i="13" s="1"/>
  <c r="AD7" i="13" a="1"/>
  <c r="AD7" i="13" s="1"/>
  <c r="AE7" i="13" a="1"/>
  <c r="AE7" i="13" s="1"/>
  <c r="AY44" i="13"/>
  <c r="AY57" i="13" s="1"/>
  <c r="C57" i="12"/>
  <c r="C67" i="12" s="1"/>
  <c r="BE44" i="12"/>
  <c r="BE57" i="12" s="1"/>
  <c r="AC44" i="5"/>
  <c r="AB33" i="5"/>
  <c r="X66" i="12"/>
  <c r="Q66" i="13"/>
  <c r="R55" i="13"/>
  <c r="R44" i="13"/>
  <c r="AC11" i="5"/>
  <c r="W11" i="12"/>
  <c r="Q11" i="13"/>
  <c r="X22" i="12"/>
  <c r="AD15" i="5" a="1"/>
  <c r="AD15" i="5" s="1"/>
  <c r="AA15" i="5" a="1"/>
  <c r="AA15" i="5" s="1"/>
  <c r="R11" i="13"/>
  <c r="AB22" i="5"/>
  <c r="W22" i="12"/>
  <c r="S59" i="13" a="1"/>
  <c r="S59" i="13" s="1"/>
  <c r="P59" i="13" a="1"/>
  <c r="P59" i="13" s="1"/>
  <c r="Y15" i="12" a="1"/>
  <c r="Y15" i="12" s="1"/>
  <c r="V15" i="12" a="1"/>
  <c r="V15" i="12" s="1"/>
  <c r="R66" i="13"/>
  <c r="AC66" i="5"/>
  <c r="S48" i="13" a="1"/>
  <c r="S48" i="13" s="1"/>
  <c r="P48" i="13" a="1"/>
  <c r="P48" i="13" s="1"/>
  <c r="Q55" i="13"/>
  <c r="P37" i="13" a="1"/>
  <c r="P37" i="13" s="1"/>
  <c r="S37" i="13" a="1"/>
  <c r="S37" i="13" s="1"/>
  <c r="AA4" i="5" a="1"/>
  <c r="AA4" i="5" s="1"/>
  <c r="AD4" i="5" a="1"/>
  <c r="AD4" i="5" s="1"/>
  <c r="Q44" i="13"/>
  <c r="X33" i="12"/>
  <c r="R22" i="13"/>
  <c r="Y4" i="12" a="1"/>
  <c r="Y4" i="12" s="1"/>
  <c r="V4" i="12" a="1"/>
  <c r="V4" i="12" s="1"/>
  <c r="Q22" i="13"/>
  <c r="AC22" i="5"/>
  <c r="W44" i="12"/>
  <c r="S15" i="13" a="1"/>
  <c r="S15" i="13" s="1"/>
  <c r="P15" i="13" a="1"/>
  <c r="P15" i="13" s="1"/>
  <c r="S4" i="13" a="1"/>
  <c r="S4" i="13" s="1"/>
  <c r="P4" i="13" a="1"/>
  <c r="P4" i="13" s="1"/>
  <c r="X11" i="12"/>
  <c r="AB66" i="5"/>
  <c r="Q33" i="13"/>
  <c r="AA26" i="5" a="1"/>
  <c r="AA26" i="5" s="1"/>
  <c r="AD26" i="5" a="1"/>
  <c r="AD26" i="5" s="1"/>
  <c r="AC33" i="5"/>
  <c r="AD60" i="5" a="1"/>
  <c r="AD60" i="5" s="1"/>
  <c r="AA60" i="5" a="1"/>
  <c r="AA60" i="5" s="1"/>
  <c r="S26" i="13" a="1"/>
  <c r="S26" i="13" s="1"/>
  <c r="P26" i="13" a="1"/>
  <c r="P26" i="13" s="1"/>
  <c r="R33" i="13"/>
  <c r="K18" i="14"/>
  <c r="O9" i="14"/>
  <c r="O18" i="14" s="1"/>
  <c r="AB55" i="5"/>
  <c r="K18" i="13"/>
  <c r="O9" i="13"/>
  <c r="O18" i="13" s="1"/>
  <c r="W55" i="12"/>
  <c r="Y26" i="12" a="1"/>
  <c r="Y26" i="12" s="1"/>
  <c r="V26" i="12" a="1"/>
  <c r="V26" i="12" s="1"/>
  <c r="W33" i="12"/>
  <c r="V60" i="12" a="1"/>
  <c r="V60" i="12" s="1"/>
  <c r="Y60" i="12" a="1"/>
  <c r="Y60" i="12" s="1"/>
  <c r="X55" i="12"/>
  <c r="W66" i="12"/>
  <c r="V48" i="12" a="1"/>
  <c r="V48" i="12" s="1"/>
  <c r="Y48" i="12" a="1"/>
  <c r="Y48" i="12" s="1"/>
  <c r="AO65" i="14"/>
  <c r="X44" i="12"/>
  <c r="BE65" i="12"/>
  <c r="AC55" i="5"/>
  <c r="V37" i="12" a="1"/>
  <c r="V37" i="12" s="1"/>
  <c r="Y37" i="12" a="1"/>
  <c r="Y37" i="12" s="1"/>
  <c r="AA48" i="5" a="1"/>
  <c r="AA48" i="5" s="1"/>
  <c r="AD48" i="5" a="1"/>
  <c r="AD48" i="5" s="1"/>
  <c r="AD37" i="5" a="1"/>
  <c r="AD37" i="5" s="1"/>
  <c r="AA37" i="5" a="1"/>
  <c r="AA37" i="5" s="1"/>
  <c r="AB44" i="5"/>
  <c r="AY65" i="13"/>
  <c r="O18" i="12"/>
  <c r="U9" i="12"/>
  <c r="U18" i="12" s="1"/>
  <c r="T18" i="5"/>
  <c r="Z9" i="5"/>
  <c r="Z18" i="5" s="1"/>
  <c r="D7" i="5" a="1"/>
  <c r="D7" i="5" s="1"/>
  <c r="G7" i="5" a="1"/>
  <c r="G7" i="5" s="1"/>
  <c r="Q167" i="8" a="1"/>
  <c r="P169" i="8" a="1"/>
  <c r="Q168" i="8" a="1"/>
  <c r="Q156" i="8" a="1"/>
  <c r="P151" i="8" a="1"/>
  <c r="P165" i="8" a="1"/>
  <c r="Q170" i="8" a="1"/>
  <c r="P166" i="8" a="1"/>
  <c r="P170" i="8" a="1"/>
  <c r="Q157" i="8" a="1"/>
  <c r="Q162" i="8" a="1"/>
  <c r="Q164" i="8" a="1"/>
  <c r="P177" i="8" a="1"/>
  <c r="P152" i="8" a="1"/>
  <c r="Q166" i="8" a="1"/>
  <c r="Q152" i="8" a="1"/>
  <c r="Q177" i="8" a="1"/>
  <c r="P150" i="8" a="1"/>
  <c r="P164" i="8" a="1"/>
  <c r="P168" i="8" a="1"/>
  <c r="P156" i="8" a="1"/>
  <c r="Q163" i="8" a="1"/>
  <c r="P153" i="8" a="1"/>
  <c r="P157" i="8" a="1"/>
  <c r="Q169" i="8" a="1"/>
  <c r="Q161" i="8" a="1"/>
  <c r="P162" i="8" a="1"/>
  <c r="P167" i="8" a="1"/>
  <c r="P161" i="8" a="1"/>
  <c r="Q165" i="8" a="1"/>
  <c r="Q153" i="8" a="1"/>
  <c r="P163" i="8" a="1"/>
  <c r="Q151" i="8" a="1"/>
  <c r="P162" i="8" l="1"/>
  <c r="P4" i="8"/>
  <c r="C25" i="18"/>
  <c r="P161" i="8"/>
  <c r="K13" i="1"/>
  <c r="Q161" i="8"/>
  <c r="Q162" i="8"/>
  <c r="P163" i="8"/>
  <c r="Q163" i="8"/>
  <c r="AY174" i="20"/>
  <c r="Q167" i="8"/>
  <c r="Q170" i="8"/>
  <c r="Q177" i="8"/>
  <c r="P169" i="8"/>
  <c r="Q169" i="8"/>
  <c r="P150" i="8"/>
  <c r="P165" i="8"/>
  <c r="Q165" i="8"/>
  <c r="Q166" i="8"/>
  <c r="P166" i="8"/>
  <c r="P152" i="8"/>
  <c r="Q168" i="8"/>
  <c r="P168" i="8"/>
  <c r="Q153" i="8"/>
  <c r="Q156" i="8"/>
  <c r="Q152" i="8"/>
  <c r="P156" i="8"/>
  <c r="P151" i="8"/>
  <c r="Q151" i="8"/>
  <c r="P167" i="8"/>
  <c r="P157" i="8"/>
  <c r="Q157" i="8"/>
  <c r="P170" i="8"/>
  <c r="P153" i="8"/>
  <c r="Q164" i="8"/>
  <c r="P177" i="8"/>
  <c r="P164" i="8"/>
  <c r="P110" i="8"/>
  <c r="Q110" i="8"/>
  <c r="Q20" i="8"/>
  <c r="P20" i="8"/>
  <c r="P118" i="8"/>
  <c r="Q118" i="8"/>
  <c r="Q89" i="8"/>
  <c r="P89" i="8"/>
  <c r="Q44" i="8"/>
  <c r="P44" i="8"/>
  <c r="P130" i="8"/>
  <c r="Q130" i="8"/>
  <c r="Q93" i="8"/>
  <c r="P93" i="8"/>
  <c r="P101" i="8"/>
  <c r="Q101" i="8"/>
  <c r="P40" i="8"/>
  <c r="Q40" i="8"/>
  <c r="P36" i="8"/>
  <c r="Q36" i="8"/>
  <c r="P126" i="8"/>
  <c r="Q126" i="8"/>
  <c r="Q105" i="8"/>
  <c r="P105" i="8"/>
  <c r="P24" i="8"/>
  <c r="Q24" i="8"/>
  <c r="P97" i="8"/>
  <c r="Q97" i="8"/>
  <c r="AZ174" i="20"/>
  <c r="BH137" i="20"/>
  <c r="BH140" i="20" s="1"/>
  <c r="AP24" i="5"/>
  <c r="R17" i="20"/>
  <c r="R29" i="20" s="1"/>
  <c r="R56" i="20" s="1"/>
  <c r="R58" i="20" s="1"/>
  <c r="BI140" i="20"/>
  <c r="R29" i="16"/>
  <c r="R56" i="16" s="1"/>
  <c r="R58" i="16" s="1"/>
  <c r="BI140" i="16"/>
  <c r="AJ24" i="12"/>
  <c r="BH140" i="16"/>
  <c r="U29" i="14"/>
  <c r="AY66" i="13"/>
  <c r="AE24" i="13"/>
  <c r="BE66" i="12"/>
  <c r="AD24" i="13"/>
  <c r="T29" i="14"/>
  <c r="AO24" i="5"/>
  <c r="J15" i="1" a="1"/>
  <c r="J15" i="1" s="1"/>
  <c r="J16" i="1" s="1" a="1"/>
  <c r="J16" i="1" s="1"/>
  <c r="E24" i="5"/>
  <c r="F24" i="5"/>
  <c r="P171" i="8" a="1"/>
  <c r="Q155" i="8" a="1"/>
  <c r="P158" i="8" a="1"/>
  <c r="P173" i="8" a="1"/>
  <c r="Q159" i="8" a="1"/>
  <c r="P154" i="8" a="1"/>
  <c r="Q180" i="8" a="1"/>
  <c r="Q172" i="8" a="1"/>
  <c r="Q174" i="8" a="1"/>
  <c r="P159" i="8" a="1"/>
  <c r="Q179" i="8" a="1"/>
  <c r="P175" i="8" a="1"/>
  <c r="P179" i="8" a="1"/>
  <c r="P160" i="8" a="1"/>
  <c r="Q171" i="8" a="1"/>
  <c r="P178" i="8" a="1"/>
  <c r="P172" i="8" a="1"/>
  <c r="Q150" i="8" a="1"/>
  <c r="Q175" i="8" a="1"/>
  <c r="Q176" i="8" a="1"/>
  <c r="P180" i="8" a="1"/>
  <c r="Q178" i="8" a="1"/>
  <c r="Q160" i="8" a="1"/>
  <c r="Q158" i="8" a="1"/>
  <c r="P155" i="8" a="1"/>
  <c r="P174" i="8" a="1"/>
  <c r="Q154" i="8" a="1"/>
  <c r="P176" i="8" a="1"/>
  <c r="Q173" i="8" a="1"/>
  <c r="Q150" i="8" l="1"/>
  <c r="AY193" i="20"/>
  <c r="AY195" i="20" s="1"/>
  <c r="Q154" i="8"/>
  <c r="Q155" i="8"/>
  <c r="Q158" i="8"/>
  <c r="Q173" i="8"/>
  <c r="P173" i="8"/>
  <c r="P175" i="8"/>
  <c r="Q176" i="8"/>
  <c r="Q175" i="8"/>
  <c r="Q159" i="8"/>
  <c r="P174" i="8"/>
  <c r="P172" i="8"/>
  <c r="P180" i="8"/>
  <c r="P155" i="8"/>
  <c r="Q179" i="8"/>
  <c r="Q172" i="8"/>
  <c r="Q180" i="8"/>
  <c r="Q171" i="8"/>
  <c r="P176" i="8"/>
  <c r="P179" i="8"/>
  <c r="P171" i="8"/>
  <c r="P154" i="8"/>
  <c r="P158" i="8"/>
  <c r="P160" i="8"/>
  <c r="P178" i="8"/>
  <c r="P159" i="8"/>
  <c r="Q174" i="8"/>
  <c r="Q160" i="8"/>
  <c r="Q178" i="8"/>
  <c r="BJ2" i="20"/>
  <c r="BJ2" i="16"/>
  <c r="K15" i="1"/>
  <c r="J17" i="1" a="1"/>
  <c r="J17" i="1" s="1"/>
  <c r="K16" i="1"/>
  <c r="AQ15" i="13" l="1" a="1"/>
  <c r="AQ15" i="13" s="1"/>
  <c r="AW15" i="12" a="1"/>
  <c r="AW15" i="12" s="1"/>
  <c r="BD15" i="5" a="1"/>
  <c r="BD15" i="5" s="1"/>
  <c r="AY15" i="12" a="1"/>
  <c r="AY15" i="12" s="1"/>
  <c r="BB15" i="5" a="1"/>
  <c r="BB15" i="5" s="1"/>
  <c r="AS15" i="13" a="1"/>
  <c r="AS15" i="13" s="1"/>
  <c r="AI15" i="14" a="1"/>
  <c r="AI15" i="14" s="1"/>
  <c r="AG15" i="14" a="1"/>
  <c r="AG15" i="14" s="1"/>
  <c r="Y15" i="15" a="1"/>
  <c r="Y15" i="15" s="1"/>
  <c r="W15" i="15" a="1"/>
  <c r="W15" i="15" s="1"/>
  <c r="U183" i="8"/>
  <c r="T183" i="8"/>
  <c r="J18" i="1" a="1"/>
  <c r="J18" i="1" s="1"/>
  <c r="K17" i="1"/>
  <c r="AO50" i="13" l="1"/>
  <c r="P181" i="8"/>
  <c r="Q181" i="8"/>
  <c r="J19" i="1" a="1"/>
  <c r="J19" i="1" s="1"/>
  <c r="J20" i="1" s="1" a="1"/>
  <c r="J20" i="1" s="1"/>
  <c r="K18" i="1"/>
  <c r="BC47" i="5" l="1"/>
  <c r="AR47" i="13"/>
  <c r="AY47" i="12"/>
  <c r="AS47" i="13"/>
  <c r="X47" i="15"/>
  <c r="P184" i="8"/>
  <c r="P187" i="8" s="1"/>
  <c r="P189" i="8" s="1"/>
  <c r="Y47" i="15"/>
  <c r="AH47" i="14"/>
  <c r="AX47" i="12"/>
  <c r="AI47" i="14"/>
  <c r="BD47" i="5"/>
  <c r="K19" i="1"/>
  <c r="J21" i="1" a="1"/>
  <c r="J21" i="1" s="1"/>
  <c r="K20" i="1"/>
  <c r="J22" i="1" l="1" a="1"/>
  <c r="J22" i="1" s="1"/>
  <c r="J23" i="1" s="1" a="1"/>
  <c r="J23" i="1" s="1"/>
  <c r="K21" i="1"/>
  <c r="K22" i="1" l="1"/>
  <c r="J24" i="1" a="1"/>
  <c r="J24" i="1" s="1"/>
  <c r="K23" i="1"/>
  <c r="J25" i="1" l="1" a="1"/>
  <c r="J25" i="1" s="1"/>
  <c r="J26" i="1" s="1" a="1"/>
  <c r="J26" i="1" s="1"/>
  <c r="K24" i="1"/>
  <c r="K25" i="1" l="1"/>
  <c r="J27" i="1" a="1"/>
  <c r="J27" i="1" s="1"/>
  <c r="K26" i="1"/>
  <c r="J28" i="1" l="1" a="1"/>
  <c r="J28" i="1" s="1"/>
  <c r="J29" i="1" s="1" a="1"/>
  <c r="J29" i="1" s="1"/>
  <c r="K27" i="1"/>
  <c r="K28" i="1" l="1"/>
  <c r="J30" i="1" a="1"/>
  <c r="J30" i="1" s="1"/>
  <c r="K29" i="1"/>
  <c r="J31" i="1" l="1" a="1"/>
  <c r="J31" i="1" s="1"/>
  <c r="K30" i="1"/>
  <c r="J32" i="1" l="1" a="1"/>
  <c r="J32" i="1" s="1"/>
  <c r="J33" i="1" s="1" a="1"/>
  <c r="J33" i="1" s="1"/>
  <c r="K31" i="1"/>
  <c r="K32" i="1" l="1"/>
  <c r="J34" i="1" a="1"/>
  <c r="J34" i="1" s="1"/>
  <c r="K33" i="1"/>
  <c r="J35" i="1" l="1" a="1"/>
  <c r="J35" i="1" s="1"/>
  <c r="K34" i="1"/>
  <c r="J36" i="1" l="1" a="1"/>
  <c r="J36" i="1" s="1"/>
  <c r="J37" i="1" s="1" a="1"/>
  <c r="J37" i="1" s="1"/>
  <c r="K35" i="1"/>
  <c r="K36" i="1" l="1"/>
  <c r="J38" i="1" a="1"/>
  <c r="J38" i="1" s="1"/>
  <c r="K37" i="1"/>
  <c r="J39" i="1" l="1" a="1"/>
  <c r="J39" i="1" s="1"/>
  <c r="K38" i="1"/>
  <c r="J40" i="1" l="1" a="1"/>
  <c r="J40" i="1" s="1"/>
  <c r="K39" i="1"/>
  <c r="J41" i="1" l="1" a="1"/>
  <c r="J41" i="1" s="1"/>
  <c r="K40" i="1"/>
  <c r="J42" i="1" l="1" a="1"/>
  <c r="J42" i="1" s="1"/>
  <c r="J43" i="1" s="1" a="1"/>
  <c r="J43" i="1" s="1"/>
  <c r="K41" i="1"/>
  <c r="K42" i="1" l="1"/>
  <c r="J44" i="1" a="1"/>
  <c r="J44" i="1" s="1"/>
  <c r="K43" i="1"/>
  <c r="J45" i="1" l="1" a="1"/>
  <c r="J45" i="1" s="1"/>
  <c r="K44" i="1"/>
  <c r="J46" i="1" l="1" a="1"/>
  <c r="J46" i="1" s="1"/>
  <c r="K46" i="1" s="1"/>
  <c r="K45" i="1"/>
  <c r="J47" i="1" l="1" a="1"/>
  <c r="J47" i="1" s="1"/>
  <c r="J48" i="1" s="1" a="1"/>
  <c r="J48" i="1" s="1"/>
  <c r="K47" i="1" l="1"/>
  <c r="J49" i="1" a="1"/>
  <c r="J49" i="1" s="1"/>
  <c r="K48" i="1"/>
  <c r="J50" i="1" l="1" a="1"/>
  <c r="J50" i="1" s="1"/>
  <c r="J51" i="1" s="1" a="1"/>
  <c r="J51" i="1" s="1"/>
  <c r="K49" i="1"/>
  <c r="K50" i="1" l="1"/>
  <c r="J52" i="1" a="1"/>
  <c r="J52" i="1" s="1"/>
  <c r="K51" i="1"/>
  <c r="J53" i="1" l="1" a="1"/>
  <c r="J53" i="1" s="1"/>
  <c r="K52" i="1"/>
  <c r="J54" i="1" l="1" a="1"/>
  <c r="J54" i="1" s="1"/>
  <c r="K53" i="1"/>
  <c r="J55" i="1" l="1" a="1"/>
  <c r="J55" i="1" s="1"/>
  <c r="K55" i="1" s="1"/>
  <c r="K54" i="1"/>
  <c r="J56" i="1" l="1" a="1"/>
  <c r="J56" i="1" s="1"/>
  <c r="J57" i="1" s="1" a="1"/>
  <c r="J57" i="1" s="1"/>
  <c r="K56" i="1" l="1"/>
  <c r="J58" i="1" a="1"/>
  <c r="J58" i="1" s="1"/>
  <c r="K57" i="1"/>
  <c r="J59" i="1" l="1" a="1"/>
  <c r="J59" i="1" s="1"/>
  <c r="K58" i="1"/>
  <c r="J60" i="1" l="1" a="1"/>
  <c r="J60" i="1" s="1"/>
  <c r="J61" i="1" s="1" a="1"/>
  <c r="J61" i="1" s="1"/>
  <c r="K59" i="1"/>
  <c r="K60" i="1" l="1"/>
  <c r="J62" i="1" a="1"/>
  <c r="J62" i="1" s="1"/>
  <c r="K61" i="1"/>
  <c r="J63" i="1" l="1" a="1"/>
  <c r="J63" i="1" s="1"/>
  <c r="K63" i="1" s="1"/>
  <c r="K62" i="1"/>
  <c r="J64" i="1" l="1" a="1"/>
  <c r="J64" i="1" s="1"/>
  <c r="J65" i="1" s="1" a="1"/>
  <c r="J65" i="1" s="1"/>
  <c r="K64" i="1" l="1"/>
  <c r="J66" i="1" a="1"/>
  <c r="J66" i="1" s="1"/>
  <c r="K65" i="1"/>
  <c r="J67" i="1" l="1" a="1"/>
  <c r="J67" i="1" s="1"/>
  <c r="K66" i="1"/>
  <c r="J68" i="1" l="1" a="1"/>
  <c r="J68" i="1" s="1"/>
  <c r="K67" i="1"/>
  <c r="J69" i="1" l="1" a="1"/>
  <c r="J69" i="1" s="1"/>
  <c r="K69" i="1" s="1"/>
  <c r="K68" i="1"/>
  <c r="J70" i="1" l="1" a="1"/>
  <c r="J70" i="1" s="1"/>
  <c r="J71" i="1" s="1" a="1"/>
  <c r="J71" i="1" s="1"/>
  <c r="K70" i="1" l="1"/>
  <c r="J72" i="1" a="1"/>
  <c r="J72" i="1" s="1"/>
  <c r="J73" i="1" s="1" a="1"/>
  <c r="J73" i="1" s="1"/>
  <c r="K71" i="1"/>
  <c r="K72" i="1" l="1"/>
  <c r="J74" i="1" a="1"/>
  <c r="J74" i="1" s="1"/>
  <c r="K73" i="1"/>
  <c r="J75" i="1" l="1" a="1"/>
  <c r="J75" i="1" s="1"/>
  <c r="J76" i="1" s="1" a="1"/>
  <c r="J76" i="1" s="1"/>
  <c r="K74" i="1"/>
  <c r="K75" i="1" l="1"/>
  <c r="J77" i="1" a="1"/>
  <c r="J77" i="1" s="1"/>
  <c r="K76" i="1"/>
  <c r="J78" i="1" l="1" a="1"/>
  <c r="J78" i="1" s="1"/>
  <c r="K77" i="1"/>
  <c r="J79" i="1" l="1" a="1"/>
  <c r="J79" i="1" s="1"/>
  <c r="K78" i="1"/>
  <c r="J80" i="1" l="1" a="1"/>
  <c r="J80" i="1" s="1"/>
  <c r="K79" i="1"/>
  <c r="J81" i="1" l="1" a="1"/>
  <c r="J81" i="1" s="1"/>
  <c r="K80" i="1"/>
  <c r="J82" i="1" l="1" a="1"/>
  <c r="J82" i="1" s="1"/>
  <c r="K81" i="1"/>
  <c r="J83" i="1" l="1" a="1"/>
  <c r="J83" i="1" s="1"/>
  <c r="K82" i="1"/>
  <c r="J84" i="1" l="1" a="1"/>
  <c r="J84" i="1" s="1"/>
  <c r="K83" i="1"/>
  <c r="J85" i="1" l="1" a="1"/>
  <c r="J85" i="1" s="1"/>
  <c r="J86" i="1" s="1" a="1"/>
  <c r="J86" i="1" s="1"/>
  <c r="K84" i="1"/>
  <c r="K85" i="1" l="1"/>
  <c r="J87" i="1" a="1"/>
  <c r="J87" i="1" s="1"/>
  <c r="K86" i="1"/>
  <c r="J88" i="1" l="1" a="1"/>
  <c r="J88" i="1" s="1"/>
  <c r="K88" i="1" s="1"/>
  <c r="K87" i="1"/>
  <c r="J89" i="1" l="1" a="1"/>
  <c r="J89" i="1" s="1"/>
  <c r="J90" i="1" s="1" a="1"/>
  <c r="J90" i="1" s="1"/>
  <c r="K89" i="1" l="1"/>
  <c r="J91" i="1" a="1"/>
  <c r="J91" i="1" s="1"/>
  <c r="J92" i="1" s="1" a="1"/>
  <c r="J92" i="1" s="1"/>
  <c r="K90" i="1"/>
  <c r="K91" i="1" l="1"/>
  <c r="J93" i="1" a="1"/>
  <c r="J93" i="1" s="1"/>
  <c r="K92" i="1"/>
  <c r="J94" i="1" l="1" a="1"/>
  <c r="J94" i="1" s="1"/>
  <c r="J95" i="1" s="1" a="1"/>
  <c r="J95" i="1" s="1"/>
  <c r="K93" i="1"/>
  <c r="K94" i="1" l="1"/>
  <c r="J96" i="1" a="1"/>
  <c r="J96" i="1" s="1"/>
  <c r="K95" i="1"/>
  <c r="J97" i="1" l="1" a="1"/>
  <c r="J97" i="1" s="1"/>
  <c r="J98" i="1" s="1" a="1"/>
  <c r="J98" i="1" s="1"/>
  <c r="K96" i="1"/>
  <c r="K97" i="1" l="1"/>
  <c r="J99" i="1" a="1"/>
  <c r="J99" i="1" s="1"/>
  <c r="K98" i="1"/>
  <c r="J100" i="1" l="1" a="1"/>
  <c r="J100" i="1" s="1"/>
  <c r="K99" i="1"/>
  <c r="J101" i="1" l="1" a="1"/>
  <c r="J101" i="1" s="1"/>
  <c r="K100" i="1"/>
  <c r="J102" i="1" l="1" a="1"/>
  <c r="J102" i="1" s="1"/>
  <c r="K101" i="1"/>
  <c r="J103" i="1" l="1" a="1"/>
  <c r="J103" i="1" s="1"/>
  <c r="K102" i="1"/>
  <c r="J104" i="1" l="1" a="1"/>
  <c r="J104" i="1" s="1"/>
  <c r="K103" i="1"/>
  <c r="J105" i="1" l="1" a="1"/>
  <c r="J105" i="1" s="1"/>
  <c r="K104" i="1"/>
  <c r="J106" i="1" l="1" a="1"/>
  <c r="J106" i="1" s="1"/>
  <c r="K105" i="1"/>
  <c r="J107" i="1" l="1" a="1"/>
  <c r="J107" i="1" s="1"/>
  <c r="K106" i="1"/>
  <c r="J108" i="1" l="1" a="1"/>
  <c r="J108" i="1" s="1"/>
  <c r="K107" i="1"/>
  <c r="J109" i="1" l="1" a="1"/>
  <c r="J109" i="1" s="1"/>
  <c r="K108" i="1"/>
  <c r="J110" i="1" l="1" a="1"/>
  <c r="J110" i="1" s="1"/>
  <c r="K109" i="1"/>
  <c r="AY193" i="16"/>
  <c r="AY195" i="16" s="1"/>
  <c r="J111" i="1" l="1" a="1"/>
  <c r="J111" i="1" s="1"/>
  <c r="K110" i="1"/>
  <c r="J112" i="1" l="1" a="1"/>
  <c r="J112" i="1" s="1"/>
  <c r="K111" i="1"/>
  <c r="J113" i="1" l="1" a="1"/>
  <c r="J113" i="1" s="1"/>
  <c r="K112" i="1"/>
  <c r="J114" i="1" l="1" a="1"/>
  <c r="J114" i="1" s="1"/>
  <c r="K113" i="1"/>
  <c r="J115" i="1" l="1" a="1"/>
  <c r="J115" i="1" s="1"/>
  <c r="K114" i="1"/>
  <c r="J116" i="1" l="1" a="1"/>
  <c r="J116" i="1" s="1"/>
  <c r="K115" i="1"/>
  <c r="J117" i="1" l="1" a="1"/>
  <c r="J117" i="1" s="1"/>
  <c r="K116" i="1"/>
  <c r="J118" i="1" l="1" a="1"/>
  <c r="J118" i="1" s="1"/>
  <c r="K117" i="1"/>
  <c r="J119" i="1" l="1" a="1"/>
  <c r="J119" i="1" s="1"/>
  <c r="K118" i="1"/>
  <c r="J120" i="1" l="1" a="1"/>
  <c r="J120" i="1" s="1"/>
  <c r="K119" i="1"/>
  <c r="J121" i="1" l="1" a="1"/>
  <c r="J121" i="1" s="1"/>
  <c r="K120" i="1"/>
  <c r="J122" i="1" l="1" a="1"/>
  <c r="J122" i="1" s="1"/>
  <c r="K121" i="1"/>
  <c r="J123" i="1" l="1" a="1"/>
  <c r="J123" i="1" s="1"/>
  <c r="K122" i="1"/>
  <c r="J124" i="1" l="1" a="1"/>
  <c r="J124" i="1" s="1"/>
  <c r="K123" i="1"/>
  <c r="J125" i="1" l="1" a="1"/>
  <c r="J125" i="1" s="1"/>
  <c r="K124" i="1"/>
  <c r="J126" i="1" l="1" a="1"/>
  <c r="J126" i="1" s="1"/>
  <c r="K125" i="1"/>
  <c r="J127" i="1" l="1" a="1"/>
  <c r="J127" i="1" s="1"/>
  <c r="K126" i="1"/>
  <c r="J128" i="1" l="1" a="1"/>
  <c r="J128" i="1" s="1"/>
  <c r="K127" i="1"/>
  <c r="J129" i="1" l="1" a="1"/>
  <c r="J129" i="1" s="1"/>
  <c r="K128" i="1"/>
  <c r="J130" i="1" l="1" a="1"/>
  <c r="J130" i="1" s="1"/>
  <c r="K129" i="1"/>
  <c r="J131" i="1" l="1" a="1"/>
  <c r="J131" i="1" s="1"/>
  <c r="K130" i="1"/>
  <c r="J132" i="1" l="1" a="1"/>
  <c r="J132" i="1" s="1"/>
  <c r="K131" i="1"/>
  <c r="J133" i="1" l="1" a="1"/>
  <c r="J133" i="1" s="1"/>
  <c r="K132" i="1"/>
  <c r="J134" i="1" l="1" a="1"/>
  <c r="J134" i="1" s="1"/>
  <c r="K133" i="1"/>
  <c r="J135" i="1" l="1" a="1"/>
  <c r="J135" i="1" s="1"/>
  <c r="K134" i="1"/>
  <c r="J136" i="1" l="1" a="1"/>
  <c r="J136" i="1" s="1"/>
  <c r="K135" i="1"/>
  <c r="J137" i="1" l="1" a="1"/>
  <c r="J137" i="1" s="1"/>
  <c r="K136" i="1"/>
  <c r="J138" i="1" l="1" a="1"/>
  <c r="J138" i="1" s="1"/>
  <c r="K137" i="1"/>
  <c r="J139" i="1" l="1" a="1"/>
  <c r="J139" i="1" s="1"/>
  <c r="K138" i="1"/>
  <c r="J140" i="1" l="1" a="1"/>
  <c r="J140" i="1" s="1"/>
  <c r="K139" i="1"/>
  <c r="J141" i="1" l="1" a="1"/>
  <c r="J141" i="1" s="1"/>
  <c r="K140" i="1"/>
  <c r="J142" i="1" l="1" a="1"/>
  <c r="J142" i="1" s="1"/>
  <c r="K141" i="1"/>
  <c r="J143" i="1" l="1" a="1"/>
  <c r="J143" i="1" s="1"/>
  <c r="K142" i="1"/>
  <c r="J144" i="1" l="1" a="1"/>
  <c r="J144" i="1" s="1"/>
  <c r="K143" i="1"/>
  <c r="J145" i="1" l="1" a="1"/>
  <c r="J145" i="1" s="1"/>
  <c r="K144" i="1"/>
  <c r="J146" i="1" l="1" a="1"/>
  <c r="J146" i="1" s="1"/>
  <c r="K145" i="1"/>
  <c r="J147" i="1" l="1" a="1"/>
  <c r="J147" i="1" s="1"/>
  <c r="K146" i="1"/>
  <c r="J148" i="1" l="1" a="1"/>
  <c r="J148" i="1" s="1"/>
  <c r="K147" i="1"/>
  <c r="J149" i="1" l="1" a="1"/>
  <c r="J149" i="1" s="1"/>
  <c r="K148" i="1"/>
  <c r="J150" i="1" l="1" a="1"/>
  <c r="J150" i="1" s="1"/>
  <c r="K149" i="1"/>
  <c r="J151" i="1" l="1" a="1"/>
  <c r="J151" i="1" s="1"/>
  <c r="K150" i="1"/>
  <c r="J152" i="1" l="1" a="1"/>
  <c r="J152" i="1" s="1"/>
  <c r="K151" i="1"/>
  <c r="J153" i="1" l="1" a="1"/>
  <c r="J153" i="1" s="1"/>
  <c r="K152" i="1"/>
  <c r="J154" i="1" l="1" a="1"/>
  <c r="J154" i="1" s="1"/>
  <c r="K153" i="1"/>
  <c r="J155" i="1" l="1" a="1"/>
  <c r="J155" i="1" s="1"/>
  <c r="K154" i="1"/>
  <c r="J156" i="1" l="1" a="1"/>
  <c r="J156" i="1" s="1"/>
  <c r="K155" i="1"/>
  <c r="J157" i="1" l="1" a="1"/>
  <c r="J157" i="1" s="1"/>
  <c r="K156" i="1"/>
  <c r="J158" i="1" l="1" a="1"/>
  <c r="J158" i="1" s="1"/>
  <c r="K157" i="1"/>
  <c r="J159" i="1" l="1" a="1"/>
  <c r="J159" i="1" s="1"/>
  <c r="K158" i="1"/>
  <c r="J160" i="1" l="1" a="1"/>
  <c r="J160" i="1" s="1"/>
  <c r="K159" i="1"/>
  <c r="J161" i="1" l="1" a="1"/>
  <c r="J161" i="1" s="1"/>
  <c r="K160" i="1"/>
  <c r="J162" i="1" l="1" a="1"/>
  <c r="J162" i="1" s="1"/>
  <c r="K161" i="1"/>
  <c r="J163" i="1" l="1" a="1"/>
  <c r="J163" i="1" s="1"/>
  <c r="K162" i="1"/>
  <c r="J164" i="1" l="1" a="1"/>
  <c r="J164" i="1" s="1"/>
  <c r="K163" i="1"/>
  <c r="J165" i="1" l="1" a="1"/>
  <c r="J165" i="1" s="1"/>
  <c r="K164" i="1"/>
  <c r="J166" i="1" l="1" a="1"/>
  <c r="J166" i="1" s="1"/>
  <c r="K165" i="1"/>
  <c r="J167" i="1" l="1" a="1"/>
  <c r="J167" i="1" s="1"/>
  <c r="K166" i="1"/>
  <c r="J168" i="1" l="1" a="1"/>
  <c r="J168" i="1" s="1"/>
  <c r="K167" i="1"/>
  <c r="J169" i="1" l="1" a="1"/>
  <c r="J169" i="1" s="1"/>
  <c r="K168" i="1"/>
  <c r="J170" i="1" l="1" a="1"/>
  <c r="J170" i="1" s="1"/>
  <c r="K169" i="1"/>
  <c r="J171" i="1" l="1" a="1"/>
  <c r="J171" i="1" s="1"/>
  <c r="K170" i="1"/>
  <c r="J172" i="1" l="1" a="1"/>
  <c r="J172" i="1" s="1"/>
  <c r="K171" i="1"/>
  <c r="J173" i="1" l="1" a="1"/>
  <c r="J173" i="1" s="1"/>
  <c r="K172" i="1"/>
  <c r="J174" i="1" l="1" a="1"/>
  <c r="J174" i="1" s="1"/>
  <c r="K173" i="1"/>
  <c r="J175" i="1" l="1" a="1"/>
  <c r="J175" i="1" s="1"/>
  <c r="K174" i="1"/>
  <c r="J176" i="1" l="1" a="1"/>
  <c r="J176" i="1" s="1"/>
  <c r="K175" i="1"/>
  <c r="J177" i="1" l="1" a="1"/>
  <c r="J177" i="1" s="1"/>
  <c r="K176" i="1"/>
  <c r="J178" i="1" l="1" a="1"/>
  <c r="J178" i="1" s="1"/>
  <c r="K177" i="1"/>
  <c r="J179" i="1" l="1" a="1"/>
  <c r="J179" i="1" s="1"/>
  <c r="K178" i="1"/>
  <c r="J180" i="1" l="1" a="1"/>
  <c r="J180" i="1" s="1"/>
  <c r="K179" i="1"/>
  <c r="J181" i="1" l="1" a="1"/>
  <c r="J181" i="1" s="1"/>
  <c r="K180" i="1"/>
  <c r="J182" i="1" l="1" a="1"/>
  <c r="J182" i="1" s="1"/>
  <c r="K181" i="1"/>
  <c r="J183" i="1" l="1" a="1"/>
  <c r="J183" i="1" s="1"/>
  <c r="K182" i="1"/>
  <c r="J184" i="1" l="1" a="1"/>
  <c r="J184" i="1" s="1"/>
  <c r="K183" i="1"/>
  <c r="J185" i="1" l="1" a="1"/>
  <c r="J185" i="1" s="1"/>
  <c r="K184" i="1"/>
  <c r="J186" i="1" l="1" a="1"/>
  <c r="J186" i="1" s="1"/>
  <c r="K185" i="1"/>
  <c r="J187" i="1" l="1" a="1"/>
  <c r="J187" i="1" s="1"/>
  <c r="K186" i="1"/>
  <c r="J188" i="1" l="1" a="1"/>
  <c r="J188" i="1" s="1"/>
  <c r="K187" i="1"/>
  <c r="J189" i="1" l="1" a="1"/>
  <c r="J189" i="1" s="1"/>
  <c r="K188" i="1"/>
  <c r="J190" i="1" l="1" a="1"/>
  <c r="J190" i="1" s="1"/>
  <c r="K189" i="1"/>
  <c r="J191" i="1" l="1" a="1"/>
  <c r="J191" i="1" s="1"/>
  <c r="K190" i="1"/>
  <c r="J192" i="1" l="1" a="1"/>
  <c r="J192" i="1" s="1"/>
  <c r="K191" i="1"/>
  <c r="J193" i="1" l="1" a="1"/>
  <c r="J193" i="1" s="1"/>
  <c r="K192" i="1"/>
  <c r="J194" i="1" l="1" a="1"/>
  <c r="J194" i="1" s="1"/>
  <c r="K193" i="1"/>
  <c r="J195" i="1" l="1" a="1"/>
  <c r="J195" i="1" s="1"/>
  <c r="K195" i="1" s="1"/>
  <c r="K194" i="1"/>
  <c r="AL72" i="20"/>
  <c r="AK72" i="20"/>
  <c r="AJ72" i="20"/>
  <c r="AI72" i="20"/>
  <c r="AH72" i="20"/>
  <c r="AG72" i="20"/>
  <c r="AL71" i="20"/>
  <c r="AK71" i="20"/>
  <c r="AJ71" i="20"/>
  <c r="AI71" i="20"/>
  <c r="AH71" i="20"/>
  <c r="AG71" i="20"/>
  <c r="AL70" i="20"/>
  <c r="AK70" i="20"/>
  <c r="AJ70" i="20"/>
  <c r="AI70" i="20"/>
  <c r="AH70" i="20"/>
  <c r="AG70" i="20"/>
  <c r="AL69" i="20"/>
  <c r="AK69" i="20"/>
  <c r="AJ69" i="20"/>
  <c r="AI69" i="20"/>
  <c r="AH69" i="20"/>
  <c r="AG69" i="20"/>
  <c r="AL68" i="20"/>
  <c r="AK68" i="20"/>
  <c r="AJ68" i="20"/>
  <c r="AI68" i="20"/>
  <c r="AH68" i="20"/>
  <c r="AG68" i="20"/>
  <c r="AL67" i="20"/>
  <c r="AK67" i="20"/>
  <c r="AJ67" i="20"/>
  <c r="AI67" i="20"/>
  <c r="AH67" i="20"/>
  <c r="B64" i="20"/>
  <c r="B63" i="20"/>
  <c r="B62" i="20"/>
  <c r="B61" i="20"/>
  <c r="B60" i="20"/>
  <c r="B49" i="20"/>
  <c r="B48" i="20"/>
  <c r="B47" i="20"/>
  <c r="B41" i="20"/>
  <c r="B40" i="20"/>
  <c r="B39" i="20"/>
  <c r="B38" i="20"/>
  <c r="B37" i="20"/>
  <c r="B36" i="20"/>
  <c r="B35" i="20"/>
  <c r="B26" i="20"/>
  <c r="B25" i="20"/>
  <c r="B24" i="20"/>
  <c r="B23" i="20"/>
  <c r="B22" i="20"/>
  <c r="B21" i="20"/>
  <c r="B15" i="20"/>
  <c r="B14" i="20"/>
  <c r="B13" i="20"/>
  <c r="B12" i="20"/>
  <c r="B11" i="20"/>
  <c r="B10" i="20"/>
  <c r="B9" i="20"/>
  <c r="AL72" i="28"/>
  <c r="AK72" i="28"/>
  <c r="AJ72" i="28"/>
  <c r="AI72" i="28"/>
  <c r="AH72" i="28"/>
  <c r="AG72" i="28"/>
  <c r="AL71" i="28"/>
  <c r="AK71" i="28"/>
  <c r="AJ71" i="28"/>
  <c r="AI71" i="28"/>
  <c r="AH71" i="28"/>
  <c r="AG71" i="28"/>
  <c r="AL70" i="28"/>
  <c r="AK70" i="28"/>
  <c r="AJ70" i="28"/>
  <c r="AI70" i="28"/>
  <c r="AH70" i="28"/>
  <c r="AG70" i="28"/>
  <c r="AL69" i="28"/>
  <c r="AK69" i="28"/>
  <c r="AJ69" i="28"/>
  <c r="AI69" i="28"/>
  <c r="AH69" i="28"/>
  <c r="AG69" i="28"/>
  <c r="AL68" i="28"/>
  <c r="AK68" i="28"/>
  <c r="AJ68" i="28"/>
  <c r="AI68" i="28"/>
  <c r="AH68" i="28"/>
  <c r="AG68" i="28"/>
  <c r="AL67" i="28"/>
  <c r="AK67" i="28"/>
  <c r="AJ67" i="28"/>
  <c r="AI67" i="28"/>
  <c r="AH67" i="28"/>
  <c r="B64" i="28"/>
  <c r="B63" i="28"/>
  <c r="B62" i="28"/>
  <c r="B61" i="28"/>
  <c r="B60" i="28"/>
  <c r="B49" i="28"/>
  <c r="B48" i="28"/>
  <c r="B47" i="28"/>
  <c r="B41" i="28"/>
  <c r="B40" i="28"/>
  <c r="B39" i="28"/>
  <c r="B38" i="28"/>
  <c r="B37" i="28"/>
  <c r="B36" i="28"/>
  <c r="B35" i="28"/>
  <c r="B26" i="28"/>
  <c r="B25" i="28"/>
  <c r="B24" i="28"/>
  <c r="B23" i="28"/>
  <c r="B22" i="28"/>
  <c r="B21" i="28"/>
  <c r="B15" i="28"/>
  <c r="B14" i="28"/>
  <c r="B13" i="28"/>
  <c r="B12" i="28"/>
  <c r="B11" i="28"/>
  <c r="B10" i="28"/>
  <c r="B9" i="28"/>
  <c r="B33" i="22"/>
  <c r="B32" i="22"/>
  <c r="B31" i="22"/>
  <c r="B30" i="22"/>
  <c r="B26" i="22"/>
  <c r="B25" i="22"/>
  <c r="B24" i="22"/>
  <c r="B23" i="22"/>
  <c r="B19" i="22"/>
  <c r="B18" i="22"/>
  <c r="B17" i="22"/>
  <c r="B16" i="22"/>
  <c r="B15" i="22"/>
  <c r="B14" i="22"/>
  <c r="B13" i="22"/>
  <c r="B12" i="22"/>
  <c r="B11" i="22"/>
  <c r="B7" i="22"/>
  <c r="B6" i="22"/>
  <c r="B5" i="22"/>
  <c r="H47" i="17"/>
  <c r="H46" i="17"/>
  <c r="H45" i="17"/>
  <c r="H44" i="17"/>
  <c r="H43" i="17"/>
  <c r="H42" i="17"/>
  <c r="H41" i="17"/>
  <c r="H40" i="17"/>
  <c r="H39" i="17"/>
  <c r="H37" i="17"/>
  <c r="H36" i="17"/>
  <c r="H35" i="17"/>
  <c r="H34" i="17"/>
  <c r="H33" i="17"/>
  <c r="H32" i="17"/>
  <c r="H31" i="17"/>
  <c r="H30" i="17"/>
  <c r="H29" i="17"/>
  <c r="B64" i="16"/>
  <c r="B63" i="16"/>
  <c r="B62" i="16"/>
  <c r="B61" i="16"/>
  <c r="B60" i="16"/>
  <c r="B49" i="16"/>
  <c r="B48" i="16"/>
  <c r="B47" i="16"/>
  <c r="B41" i="16"/>
  <c r="B40" i="16"/>
  <c r="B39" i="16"/>
  <c r="B38" i="16"/>
  <c r="B37" i="16"/>
  <c r="B36" i="16"/>
  <c r="B35" i="16"/>
  <c r="B26" i="16"/>
  <c r="B25" i="16"/>
  <c r="B24" i="16"/>
  <c r="B23" i="16"/>
  <c r="B22" i="16"/>
  <c r="B21" i="16"/>
  <c r="B15" i="16"/>
  <c r="B14" i="16"/>
  <c r="B13" i="16"/>
  <c r="B12" i="16"/>
  <c r="B11" i="16"/>
  <c r="B10" i="16"/>
  <c r="B9" i="16"/>
  <c r="B64" i="15"/>
  <c r="B63" i="15"/>
  <c r="B62" i="15"/>
  <c r="B61" i="15"/>
  <c r="B60" i="15"/>
  <c r="B49" i="15"/>
  <c r="B48" i="15"/>
  <c r="B47" i="15"/>
  <c r="B41" i="15"/>
  <c r="B40" i="15"/>
  <c r="B39" i="15"/>
  <c r="B38" i="15"/>
  <c r="B37" i="15"/>
  <c r="B36" i="15"/>
  <c r="B35" i="15"/>
  <c r="B26" i="15"/>
  <c r="B25" i="15"/>
  <c r="B24" i="15"/>
  <c r="B23" i="15"/>
  <c r="B22" i="15"/>
  <c r="B21" i="15"/>
  <c r="Z45" i="15"/>
  <c r="Y45" i="15"/>
  <c r="Z44" i="15"/>
  <c r="Y44" i="15"/>
  <c r="Z43" i="15"/>
  <c r="Y43" i="15"/>
  <c r="Z42" i="15"/>
  <c r="Y42" i="15"/>
  <c r="Z41" i="15"/>
  <c r="Y41" i="15"/>
  <c r="Z40" i="15"/>
  <c r="Y40" i="15"/>
  <c r="Z39" i="15"/>
  <c r="Y39" i="15"/>
  <c r="Z38" i="15"/>
  <c r="Y38" i="15"/>
  <c r="Z37" i="15"/>
  <c r="Y37" i="15"/>
  <c r="Z36" i="15"/>
  <c r="Y36" i="15"/>
  <c r="Z35" i="15"/>
  <c r="Y35" i="15"/>
  <c r="Z34" i="15"/>
  <c r="Y34" i="15"/>
  <c r="Z33" i="15"/>
  <c r="Y33" i="15"/>
  <c r="Z32" i="15"/>
  <c r="Y32" i="15"/>
  <c r="Z31" i="15"/>
  <c r="Y31" i="15"/>
  <c r="Z30" i="15"/>
  <c r="Y30" i="15"/>
  <c r="Z29" i="15"/>
  <c r="Y29" i="15"/>
  <c r="Z28" i="15"/>
  <c r="Y28" i="15"/>
  <c r="Z27" i="15"/>
  <c r="Y27" i="15"/>
  <c r="Z26" i="15"/>
  <c r="Y26" i="15"/>
  <c r="Z25" i="15"/>
  <c r="Y25" i="15"/>
  <c r="Z24" i="15"/>
  <c r="Y24" i="15"/>
  <c r="Z23" i="15"/>
  <c r="Y23" i="15"/>
  <c r="Z22" i="15"/>
  <c r="Y22" i="15"/>
  <c r="Z21" i="15"/>
  <c r="Y21" i="15"/>
  <c r="Z20" i="15"/>
  <c r="Y20" i="15"/>
  <c r="Z19" i="15"/>
  <c r="Y19" i="15"/>
  <c r="Z18" i="15"/>
  <c r="Y18" i="15"/>
  <c r="Z17" i="15"/>
  <c r="Y17" i="15"/>
  <c r="Z16" i="15"/>
  <c r="Y16" i="15"/>
  <c r="Z15" i="15"/>
  <c r="X45" i="15"/>
  <c r="W45" i="15"/>
  <c r="X44" i="15"/>
  <c r="W44" i="15"/>
  <c r="X43" i="15"/>
  <c r="W43" i="15"/>
  <c r="X42" i="15"/>
  <c r="W42" i="15"/>
  <c r="X41" i="15"/>
  <c r="W41" i="15"/>
  <c r="X40" i="15"/>
  <c r="W40" i="15"/>
  <c r="X39" i="15"/>
  <c r="W39" i="15"/>
  <c r="X38" i="15"/>
  <c r="W38" i="15"/>
  <c r="X37" i="15"/>
  <c r="W37" i="15"/>
  <c r="X36" i="15"/>
  <c r="W36" i="15"/>
  <c r="X35" i="15"/>
  <c r="W35" i="15"/>
  <c r="X34" i="15"/>
  <c r="W34" i="15"/>
  <c r="X33" i="15"/>
  <c r="W33" i="15"/>
  <c r="X32" i="15"/>
  <c r="W32" i="15"/>
  <c r="X31" i="15"/>
  <c r="W31" i="15"/>
  <c r="X30" i="15"/>
  <c r="W30" i="15"/>
  <c r="X29" i="15"/>
  <c r="W29" i="15"/>
  <c r="X28" i="15"/>
  <c r="W28" i="15"/>
  <c r="X27" i="15"/>
  <c r="W27" i="15"/>
  <c r="X26" i="15"/>
  <c r="W26" i="15"/>
  <c r="X25" i="15"/>
  <c r="W25" i="15"/>
  <c r="X24" i="15"/>
  <c r="W24" i="15"/>
  <c r="X23" i="15"/>
  <c r="W23" i="15"/>
  <c r="X22" i="15"/>
  <c r="W22" i="15"/>
  <c r="X21" i="15"/>
  <c r="W21" i="15"/>
  <c r="X20" i="15"/>
  <c r="W20" i="15"/>
  <c r="X19" i="15"/>
  <c r="W19" i="15"/>
  <c r="X18" i="15"/>
  <c r="W18" i="15"/>
  <c r="X17" i="15"/>
  <c r="W17" i="15"/>
  <c r="X16" i="15"/>
  <c r="W16" i="15"/>
  <c r="X15" i="15"/>
  <c r="B15" i="15"/>
  <c r="B14" i="15"/>
  <c r="B13" i="15"/>
  <c r="B12" i="15"/>
  <c r="B11" i="15"/>
  <c r="B10" i="15"/>
  <c r="B9" i="15"/>
  <c r="B64" i="14"/>
  <c r="B63" i="14"/>
  <c r="B62" i="14"/>
  <c r="B61" i="14"/>
  <c r="B60" i="14"/>
  <c r="B49" i="14"/>
  <c r="B48" i="14"/>
  <c r="B47" i="14"/>
  <c r="B41" i="14"/>
  <c r="B40" i="14"/>
  <c r="B39" i="14"/>
  <c r="B38" i="14"/>
  <c r="B37" i="14"/>
  <c r="B36" i="14"/>
  <c r="B35" i="14"/>
  <c r="B26" i="14"/>
  <c r="B25" i="14"/>
  <c r="B24" i="14"/>
  <c r="B23" i="14"/>
  <c r="B22" i="14"/>
  <c r="B21" i="14"/>
  <c r="AJ45" i="14"/>
  <c r="AI45" i="14"/>
  <c r="AJ44" i="14"/>
  <c r="AI44" i="14"/>
  <c r="AJ43" i="14"/>
  <c r="AI43" i="14"/>
  <c r="AJ42" i="14"/>
  <c r="AI42" i="14"/>
  <c r="AJ41" i="14"/>
  <c r="AI41" i="14"/>
  <c r="AJ40" i="14"/>
  <c r="AI40" i="14"/>
  <c r="AJ39" i="14"/>
  <c r="AI39" i="14"/>
  <c r="AJ38" i="14"/>
  <c r="AI38" i="14"/>
  <c r="AJ37" i="14"/>
  <c r="AI37" i="14"/>
  <c r="AJ36" i="14"/>
  <c r="AI36" i="14"/>
  <c r="AJ35" i="14"/>
  <c r="AI35" i="14"/>
  <c r="AJ34" i="14"/>
  <c r="AI34" i="14"/>
  <c r="AJ33" i="14"/>
  <c r="AI33" i="14"/>
  <c r="AJ32" i="14"/>
  <c r="AI32" i="14"/>
  <c r="AJ31" i="14"/>
  <c r="AI31" i="14"/>
  <c r="AJ30" i="14"/>
  <c r="AI30" i="14"/>
  <c r="AJ29" i="14"/>
  <c r="AI29" i="14"/>
  <c r="AJ28" i="14"/>
  <c r="AI28" i="14"/>
  <c r="AJ27" i="14"/>
  <c r="AI27" i="14"/>
  <c r="AJ26" i="14"/>
  <c r="AI26" i="14"/>
  <c r="AJ25" i="14"/>
  <c r="AI25" i="14"/>
  <c r="AJ24" i="14"/>
  <c r="AI24" i="14"/>
  <c r="AJ23" i="14"/>
  <c r="AI23" i="14"/>
  <c r="AJ22" i="14"/>
  <c r="AI22" i="14"/>
  <c r="AJ21" i="14"/>
  <c r="AI21" i="14"/>
  <c r="AJ20" i="14"/>
  <c r="AI20" i="14"/>
  <c r="AJ19" i="14"/>
  <c r="AI19" i="14"/>
  <c r="AJ18" i="14"/>
  <c r="AI18" i="14"/>
  <c r="AJ17" i="14"/>
  <c r="AI17" i="14"/>
  <c r="AJ16" i="14"/>
  <c r="AI16" i="14"/>
  <c r="AJ15" i="14"/>
  <c r="AH45" i="14"/>
  <c r="AG45" i="14"/>
  <c r="AH44" i="14"/>
  <c r="AG44" i="14"/>
  <c r="AH43" i="14"/>
  <c r="AG43" i="14"/>
  <c r="AH42" i="14"/>
  <c r="AG42" i="14"/>
  <c r="AH41" i="14"/>
  <c r="AG41" i="14"/>
  <c r="AH40" i="14"/>
  <c r="AG40" i="14"/>
  <c r="AH39" i="14"/>
  <c r="AG39" i="14"/>
  <c r="AH38" i="14"/>
  <c r="AG38" i="14"/>
  <c r="AH37" i="14"/>
  <c r="AG37" i="14"/>
  <c r="AH36" i="14"/>
  <c r="AG36" i="14"/>
  <c r="AH35" i="14"/>
  <c r="AG35" i="14"/>
  <c r="AH34" i="14"/>
  <c r="AG34" i="14"/>
  <c r="AH33" i="14"/>
  <c r="AG33" i="14"/>
  <c r="AH32" i="14"/>
  <c r="AG32" i="14"/>
  <c r="AH31" i="14"/>
  <c r="AG31" i="14"/>
  <c r="AH30" i="14"/>
  <c r="AG30" i="14"/>
  <c r="AH29" i="14"/>
  <c r="AG29" i="14"/>
  <c r="AH28" i="14"/>
  <c r="AG28" i="14"/>
  <c r="AH27" i="14"/>
  <c r="AG27" i="14"/>
  <c r="AH26" i="14"/>
  <c r="AG26" i="14"/>
  <c r="AH25" i="14"/>
  <c r="AG25" i="14"/>
  <c r="AH24" i="14"/>
  <c r="AG24" i="14"/>
  <c r="AH23" i="14"/>
  <c r="AG23" i="14"/>
  <c r="AH22" i="14"/>
  <c r="AG22" i="14"/>
  <c r="AH21" i="14"/>
  <c r="AG21" i="14"/>
  <c r="AH20" i="14"/>
  <c r="AG20" i="14"/>
  <c r="AH19" i="14"/>
  <c r="AG19" i="14"/>
  <c r="AH18" i="14"/>
  <c r="AG18" i="14"/>
  <c r="AH17" i="14"/>
  <c r="AG17" i="14"/>
  <c r="AH16" i="14"/>
  <c r="AG16" i="14"/>
  <c r="AH15" i="14"/>
  <c r="B15" i="14"/>
  <c r="B14" i="14"/>
  <c r="B13" i="14"/>
  <c r="B12" i="14"/>
  <c r="B11" i="14"/>
  <c r="B10" i="14"/>
  <c r="B9" i="14"/>
  <c r="B64" i="13"/>
  <c r="B63" i="13"/>
  <c r="B62" i="13"/>
  <c r="B61" i="13"/>
  <c r="B60" i="13"/>
  <c r="B49" i="13"/>
  <c r="B48" i="13"/>
  <c r="B47" i="13"/>
  <c r="B41" i="13"/>
  <c r="B40" i="13"/>
  <c r="B39" i="13"/>
  <c r="B38" i="13"/>
  <c r="B37" i="13"/>
  <c r="B36" i="13"/>
  <c r="B35" i="13"/>
  <c r="B26" i="13"/>
  <c r="B25" i="13"/>
  <c r="B24" i="13"/>
  <c r="B23" i="13"/>
  <c r="B22" i="13"/>
  <c r="B21" i="13"/>
  <c r="AT45" i="13"/>
  <c r="AS45" i="13"/>
  <c r="AT44" i="13"/>
  <c r="AS44" i="13"/>
  <c r="AT43" i="13"/>
  <c r="AS43" i="13"/>
  <c r="AT42" i="13"/>
  <c r="AS42" i="13"/>
  <c r="AT41" i="13"/>
  <c r="AS41" i="13"/>
  <c r="AT40" i="13"/>
  <c r="AS40" i="13"/>
  <c r="AT39" i="13"/>
  <c r="AS39" i="13"/>
  <c r="AT38" i="13"/>
  <c r="AS38" i="13"/>
  <c r="AT37" i="13"/>
  <c r="AS37" i="13"/>
  <c r="AT36" i="13"/>
  <c r="AS36" i="13"/>
  <c r="AT35" i="13"/>
  <c r="AS35" i="13"/>
  <c r="AT34" i="13"/>
  <c r="AS34" i="13"/>
  <c r="AT33" i="13"/>
  <c r="AS33" i="13"/>
  <c r="AT32" i="13"/>
  <c r="AS32" i="13"/>
  <c r="AT31" i="13"/>
  <c r="AS31" i="13"/>
  <c r="AT30" i="13"/>
  <c r="AS30" i="13"/>
  <c r="AT29" i="13"/>
  <c r="AS29" i="13"/>
  <c r="AT28" i="13"/>
  <c r="AS28" i="13"/>
  <c r="AT27" i="13"/>
  <c r="AS27" i="13"/>
  <c r="AT26" i="13"/>
  <c r="AS26" i="13"/>
  <c r="AT25" i="13"/>
  <c r="AS25" i="13"/>
  <c r="AT24" i="13"/>
  <c r="AS24" i="13"/>
  <c r="AT23" i="13"/>
  <c r="AS23" i="13"/>
  <c r="AT22" i="13"/>
  <c r="AS22" i="13"/>
  <c r="AT21" i="13"/>
  <c r="AS21" i="13"/>
  <c r="AT20" i="13"/>
  <c r="AS20" i="13"/>
  <c r="AT19" i="13"/>
  <c r="AS19" i="13"/>
  <c r="AT18" i="13"/>
  <c r="AS18" i="13"/>
  <c r="AT17" i="13"/>
  <c r="AS17" i="13"/>
  <c r="AT16" i="13"/>
  <c r="AS16" i="13"/>
  <c r="AT15" i="13"/>
  <c r="AR45" i="13"/>
  <c r="AQ45" i="13"/>
  <c r="AR44" i="13"/>
  <c r="AQ44" i="13"/>
  <c r="AR43" i="13"/>
  <c r="AQ43" i="13"/>
  <c r="AR42" i="13"/>
  <c r="AQ42" i="13"/>
  <c r="AR41" i="13"/>
  <c r="AQ41" i="13"/>
  <c r="AR40" i="13"/>
  <c r="AQ40" i="13"/>
  <c r="AR39" i="13"/>
  <c r="AQ39" i="13"/>
  <c r="AR38" i="13"/>
  <c r="AQ38" i="13"/>
  <c r="AR37" i="13"/>
  <c r="AQ37" i="13"/>
  <c r="AR36" i="13"/>
  <c r="AQ36" i="13"/>
  <c r="AR35" i="13"/>
  <c r="AQ35" i="13"/>
  <c r="AR34" i="13"/>
  <c r="AQ34" i="13"/>
  <c r="AR33" i="13"/>
  <c r="AQ33" i="13"/>
  <c r="AR32" i="13"/>
  <c r="AQ32" i="13"/>
  <c r="AR31" i="13"/>
  <c r="AQ31" i="13"/>
  <c r="AR30" i="13"/>
  <c r="AQ30" i="13"/>
  <c r="AR29" i="13"/>
  <c r="AQ29" i="13"/>
  <c r="AR28" i="13"/>
  <c r="AQ28" i="13"/>
  <c r="AR27" i="13"/>
  <c r="AQ27" i="13"/>
  <c r="AR26" i="13"/>
  <c r="AQ26" i="13"/>
  <c r="AR25" i="13"/>
  <c r="AQ25" i="13"/>
  <c r="AR24" i="13"/>
  <c r="AQ24" i="13"/>
  <c r="AR23" i="13"/>
  <c r="AQ23" i="13"/>
  <c r="AR22" i="13"/>
  <c r="AQ22" i="13"/>
  <c r="AR21" i="13"/>
  <c r="AQ21" i="13"/>
  <c r="AR20" i="13"/>
  <c r="AQ20" i="13"/>
  <c r="AR19" i="13"/>
  <c r="AQ19" i="13"/>
  <c r="AR18" i="13"/>
  <c r="AQ18" i="13"/>
  <c r="AR17" i="13"/>
  <c r="AQ17" i="13"/>
  <c r="AR16" i="13"/>
  <c r="AQ16" i="13"/>
  <c r="AR15" i="13"/>
  <c r="B15" i="13"/>
  <c r="B14" i="13"/>
  <c r="B13" i="13"/>
  <c r="B12" i="13"/>
  <c r="B11" i="13"/>
  <c r="B10" i="13"/>
  <c r="B9" i="13"/>
  <c r="B64" i="12"/>
  <c r="B63" i="12"/>
  <c r="B62" i="12"/>
  <c r="B61" i="12"/>
  <c r="B60" i="12"/>
  <c r="B49" i="12"/>
  <c r="B48" i="12"/>
  <c r="B47" i="12"/>
  <c r="B41" i="12"/>
  <c r="B40" i="12"/>
  <c r="B39" i="12"/>
  <c r="B38" i="12"/>
  <c r="B37" i="12"/>
  <c r="B36" i="12"/>
  <c r="B35" i="12"/>
  <c r="B26" i="12"/>
  <c r="B25" i="12"/>
  <c r="B24" i="12"/>
  <c r="B23" i="12"/>
  <c r="B22" i="12"/>
  <c r="B21" i="12"/>
  <c r="AZ45" i="12"/>
  <c r="AY45" i="12"/>
  <c r="AZ44" i="12"/>
  <c r="AY44" i="12"/>
  <c r="AZ43" i="12"/>
  <c r="AY43" i="12"/>
  <c r="AZ42" i="12"/>
  <c r="AY42" i="12"/>
  <c r="AZ41" i="12"/>
  <c r="AY41" i="12"/>
  <c r="AZ40" i="12"/>
  <c r="AY40" i="12"/>
  <c r="AZ39" i="12"/>
  <c r="AY39" i="12"/>
  <c r="AZ38" i="12"/>
  <c r="AY38" i="12"/>
  <c r="AZ37" i="12"/>
  <c r="AY37" i="12"/>
  <c r="AZ36" i="12"/>
  <c r="AY36" i="12"/>
  <c r="AZ35" i="12"/>
  <c r="AY35" i="12"/>
  <c r="AZ34" i="12"/>
  <c r="AY34" i="12"/>
  <c r="AZ33" i="12"/>
  <c r="AY33" i="12"/>
  <c r="AZ32" i="12"/>
  <c r="AY32" i="12"/>
  <c r="AZ31" i="12"/>
  <c r="AY31" i="12"/>
  <c r="AZ30" i="12"/>
  <c r="AY30" i="12"/>
  <c r="AZ29" i="12"/>
  <c r="AY29" i="12"/>
  <c r="AZ28" i="12"/>
  <c r="AY28" i="12"/>
  <c r="AZ27" i="12"/>
  <c r="AY27" i="12"/>
  <c r="AZ26" i="12"/>
  <c r="AY26" i="12"/>
  <c r="AZ25" i="12"/>
  <c r="AY25" i="12"/>
  <c r="AZ24" i="12"/>
  <c r="AY24" i="12"/>
  <c r="AZ23" i="12"/>
  <c r="AY23" i="12"/>
  <c r="AZ22" i="12"/>
  <c r="AY22" i="12"/>
  <c r="AZ21" i="12"/>
  <c r="AY21" i="12"/>
  <c r="AZ20" i="12"/>
  <c r="AY20" i="12"/>
  <c r="AZ19" i="12"/>
  <c r="AY19" i="12"/>
  <c r="AZ18" i="12"/>
  <c r="AY18" i="12"/>
  <c r="AZ17" i="12"/>
  <c r="AY17" i="12"/>
  <c r="AZ16" i="12"/>
  <c r="AY16" i="12"/>
  <c r="AZ15" i="12"/>
  <c r="AX45" i="12"/>
  <c r="AW45" i="12"/>
  <c r="AX44" i="12"/>
  <c r="AW44" i="12"/>
  <c r="AX43" i="12"/>
  <c r="AW43" i="12"/>
  <c r="AX42" i="12"/>
  <c r="AW42" i="12"/>
  <c r="AX41" i="12"/>
  <c r="AW41" i="12"/>
  <c r="AX40" i="12"/>
  <c r="AW40" i="12"/>
  <c r="AX39" i="12"/>
  <c r="AW39" i="12"/>
  <c r="AX38" i="12"/>
  <c r="AW38" i="12"/>
  <c r="AX37" i="12"/>
  <c r="AW37" i="12"/>
  <c r="AX36" i="12"/>
  <c r="AW36" i="12"/>
  <c r="AX35" i="12"/>
  <c r="AW35" i="12"/>
  <c r="AX34" i="12"/>
  <c r="AW34" i="12"/>
  <c r="AX33" i="12"/>
  <c r="AW33" i="12"/>
  <c r="AX32" i="12"/>
  <c r="AW32" i="12"/>
  <c r="AX31" i="12"/>
  <c r="AW31" i="12"/>
  <c r="AX30" i="12"/>
  <c r="AW30" i="12"/>
  <c r="AX29" i="12"/>
  <c r="AW29" i="12"/>
  <c r="AX28" i="12"/>
  <c r="AW28" i="12"/>
  <c r="AX27" i="12"/>
  <c r="AW27" i="12"/>
  <c r="AX26" i="12"/>
  <c r="AW26" i="12"/>
  <c r="AX25" i="12"/>
  <c r="AW25" i="12"/>
  <c r="AX24" i="12"/>
  <c r="AW24" i="12"/>
  <c r="AX23" i="12"/>
  <c r="AW23" i="12"/>
  <c r="AX22" i="12"/>
  <c r="AW22" i="12"/>
  <c r="AX21" i="12"/>
  <c r="AW21" i="12"/>
  <c r="AX20" i="12"/>
  <c r="AW20" i="12"/>
  <c r="AX19" i="12"/>
  <c r="AW19" i="12"/>
  <c r="AX18" i="12"/>
  <c r="AW18" i="12"/>
  <c r="AX17" i="12"/>
  <c r="AW17" i="12"/>
  <c r="AX16" i="12"/>
  <c r="AW16" i="12"/>
  <c r="AX15" i="12"/>
  <c r="B15" i="12"/>
  <c r="B14" i="12"/>
  <c r="B13" i="12"/>
  <c r="B12" i="12"/>
  <c r="B11" i="12"/>
  <c r="B10" i="12"/>
  <c r="B9" i="12"/>
  <c r="BE45" i="5"/>
  <c r="BD45" i="5"/>
  <c r="BE44" i="5"/>
  <c r="BD44" i="5"/>
  <c r="BE43" i="5"/>
  <c r="BD43" i="5"/>
  <c r="BE42" i="5"/>
  <c r="BD42" i="5"/>
  <c r="BE41" i="5"/>
  <c r="BD41" i="5"/>
  <c r="BE40" i="5"/>
  <c r="BD40" i="5"/>
  <c r="BE39" i="5"/>
  <c r="BD39" i="5"/>
  <c r="BE38" i="5"/>
  <c r="BD38" i="5"/>
  <c r="BE37" i="5"/>
  <c r="BD37" i="5"/>
  <c r="BE36" i="5"/>
  <c r="BD36" i="5"/>
  <c r="BE35" i="5"/>
  <c r="BD35" i="5"/>
  <c r="BE34" i="5"/>
  <c r="BD34" i="5"/>
  <c r="BE33" i="5"/>
  <c r="BD33" i="5"/>
  <c r="BE32" i="5"/>
  <c r="BD32" i="5"/>
  <c r="BE31" i="5"/>
  <c r="BD31" i="5"/>
  <c r="BE30" i="5"/>
  <c r="BD30" i="5"/>
  <c r="BE29" i="5"/>
  <c r="BD29" i="5"/>
  <c r="BE28" i="5"/>
  <c r="BD28" i="5"/>
  <c r="BE27" i="5"/>
  <c r="BD27" i="5"/>
  <c r="BE26" i="5"/>
  <c r="BD26" i="5"/>
  <c r="BE25" i="5"/>
  <c r="BD25" i="5"/>
  <c r="BE24" i="5"/>
  <c r="BD24" i="5"/>
  <c r="BE23" i="5"/>
  <c r="BD23" i="5"/>
  <c r="BE22" i="5"/>
  <c r="BD22" i="5"/>
  <c r="BE21" i="5"/>
  <c r="BD21" i="5"/>
  <c r="BE20" i="5"/>
  <c r="BD20" i="5"/>
  <c r="BE19" i="5"/>
  <c r="BD19" i="5"/>
  <c r="BE18" i="5"/>
  <c r="BD18" i="5"/>
  <c r="BE17" i="5"/>
  <c r="BD17" i="5"/>
  <c r="BE16" i="5"/>
  <c r="BD16" i="5"/>
  <c r="BE15" i="5"/>
  <c r="BC45" i="5"/>
  <c r="BB45" i="5"/>
  <c r="BC44" i="5"/>
  <c r="BB44" i="5"/>
  <c r="BC43" i="5"/>
  <c r="BB43" i="5"/>
  <c r="BC42" i="5"/>
  <c r="BB42" i="5"/>
  <c r="BC41" i="5"/>
  <c r="BB41" i="5"/>
  <c r="BC40" i="5"/>
  <c r="BB40" i="5"/>
  <c r="BC39" i="5"/>
  <c r="BB39" i="5"/>
  <c r="BC38" i="5"/>
  <c r="BB38" i="5"/>
  <c r="BC37" i="5"/>
  <c r="BB37" i="5"/>
  <c r="BC36" i="5"/>
  <c r="BB36" i="5"/>
  <c r="BC35" i="5"/>
  <c r="BB35" i="5"/>
  <c r="BC34" i="5"/>
  <c r="BB34" i="5"/>
  <c r="BC33" i="5"/>
  <c r="BB33" i="5"/>
  <c r="BC32" i="5"/>
  <c r="BB32" i="5"/>
  <c r="BC31" i="5"/>
  <c r="BB31" i="5"/>
  <c r="BC30" i="5"/>
  <c r="BB30" i="5"/>
  <c r="BC29" i="5"/>
  <c r="BB29" i="5"/>
  <c r="BC28" i="5"/>
  <c r="BB28" i="5"/>
  <c r="BC27" i="5"/>
  <c r="BB27" i="5"/>
  <c r="BC26" i="5"/>
  <c r="BB26" i="5"/>
  <c r="BC25" i="5"/>
  <c r="BB25" i="5"/>
  <c r="BC24" i="5"/>
  <c r="BB24" i="5"/>
  <c r="BC23" i="5"/>
  <c r="BB23" i="5"/>
  <c r="BC22" i="5"/>
  <c r="BB22" i="5"/>
  <c r="BC21" i="5"/>
  <c r="BB21" i="5"/>
  <c r="BC20" i="5"/>
  <c r="BB20" i="5"/>
  <c r="BC19" i="5"/>
  <c r="BB19" i="5"/>
  <c r="BC18" i="5"/>
  <c r="BB18" i="5"/>
  <c r="BC17" i="5"/>
  <c r="BB17" i="5"/>
  <c r="BC16" i="5"/>
  <c r="BB16" i="5"/>
  <c r="BC15" i="5"/>
  <c r="E56" i="3"/>
  <c r="E55" i="3"/>
  <c r="E54" i="3"/>
  <c r="E53" i="3"/>
  <c r="E52" i="3"/>
  <c r="E51" i="3"/>
  <c r="E50" i="3"/>
  <c r="E49" i="3"/>
  <c r="E48" i="3"/>
  <c r="D56" i="3"/>
  <c r="D55" i="3"/>
  <c r="D54" i="3"/>
  <c r="D53" i="3"/>
  <c r="D52" i="3"/>
  <c r="D51" i="3"/>
  <c r="D50" i="3"/>
  <c r="D49" i="3"/>
  <c r="D48" i="3"/>
  <c r="C50" i="3"/>
  <c r="C49" i="3"/>
  <c r="C48" i="3"/>
  <c r="E30" i="3"/>
  <c r="E29" i="3"/>
  <c r="E28" i="3"/>
  <c r="E27" i="3"/>
  <c r="E26" i="3"/>
  <c r="E25" i="3"/>
  <c r="D35" i="3"/>
  <c r="D34" i="3"/>
  <c r="D33" i="3"/>
  <c r="D32" i="3"/>
  <c r="D31" i="3"/>
  <c r="D30" i="3"/>
  <c r="D29" i="3"/>
  <c r="D28" i="3"/>
  <c r="D27" i="3"/>
  <c r="D26" i="3"/>
  <c r="D25" i="3"/>
  <c r="C38" i="3"/>
  <c r="C37" i="3"/>
  <c r="C36" i="3"/>
  <c r="C35" i="3"/>
  <c r="C34" i="3"/>
  <c r="C33" i="3"/>
  <c r="C32" i="3"/>
  <c r="C31" i="3"/>
  <c r="C30" i="3"/>
  <c r="C29" i="3"/>
  <c r="C28" i="3"/>
  <c r="C27" i="3"/>
  <c r="C26" i="3"/>
  <c r="C25" i="3"/>
  <c r="F15" i="3"/>
  <c r="F14" i="3"/>
  <c r="F13" i="3"/>
  <c r="F12" i="3"/>
  <c r="F11" i="3"/>
  <c r="C15" i="3"/>
  <c r="C14" i="3"/>
  <c r="C13" i="3"/>
  <c r="C12" i="3"/>
  <c r="C11" i="3"/>
  <c r="AD5" i="26"/>
  <c r="AD4" i="26"/>
  <c r="AD3" i="26"/>
  <c r="AA5" i="26"/>
  <c r="AA4" i="26"/>
  <c r="AA3" i="26"/>
  <c r="X5" i="26"/>
  <c r="X4" i="26"/>
  <c r="X3" i="26"/>
  <c r="U5" i="26"/>
  <c r="U4" i="26"/>
  <c r="U3" i="26"/>
  <c r="R5" i="26"/>
  <c r="R4" i="26"/>
  <c r="R3" i="26"/>
  <c r="O5" i="26"/>
  <c r="O4" i="26"/>
  <c r="O3" i="26"/>
  <c r="I5" i="26"/>
  <c r="I4" i="26"/>
  <c r="I3" i="26"/>
  <c r="AN15" i="14" l="1"/>
  <c r="C15" i="14"/>
  <c r="AN26" i="14"/>
  <c r="C26" i="14"/>
  <c r="AD9" i="15"/>
  <c r="C9" i="15"/>
  <c r="AD36" i="15"/>
  <c r="C36" i="15"/>
  <c r="AN41" i="14"/>
  <c r="C41" i="14"/>
  <c r="AN35" i="14"/>
  <c r="C35" i="14"/>
  <c r="AD10" i="15"/>
  <c r="C10" i="15"/>
  <c r="AD21" i="15"/>
  <c r="C21" i="15"/>
  <c r="AD37" i="15"/>
  <c r="C37" i="15"/>
  <c r="AN25" i="14"/>
  <c r="C25" i="14"/>
  <c r="AD35" i="15"/>
  <c r="C35" i="15"/>
  <c r="AN9" i="14"/>
  <c r="C9" i="14"/>
  <c r="AN36" i="14"/>
  <c r="C36" i="14"/>
  <c r="AD11" i="15"/>
  <c r="C11" i="15"/>
  <c r="AD22" i="15"/>
  <c r="C22" i="15"/>
  <c r="AD38" i="15"/>
  <c r="C38" i="15"/>
  <c r="AN10" i="14"/>
  <c r="C10" i="14"/>
  <c r="AN21" i="14"/>
  <c r="C21" i="14"/>
  <c r="AN37" i="14"/>
  <c r="C37" i="14"/>
  <c r="AD12" i="15"/>
  <c r="C12" i="15"/>
  <c r="AD23" i="15"/>
  <c r="C23" i="15"/>
  <c r="AD39" i="15"/>
  <c r="C39" i="15"/>
  <c r="AN11" i="14"/>
  <c r="C11" i="14"/>
  <c r="AN22" i="14"/>
  <c r="C22" i="14"/>
  <c r="AN38" i="14"/>
  <c r="C38" i="14"/>
  <c r="AD13" i="15"/>
  <c r="C13" i="15"/>
  <c r="AD24" i="15"/>
  <c r="C24" i="15"/>
  <c r="AD40" i="15"/>
  <c r="C40" i="15"/>
  <c r="AN14" i="14"/>
  <c r="C14" i="14"/>
  <c r="AN12" i="14"/>
  <c r="C12" i="14"/>
  <c r="AN23" i="14"/>
  <c r="C23" i="14"/>
  <c r="AN39" i="14"/>
  <c r="C39" i="14"/>
  <c r="AD14" i="15"/>
  <c r="C14" i="15"/>
  <c r="AD25" i="15"/>
  <c r="C25" i="15"/>
  <c r="AD41" i="15"/>
  <c r="C41" i="15"/>
  <c r="AN13" i="14"/>
  <c r="C13" i="14"/>
  <c r="AN24" i="14"/>
  <c r="C24" i="14"/>
  <c r="AN40" i="14"/>
  <c r="C40" i="14"/>
  <c r="AD15" i="15"/>
  <c r="C15" i="15"/>
  <c r="AD26" i="15"/>
  <c r="C26" i="15"/>
  <c r="AH12" i="15" l="1"/>
  <c r="AG12" i="15"/>
  <c r="AR22" i="14"/>
  <c r="AQ22" i="14"/>
  <c r="AG40" i="15"/>
  <c r="AH40" i="15"/>
  <c r="AQ9" i="14"/>
  <c r="AR9" i="14"/>
  <c r="AG24" i="15"/>
  <c r="AH24" i="15"/>
  <c r="AQ13" i="14"/>
  <c r="AR13" i="14"/>
  <c r="AG21" i="15"/>
  <c r="AH21" i="15"/>
  <c r="AH15" i="15"/>
  <c r="AG15" i="15"/>
  <c r="AQ37" i="14"/>
  <c r="AO37" i="14" s="1"/>
  <c r="AR37" i="14"/>
  <c r="AH10" i="15"/>
  <c r="AG10" i="15"/>
  <c r="AH25" i="15"/>
  <c r="AG25" i="15"/>
  <c r="AE25" i="15" s="1"/>
  <c r="AG39" i="15"/>
  <c r="AH39" i="15"/>
  <c r="AQ25" i="14"/>
  <c r="AR25" i="14"/>
  <c r="AR35" i="14"/>
  <c r="AQ35" i="14"/>
  <c r="AQ26" i="14"/>
  <c r="AR26" i="14"/>
  <c r="AE12" i="15"/>
  <c r="AH26" i="15"/>
  <c r="AG26" i="15"/>
  <c r="AG38" i="15"/>
  <c r="AH38" i="15"/>
  <c r="AG41" i="15"/>
  <c r="AH41" i="15"/>
  <c r="AQ11" i="14"/>
  <c r="AR11" i="14"/>
  <c r="AG35" i="15"/>
  <c r="AH35" i="15"/>
  <c r="AH9" i="15"/>
  <c r="AG9" i="15"/>
  <c r="AR12" i="14"/>
  <c r="AQ12" i="14"/>
  <c r="AR21" i="14"/>
  <c r="AQ21" i="14"/>
  <c r="AQ39" i="14"/>
  <c r="AR39" i="14"/>
  <c r="AG36" i="15"/>
  <c r="AH36" i="15"/>
  <c r="AQ23" i="14"/>
  <c r="AR23" i="14"/>
  <c r="AG22" i="15"/>
  <c r="AH22" i="15"/>
  <c r="AQ40" i="14"/>
  <c r="AR40" i="14"/>
  <c r="AG13" i="15"/>
  <c r="AH13" i="15"/>
  <c r="AH11" i="15"/>
  <c r="AG11" i="15"/>
  <c r="AR24" i="14"/>
  <c r="AQ24" i="14"/>
  <c r="AG14" i="15"/>
  <c r="AH14" i="15"/>
  <c r="AQ14" i="14"/>
  <c r="AR14" i="14"/>
  <c r="AQ38" i="14"/>
  <c r="AR38" i="14"/>
  <c r="AG23" i="15"/>
  <c r="AH23" i="15"/>
  <c r="AQ10" i="14"/>
  <c r="AR10" i="14"/>
  <c r="AR36" i="14"/>
  <c r="AQ36" i="14"/>
  <c r="AH37" i="15"/>
  <c r="AG37" i="15"/>
  <c r="AR41" i="14"/>
  <c r="AQ41" i="14"/>
  <c r="AR15" i="14"/>
  <c r="AQ15" i="14"/>
  <c r="AE10" i="15" l="1"/>
  <c r="AO12" i="14"/>
  <c r="AE40" i="15"/>
  <c r="AE24" i="15"/>
  <c r="AO13" i="14"/>
  <c r="AE39" i="15"/>
  <c r="AE15" i="15"/>
  <c r="AO36" i="14"/>
  <c r="AO22" i="14"/>
  <c r="AO24" i="14"/>
  <c r="AO39" i="14"/>
  <c r="AO9" i="14"/>
  <c r="AO10" i="14"/>
  <c r="AE36" i="15"/>
  <c r="AE9" i="15"/>
  <c r="AO14" i="14"/>
  <c r="AO38" i="14"/>
  <c r="AE11" i="15"/>
  <c r="AE22" i="15"/>
  <c r="AE38" i="15"/>
  <c r="AO25" i="14"/>
  <c r="AO23" i="14"/>
  <c r="AE35" i="15"/>
  <c r="AO35" i="14"/>
  <c r="AE23" i="15"/>
  <c r="AE13" i="15"/>
  <c r="AO21" i="14"/>
  <c r="AE21" i="15"/>
  <c r="AO15" i="14"/>
  <c r="AE14" i="15"/>
  <c r="AO40" i="14"/>
  <c r="AO41" i="14"/>
  <c r="AO26" i="14"/>
  <c r="AE37" i="15"/>
  <c r="AO11" i="14"/>
  <c r="AE26" i="15"/>
  <c r="AE41" i="15"/>
  <c r="AO44" i="14" l="1"/>
  <c r="AO57" i="14" s="1"/>
  <c r="AO66" i="14" s="1"/>
  <c r="AE18" i="15"/>
  <c r="AO18" i="14"/>
  <c r="AO30" i="14"/>
  <c r="AE30" i="15"/>
  <c r="AE44" i="15"/>
  <c r="AE57" i="15" s="1"/>
  <c r="AE66" i="15" s="1"/>
  <c r="AE31" i="15" l="1"/>
  <c r="AO31"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Antle, Rick</author>
  </authors>
  <commentList>
    <comment ref="A49" authorId="0" shapeId="0" xr:uid="{E3453F23-0C32-4D67-9459-5A999DDAAC2B}">
      <text>
        <r>
          <rPr>
            <b/>
            <sz val="10"/>
            <color indexed="81"/>
            <rFont val="Tahoma"/>
            <family val="2"/>
          </rPr>
          <t>Antle, Rick:</t>
        </r>
        <r>
          <rPr>
            <sz val="10"/>
            <color indexed="81"/>
            <rFont val="Tahoma"/>
            <family val="2"/>
          </rPr>
          <t xml:space="preserve">
Do not change this account. Retained Earnings must be Num 5 for the Indirect Method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Antle, Rick</author>
  </authors>
  <commentList>
    <comment ref="C23" authorId="0" shapeId="0" xr:uid="{8DAE3EED-8927-4112-9B44-DB494445BDF6}">
      <text>
        <r>
          <rPr>
            <b/>
            <sz val="10"/>
            <color indexed="81"/>
            <rFont val="Tahoma"/>
            <family val="2"/>
          </rPr>
          <t>Antle, Rick:</t>
        </r>
        <r>
          <rPr>
            <sz val="10"/>
            <color indexed="81"/>
            <rFont val="Tahoma"/>
            <family val="2"/>
          </rPr>
          <t xml:space="preserve">
Only one should be chosen.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Antle, Rick</author>
  </authors>
  <commentList>
    <comment ref="P140" authorId="0" shapeId="0" xr:uid="{3BD8635D-7E45-4B92-A6EE-4A41700164AD}">
      <text>
        <r>
          <rPr>
            <b/>
            <sz val="10"/>
            <color indexed="81"/>
            <rFont val="Tahoma"/>
            <family val="2"/>
          </rPr>
          <t>Antle, Rick:</t>
        </r>
        <r>
          <rPr>
            <sz val="10"/>
            <color indexed="81"/>
            <rFont val="Tahoma"/>
            <family val="2"/>
          </rPr>
          <t xml:space="preserve">
This is given and is the correct Net Income. Make sure your Net Income agrees before you use this worksheet.</t>
        </r>
      </text>
    </comment>
  </commentList>
</comment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
    <bk>
      <extLst>
        <ext xmlns:xlrd="http://schemas.microsoft.com/office/spreadsheetml/2017/richdata"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<sst xmlns="http://schemas.openxmlformats.org/spreadsheetml/2006/main" count="2637" uniqueCount="585">
  <si>
    <t>EntityInfo</t>
  </si>
  <si>
    <t>Item</t>
  </si>
  <si>
    <t>Value</t>
  </si>
  <si>
    <t>InfoText</t>
  </si>
  <si>
    <t>Entity</t>
  </si>
  <si>
    <t>Entity Type</t>
  </si>
  <si>
    <t>Nature of Activity</t>
  </si>
  <si>
    <t>Begin Date</t>
  </si>
  <si>
    <t>End Date</t>
  </si>
  <si>
    <t>Period</t>
  </si>
  <si>
    <t>Units</t>
  </si>
  <si>
    <t>Par Value per Share</t>
  </si>
  <si>
    <t>Shares held as Treasury Stock</t>
  </si>
  <si>
    <t>Requirement</t>
  </si>
  <si>
    <t>Tab</t>
  </si>
  <si>
    <t>Key</t>
  </si>
  <si>
    <t>Yes/No</t>
  </si>
  <si>
    <t>Prepare a balance sheet as of the start of the period.</t>
  </si>
  <si>
    <t>Financial_Statements_1</t>
  </si>
  <si>
    <t>YES</t>
  </si>
  <si>
    <t>Enter all transactions and events of the period.</t>
  </si>
  <si>
    <t>Journal</t>
  </si>
  <si>
    <t>Close all temporary accounts.</t>
  </si>
  <si>
    <t>Prepare an income statement for the period.</t>
  </si>
  <si>
    <t>Prepare a statement of shareholders' equity.</t>
  </si>
  <si>
    <t>Prepare a balance sheet as of the end of the period.</t>
  </si>
  <si>
    <t>Prepare a cash flow statement using the direct method for operations.</t>
  </si>
  <si>
    <t>NO</t>
  </si>
  <si>
    <r>
      <t xml:space="preserve">Enter the </t>
    </r>
    <r>
      <rPr>
        <i/>
        <sz val="11"/>
        <color theme="1"/>
        <rFont val="Calibri"/>
        <family val="2"/>
        <scheme val="minor"/>
      </rPr>
      <t>nonoperating</t>
    </r>
    <r>
      <rPr>
        <sz val="11"/>
        <color theme="1"/>
        <rFont val="Calibri"/>
        <family val="2"/>
        <scheme val="minor"/>
      </rPr>
      <t xml:space="preserve"> transaction information in the indirect method worksheet.</t>
    </r>
  </si>
  <si>
    <t>Indirect_CFO_Worksheet_Tool</t>
  </si>
  <si>
    <t>Complete a cash flow statement using the indirect method for operations.</t>
  </si>
  <si>
    <t>Review the balance sheet as of the beginning of the period.</t>
  </si>
  <si>
    <t>Financial_Statements_2</t>
  </si>
  <si>
    <t>Review the balance sheet as of the end of the period.</t>
  </si>
  <si>
    <t>Financial_Statements_3</t>
  </si>
  <si>
    <t>Review the income statement for the period.</t>
  </si>
  <si>
    <t>Financial_Statements_4</t>
  </si>
  <si>
    <t>Review the statement of shareholders' equity.</t>
  </si>
  <si>
    <t>Financial_Statements_5</t>
  </si>
  <si>
    <t>Review the cash flow statement using the direct method for operations.</t>
  </si>
  <si>
    <t>Review the cash flow statement using the indirect method for operations.</t>
  </si>
  <si>
    <t>Purpose</t>
  </si>
  <si>
    <t>YES/NO</t>
  </si>
  <si>
    <t>Use the Accounting Identity to analyze transactions.</t>
  </si>
  <si>
    <t>Apply accounting criteria for recognizing assets.</t>
  </si>
  <si>
    <t>Apply accounting criteria for recognizing liabilities.</t>
  </si>
  <si>
    <t>Better understand the nature of accounting equities.</t>
  </si>
  <si>
    <t>Learn how items are classified on Balance Sheets.</t>
  </si>
  <si>
    <t>Practice journal entry notation for analyzing/recording transactions.</t>
  </si>
  <si>
    <t>Use T-account notation for analyzing individual assets, liabilities and equities.</t>
  </si>
  <si>
    <t>Understand items included in Income Statements.</t>
  </si>
  <si>
    <t>Apply accounting criteria for recognizing revenue.</t>
  </si>
  <si>
    <t>Better understand accounting concept of expenses.</t>
  </si>
  <si>
    <t>Learn about adjustments involving assets.</t>
  </si>
  <si>
    <t>Learn about adjustments involving liabilities.</t>
  </si>
  <si>
    <t>Learn the organization of Income Statements.</t>
  </si>
  <si>
    <t>Understand how accountants adjustments stemming from passage of time.</t>
  </si>
  <si>
    <t>Understand how accountants make adjustments stemming from information about asset values.</t>
  </si>
  <si>
    <t>Understand how accountants  make adjustments stemming from information about liability values.</t>
  </si>
  <si>
    <t>Become familiar with Gains and Losses accounts.</t>
  </si>
  <si>
    <t>Understand how accountants sometimes estimate the expense, plug the asset or liability.</t>
  </si>
  <si>
    <t>Understand the role of Temporary accounts.</t>
  </si>
  <si>
    <t>Understand how the closing entry reclassifies temporary accounts into Retained Earnings.</t>
  </si>
  <si>
    <t>Learn the relation between the closing entry and the Income Statement.</t>
  </si>
  <si>
    <t>Learn what accountants mean by "Operating" cash flows.</t>
  </si>
  <si>
    <t>Learn what accountants mean by "Investing" cash flows.</t>
  </si>
  <si>
    <t>Learn what accountants mean by "Financing" cash flows.</t>
  </si>
  <si>
    <t>Understand the relation between Net Income and Cash Flow from Operations.</t>
  </si>
  <si>
    <t>Learn that changes in noncash assets and liabilities can NOT be due to operations.</t>
  </si>
  <si>
    <t>Appreciate implications of how imposing the Accounting Identity takes away a degree of freedom.</t>
  </si>
  <si>
    <t>Understand how accountants sometimes estimate the ending value of an asset or liability and plug the expense or revenue.</t>
  </si>
  <si>
    <t>Learn to work backwards from financial statements to transactions and events.</t>
  </si>
  <si>
    <t>Appreciate the impact of restrictive recognition on Balance Sheets and Income Statements.</t>
  </si>
  <si>
    <t>See how the articulation of financial statements allows deduction of things that are not directly disclosed.</t>
  </si>
  <si>
    <t>Understand the difference between disclosure and recognition.</t>
  </si>
  <si>
    <t>Better understand noncash investing and financing transactions.</t>
  </si>
  <si>
    <t>Expand your financial vocabulary.</t>
  </si>
  <si>
    <t>Understand the role of Par Value and Additional Paid-in Capital in accounting.</t>
  </si>
  <si>
    <t>TransInfo</t>
  </si>
  <si>
    <t>TransAbbrs</t>
  </si>
  <si>
    <t>DATA</t>
  </si>
  <si>
    <t>JOURNAL</t>
  </si>
  <si>
    <t>FS1_1</t>
  </si>
  <si>
    <t>FS1_2</t>
  </si>
  <si>
    <t>FS2_1</t>
  </si>
  <si>
    <t>FS2_2</t>
  </si>
  <si>
    <t>FS_3_1</t>
  </si>
  <si>
    <t>FS_3_2</t>
  </si>
  <si>
    <t>Num</t>
  </si>
  <si>
    <t>ref</t>
  </si>
  <si>
    <t>Question</t>
  </si>
  <si>
    <t>Length</t>
  </si>
  <si>
    <t>Abbr</t>
  </si>
  <si>
    <t>Explanation</t>
  </si>
  <si>
    <t>SBU</t>
  </si>
  <si>
    <t>Sold BU for XXXXX</t>
  </si>
  <si>
    <t>ICS</t>
  </si>
  <si>
    <t>Issue common stock</t>
  </si>
  <si>
    <t>IPS</t>
  </si>
  <si>
    <t>Issue preferred stock</t>
  </si>
  <si>
    <t>IB</t>
  </si>
  <si>
    <t>Issue bonds</t>
  </si>
  <si>
    <t>IN</t>
  </si>
  <si>
    <t>Issue notes</t>
  </si>
  <si>
    <t>IONCL</t>
  </si>
  <si>
    <t>Issue Other Noncurrent Liabilities</t>
  </si>
  <si>
    <t>DD</t>
  </si>
  <si>
    <t>Declare dividends</t>
  </si>
  <si>
    <t>PD</t>
  </si>
  <si>
    <t>Pay dividends</t>
  </si>
  <si>
    <t>RD</t>
  </si>
  <si>
    <t>Retire debt</t>
  </si>
  <si>
    <t>PTS</t>
  </si>
  <si>
    <t>Purchase Treasury Stock</t>
  </si>
  <si>
    <t>STS</t>
  </si>
  <si>
    <t>Sell Treasury Stock</t>
  </si>
  <si>
    <t>PMS</t>
  </si>
  <si>
    <t>Purchase marketable securities</t>
  </si>
  <si>
    <t>PPPE</t>
  </si>
  <si>
    <t>Purchase PP&amp;E</t>
  </si>
  <si>
    <t>SPPE</t>
  </si>
  <si>
    <t>Sell PP&amp;E</t>
  </si>
  <si>
    <t>PPEfCS</t>
  </si>
  <si>
    <t>Acquire PP&amp;E with common stock</t>
  </si>
  <si>
    <t>POA</t>
  </si>
  <si>
    <t>Purchase Other Assets</t>
  </si>
  <si>
    <t>SOA</t>
  </si>
  <si>
    <t>Sell Other Assets</t>
  </si>
  <si>
    <t>PBU</t>
  </si>
  <si>
    <t>Purchase business unit</t>
  </si>
  <si>
    <t>Sell business unit</t>
  </si>
  <si>
    <t>PINT</t>
  </si>
  <si>
    <t>Purchase intangibles</t>
  </si>
  <si>
    <t>SINT</t>
  </si>
  <si>
    <t>Sell intangibles</t>
  </si>
  <si>
    <t>OCI</t>
  </si>
  <si>
    <t>Other Comprehensive Income</t>
  </si>
  <si>
    <t>FVMS</t>
  </si>
  <si>
    <t>Fair Value Marketable Securities</t>
  </si>
  <si>
    <t>PSW</t>
  </si>
  <si>
    <t>Paid employees</t>
  </si>
  <si>
    <t>ColC</t>
  </si>
  <si>
    <t>Collected from customers</t>
  </si>
  <si>
    <t>PdS</t>
  </si>
  <si>
    <t>Paid suppliers</t>
  </si>
  <si>
    <t>PdPPd</t>
  </si>
  <si>
    <t>Prepaid expenses</t>
  </si>
  <si>
    <t>PdACCEx</t>
  </si>
  <si>
    <t>Paid Accrued Expenses</t>
  </si>
  <si>
    <t>PdInt</t>
  </si>
  <si>
    <t>Paid interest</t>
  </si>
  <si>
    <t>PdTx</t>
  </si>
  <si>
    <t>Paid taxes</t>
  </si>
  <si>
    <t>TransInfo[Num]</t>
  </si>
  <si>
    <t>Asset</t>
  </si>
  <si>
    <t>_Revenue</t>
  </si>
  <si>
    <t>Name</t>
  </si>
  <si>
    <t>BalType</t>
  </si>
  <si>
    <t>C/NC</t>
  </si>
  <si>
    <t>Cash</t>
  </si>
  <si>
    <t>Sales</t>
  </si>
  <si>
    <t>Accounts Receivable</t>
  </si>
  <si>
    <t>Allowance for Doubtful Accounts</t>
  </si>
  <si>
    <t>Marketable Securities</t>
  </si>
  <si>
    <t>Inventories</t>
  </si>
  <si>
    <t>Prepaid Expenses</t>
  </si>
  <si>
    <t>Prepaid Rent</t>
  </si>
  <si>
    <t>Other Current Assets</t>
  </si>
  <si>
    <t>Property, Plant &amp; Equipment</t>
  </si>
  <si>
    <t>_Expense</t>
  </si>
  <si>
    <t>Accumulated Depreciation</t>
  </si>
  <si>
    <t>Intangibles</t>
  </si>
  <si>
    <t>Cost of Goods Sold</t>
  </si>
  <si>
    <t>Goodwill</t>
  </si>
  <si>
    <t>Other Noncurrent Assets</t>
  </si>
  <si>
    <t>Deferred Tax Assets</t>
  </si>
  <si>
    <t>Accumulated Amortization</t>
  </si>
  <si>
    <t>Asset[Num]</t>
  </si>
  <si>
    <t>Liability</t>
  </si>
  <si>
    <t>_Gain</t>
  </si>
  <si>
    <t>Accounts Payable</t>
  </si>
  <si>
    <t>Accrued Expenses</t>
  </si>
  <si>
    <t>Gain on Sale of Subsidiary</t>
  </si>
  <si>
    <t>Interest Payable</t>
  </si>
  <si>
    <t>Dividends Payable</t>
  </si>
  <si>
    <t>Taxes Payable</t>
  </si>
  <si>
    <t>Deferred Tax Liabilities</t>
  </si>
  <si>
    <t>Unearned Revenue</t>
  </si>
  <si>
    <t>Bonds Payable</t>
  </si>
  <si>
    <t>Notes Payable</t>
  </si>
  <si>
    <t>Senior Debt</t>
  </si>
  <si>
    <t>_Loss</t>
  </si>
  <si>
    <t>Subordinated Debt</t>
  </si>
  <si>
    <t>Salaries &amp; Wages Payable</t>
  </si>
  <si>
    <t>Loss on Sale of Subsidiary</t>
  </si>
  <si>
    <t>Liability[Num}</t>
  </si>
  <si>
    <t>Equity</t>
  </si>
  <si>
    <t>Preferred Stock</t>
  </si>
  <si>
    <t>Common Stock</t>
  </si>
  <si>
    <t>Additional Paid-in Capital</t>
  </si>
  <si>
    <t>Retained Earnings</t>
  </si>
  <si>
    <t>Accumulated Other Comprehensive Income</t>
  </si>
  <si>
    <t>Treasury Stock</t>
  </si>
  <si>
    <t>Equity[Abbr]</t>
  </si>
  <si>
    <t>Equity[Num]</t>
  </si>
  <si>
    <t>Master Account Names Lists</t>
  </si>
  <si>
    <t>Assets:</t>
  </si>
  <si>
    <t>CSH</t>
  </si>
  <si>
    <t>Debit</t>
  </si>
  <si>
    <t>C</t>
  </si>
  <si>
    <t>AR</t>
  </si>
  <si>
    <t>ADA</t>
  </si>
  <si>
    <t>Credit</t>
  </si>
  <si>
    <t>MS</t>
  </si>
  <si>
    <t>Inv</t>
  </si>
  <si>
    <t>PPdE</t>
  </si>
  <si>
    <t>PPdR</t>
  </si>
  <si>
    <t>OCA</t>
  </si>
  <si>
    <t>PPE</t>
  </si>
  <si>
    <t>NC</t>
  </si>
  <si>
    <t>AccDepr</t>
  </si>
  <si>
    <t>Intang</t>
  </si>
  <si>
    <t>Gdwll</t>
  </si>
  <si>
    <t>ONCA</t>
  </si>
  <si>
    <t>DefTxA</t>
  </si>
  <si>
    <t>AccAmort</t>
  </si>
  <si>
    <t>Liabilities:</t>
  </si>
  <si>
    <t>AP</t>
  </si>
  <si>
    <t>AccExp</t>
  </si>
  <si>
    <t>IP</t>
  </si>
  <si>
    <t>DP</t>
  </si>
  <si>
    <t>TxP</t>
  </si>
  <si>
    <t>DefTxL</t>
  </si>
  <si>
    <t>UR</t>
  </si>
  <si>
    <t>BP</t>
  </si>
  <si>
    <t>NP</t>
  </si>
  <si>
    <t>SenDbt</t>
  </si>
  <si>
    <t>SubDbt</t>
  </si>
  <si>
    <t>SWP</t>
  </si>
  <si>
    <t>Equities:</t>
  </si>
  <si>
    <t>PrefStk</t>
  </si>
  <si>
    <t>CS</t>
  </si>
  <si>
    <t>APIC</t>
  </si>
  <si>
    <t>AOCI</t>
  </si>
  <si>
    <t>Either</t>
  </si>
  <si>
    <t>RE</t>
  </si>
  <si>
    <t>TS</t>
  </si>
  <si>
    <t>Noncontrolling Interests in Subsidiaries</t>
  </si>
  <si>
    <t>MinInt</t>
  </si>
  <si>
    <t>_Revenues:</t>
  </si>
  <si>
    <t>SLs</t>
  </si>
  <si>
    <t>Consulting Revenue</t>
  </si>
  <si>
    <t>ConsRev</t>
  </si>
  <si>
    <t>Interest Revenue</t>
  </si>
  <si>
    <t>IntRev</t>
  </si>
  <si>
    <t>Sales of Office Furniture</t>
  </si>
  <si>
    <t>SaleOffFurn</t>
  </si>
  <si>
    <t>_Expenses</t>
  </si>
  <si>
    <t>CoGS</t>
  </si>
  <si>
    <t>Selling, General and Administrative Expenses</t>
  </si>
  <si>
    <t>SGA</t>
  </si>
  <si>
    <t>Interest Expense</t>
  </si>
  <si>
    <t>IntExp</t>
  </si>
  <si>
    <t>Tax Expense</t>
  </si>
  <si>
    <t>TxExp</t>
  </si>
  <si>
    <t>Depreciation Expense</t>
  </si>
  <si>
    <t>DeprExp</t>
  </si>
  <si>
    <t>Rent Expense</t>
  </si>
  <si>
    <t>RntExp</t>
  </si>
  <si>
    <t>Bad Debts Expense</t>
  </si>
  <si>
    <t>BDExp</t>
  </si>
  <si>
    <t>Salaries &amp; Wages Expense</t>
  </si>
  <si>
    <t>SalExp</t>
  </si>
  <si>
    <t>Share-based Compensation Expense</t>
  </si>
  <si>
    <t>ShrCompExp</t>
  </si>
  <si>
    <t>_Gains</t>
  </si>
  <si>
    <t>Gain on Sale of PP&amp;E</t>
  </si>
  <si>
    <t>GSalePPE</t>
  </si>
  <si>
    <t>GSaleSub</t>
  </si>
  <si>
    <t>Gain on Retirement of Debt</t>
  </si>
  <si>
    <t>GRetDbt</t>
  </si>
  <si>
    <t>Holding Gain on Marketable Securities</t>
  </si>
  <si>
    <t>HGMS</t>
  </si>
  <si>
    <t>Realized Gain on Marketable Securities</t>
  </si>
  <si>
    <t>RLMS</t>
  </si>
  <si>
    <t>_Losses</t>
  </si>
  <si>
    <t>Loss on Sale of PP&amp;E</t>
  </si>
  <si>
    <t>LSalePPE</t>
  </si>
  <si>
    <t>LSaleSub</t>
  </si>
  <si>
    <t>Loss on Retirement of Debt</t>
  </si>
  <si>
    <t>LRetDbt</t>
  </si>
  <si>
    <t>Holding Loss on Marketable Securities</t>
  </si>
  <si>
    <t>HLMS</t>
  </si>
  <si>
    <t>Realized Loss on Marketable Securities</t>
  </si>
  <si>
    <t>Account</t>
  </si>
  <si>
    <t>Amount</t>
  </si>
  <si>
    <t>Total Liabilitys</t>
  </si>
  <si>
    <t>Total Liabilities</t>
  </si>
  <si>
    <t>Total Equities</t>
  </si>
  <si>
    <t>Liabilitys-Liabilities-Equities</t>
  </si>
  <si>
    <t>Period:        Year</t>
  </si>
  <si>
    <t>Drs</t>
  </si>
  <si>
    <t>Crs</t>
  </si>
  <si>
    <t>Diff</t>
  </si>
  <si>
    <t>Answers</t>
  </si>
  <si>
    <t>AccntType</t>
  </si>
  <si>
    <t>DrAccnt</t>
  </si>
  <si>
    <t>CrAccnt</t>
  </si>
  <si>
    <t>DrAmt</t>
  </si>
  <si>
    <t>CrAmt</t>
  </si>
  <si>
    <t>CFS</t>
  </si>
  <si>
    <t>ref2</t>
  </si>
  <si>
    <t>Investing</t>
  </si>
  <si>
    <t>AccntTypes</t>
  </si>
  <si>
    <t>Activity</t>
  </si>
  <si>
    <t>Operating</t>
  </si>
  <si>
    <t>Financing</t>
  </si>
  <si>
    <t>Noncash Investing</t>
  </si>
  <si>
    <t>Noncash Financing</t>
  </si>
  <si>
    <t>Noncash Investing/Financing</t>
  </si>
  <si>
    <t>Financial Statement Automation</t>
  </si>
  <si>
    <t>None</t>
  </si>
  <si>
    <t>Balance sheets</t>
  </si>
  <si>
    <t>and income statement</t>
  </si>
  <si>
    <t>and statement of shareholders' equity</t>
  </si>
  <si>
    <t>and direct method CFO</t>
  </si>
  <si>
    <t>all</t>
  </si>
  <si>
    <t>BLANK</t>
  </si>
  <si>
    <t>Description</t>
  </si>
  <si>
    <t>Any</t>
  </si>
  <si>
    <t>Highlight entire entry when there is any error.</t>
  </si>
  <si>
    <t>Debits</t>
  </si>
  <si>
    <t>Highlight all debits when there is any error in the debits.</t>
  </si>
  <si>
    <t>Credits</t>
  </si>
  <si>
    <t>Highlight all credits when there is any error in the credits.</t>
  </si>
  <si>
    <t>DrAccntType</t>
  </si>
  <si>
    <t>Highlight all debit account types when there is any error in the debit account types.</t>
  </si>
  <si>
    <t>CrAccntType</t>
  </si>
  <si>
    <t>Highlight all credit account types when there is any error in the credit account types.</t>
  </si>
  <si>
    <t>Highlight all debit account names when there is any error in the debit  account names.</t>
  </si>
  <si>
    <t>Highlight all credit account names when there is any error in the credit account names.</t>
  </si>
  <si>
    <t>Highlight all debit amounts when there is any error in the debit amounts.</t>
  </si>
  <si>
    <t>Highlight all credit amounts when there is any error in the credit amounts.</t>
  </si>
  <si>
    <t>Line</t>
  </si>
  <si>
    <t>Highlight any line with an error.</t>
  </si>
  <si>
    <t>All</t>
  </si>
  <si>
    <t>Highlight each error separately.</t>
  </si>
  <si>
    <t>Basic Information:</t>
  </si>
  <si>
    <t>Entity:</t>
  </si>
  <si>
    <t>Period Beginning:</t>
  </si>
  <si>
    <t>Units:</t>
  </si>
  <si>
    <t>Type:</t>
  </si>
  <si>
    <t>Period Ending:</t>
  </si>
  <si>
    <t>Shares Outstanding:</t>
  </si>
  <si>
    <t>Activity:</t>
  </si>
  <si>
    <t>Period Length:</t>
  </si>
  <si>
    <t>Par Value per Share:</t>
  </si>
  <si>
    <t>Shares in Treasury:</t>
  </si>
  <si>
    <t>Requirements:</t>
  </si>
  <si>
    <t>Required:</t>
  </si>
  <si>
    <t>Tab:</t>
  </si>
  <si>
    <t>Chart of Accounts:</t>
  </si>
  <si>
    <t>Permanent Accounts</t>
  </si>
  <si>
    <t>Assets</t>
  </si>
  <si>
    <t>Liabilities</t>
  </si>
  <si>
    <t>Equities</t>
  </si>
  <si>
    <t>Temporary Accounts</t>
  </si>
  <si>
    <t>Revenues</t>
  </si>
  <si>
    <t>Expenses</t>
  </si>
  <si>
    <t>Gains &amp; Losses</t>
  </si>
  <si>
    <t>This problem will help you:</t>
  </si>
  <si>
    <t>Line Truncated</t>
  </si>
  <si>
    <t>X</t>
  </si>
  <si>
    <t>Basic Info</t>
  </si>
  <si>
    <t>Entity Name:    EndGame Co AutoCFS v2</t>
  </si>
  <si>
    <t>LineNum</t>
  </si>
  <si>
    <t>ref1</t>
  </si>
  <si>
    <t>Manual</t>
  </si>
  <si>
    <t>BS Tool</t>
  </si>
  <si>
    <t>Begin Bal Sheet</t>
  </si>
  <si>
    <t>IS Tool</t>
  </si>
  <si>
    <t>Income Statement</t>
  </si>
  <si>
    <t>St SE Tools</t>
  </si>
  <si>
    <t>St. of Shareholders' Equity</t>
  </si>
  <si>
    <t>DM Tools</t>
  </si>
  <si>
    <t>Cash Flow Statement (Direct)</t>
  </si>
  <si>
    <t>IDM Tool</t>
  </si>
  <si>
    <t>Cash Flow Statement (Indirect)</t>
  </si>
  <si>
    <t>End Bal Sheet</t>
  </si>
  <si>
    <t>Balance Sheet Tool: T-Account</t>
  </si>
  <si>
    <t>Income Statement Tool: Closing Entry</t>
  </si>
  <si>
    <t>St SE Tool 1: Equity T-Accounts</t>
  </si>
  <si>
    <t>St SE Tool 2: Information</t>
  </si>
  <si>
    <t>Cash Flow Statement (Direct CFO) Tool 1: T-Account</t>
  </si>
  <si>
    <t>Cash Flow Statement (Direct CFO) Tool 2: Information</t>
  </si>
  <si>
    <t>Indirect Method Tool: Worksheet CFO</t>
  </si>
  <si>
    <t>Account Type:</t>
  </si>
  <si>
    <t>Statement of Shareholders' Equity</t>
  </si>
  <si>
    <t>Cash Flow Statement</t>
  </si>
  <si>
    <t>Account Name:</t>
  </si>
  <si>
    <t>Operating Cash Flow</t>
  </si>
  <si>
    <t>Net Income</t>
  </si>
  <si>
    <t>Net Loss</t>
  </si>
  <si>
    <t>Adjustments</t>
  </si>
  <si>
    <t>Current Assets:</t>
  </si>
  <si>
    <t>Revenues:</t>
  </si>
  <si>
    <t>Equity Accounts (Abbreviations)</t>
  </si>
  <si>
    <r>
      <t xml:space="preserve">Operating </t>
    </r>
    <r>
      <rPr>
        <b/>
        <i/>
        <sz val="11"/>
        <color theme="1"/>
        <rFont val="Calibri"/>
        <family val="2"/>
        <scheme val="minor"/>
      </rPr>
      <t>(Direct Method)</t>
    </r>
    <r>
      <rPr>
        <b/>
        <sz val="11"/>
        <color theme="1"/>
        <rFont val="Calibri"/>
        <family val="2"/>
        <scheme val="minor"/>
      </rPr>
      <t>:</t>
    </r>
  </si>
  <si>
    <r>
      <t xml:space="preserve">Operating </t>
    </r>
    <r>
      <rPr>
        <b/>
        <i/>
        <sz val="11"/>
        <color theme="1"/>
        <rFont val="Calibri"/>
        <family val="2"/>
        <scheme val="minor"/>
      </rPr>
      <t>(Indirect Method)</t>
    </r>
    <r>
      <rPr>
        <b/>
        <sz val="11"/>
        <color theme="1"/>
        <rFont val="Calibri"/>
        <family val="2"/>
        <scheme val="minor"/>
      </rPr>
      <t>:</t>
    </r>
  </si>
  <si>
    <t>Total</t>
  </si>
  <si>
    <t>St SE Tool 2: Journal Entry</t>
  </si>
  <si>
    <t>Cash Flow Statement (Direct CFO) Tool 3: Journal Entry</t>
  </si>
  <si>
    <t>Adjustments needed to reconcile NI to CFO:</t>
  </si>
  <si>
    <t>Total Revenues</t>
  </si>
  <si>
    <t>Expenses:</t>
  </si>
  <si>
    <t>Δs BS Accnts due to operations</t>
  </si>
  <si>
    <t>Total Cash Flow from Operating Activities</t>
  </si>
  <si>
    <r>
      <t xml:space="preserve">Changes in balance sheet accounts </t>
    </r>
    <r>
      <rPr>
        <i/>
        <u/>
        <sz val="11"/>
        <color theme="1"/>
        <rFont val="Calibri"/>
        <family val="2"/>
        <scheme val="minor"/>
      </rPr>
      <t>due to operations</t>
    </r>
    <r>
      <rPr>
        <i/>
        <sz val="11"/>
        <color theme="1"/>
        <rFont val="Calibri"/>
        <family val="2"/>
        <scheme val="minor"/>
      </rPr>
      <t>:</t>
    </r>
  </si>
  <si>
    <t>Investing:</t>
  </si>
  <si>
    <t>Total Current Assets</t>
  </si>
  <si>
    <t>Noncurrent Assets:</t>
  </si>
  <si>
    <t>Total Expenses</t>
  </si>
  <si>
    <t>Gains:</t>
  </si>
  <si>
    <t>Total Cash Flow from Investing Activities</t>
  </si>
  <si>
    <t>Financing:</t>
  </si>
  <si>
    <t>Total Gains</t>
  </si>
  <si>
    <t>Losses:</t>
  </si>
  <si>
    <t>Total Noncurrent Assets</t>
  </si>
  <si>
    <t>Total Assets</t>
  </si>
  <si>
    <t>Current Liabilities:</t>
  </si>
  <si>
    <t>Total Losses</t>
  </si>
  <si>
    <t>Total Cash Flow from Financing Activities</t>
  </si>
  <si>
    <t>Total net cash flow</t>
  </si>
  <si>
    <t>Noncash Investing/Financing Activities</t>
  </si>
  <si>
    <t>Total Current Liabilities</t>
  </si>
  <si>
    <t>Noncurrent Liabilities</t>
  </si>
  <si>
    <t>CFO</t>
  </si>
  <si>
    <t>Total cash flow</t>
  </si>
  <si>
    <t>Cash paid for interest</t>
  </si>
  <si>
    <t>Cash paid for taxes</t>
  </si>
  <si>
    <t>Total Noncurrent Liabilities</t>
  </si>
  <si>
    <t>Total Liabilities and Equities</t>
  </si>
  <si>
    <t>Auto BS</t>
  </si>
  <si>
    <t>St SE Tool 1: Equity T-Account</t>
  </si>
  <si>
    <t>Cash Flow Statement (Direct CFO) Tool 2: Journal Entry</t>
  </si>
  <si>
    <t>Auto BS IS</t>
  </si>
  <si>
    <t>Auto BS IS StSE</t>
  </si>
  <si>
    <t>Financing Transactions</t>
  </si>
  <si>
    <t>Cash Flow Statement (Direct CFO) Tool 1: Information</t>
  </si>
  <si>
    <t>Issue Common Stock</t>
  </si>
  <si>
    <t>Record OCI</t>
  </si>
  <si>
    <t>Issued preferred stock</t>
  </si>
  <si>
    <t>Cash Flow Statement (Direct CFO) Tool 1: Journal Entry</t>
  </si>
  <si>
    <t>Issue Preferred Stock</t>
  </si>
  <si>
    <t>Issued common stock</t>
  </si>
  <si>
    <t>Declared dividends</t>
  </si>
  <si>
    <t>Net Income (Loss)</t>
  </si>
  <si>
    <t>Purchased treasury stock</t>
  </si>
  <si>
    <t>Issued treasury stock</t>
  </si>
  <si>
    <t>Other Comprehensive Income (Loss)</t>
  </si>
  <si>
    <t>Issued common stock for building</t>
  </si>
  <si>
    <t>Issue Bonds</t>
  </si>
  <si>
    <t>Issue Notes</t>
  </si>
  <si>
    <t>Declare Dividends</t>
  </si>
  <si>
    <t>Collections from customers</t>
  </si>
  <si>
    <t>Paid Interest</t>
  </si>
  <si>
    <t>Pay Dividends</t>
  </si>
  <si>
    <t>Paid Taxes</t>
  </si>
  <si>
    <t>Retire Debt</t>
  </si>
  <si>
    <t>Paid Employees</t>
  </si>
  <si>
    <t>Paid Suppliers</t>
  </si>
  <si>
    <t>Paid Prepaid Expenses</t>
  </si>
  <si>
    <t>Auto BS IS StSE CFS-DM</t>
  </si>
  <si>
    <t>Investing Transactions</t>
  </si>
  <si>
    <t>Purchase MS</t>
  </si>
  <si>
    <t>Payments to suppliers</t>
  </si>
  <si>
    <t>Payments to employees</t>
  </si>
  <si>
    <t>Sell MS</t>
  </si>
  <si>
    <t>SMS</t>
  </si>
  <si>
    <t>Payments for taxes</t>
  </si>
  <si>
    <t>Declared Dividends</t>
  </si>
  <si>
    <t>Payments for interest</t>
  </si>
  <si>
    <t>Proceeds from sales of PP&amp;E</t>
  </si>
  <si>
    <t>Proceeds from sale of business unit</t>
  </si>
  <si>
    <t>Proceeds from sales of marketable securities</t>
  </si>
  <si>
    <t>Proceeds from sales of other assets</t>
  </si>
  <si>
    <t>Proceeds from sales of intangibles</t>
  </si>
  <si>
    <t>Acquired PP&amp;E</t>
  </si>
  <si>
    <t>Acquired business unit</t>
  </si>
  <si>
    <t>Acquired marketable securities</t>
  </si>
  <si>
    <t>Acquired other assets</t>
  </si>
  <si>
    <t>Acquired intangibles</t>
  </si>
  <si>
    <t>Issued bonds</t>
  </si>
  <si>
    <t>Issued notes</t>
  </si>
  <si>
    <t>Issued other noncurrent liabilities</t>
  </si>
  <si>
    <t>Sold  treasury stock</t>
  </si>
  <si>
    <t>Paid dividends</t>
  </si>
  <si>
    <t>Retired debt</t>
  </si>
  <si>
    <t>Acquired PP&amp;E with common stock</t>
  </si>
  <si>
    <t>Purchase Business Unit</t>
  </si>
  <si>
    <t>Sell Business Unit</t>
  </si>
  <si>
    <t>Purchase Intangibles</t>
  </si>
  <si>
    <t>Sell Intangibles</t>
  </si>
  <si>
    <t>ALL AUTO</t>
  </si>
  <si>
    <t>BegBal</t>
  </si>
  <si>
    <r>
      <rPr>
        <b/>
        <sz val="11"/>
        <color theme="1"/>
        <rFont val="Calibri"/>
        <family val="2"/>
      </rPr>
      <t>Δ</t>
    </r>
    <r>
      <rPr>
        <b/>
        <sz val="11"/>
        <color theme="1"/>
        <rFont val="Calibri"/>
        <family val="2"/>
        <scheme val="minor"/>
      </rPr>
      <t>NotDueToOps</t>
    </r>
  </si>
  <si>
    <t>EndBal</t>
  </si>
  <si>
    <t>ΔDue To Ops</t>
  </si>
  <si>
    <t>Dr-Cr</t>
  </si>
  <si>
    <t>Dr</t>
  </si>
  <si>
    <t>Cr</t>
  </si>
  <si>
    <t>Loss(Gain) on sale of PP&amp;E</t>
  </si>
  <si>
    <t>Loss(Gain) on sale of business unit</t>
  </si>
  <si>
    <t>Loss(Gain) on sale of retirement of debt</t>
  </si>
  <si>
    <t>Holding Loss(Gain) on marketable securities</t>
  </si>
  <si>
    <t>Depreciation expense</t>
  </si>
  <si>
    <t>Amortization expense</t>
  </si>
  <si>
    <t>BB</t>
  </si>
  <si>
    <t>NI</t>
  </si>
  <si>
    <t>NL</t>
  </si>
  <si>
    <t>LossPPE</t>
  </si>
  <si>
    <t>GainPPE</t>
  </si>
  <si>
    <t>NotDueOps</t>
  </si>
  <si>
    <t>LossBU</t>
  </si>
  <si>
    <t>GainBU</t>
  </si>
  <si>
    <t>DueToOps</t>
  </si>
  <si>
    <t>LossRD</t>
  </si>
  <si>
    <t>GainRD</t>
  </si>
  <si>
    <t>CFI</t>
  </si>
  <si>
    <t>CFF</t>
  </si>
  <si>
    <t>Depr</t>
  </si>
  <si>
    <t>Amort</t>
  </si>
  <si>
    <t>INV</t>
  </si>
  <si>
    <t>GDW</t>
  </si>
  <si>
    <t>ONA</t>
  </si>
  <si>
    <t>AE</t>
  </si>
  <si>
    <t>TP</t>
  </si>
  <si>
    <t>PS</t>
  </si>
  <si>
    <t>EB from above</t>
  </si>
  <si>
    <t>EB from BS</t>
  </si>
  <si>
    <t>Select an entry to check</t>
  </si>
  <si>
    <t>Your Entry</t>
  </si>
  <si>
    <t>Entry Checker</t>
  </si>
  <si>
    <t>Select an item to check</t>
  </si>
  <si>
    <t>Amounts</t>
  </si>
  <si>
    <t>Entry Details</t>
  </si>
  <si>
    <t>Helper</t>
  </si>
  <si>
    <t>Student</t>
  </si>
  <si>
    <t>Answer</t>
  </si>
  <si>
    <t>Agree?</t>
  </si>
  <si>
    <t>Accnts</t>
  </si>
  <si>
    <t>AccountUsed?</t>
  </si>
  <si>
    <t>Amount in Answer</t>
  </si>
  <si>
    <t>Difference</t>
  </si>
  <si>
    <t>Rank</t>
  </si>
  <si>
    <t>Permanent Account</t>
  </si>
  <si>
    <t>Temporary Account</t>
  </si>
  <si>
    <t>ALL TEMPORARY ACCOUNTS ARE CLOSED</t>
  </si>
  <si>
    <t>Balance</t>
  </si>
  <si>
    <t>Not Closed</t>
  </si>
  <si>
    <t>Gains</t>
  </si>
  <si>
    <t>Losses</t>
  </si>
  <si>
    <t>Beginning Balance</t>
  </si>
  <si>
    <t>Δs due to investing</t>
  </si>
  <si>
    <t>Δs due to financing</t>
  </si>
  <si>
    <t>Δs due to operations</t>
  </si>
  <si>
    <t>Ending Balance</t>
  </si>
  <si>
    <t>Δ</t>
  </si>
  <si>
    <t>dr</t>
  </si>
  <si>
    <t>cr</t>
  </si>
  <si>
    <t>Ref</t>
  </si>
  <si>
    <t>Investing Cash Flow</t>
  </si>
  <si>
    <t>Financing Cash Flow</t>
  </si>
  <si>
    <t>EndingBal</t>
  </si>
  <si>
    <t>Nonoperating Transactions</t>
  </si>
  <si>
    <t>Help</t>
  </si>
  <si>
    <t>Investing/Financing</t>
  </si>
  <si>
    <t xml:space="preserve">Journal Entry Viewer </t>
  </si>
  <si>
    <t>Noncash</t>
  </si>
  <si>
    <t>Hide</t>
  </si>
  <si>
    <t>_Revenue: credits - debits</t>
  </si>
  <si>
    <t>_Expense: debits - credits</t>
  </si>
  <si>
    <t>_Gain: credits - debits</t>
  </si>
  <si>
    <t>_Loss: debits - credits</t>
  </si>
  <si>
    <t>Closing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</si>
</sst>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43" formatCode="_(* #,##0.00_);_(* \(#,##0.00\);_(* &quot;-&quot;??_);_(@_)"/>
    <numFmt numFmtId="164" formatCode="_(* #,##0_);_(* \(#,##0\);_(* &quot;-&quot;??_);_(@_)"/>
    <numFmt numFmtId="165" formatCode="_(* #,##0.000_);_(* \(#,##0.000\);_(* &quot;-&quot;??_);_(@_)"/>
    <numFmt numFmtId="166" formatCode="_(* #,##0.0_);_(* \(#,##0.0\);_(* &quot;-&quot;??_);_(@_)"/>
    <numFmt numFmtId="167" formatCode="_(* #,##0.0_);_(* \(#,##0.0\);_(* &quot;-&quot;?_);_(@_)"/>
  </numFmts>
  <fonts count="2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9"/>
      <color theme="5" tint="-0.249977111117893"/>
      <name val="Calibri"/>
      <family val="2"/>
      <scheme val="minor"/>
    </font>
    <font>
      <sz val="8"/>
      <name val="Calibri"/>
      <family val="2"/>
      <scheme val="minor"/>
    </font>
    <font>
      <b/>
      <sz val="11"/>
      <name val="Calibri"/>
      <family val="2"/>
      <scheme val="minor"/>
    </font>
    <font>
      <b/>
      <sz val="11"/>
      <color theme="5" tint="-0.249977111117893"/>
      <name val="Calibri"/>
      <family val="2"/>
      <scheme val="minor"/>
    </font>
    <font>
      <b/>
      <sz val="10"/>
      <color theme="5" tint="-0.249977111117893"/>
      <name val="Calibri"/>
      <family val="2"/>
      <scheme val="minor"/>
    </font>
    <font>
      <i/>
      <sz val="11"/>
      <color theme="1"/>
      <name val="Calibri"/>
      <family val="2"/>
      <scheme val="minor"/>
    </font>
    <font>
      <b/>
      <i/>
      <sz val="11"/>
      <color theme="1"/>
      <name val="Calibri"/>
      <family val="2"/>
      <scheme val="minor"/>
    </font>
    <font>
      <i/>
      <u/>
      <sz val="11"/>
      <color theme="1"/>
      <name val="Calibri"/>
      <family val="2"/>
      <scheme val="minor"/>
    </font>
    <font>
      <b/>
      <sz val="10"/>
      <name val="Calibri"/>
      <family val="2"/>
      <scheme val="minor"/>
    </font>
    <font>
      <b/>
      <sz val="9"/>
      <color theme="0"/>
      <name val="Calibri"/>
      <family val="2"/>
      <scheme val="minor"/>
    </font>
    <font>
      <sz val="11"/>
      <name val="Calibri"/>
      <family val="2"/>
      <scheme val="minor"/>
    </font>
    <font>
      <b/>
      <sz val="10"/>
      <color theme="0"/>
      <name val="Calibri"/>
      <family val="2"/>
      <scheme val="minor"/>
    </font>
    <font>
      <b/>
      <sz val="11"/>
      <color theme="1"/>
      <name val="Calibri"/>
      <family val="2"/>
    </font>
    <font>
      <sz val="10"/>
      <color theme="1"/>
      <name val="Calibri"/>
      <family val="2"/>
      <scheme val="minor"/>
    </font>
    <font>
      <sz val="11"/>
      <color theme="0"/>
      <name val="Calibri"/>
      <family val="2"/>
    </font>
    <font>
      <sz val="10"/>
      <color indexed="81"/>
      <name val="Tahoma"/>
      <family val="2"/>
    </font>
    <font>
      <b/>
      <sz val="10"/>
      <color indexed="81"/>
      <name val="Tahoma"/>
      <family val="2"/>
    </font>
    <font>
      <u/>
      <sz val="9"/>
      <color theme="10"/>
      <name val="Calibri"/>
      <family val="2"/>
      <scheme val="minor"/>
    </font>
    <font>
      <sz val="9"/>
      <color theme="5" tint="-0.249977111117893"/>
      <name val="Calibri"/>
      <family val="2"/>
      <scheme val="minor"/>
    </font>
    <font>
      <b/>
      <u/>
      <sz val="11"/>
      <color theme="0"/>
      <name val="Calibri"/>
      <family val="2"/>
      <scheme val="minor"/>
    </font>
  </fonts>
  <fills count="27">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1" tint="0.249977111117893"/>
        <bgColor indexed="64"/>
      </patternFill>
    </fill>
    <fill>
      <patternFill patternType="solid">
        <fgColor theme="2" tint="-0.499984740745262"/>
        <bgColor indexed="64"/>
      </patternFill>
    </fill>
  </fills>
  <borders count="68">
    <border>
      <left/>
      <right/>
      <top/>
      <bottom/>
      <diagonal/>
    </border>
    <border>
      <left/>
      <right/>
      <top style="thin">
        <color indexed="64"/>
      </top>
      <bottom style="double">
        <color indexed="64"/>
      </bottom>
      <diagonal/>
    </border>
    <border>
      <left style="thin">
        <color auto="1"/>
      </left>
      <right style="thin">
        <color auto="1"/>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double">
        <color indexed="64"/>
      </bottom>
      <diagonal/>
    </border>
    <border>
      <left/>
      <right/>
      <top style="medium">
        <color indexed="64"/>
      </top>
      <bottom/>
      <diagonal/>
    </border>
    <border>
      <left/>
      <right/>
      <top/>
      <bottom style="medium">
        <color indexed="64"/>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right/>
      <top style="thick">
        <color auto="1"/>
      </top>
      <bottom style="double">
        <color indexed="64"/>
      </bottom>
      <diagonal/>
    </border>
    <border>
      <left/>
      <right style="thick">
        <color indexed="64"/>
      </right>
      <top style="thick">
        <color auto="1"/>
      </top>
      <bottom style="double">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double">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style="thin">
        <color auto="1"/>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top/>
      <bottom style="thin">
        <color indexed="64"/>
      </bottom>
      <diagonal/>
    </border>
    <border>
      <left style="thick">
        <color auto="1"/>
      </left>
      <right/>
      <top style="thick">
        <color auto="1"/>
      </top>
      <bottom/>
      <diagonal/>
    </border>
    <border>
      <left style="thick">
        <color auto="1"/>
      </left>
      <right/>
      <top/>
      <bottom/>
      <diagonal/>
    </border>
    <border>
      <left/>
      <right/>
      <top style="thick">
        <color auto="1"/>
      </top>
      <bottom/>
      <diagonal/>
    </border>
    <border>
      <left/>
      <right style="thin">
        <color indexed="64"/>
      </right>
      <top/>
      <bottom/>
      <diagonal/>
    </border>
    <border>
      <left style="thin">
        <color indexed="64"/>
      </left>
      <right/>
      <top/>
      <bottom/>
      <diagonal/>
    </border>
    <border>
      <left/>
      <right/>
      <top style="thin">
        <color indexed="64"/>
      </top>
      <bottom style="thin">
        <color indexed="64"/>
      </bottom>
      <diagonal/>
    </border>
    <border>
      <left/>
      <right style="thick">
        <color indexed="64"/>
      </right>
      <top style="thin">
        <color indexed="64"/>
      </top>
      <bottom/>
      <diagonal/>
    </border>
    <border>
      <left/>
      <right style="thick">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auto="1"/>
      </left>
      <right style="thin">
        <color auto="1"/>
      </right>
      <top/>
      <bottom/>
      <diagonal/>
    </border>
    <border>
      <left style="thick">
        <color auto="1"/>
      </left>
      <right style="thick">
        <color auto="1"/>
      </right>
      <top/>
      <bottom/>
      <diagonal/>
    </border>
    <border>
      <left style="medium">
        <color indexed="64"/>
      </left>
      <right style="medium">
        <color indexed="64"/>
      </right>
      <top style="medium">
        <color indexed="64"/>
      </top>
      <bottom style="medium">
        <color indexed="64"/>
      </bottom>
      <diagonal/>
    </border>
    <border>
      <left/>
      <right/>
      <top style="thin">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auto="1"/>
      </left>
      <right style="thin">
        <color indexed="64"/>
      </right>
      <top style="thin">
        <color indexed="64"/>
      </top>
      <bottom/>
      <diagonal/>
    </border>
    <border>
      <left/>
      <right style="thin">
        <color theme="4" tint="0.39997558519241921"/>
      </right>
      <top/>
      <bottom style="thin">
        <color theme="4" tint="0.39997558519241921"/>
      </bottom>
      <diagonal/>
    </border>
    <border>
      <left/>
      <right/>
      <top/>
      <bottom style="thin">
        <color theme="4" tint="0.39997558519241921"/>
      </bottom>
      <diagonal/>
    </border>
    <border>
      <left/>
      <right style="thin">
        <color theme="4" tint="0.39997558519241921"/>
      </right>
      <top style="thin">
        <color theme="4" tint="0.39997558519241921"/>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25" fillId="0" borderId="0" applyNumberFormat="0" applyFill="0" applyBorder="0" applyAlignment="0" applyProtection="0"/>
  </cellStyleXfs>
  <cellXfs count="401">
    <xf numFmtId="0" fontId="0" fillId="0" borderId="0" xfId="0"/>
    <xf numFmtId="0" fontId="0" fillId="0" borderId="0" xfId="0" applyAlignment="1">
      <alignment horizontal="center"/>
    </xf>
    <xf numFmtId="0" fontId="0" fillId="0" borderId="0" xfId="0" applyAlignment="1">
      <alignment horizontal="centerContinuous"/>
    </xf>
    <xf numFmtId="0" fontId="3" fillId="0" borderId="0" xfId="0" applyFont="1" applyAlignment="1">
      <alignment horizontal="centerContinuous"/>
    </xf>
    <xf numFmtId="0" fontId="3" fillId="0" borderId="0" xfId="0" applyFont="1" applyAlignment="1">
      <alignment horizontal="center"/>
    </xf>
    <xf numFmtId="0" fontId="3" fillId="0" borderId="0" xfId="0" applyFont="1"/>
    <xf numFmtId="165" fontId="0" fillId="0" borderId="0" xfId="1" applyNumberFormat="1" applyFont="1"/>
    <xf numFmtId="165" fontId="0" fillId="0" borderId="1" xfId="1" applyNumberFormat="1" applyFont="1" applyBorder="1"/>
    <xf numFmtId="3" fontId="0" fillId="0" borderId="0" xfId="0" applyNumberFormat="1"/>
    <xf numFmtId="44" fontId="0" fillId="0" borderId="0" xfId="2" applyFont="1"/>
    <xf numFmtId="0" fontId="3" fillId="3" borderId="0" xfId="0" applyFont="1" applyFill="1" applyAlignment="1">
      <alignment horizontal="center"/>
    </xf>
    <xf numFmtId="0" fontId="6" fillId="0" borderId="0" xfId="0" applyFont="1" applyAlignment="1">
      <alignment horizontal="center"/>
    </xf>
    <xf numFmtId="0" fontId="2" fillId="2" borderId="0" xfId="0" applyFont="1" applyFill="1" applyAlignment="1">
      <alignment horizontal="centerContinuous"/>
    </xf>
    <xf numFmtId="0" fontId="4" fillId="2" borderId="0" xfId="0" applyFont="1" applyFill="1" applyAlignment="1">
      <alignment horizontal="centerContinuous"/>
    </xf>
    <xf numFmtId="0" fontId="3" fillId="0" borderId="3" xfId="0" applyFont="1" applyBorder="1" applyAlignment="1">
      <alignment horizontal="centerContinuous"/>
    </xf>
    <xf numFmtId="0" fontId="0" fillId="0" borderId="6" xfId="0" applyBorder="1" applyAlignment="1">
      <alignment horizontal="centerContinuous"/>
    </xf>
    <xf numFmtId="0" fontId="5" fillId="0" borderId="5" xfId="0" applyFont="1" applyBorder="1" applyAlignment="1">
      <alignment horizontal="centerContinuous"/>
    </xf>
    <xf numFmtId="0" fontId="0" fillId="0" borderId="5" xfId="0" applyBorder="1"/>
    <xf numFmtId="0" fontId="0" fillId="0" borderId="6" xfId="0" applyBorder="1"/>
    <xf numFmtId="0" fontId="3" fillId="0" borderId="5" xfId="0" applyFont="1" applyBorder="1"/>
    <xf numFmtId="0" fontId="0" fillId="3" borderId="6" xfId="0" applyFill="1" applyBorder="1"/>
    <xf numFmtId="0" fontId="3" fillId="0" borderId="5" xfId="0" applyFont="1" applyBorder="1" applyAlignment="1">
      <alignment horizontal="left" indent="3"/>
    </xf>
    <xf numFmtId="0" fontId="0" fillId="0" borderId="9" xfId="0" applyBorder="1"/>
    <xf numFmtId="0" fontId="0" fillId="0" borderId="10" xfId="0" applyBorder="1"/>
    <xf numFmtId="0" fontId="0" fillId="0" borderId="7" xfId="0" applyBorder="1"/>
    <xf numFmtId="0" fontId="0" fillId="0" borderId="8" xfId="0" applyBorder="1"/>
    <xf numFmtId="0" fontId="3" fillId="0" borderId="5" xfId="0" applyFont="1" applyBorder="1" applyAlignment="1">
      <alignment horizontal="centerContinuous" readingOrder="1"/>
    </xf>
    <xf numFmtId="0" fontId="3" fillId="0" borderId="6" xfId="0" applyFont="1" applyBorder="1" applyAlignment="1">
      <alignment horizontal="centerContinuous" readingOrder="1"/>
    </xf>
    <xf numFmtId="0" fontId="5" fillId="0" borderId="5" xfId="0" applyFont="1" applyBorder="1" applyAlignment="1">
      <alignment horizontal="centerContinuous" readingOrder="1"/>
    </xf>
    <xf numFmtId="0" fontId="0" fillId="0" borderId="6" xfId="0" applyBorder="1" applyAlignment="1">
      <alignment horizontal="centerContinuous" readingOrder="1"/>
    </xf>
    <xf numFmtId="0" fontId="0" fillId="3" borderId="0" xfId="0" applyFill="1" applyAlignment="1">
      <alignment horizontal="center"/>
    </xf>
    <xf numFmtId="0" fontId="0" fillId="4" borderId="0" xfId="0" applyFill="1"/>
    <xf numFmtId="0" fontId="2" fillId="0" borderId="0" xfId="0" applyFont="1"/>
    <xf numFmtId="0" fontId="2" fillId="0" borderId="0" xfId="0" applyFont="1" applyAlignment="1">
      <alignment horizontal="center"/>
    </xf>
    <xf numFmtId="0" fontId="0" fillId="4" borderId="3" xfId="0" applyFill="1" applyBorder="1"/>
    <xf numFmtId="0" fontId="0" fillId="4" borderId="11" xfId="0" applyFill="1" applyBorder="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12" xfId="0" applyFill="1" applyBorder="1"/>
    <xf numFmtId="0" fontId="0" fillId="4" borderId="8" xfId="0" applyFill="1" applyBorder="1"/>
    <xf numFmtId="43" fontId="0" fillId="0" borderId="0" xfId="1" applyFont="1"/>
    <xf numFmtId="0" fontId="9" fillId="0" borderId="0" xfId="0" applyFont="1" applyAlignment="1">
      <alignment horizontal="center"/>
    </xf>
    <xf numFmtId="0" fontId="3" fillId="0" borderId="15" xfId="0" applyFont="1" applyBorder="1" applyAlignment="1">
      <alignment horizontal="centerContinuous"/>
    </xf>
    <xf numFmtId="0" fontId="10" fillId="0" borderId="0" xfId="0" applyFont="1" applyAlignment="1">
      <alignment horizontal="center"/>
    </xf>
    <xf numFmtId="0" fontId="0" fillId="0" borderId="19" xfId="0" applyBorder="1" applyAlignment="1">
      <alignment horizontal="center"/>
    </xf>
    <xf numFmtId="44" fontId="0" fillId="0" borderId="9" xfId="2" applyFont="1" applyBorder="1"/>
    <xf numFmtId="43" fontId="0" fillId="3" borderId="6" xfId="1" applyFont="1" applyFill="1" applyBorder="1"/>
    <xf numFmtId="44" fontId="0" fillId="0" borderId="21" xfId="2" applyFont="1" applyBorder="1"/>
    <xf numFmtId="44" fontId="0" fillId="0" borderId="20" xfId="2" applyFont="1" applyBorder="1"/>
    <xf numFmtId="44" fontId="0" fillId="0" borderId="21" xfId="2" quotePrefix="1" applyFont="1" applyBorder="1"/>
    <xf numFmtId="0" fontId="3" fillId="0" borderId="22" xfId="0" applyFont="1" applyBorder="1"/>
    <xf numFmtId="0" fontId="3" fillId="0" borderId="24" xfId="0" applyFont="1" applyBorder="1" applyAlignment="1">
      <alignment horizontal="left" indent="3"/>
    </xf>
    <xf numFmtId="0" fontId="3" fillId="0" borderId="23" xfId="0" applyFont="1" applyBorder="1" applyAlignment="1">
      <alignment horizontal="left" indent="3"/>
    </xf>
    <xf numFmtId="0" fontId="3" fillId="0" borderId="25" xfId="0" applyFont="1" applyBorder="1"/>
    <xf numFmtId="0" fontId="3" fillId="0" borderId="24" xfId="0" applyFont="1" applyBorder="1"/>
    <xf numFmtId="0" fontId="3" fillId="0" borderId="25" xfId="0" applyFont="1" applyBorder="1" applyAlignment="1">
      <alignment horizontal="centerContinuous" readingOrder="1"/>
    </xf>
    <xf numFmtId="0" fontId="3" fillId="0" borderId="7" xfId="0" applyFont="1" applyBorder="1"/>
    <xf numFmtId="0" fontId="11" fillId="0" borderId="0" xfId="0" applyFont="1" applyAlignment="1">
      <alignment horizontal="center"/>
    </xf>
    <xf numFmtId="0" fontId="11" fillId="0" borderId="0" xfId="0" applyFont="1"/>
    <xf numFmtId="0" fontId="12" fillId="0" borderId="0" xfId="0" applyFont="1" applyAlignment="1">
      <alignment horizontal="centerContinuous"/>
    </xf>
    <xf numFmtId="43" fontId="0" fillId="0" borderId="6" xfId="1" applyFont="1" applyBorder="1"/>
    <xf numFmtId="0" fontId="3" fillId="0" borderId="8" xfId="0" applyFont="1" applyBorder="1" applyAlignment="1">
      <alignment horizontal="center"/>
    </xf>
    <xf numFmtId="44" fontId="0" fillId="0" borderId="26" xfId="0" applyNumberFormat="1" applyBorder="1"/>
    <xf numFmtId="43" fontId="0" fillId="0" borderId="27" xfId="1" applyFont="1" applyBorder="1"/>
    <xf numFmtId="43" fontId="0" fillId="0" borderId="28" xfId="1" applyFont="1" applyBorder="1"/>
    <xf numFmtId="44" fontId="0" fillId="0" borderId="28" xfId="2" applyFont="1" applyBorder="1"/>
    <xf numFmtId="44" fontId="0" fillId="0" borderId="30" xfId="2" applyFont="1" applyBorder="1"/>
    <xf numFmtId="44" fontId="0" fillId="3" borderId="29" xfId="2" applyFont="1" applyFill="1" applyBorder="1"/>
    <xf numFmtId="0" fontId="0" fillId="7" borderId="5" xfId="0" applyFill="1" applyBorder="1"/>
    <xf numFmtId="0" fontId="0" fillId="0" borderId="4" xfId="0" applyBorder="1"/>
    <xf numFmtId="0" fontId="3" fillId="0" borderId="3" xfId="0" applyFont="1" applyBorder="1"/>
    <xf numFmtId="0" fontId="0" fillId="7" borderId="7" xfId="0" applyFill="1" applyBorder="1"/>
    <xf numFmtId="0" fontId="0" fillId="0" borderId="5" xfId="0" applyBorder="1" applyAlignment="1">
      <alignment horizontal="centerContinuous"/>
    </xf>
    <xf numFmtId="0" fontId="11" fillId="0" borderId="5" xfId="0" applyFont="1" applyBorder="1"/>
    <xf numFmtId="0" fontId="0" fillId="0" borderId="3" xfId="0" applyBorder="1"/>
    <xf numFmtId="44" fontId="0" fillId="3" borderId="4" xfId="2" applyFont="1" applyFill="1" applyBorder="1"/>
    <xf numFmtId="44" fontId="0" fillId="3" borderId="8" xfId="2" applyFont="1" applyFill="1" applyBorder="1"/>
    <xf numFmtId="44" fontId="0" fillId="0" borderId="10" xfId="2" applyFont="1" applyBorder="1"/>
    <xf numFmtId="44" fontId="0" fillId="0" borderId="6" xfId="2" applyFont="1" applyBorder="1"/>
    <xf numFmtId="44" fontId="0" fillId="3" borderId="6" xfId="2" applyFont="1" applyFill="1" applyBorder="1"/>
    <xf numFmtId="44" fontId="0" fillId="0" borderId="6" xfId="2" applyFont="1" applyFill="1" applyBorder="1"/>
    <xf numFmtId="44" fontId="0" fillId="0" borderId="8" xfId="2" applyFont="1" applyFill="1" applyBorder="1"/>
    <xf numFmtId="44" fontId="0" fillId="0" borderId="13" xfId="2" applyFont="1" applyBorder="1"/>
    <xf numFmtId="43" fontId="0" fillId="0" borderId="14" xfId="1" applyFont="1" applyBorder="1"/>
    <xf numFmtId="43" fontId="0" fillId="0" borderId="16" xfId="1" applyFont="1" applyBorder="1"/>
    <xf numFmtId="43" fontId="0" fillId="0" borderId="15" xfId="1" applyFont="1" applyBorder="1"/>
    <xf numFmtId="44" fontId="0" fillId="0" borderId="18" xfId="2" applyFont="1" applyBorder="1"/>
    <xf numFmtId="44" fontId="0" fillId="0" borderId="17" xfId="2" applyFont="1" applyBorder="1"/>
    <xf numFmtId="43" fontId="0" fillId="0" borderId="13" xfId="1" applyFont="1" applyBorder="1"/>
    <xf numFmtId="0" fontId="0" fillId="0" borderId="22" xfId="0" applyBorder="1"/>
    <xf numFmtId="0" fontId="0" fillId="0" borderId="33" xfId="0" applyBorder="1" applyAlignment="1">
      <alignment horizontal="center"/>
    </xf>
    <xf numFmtId="0" fontId="3" fillId="0" borderId="11" xfId="0" applyFont="1" applyBorder="1" applyAlignment="1">
      <alignment horizontal="centerContinuous"/>
    </xf>
    <xf numFmtId="0" fontId="0" fillId="0" borderId="6"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3" fillId="0" borderId="4" xfId="0" applyFont="1" applyBorder="1" applyAlignment="1">
      <alignment horizontal="centerContinuous"/>
    </xf>
    <xf numFmtId="44" fontId="0" fillId="0" borderId="31" xfId="2" applyFont="1" applyFill="1" applyBorder="1"/>
    <xf numFmtId="43" fontId="0" fillId="0" borderId="27" xfId="1" applyFont="1" applyFill="1" applyBorder="1"/>
    <xf numFmtId="43" fontId="0" fillId="0" borderId="32" xfId="1" applyFont="1" applyFill="1" applyBorder="1"/>
    <xf numFmtId="43" fontId="0" fillId="0" borderId="6" xfId="1" applyFont="1" applyFill="1" applyBorder="1"/>
    <xf numFmtId="0" fontId="4" fillId="0" borderId="0" xfId="0" applyFont="1"/>
    <xf numFmtId="0" fontId="14" fillId="0" borderId="0" xfId="0" applyFont="1" applyAlignment="1">
      <alignment horizontal="center"/>
    </xf>
    <xf numFmtId="43" fontId="0" fillId="3" borderId="2" xfId="1" applyFont="1" applyFill="1" applyBorder="1"/>
    <xf numFmtId="43" fontId="0" fillId="3" borderId="30" xfId="1" applyFont="1" applyFill="1" applyBorder="1"/>
    <xf numFmtId="44" fontId="0" fillId="0" borderId="29" xfId="2" applyFont="1" applyFill="1" applyBorder="1"/>
    <xf numFmtId="43" fontId="0" fillId="0" borderId="2" xfId="1" applyFont="1" applyFill="1" applyBorder="1"/>
    <xf numFmtId="43" fontId="0" fillId="0" borderId="30" xfId="1" applyFont="1" applyFill="1" applyBorder="1"/>
    <xf numFmtId="0" fontId="0" fillId="4" borderId="0" xfId="0" applyFill="1" applyAlignment="1">
      <alignment horizontal="center"/>
    </xf>
    <xf numFmtId="0" fontId="0" fillId="8" borderId="0" xfId="0" applyFill="1" applyAlignment="1">
      <alignment horizontal="center"/>
    </xf>
    <xf numFmtId="0" fontId="0" fillId="8" borderId="0" xfId="0" applyFill="1"/>
    <xf numFmtId="0" fontId="0" fillId="0" borderId="12" xfId="0" applyBorder="1"/>
    <xf numFmtId="0" fontId="0" fillId="10" borderId="0" xfId="0" applyFill="1" applyAlignment="1">
      <alignment horizontal="center"/>
    </xf>
    <xf numFmtId="0" fontId="0" fillId="10" borderId="0" xfId="0" applyFill="1"/>
    <xf numFmtId="0" fontId="16" fillId="0" borderId="0" xfId="0" applyFont="1"/>
    <xf numFmtId="0" fontId="17" fillId="0" borderId="0" xfId="0" applyFont="1" applyAlignment="1">
      <alignment horizontal="center"/>
    </xf>
    <xf numFmtId="0" fontId="15" fillId="0" borderId="0" xfId="0" applyFont="1" applyAlignment="1">
      <alignment horizontal="center"/>
    </xf>
    <xf numFmtId="0" fontId="3" fillId="9" borderId="3" xfId="0" applyFont="1" applyFill="1" applyBorder="1" applyAlignment="1">
      <alignment horizontal="centerContinuous"/>
    </xf>
    <xf numFmtId="0" fontId="3" fillId="9" borderId="11" xfId="0" applyFont="1" applyFill="1" applyBorder="1" applyAlignment="1">
      <alignment horizontal="centerContinuous"/>
    </xf>
    <xf numFmtId="0" fontId="3" fillId="9" borderId="4" xfId="0" applyFont="1" applyFill="1" applyBorder="1" applyAlignment="1">
      <alignment horizontal="centerContinuous"/>
    </xf>
    <xf numFmtId="0" fontId="2" fillId="11" borderId="34" xfId="0" applyFont="1" applyFill="1" applyBorder="1" applyAlignment="1">
      <alignment horizontal="centerContinuous"/>
    </xf>
    <xf numFmtId="0" fontId="2" fillId="11" borderId="13" xfId="0" applyFont="1" applyFill="1" applyBorder="1" applyAlignment="1">
      <alignment horizontal="centerContinuous"/>
    </xf>
    <xf numFmtId="0" fontId="3" fillId="0" borderId="14" xfId="0" applyFont="1" applyBorder="1" applyAlignment="1">
      <alignment horizontal="center"/>
    </xf>
    <xf numFmtId="0" fontId="2" fillId="11" borderId="35" xfId="0" applyFont="1" applyFill="1" applyBorder="1" applyAlignment="1">
      <alignment horizontal="center"/>
    </xf>
    <xf numFmtId="0" fontId="2" fillId="11" borderId="14" xfId="0" applyFont="1" applyFill="1" applyBorder="1" applyAlignment="1">
      <alignment horizontal="center"/>
    </xf>
    <xf numFmtId="43" fontId="0" fillId="0" borderId="0" xfId="1" applyFont="1" applyFill="1" applyBorder="1"/>
    <xf numFmtId="0" fontId="0" fillId="9" borderId="42" xfId="0" applyFill="1" applyBorder="1"/>
    <xf numFmtId="0" fontId="0" fillId="0" borderId="43" xfId="0" applyBorder="1"/>
    <xf numFmtId="0" fontId="0" fillId="9" borderId="43" xfId="0" applyFill="1" applyBorder="1"/>
    <xf numFmtId="0" fontId="0" fillId="0" borderId="44" xfId="0" applyBorder="1"/>
    <xf numFmtId="43" fontId="0" fillId="0" borderId="12" xfId="1" applyFont="1" applyFill="1" applyBorder="1"/>
    <xf numFmtId="43" fontId="0" fillId="0" borderId="11" xfId="1" applyFont="1" applyBorder="1"/>
    <xf numFmtId="43" fontId="0" fillId="0" borderId="11" xfId="1" applyFont="1" applyBorder="1" applyAlignment="1">
      <alignment horizontal="center"/>
    </xf>
    <xf numFmtId="43" fontId="0" fillId="0" borderId="29" xfId="1" applyFont="1" applyBorder="1"/>
    <xf numFmtId="43" fontId="0" fillId="0" borderId="11" xfId="1" applyFont="1" applyFill="1" applyBorder="1"/>
    <xf numFmtId="43" fontId="0" fillId="0" borderId="4" xfId="1" applyFont="1" applyFill="1" applyBorder="1"/>
    <xf numFmtId="43" fontId="0" fillId="12" borderId="36" xfId="1" applyFont="1" applyFill="1" applyBorder="1"/>
    <xf numFmtId="43" fontId="0" fillId="12" borderId="13" xfId="1" applyFont="1" applyFill="1" applyBorder="1"/>
    <xf numFmtId="43" fontId="0" fillId="0" borderId="0" xfId="1" applyFont="1" applyBorder="1"/>
    <xf numFmtId="43" fontId="0" fillId="0" borderId="0" xfId="1" applyFont="1" applyBorder="1" applyAlignment="1">
      <alignment horizontal="center"/>
    </xf>
    <xf numFmtId="43" fontId="0" fillId="0" borderId="2" xfId="1" applyFont="1" applyBorder="1"/>
    <xf numFmtId="43" fontId="0" fillId="0" borderId="37" xfId="1" applyFont="1" applyBorder="1"/>
    <xf numFmtId="43" fontId="0" fillId="0" borderId="38" xfId="1" applyFont="1" applyBorder="1"/>
    <xf numFmtId="43" fontId="0" fillId="12" borderId="0" xfId="1" applyFont="1" applyFill="1" applyBorder="1"/>
    <xf numFmtId="43" fontId="0" fillId="12" borderId="14" xfId="1" applyFont="1" applyFill="1" applyBorder="1"/>
    <xf numFmtId="43" fontId="3" fillId="6" borderId="0" xfId="1" applyFont="1" applyFill="1" applyBorder="1" applyAlignment="1">
      <alignment horizontal="centerContinuous"/>
    </xf>
    <xf numFmtId="43" fontId="3" fillId="6" borderId="14" xfId="1" applyFont="1" applyFill="1" applyBorder="1" applyAlignment="1">
      <alignment horizontal="centerContinuous"/>
    </xf>
    <xf numFmtId="43" fontId="5" fillId="0" borderId="37" xfId="1" applyFont="1" applyBorder="1" applyAlignment="1">
      <alignment horizontal="center"/>
    </xf>
    <xf numFmtId="43" fontId="3" fillId="0" borderId="0" xfId="1" applyFont="1" applyFill="1" applyBorder="1" applyAlignment="1">
      <alignment horizontal="centerContinuous"/>
    </xf>
    <xf numFmtId="43" fontId="3" fillId="0" borderId="14" xfId="1" applyFont="1" applyFill="1" applyBorder="1" applyAlignment="1">
      <alignment horizontal="centerContinuous"/>
    </xf>
    <xf numFmtId="43" fontId="0" fillId="0" borderId="37" xfId="1" applyFont="1" applyBorder="1" applyAlignment="1">
      <alignment horizontal="center"/>
    </xf>
    <xf numFmtId="43" fontId="0" fillId="0" borderId="45" xfId="1" applyFont="1" applyBorder="1" applyAlignment="1">
      <alignment horizontal="center"/>
    </xf>
    <xf numFmtId="43" fontId="0" fillId="0" borderId="12" xfId="1" applyFont="1" applyBorder="1" applyAlignment="1">
      <alignment horizontal="center"/>
    </xf>
    <xf numFmtId="43" fontId="0" fillId="0" borderId="8" xfId="1" applyFont="1" applyFill="1" applyBorder="1"/>
    <xf numFmtId="43" fontId="3" fillId="0" borderId="16" xfId="1" applyFont="1" applyFill="1" applyBorder="1" applyAlignment="1">
      <alignment horizontal="centerContinuous"/>
    </xf>
    <xf numFmtId="43" fontId="3" fillId="0" borderId="12" xfId="1" applyFont="1" applyBorder="1" applyAlignment="1">
      <alignment horizontal="centerContinuous"/>
    </xf>
    <xf numFmtId="43" fontId="0" fillId="0" borderId="36" xfId="1" applyFont="1" applyBorder="1"/>
    <xf numFmtId="43" fontId="3" fillId="0" borderId="0" xfId="1" applyFont="1" applyAlignment="1">
      <alignment horizontal="center"/>
    </xf>
    <xf numFmtId="43" fontId="0" fillId="0" borderId="0" xfId="1" applyFont="1" applyAlignment="1">
      <alignment horizontal="center"/>
    </xf>
    <xf numFmtId="43" fontId="3" fillId="0" borderId="39" xfId="1" applyFont="1" applyBorder="1" applyAlignment="1">
      <alignment horizontal="centerContinuous"/>
    </xf>
    <xf numFmtId="43" fontId="0" fillId="0" borderId="40" xfId="1" applyFont="1" applyBorder="1"/>
    <xf numFmtId="43" fontId="0" fillId="0" borderId="1" xfId="1" applyFont="1" applyBorder="1"/>
    <xf numFmtId="43" fontId="3" fillId="0" borderId="41" xfId="1" applyFont="1" applyBorder="1"/>
    <xf numFmtId="43" fontId="3" fillId="0" borderId="39" xfId="1" applyFont="1" applyBorder="1"/>
    <xf numFmtId="43" fontId="0" fillId="6" borderId="0" xfId="1" applyFont="1" applyFill="1" applyBorder="1"/>
    <xf numFmtId="43" fontId="0" fillId="6" borderId="14" xfId="1" applyFont="1" applyFill="1" applyBorder="1"/>
    <xf numFmtId="44" fontId="0" fillId="0" borderId="4" xfId="2" applyFont="1" applyFill="1" applyBorder="1"/>
    <xf numFmtId="43" fontId="0" fillId="0" borderId="6" xfId="0" applyNumberFormat="1" applyBorder="1"/>
    <xf numFmtId="0" fontId="0" fillId="0" borderId="0" xfId="0" applyAlignment="1">
      <alignment horizontal="right"/>
    </xf>
    <xf numFmtId="0" fontId="0" fillId="0" borderId="0" xfId="0" applyAlignment="1">
      <alignment horizontal="left"/>
    </xf>
    <xf numFmtId="0" fontId="0" fillId="0" borderId="3" xfId="0" applyBorder="1" applyAlignment="1">
      <alignment horizontal="left"/>
    </xf>
    <xf numFmtId="0" fontId="0" fillId="0" borderId="11" xfId="0" applyBorder="1" applyAlignment="1">
      <alignment horizontal="left"/>
    </xf>
    <xf numFmtId="0" fontId="0" fillId="0" borderId="11" xfId="0" applyBorder="1" applyAlignment="1">
      <alignment horizontal="right"/>
    </xf>
    <xf numFmtId="0" fontId="0" fillId="0" borderId="4" xfId="0" applyBorder="1" applyAlignment="1">
      <alignment horizontal="right"/>
    </xf>
    <xf numFmtId="0" fontId="0" fillId="0" borderId="5" xfId="0" applyBorder="1" applyAlignment="1">
      <alignment horizontal="left"/>
    </xf>
    <xf numFmtId="0" fontId="0" fillId="0" borderId="6" xfId="0" applyBorder="1" applyAlignment="1">
      <alignment horizontal="right"/>
    </xf>
    <xf numFmtId="0" fontId="0" fillId="0" borderId="7" xfId="0" applyBorder="1" applyAlignment="1">
      <alignment horizontal="left"/>
    </xf>
    <xf numFmtId="0" fontId="3" fillId="0" borderId="46" xfId="0" applyFont="1" applyBorder="1" applyAlignment="1">
      <alignment horizontal="center"/>
    </xf>
    <xf numFmtId="0" fontId="3" fillId="0" borderId="47" xfId="0" applyFont="1" applyBorder="1" applyAlignment="1">
      <alignment horizontal="center"/>
    </xf>
    <xf numFmtId="0" fontId="3" fillId="0" borderId="48" xfId="0" applyFont="1" applyBorder="1" applyAlignment="1">
      <alignment horizontal="center"/>
    </xf>
    <xf numFmtId="0" fontId="3" fillId="13" borderId="3" xfId="0" applyFont="1" applyFill="1" applyBorder="1" applyAlignment="1">
      <alignment horizontal="centerContinuous" readingOrder="1"/>
    </xf>
    <xf numFmtId="0" fontId="3" fillId="13" borderId="4" xfId="0" applyFont="1" applyFill="1" applyBorder="1" applyAlignment="1">
      <alignment horizontal="centerContinuous" readingOrder="1"/>
    </xf>
    <xf numFmtId="0" fontId="3" fillId="13" borderId="5" xfId="0" applyFont="1" applyFill="1" applyBorder="1" applyAlignment="1">
      <alignment horizontal="centerContinuous" readingOrder="1"/>
    </xf>
    <xf numFmtId="0" fontId="3" fillId="13" borderId="6" xfId="0" applyFont="1" applyFill="1" applyBorder="1" applyAlignment="1">
      <alignment horizontal="centerContinuous" readingOrder="1"/>
    </xf>
    <xf numFmtId="0" fontId="5" fillId="13" borderId="5" xfId="0" applyFont="1" applyFill="1" applyBorder="1" applyAlignment="1">
      <alignment horizontal="centerContinuous" readingOrder="1"/>
    </xf>
    <xf numFmtId="0" fontId="3" fillId="3" borderId="5" xfId="0" applyFont="1" applyFill="1" applyBorder="1" applyAlignment="1">
      <alignment horizontal="centerContinuous" readingOrder="1"/>
    </xf>
    <xf numFmtId="0" fontId="0" fillId="3" borderId="6" xfId="0" applyFill="1" applyBorder="1" applyAlignment="1">
      <alignment horizontal="centerContinuous" readingOrder="1"/>
    </xf>
    <xf numFmtId="0" fontId="3" fillId="3" borderId="25" xfId="0" applyFont="1" applyFill="1" applyBorder="1" applyAlignment="1">
      <alignment horizontal="centerContinuous" readingOrder="1"/>
    </xf>
    <xf numFmtId="0" fontId="3" fillId="3" borderId="5" xfId="0" applyFont="1" applyFill="1" applyBorder="1"/>
    <xf numFmtId="0" fontId="3" fillId="7" borderId="5" xfId="0" applyFont="1" applyFill="1" applyBorder="1"/>
    <xf numFmtId="44" fontId="0" fillId="7" borderId="10" xfId="2" applyFont="1" applyFill="1" applyBorder="1"/>
    <xf numFmtId="0" fontId="3" fillId="7" borderId="7" xfId="0" applyFont="1" applyFill="1" applyBorder="1"/>
    <xf numFmtId="44" fontId="0" fillId="7" borderId="20" xfId="2" applyFont="1" applyFill="1" applyBorder="1"/>
    <xf numFmtId="44" fontId="0" fillId="7" borderId="30" xfId="2" applyFont="1" applyFill="1" applyBorder="1"/>
    <xf numFmtId="44" fontId="0" fillId="7" borderId="28" xfId="2" applyFont="1" applyFill="1" applyBorder="1"/>
    <xf numFmtId="0" fontId="0" fillId="3" borderId="12" xfId="0" applyFill="1" applyBorder="1" applyAlignment="1">
      <alignment horizontal="center" wrapText="1"/>
    </xf>
    <xf numFmtId="0" fontId="3" fillId="3" borderId="8" xfId="0" applyFont="1" applyFill="1" applyBorder="1" applyAlignment="1">
      <alignment horizontal="center"/>
    </xf>
    <xf numFmtId="0" fontId="4" fillId="0" borderId="0" xfId="0" applyFont="1" applyAlignment="1">
      <alignment horizontal="center"/>
    </xf>
    <xf numFmtId="0" fontId="16" fillId="0" borderId="0" xfId="0" applyFont="1" applyAlignment="1">
      <alignment horizontal="left"/>
    </xf>
    <xf numFmtId="0" fontId="8" fillId="0" borderId="0" xfId="0" applyFont="1" applyAlignment="1">
      <alignment horizontal="center"/>
    </xf>
    <xf numFmtId="0" fontId="16" fillId="0" borderId="0" xfId="0" applyFont="1" applyAlignment="1">
      <alignment horizontal="center"/>
    </xf>
    <xf numFmtId="0" fontId="2" fillId="2" borderId="47" xfId="0" applyFont="1" applyFill="1" applyBorder="1" applyAlignment="1">
      <alignment horizontal="center"/>
    </xf>
    <xf numFmtId="0" fontId="2" fillId="2" borderId="48" xfId="0" applyFont="1" applyFill="1" applyBorder="1" applyAlignment="1">
      <alignment horizontal="center"/>
    </xf>
    <xf numFmtId="164" fontId="0" fillId="0" borderId="37" xfId="1" applyNumberFormat="1" applyFont="1" applyBorder="1" applyAlignment="1">
      <alignment horizontal="center"/>
    </xf>
    <xf numFmtId="0" fontId="0" fillId="0" borderId="50" xfId="0" applyBorder="1"/>
    <xf numFmtId="0" fontId="0" fillId="14" borderId="0" xfId="0" applyFill="1"/>
    <xf numFmtId="0" fontId="0" fillId="0" borderId="2" xfId="0" applyBorder="1" applyAlignment="1">
      <alignment horizontal="center"/>
    </xf>
    <xf numFmtId="0" fontId="0" fillId="0" borderId="49" xfId="0" applyBorder="1" applyAlignment="1">
      <alignment horizontal="center"/>
    </xf>
    <xf numFmtId="0" fontId="0" fillId="0" borderId="37" xfId="0" applyBorder="1" applyAlignment="1">
      <alignment horizontal="center"/>
    </xf>
    <xf numFmtId="0" fontId="8" fillId="6" borderId="46" xfId="0" applyFont="1" applyFill="1" applyBorder="1" applyAlignment="1">
      <alignment horizontal="centerContinuous"/>
    </xf>
    <xf numFmtId="0" fontId="8" fillId="6" borderId="47" xfId="0" applyFont="1" applyFill="1" applyBorder="1" applyAlignment="1">
      <alignment horizontal="centerContinuous"/>
    </xf>
    <xf numFmtId="0" fontId="8" fillId="6" borderId="48" xfId="0" applyFont="1" applyFill="1" applyBorder="1" applyAlignment="1">
      <alignment horizontal="centerContinuous"/>
    </xf>
    <xf numFmtId="0" fontId="0" fillId="15" borderId="5" xfId="0" applyFill="1" applyBorder="1"/>
    <xf numFmtId="0" fontId="0" fillId="15" borderId="0" xfId="0" applyFill="1"/>
    <xf numFmtId="0" fontId="0" fillId="15" borderId="6" xfId="0" applyFill="1" applyBorder="1"/>
    <xf numFmtId="0" fontId="0" fillId="15" borderId="7" xfId="0" applyFill="1" applyBorder="1"/>
    <xf numFmtId="0" fontId="0" fillId="15" borderId="12" xfId="0" applyFill="1" applyBorder="1"/>
    <xf numFmtId="0" fontId="0" fillId="15" borderId="8" xfId="0" applyFill="1" applyBorder="1"/>
    <xf numFmtId="0" fontId="3" fillId="7" borderId="53" xfId="0" applyFont="1" applyFill="1" applyBorder="1" applyAlignment="1">
      <alignment horizontal="center"/>
    </xf>
    <xf numFmtId="0" fontId="3" fillId="5" borderId="5" xfId="0" applyFont="1" applyFill="1" applyBorder="1" applyAlignment="1">
      <alignment horizontal="center"/>
    </xf>
    <xf numFmtId="0" fontId="3" fillId="5" borderId="7" xfId="0" applyFont="1" applyFill="1" applyBorder="1" applyAlignment="1">
      <alignment horizontal="right"/>
    </xf>
    <xf numFmtId="0" fontId="3" fillId="5" borderId="22" xfId="0" applyFont="1" applyFill="1" applyBorder="1" applyAlignment="1">
      <alignment horizontal="center"/>
    </xf>
    <xf numFmtId="0" fontId="3" fillId="5" borderId="33" xfId="0" applyFont="1" applyFill="1" applyBorder="1" applyAlignment="1">
      <alignment horizontal="center"/>
    </xf>
    <xf numFmtId="0" fontId="3" fillId="5" borderId="19" xfId="0" applyFont="1" applyFill="1" applyBorder="1" applyAlignment="1">
      <alignment horizontal="center"/>
    </xf>
    <xf numFmtId="43" fontId="0" fillId="9" borderId="7" xfId="1" applyFont="1" applyFill="1" applyBorder="1"/>
    <xf numFmtId="43" fontId="0" fillId="9" borderId="52" xfId="1" applyFont="1" applyFill="1" applyBorder="1"/>
    <xf numFmtId="43" fontId="0" fillId="9" borderId="8" xfId="1" applyFont="1" applyFill="1" applyBorder="1"/>
    <xf numFmtId="0" fontId="3" fillId="0" borderId="51" xfId="0" applyFont="1" applyBorder="1"/>
    <xf numFmtId="166" fontId="0" fillId="0" borderId="11" xfId="1" applyNumberFormat="1" applyFont="1" applyFill="1" applyBorder="1" applyAlignment="1">
      <alignment horizontal="right"/>
    </xf>
    <xf numFmtId="166" fontId="0" fillId="0" borderId="4" xfId="1" applyNumberFormat="1" applyFont="1" applyFill="1" applyBorder="1" applyAlignment="1">
      <alignment horizontal="right"/>
    </xf>
    <xf numFmtId="166" fontId="0" fillId="0" borderId="0" xfId="1" applyNumberFormat="1" applyFont="1" applyFill="1" applyBorder="1" applyAlignment="1">
      <alignment horizontal="right"/>
    </xf>
    <xf numFmtId="166" fontId="0" fillId="0" borderId="6" xfId="1" applyNumberFormat="1" applyFont="1" applyFill="1" applyBorder="1" applyAlignment="1">
      <alignment horizontal="right"/>
    </xf>
    <xf numFmtId="166" fontId="0" fillId="0" borderId="0" xfId="1" applyNumberFormat="1" applyFont="1" applyFill="1" applyBorder="1"/>
    <xf numFmtId="166" fontId="0" fillId="0" borderId="6" xfId="1" applyNumberFormat="1" applyFont="1" applyFill="1" applyBorder="1"/>
    <xf numFmtId="0" fontId="3" fillId="0" borderId="5" xfId="0" applyFont="1" applyBorder="1" applyAlignment="1">
      <alignment horizontal="center"/>
    </xf>
    <xf numFmtId="0" fontId="2" fillId="2" borderId="3" xfId="0" applyFont="1" applyFill="1" applyBorder="1" applyAlignment="1">
      <alignment horizontal="center"/>
    </xf>
    <xf numFmtId="0" fontId="2" fillId="2" borderId="11" xfId="0" applyFont="1" applyFill="1" applyBorder="1" applyAlignment="1">
      <alignment horizontal="center"/>
    </xf>
    <xf numFmtId="0" fontId="2" fillId="2" borderId="4" xfId="0" applyFont="1" applyFill="1" applyBorder="1" applyAlignment="1">
      <alignment horizontal="center"/>
    </xf>
    <xf numFmtId="0" fontId="8" fillId="0" borderId="0" xfId="0" applyFont="1"/>
    <xf numFmtId="166" fontId="0" fillId="0" borderId="12" xfId="1" applyNumberFormat="1" applyFont="1" applyFill="1" applyBorder="1"/>
    <xf numFmtId="166" fontId="0" fillId="0" borderId="8" xfId="1" applyNumberFormat="1" applyFont="1" applyFill="1" applyBorder="1"/>
    <xf numFmtId="0" fontId="2" fillId="2" borderId="46" xfId="0" applyFont="1" applyFill="1" applyBorder="1" applyAlignment="1">
      <alignment horizontal="center"/>
    </xf>
    <xf numFmtId="0" fontId="0" fillId="0" borderId="12" xfId="0" applyBorder="1" applyAlignment="1">
      <alignment horizontal="centerContinuous"/>
    </xf>
    <xf numFmtId="0" fontId="0" fillId="0" borderId="33" xfId="0" applyBorder="1" applyAlignment="1">
      <alignment horizontal="centerContinuous"/>
    </xf>
    <xf numFmtId="0" fontId="0" fillId="0" borderId="37" xfId="0" applyBorder="1"/>
    <xf numFmtId="0" fontId="0" fillId="0" borderId="57" xfId="0" applyBorder="1"/>
    <xf numFmtId="43" fontId="0" fillId="0" borderId="56" xfId="1" applyFont="1" applyBorder="1"/>
    <xf numFmtId="43" fontId="0" fillId="0" borderId="57" xfId="1" applyFont="1" applyBorder="1"/>
    <xf numFmtId="0" fontId="0" fillId="0" borderId="33" xfId="0" applyBorder="1"/>
    <xf numFmtId="0" fontId="0" fillId="0" borderId="58" xfId="0" applyBorder="1"/>
    <xf numFmtId="43" fontId="0" fillId="0" borderId="0" xfId="0" applyNumberFormat="1"/>
    <xf numFmtId="0" fontId="3" fillId="0" borderId="12" xfId="0" applyFont="1" applyBorder="1" applyAlignment="1">
      <alignment horizontal="centerContinuous"/>
    </xf>
    <xf numFmtId="0" fontId="19" fillId="0" borderId="0" xfId="0" applyFont="1"/>
    <xf numFmtId="0" fontId="3" fillId="9" borderId="0" xfId="0" applyFont="1" applyFill="1" applyAlignment="1">
      <alignment horizontal="center"/>
    </xf>
    <xf numFmtId="0" fontId="3" fillId="0" borderId="33" xfId="0" applyFont="1" applyBorder="1" applyAlignment="1">
      <alignment horizontal="centerContinuous"/>
    </xf>
    <xf numFmtId="44" fontId="0" fillId="0" borderId="54" xfId="2" applyFont="1" applyBorder="1"/>
    <xf numFmtId="44" fontId="0" fillId="0" borderId="55" xfId="2" applyFont="1" applyBorder="1"/>
    <xf numFmtId="44" fontId="0" fillId="0" borderId="39" xfId="2" applyFont="1" applyBorder="1"/>
    <xf numFmtId="0" fontId="3" fillId="16" borderId="0" xfId="0" applyFont="1" applyFill="1" applyAlignment="1">
      <alignment horizontal="center"/>
    </xf>
    <xf numFmtId="0" fontId="0" fillId="16" borderId="37" xfId="0" applyFill="1" applyBorder="1"/>
    <xf numFmtId="0" fontId="0" fillId="16" borderId="0" xfId="0" applyFill="1"/>
    <xf numFmtId="0" fontId="0" fillId="16" borderId="0" xfId="0" applyFill="1" applyAlignment="1">
      <alignment horizontal="center"/>
    </xf>
    <xf numFmtId="0" fontId="0" fillId="17" borderId="0" xfId="0" applyFill="1"/>
    <xf numFmtId="0" fontId="3" fillId="17" borderId="12" xfId="0" applyFont="1" applyFill="1" applyBorder="1" applyAlignment="1">
      <alignment horizontal="centerContinuous"/>
    </xf>
    <xf numFmtId="0" fontId="3" fillId="17" borderId="0" xfId="0" applyFont="1" applyFill="1"/>
    <xf numFmtId="0" fontId="3" fillId="17" borderId="47" xfId="0" applyFont="1" applyFill="1" applyBorder="1" applyAlignment="1">
      <alignment horizontal="center"/>
    </xf>
    <xf numFmtId="0" fontId="3" fillId="17" borderId="0" xfId="0" applyFont="1" applyFill="1" applyAlignment="1">
      <alignment horizontal="left"/>
    </xf>
    <xf numFmtId="0" fontId="3" fillId="17" borderId="0" xfId="0" applyFont="1" applyFill="1" applyAlignment="1">
      <alignment horizontal="center"/>
    </xf>
    <xf numFmtId="0" fontId="3" fillId="16" borderId="39" xfId="0" applyFont="1" applyFill="1" applyBorder="1" applyAlignment="1">
      <alignment horizontal="center"/>
    </xf>
    <xf numFmtId="43" fontId="0" fillId="16" borderId="55" xfId="1" applyFont="1" applyFill="1" applyBorder="1"/>
    <xf numFmtId="43" fontId="0" fillId="16" borderId="39" xfId="1" applyFont="1" applyFill="1" applyBorder="1"/>
    <xf numFmtId="0" fontId="0" fillId="16" borderId="55" xfId="0" applyFill="1" applyBorder="1"/>
    <xf numFmtId="0" fontId="0" fillId="16" borderId="39" xfId="0" applyFill="1" applyBorder="1"/>
    <xf numFmtId="43" fontId="0" fillId="18" borderId="56" xfId="1" applyFont="1" applyFill="1" applyBorder="1"/>
    <xf numFmtId="43" fontId="0" fillId="18" borderId="0" xfId="1" applyFont="1" applyFill="1"/>
    <xf numFmtId="43" fontId="0" fillId="18" borderId="37" xfId="1" applyFont="1" applyFill="1" applyBorder="1"/>
    <xf numFmtId="0" fontId="20" fillId="0" borderId="0" xfId="0" applyFont="1"/>
    <xf numFmtId="0" fontId="0" fillId="18" borderId="57" xfId="0" applyFill="1" applyBorder="1"/>
    <xf numFmtId="0" fontId="0" fillId="18" borderId="39" xfId="0" applyFill="1" applyBorder="1"/>
    <xf numFmtId="0" fontId="3" fillId="16" borderId="12" xfId="0" applyFont="1" applyFill="1" applyBorder="1" applyAlignment="1">
      <alignment horizontal="centerContinuous"/>
    </xf>
    <xf numFmtId="0" fontId="3" fillId="16" borderId="33" xfId="0" applyFont="1" applyFill="1" applyBorder="1" applyAlignment="1">
      <alignment horizontal="centerContinuous"/>
    </xf>
    <xf numFmtId="43" fontId="0" fillId="15" borderId="56" xfId="1" applyFont="1" applyFill="1" applyBorder="1"/>
    <xf numFmtId="43" fontId="0" fillId="15" borderId="57" xfId="1" applyFont="1" applyFill="1" applyBorder="1"/>
    <xf numFmtId="43" fontId="0" fillId="15" borderId="37" xfId="1" applyFont="1" applyFill="1" applyBorder="1"/>
    <xf numFmtId="43" fontId="0" fillId="15" borderId="0" xfId="1" applyFont="1" applyFill="1" applyBorder="1"/>
    <xf numFmtId="43" fontId="0" fillId="15" borderId="58" xfId="1" applyFont="1" applyFill="1" applyBorder="1"/>
    <xf numFmtId="43" fontId="0" fillId="15" borderId="33" xfId="1" applyFont="1" applyFill="1" applyBorder="1"/>
    <xf numFmtId="43" fontId="0" fillId="15" borderId="0" xfId="1" applyFont="1" applyFill="1"/>
    <xf numFmtId="43" fontId="0" fillId="15" borderId="55" xfId="1" applyFont="1" applyFill="1" applyBorder="1"/>
    <xf numFmtId="43" fontId="0" fillId="15" borderId="39" xfId="1" applyFont="1" applyFill="1" applyBorder="1"/>
    <xf numFmtId="0" fontId="0" fillId="15" borderId="37" xfId="0" applyFill="1" applyBorder="1"/>
    <xf numFmtId="0" fontId="0" fillId="15" borderId="58" xfId="0" applyFill="1" applyBorder="1"/>
    <xf numFmtId="0" fontId="0" fillId="15" borderId="33" xfId="0" applyFill="1" applyBorder="1"/>
    <xf numFmtId="0" fontId="0" fillId="15" borderId="0" xfId="0" applyFill="1" applyAlignment="1">
      <alignment horizontal="center"/>
    </xf>
    <xf numFmtId="44" fontId="0" fillId="16" borderId="55" xfId="2" applyFont="1" applyFill="1" applyBorder="1"/>
    <xf numFmtId="44" fontId="0" fillId="16" borderId="39" xfId="2" applyFont="1" applyFill="1" applyBorder="1"/>
    <xf numFmtId="0" fontId="3" fillId="15" borderId="0" xfId="0" applyFont="1" applyFill="1" applyAlignment="1">
      <alignment horizontal="center"/>
    </xf>
    <xf numFmtId="44" fontId="0" fillId="18" borderId="0" xfId="2" applyFont="1" applyFill="1"/>
    <xf numFmtId="44" fontId="0" fillId="18" borderId="0" xfId="0" applyNumberFormat="1" applyFill="1"/>
    <xf numFmtId="44" fontId="0" fillId="18" borderId="33" xfId="0" applyNumberFormat="1" applyFill="1" applyBorder="1"/>
    <xf numFmtId="44" fontId="0" fillId="16" borderId="1" xfId="0" applyNumberFormat="1" applyFill="1" applyBorder="1"/>
    <xf numFmtId="0" fontId="0" fillId="7" borderId="37" xfId="0" applyFill="1" applyBorder="1" applyProtection="1">
      <protection locked="0"/>
    </xf>
    <xf numFmtId="0" fontId="0" fillId="7" borderId="0" xfId="0" applyFill="1" applyProtection="1">
      <protection locked="0"/>
    </xf>
    <xf numFmtId="0" fontId="0" fillId="7" borderId="58" xfId="0" applyFill="1" applyBorder="1" applyProtection="1">
      <protection locked="0"/>
    </xf>
    <xf numFmtId="0" fontId="0" fillId="7" borderId="33" xfId="0" applyFill="1" applyBorder="1" applyProtection="1">
      <protection locked="0"/>
    </xf>
    <xf numFmtId="43" fontId="0" fillId="7" borderId="54" xfId="1" applyFont="1" applyFill="1" applyBorder="1" applyProtection="1">
      <protection locked="0"/>
    </xf>
    <xf numFmtId="43" fontId="0" fillId="7" borderId="0" xfId="1" applyFont="1" applyFill="1" applyProtection="1">
      <protection locked="0"/>
    </xf>
    <xf numFmtId="43" fontId="0" fillId="7" borderId="37" xfId="1" applyFont="1" applyFill="1" applyBorder="1" applyProtection="1">
      <protection locked="0"/>
    </xf>
    <xf numFmtId="0" fontId="0" fillId="3" borderId="0" xfId="0" applyFill="1" applyProtection="1">
      <protection locked="0"/>
    </xf>
    <xf numFmtId="43" fontId="0" fillId="7" borderId="56" xfId="1" applyFont="1" applyFill="1" applyBorder="1" applyProtection="1">
      <protection locked="0"/>
    </xf>
    <xf numFmtId="43" fontId="0" fillId="18" borderId="57" xfId="1" applyFont="1" applyFill="1" applyBorder="1"/>
    <xf numFmtId="44" fontId="2" fillId="0" borderId="0" xfId="2" applyFont="1" applyAlignment="1">
      <alignment horizontal="center"/>
    </xf>
    <xf numFmtId="0" fontId="4" fillId="0" borderId="0" xfId="0" applyFont="1" applyAlignment="1">
      <alignment horizontal="left"/>
    </xf>
    <xf numFmtId="0" fontId="4" fillId="0" borderId="0" xfId="0" applyFont="1" applyAlignment="1">
      <alignment horizontal="right"/>
    </xf>
    <xf numFmtId="167" fontId="4" fillId="0" borderId="0" xfId="0" applyNumberFormat="1" applyFont="1" applyAlignment="1">
      <alignment horizontal="center"/>
    </xf>
    <xf numFmtId="0" fontId="2" fillId="0" borderId="0" xfId="0" applyFont="1" applyAlignment="1">
      <alignment horizontal="centerContinuous"/>
    </xf>
    <xf numFmtId="0" fontId="4" fillId="0" borderId="0" xfId="0" applyFont="1" applyAlignment="1">
      <alignment horizontal="centerContinuous"/>
    </xf>
    <xf numFmtId="43" fontId="0" fillId="0" borderId="0" xfId="1" applyFont="1" applyFill="1" applyBorder="1" applyProtection="1">
      <protection locked="0"/>
    </xf>
    <xf numFmtId="44" fontId="0" fillId="0" borderId="0" xfId="2" applyFont="1" applyFill="1" applyBorder="1"/>
    <xf numFmtId="0" fontId="25" fillId="0" borderId="0" xfId="3"/>
    <xf numFmtId="0" fontId="23" fillId="17" borderId="0" xfId="3" applyFont="1" applyFill="1"/>
    <xf numFmtId="0" fontId="24" fillId="0" borderId="0" xfId="0" applyFont="1" applyAlignment="1">
      <alignment horizontal="center"/>
    </xf>
    <xf numFmtId="0" fontId="6" fillId="16" borderId="0" xfId="0" applyFont="1" applyFill="1" applyAlignment="1">
      <alignment horizontal="center"/>
    </xf>
    <xf numFmtId="43" fontId="0" fillId="7" borderId="57" xfId="1" applyFont="1" applyFill="1" applyBorder="1" applyProtection="1">
      <protection locked="0"/>
    </xf>
    <xf numFmtId="43" fontId="0" fillId="7" borderId="58" xfId="1" applyFont="1" applyFill="1" applyBorder="1" applyProtection="1">
      <protection locked="0"/>
    </xf>
    <xf numFmtId="43" fontId="0" fillId="7" borderId="33" xfId="1" applyFont="1" applyFill="1" applyBorder="1" applyProtection="1">
      <protection locked="0"/>
    </xf>
    <xf numFmtId="44" fontId="3" fillId="18" borderId="54" xfId="2" applyFont="1" applyFill="1" applyBorder="1"/>
    <xf numFmtId="43" fontId="1" fillId="18" borderId="57" xfId="1" applyFont="1" applyFill="1" applyBorder="1"/>
    <xf numFmtId="44" fontId="4" fillId="0" borderId="0" xfId="0" applyNumberFormat="1" applyFont="1"/>
    <xf numFmtId="0" fontId="2" fillId="2" borderId="0" xfId="0" applyFont="1" applyFill="1"/>
    <xf numFmtId="0" fontId="2" fillId="2" borderId="0" xfId="0" applyFont="1" applyFill="1" applyAlignment="1">
      <alignment horizontal="center"/>
    </xf>
    <xf numFmtId="0" fontId="25" fillId="2" borderId="0" xfId="3" applyFill="1" applyAlignment="1">
      <alignment horizontal="centerContinuous"/>
    </xf>
    <xf numFmtId="0" fontId="0" fillId="0" borderId="0" xfId="1" applyNumberFormat="1" applyFont="1"/>
    <xf numFmtId="0" fontId="3" fillId="7" borderId="12" xfId="0" applyFont="1" applyFill="1" applyBorder="1" applyAlignment="1">
      <alignment horizontal="center" wrapText="1"/>
    </xf>
    <xf numFmtId="0" fontId="3" fillId="0" borderId="12" xfId="0" applyFont="1" applyBorder="1" applyAlignment="1">
      <alignment horizontal="center" wrapText="1"/>
    </xf>
    <xf numFmtId="0" fontId="6" fillId="0" borderId="0" xfId="0" applyFont="1" applyAlignment="1" applyProtection="1">
      <alignment horizontal="center"/>
      <protection locked="0"/>
    </xf>
    <xf numFmtId="0" fontId="3" fillId="7" borderId="46" xfId="0" applyFont="1" applyFill="1" applyBorder="1" applyAlignment="1" applyProtection="1">
      <alignment horizontal="center"/>
      <protection locked="0"/>
    </xf>
    <xf numFmtId="0" fontId="3" fillId="7" borderId="51" xfId="0" applyFont="1" applyFill="1" applyBorder="1" applyAlignment="1" applyProtection="1">
      <alignment horizontal="center"/>
      <protection locked="0"/>
    </xf>
    <xf numFmtId="0" fontId="3" fillId="3" borderId="0" xfId="0" applyFont="1" applyFill="1" applyAlignment="1" applyProtection="1">
      <alignment horizontal="center"/>
      <protection locked="0"/>
    </xf>
    <xf numFmtId="0" fontId="8" fillId="8" borderId="0" xfId="0" applyFont="1" applyFill="1" applyAlignment="1" applyProtection="1">
      <alignment horizontal="center"/>
      <protection locked="0"/>
    </xf>
    <xf numFmtId="0" fontId="0" fillId="7" borderId="5" xfId="0" applyFill="1" applyBorder="1" applyProtection="1">
      <protection locked="0"/>
    </xf>
    <xf numFmtId="44" fontId="0" fillId="3" borderId="6" xfId="2" applyFont="1" applyFill="1" applyBorder="1" applyProtection="1">
      <protection locked="0"/>
    </xf>
    <xf numFmtId="43" fontId="0" fillId="3" borderId="6" xfId="1" applyFont="1" applyFill="1" applyBorder="1" applyProtection="1">
      <protection locked="0"/>
    </xf>
    <xf numFmtId="0" fontId="0" fillId="7" borderId="7" xfId="0" applyFill="1" applyBorder="1" applyProtection="1">
      <protection locked="0"/>
    </xf>
    <xf numFmtId="44" fontId="0" fillId="3" borderId="8" xfId="2" applyFont="1" applyFill="1" applyBorder="1" applyProtection="1">
      <protection locked="0"/>
    </xf>
    <xf numFmtId="44" fontId="0" fillId="3" borderId="31" xfId="2" applyFont="1" applyFill="1" applyBorder="1" applyProtection="1">
      <protection locked="0"/>
    </xf>
    <xf numFmtId="43" fontId="0" fillId="3" borderId="27" xfId="1" applyFont="1" applyFill="1" applyBorder="1" applyProtection="1">
      <protection locked="0"/>
    </xf>
    <xf numFmtId="0" fontId="0" fillId="7" borderId="22" xfId="0" applyFill="1" applyBorder="1" applyProtection="1">
      <protection locked="0"/>
    </xf>
    <xf numFmtId="43" fontId="0" fillId="3" borderId="32" xfId="1" applyFont="1" applyFill="1" applyBorder="1" applyProtection="1">
      <protection locked="0"/>
    </xf>
    <xf numFmtId="0" fontId="3" fillId="7" borderId="12" xfId="0" applyFont="1" applyFill="1" applyBorder="1" applyAlignment="1" applyProtection="1">
      <alignment horizontal="center" wrapText="1"/>
      <protection locked="0"/>
    </xf>
    <xf numFmtId="43" fontId="0" fillId="3" borderId="2" xfId="1" applyFont="1" applyFill="1" applyBorder="1" applyProtection="1">
      <protection locked="0"/>
    </xf>
    <xf numFmtId="43" fontId="0" fillId="3" borderId="30" xfId="1" applyFont="1" applyFill="1" applyBorder="1" applyProtection="1">
      <protection locked="0"/>
    </xf>
    <xf numFmtId="44" fontId="0" fillId="3" borderId="4" xfId="2" applyFont="1" applyFill="1" applyBorder="1" applyProtection="1">
      <protection locked="0"/>
    </xf>
    <xf numFmtId="164" fontId="0" fillId="0" borderId="0" xfId="1" applyNumberFormat="1" applyFont="1"/>
    <xf numFmtId="0" fontId="3" fillId="5" borderId="46" xfId="0" applyFont="1" applyFill="1" applyBorder="1" applyAlignment="1">
      <alignment horizontal="centerContinuous"/>
    </xf>
    <xf numFmtId="0" fontId="3" fillId="5" borderId="47" xfId="0" applyFont="1" applyFill="1" applyBorder="1" applyAlignment="1">
      <alignment horizontal="centerContinuous"/>
    </xf>
    <xf numFmtId="0" fontId="3" fillId="5" borderId="48" xfId="0" applyFont="1" applyFill="1" applyBorder="1" applyAlignment="1">
      <alignment horizontal="centerContinuous"/>
    </xf>
    <xf numFmtId="0" fontId="3" fillId="21" borderId="60" xfId="0" applyFont="1" applyFill="1" applyBorder="1" applyAlignment="1">
      <alignment horizontal="center"/>
    </xf>
    <xf numFmtId="0" fontId="3" fillId="22" borderId="61" xfId="0" applyFont="1" applyFill="1" applyBorder="1" applyAlignment="1">
      <alignment horizontal="center"/>
    </xf>
    <xf numFmtId="0" fontId="3" fillId="23" borderId="62" xfId="0" applyFont="1" applyFill="1" applyBorder="1" applyAlignment="1">
      <alignment horizontal="center"/>
    </xf>
    <xf numFmtId="0" fontId="0" fillId="0" borderId="2" xfId="0" applyBorder="1"/>
    <xf numFmtId="0" fontId="0" fillId="0" borderId="30" xfId="0" applyBorder="1"/>
    <xf numFmtId="0" fontId="2" fillId="6" borderId="46" xfId="0" applyFont="1" applyFill="1" applyBorder="1" applyAlignment="1">
      <alignment horizontal="centerContinuous"/>
    </xf>
    <xf numFmtId="0" fontId="2" fillId="6" borderId="47" xfId="0" applyFont="1" applyFill="1" applyBorder="1" applyAlignment="1">
      <alignment horizontal="centerContinuous"/>
    </xf>
    <xf numFmtId="0" fontId="2" fillId="6" borderId="48" xfId="0" applyFont="1" applyFill="1" applyBorder="1" applyAlignment="1">
      <alignment horizontal="centerContinuous"/>
    </xf>
    <xf numFmtId="0" fontId="2" fillId="24" borderId="60" xfId="0" applyFont="1" applyFill="1" applyBorder="1" applyAlignment="1">
      <alignment horizontal="center"/>
    </xf>
    <xf numFmtId="0" fontId="2" fillId="25" borderId="63" xfId="0" applyFont="1" applyFill="1" applyBorder="1" applyAlignment="1">
      <alignment horizontal="center"/>
    </xf>
    <xf numFmtId="0" fontId="2" fillId="26" borderId="63" xfId="0" applyFont="1" applyFill="1" applyBorder="1" applyAlignment="1">
      <alignment horizontal="center"/>
    </xf>
    <xf numFmtId="0" fontId="0" fillId="0" borderId="64" xfId="0" applyBorder="1"/>
    <xf numFmtId="0" fontId="0" fillId="20" borderId="59" xfId="0" applyFill="1" applyBorder="1" applyAlignment="1">
      <alignment wrapText="1"/>
    </xf>
    <xf numFmtId="0" fontId="0" fillId="0" borderId="59" xfId="0" applyBorder="1" applyAlignment="1">
      <alignment wrapText="1"/>
    </xf>
    <xf numFmtId="0" fontId="2" fillId="19" borderId="65" xfId="0" applyFont="1" applyFill="1" applyBorder="1" applyAlignment="1">
      <alignment wrapText="1"/>
    </xf>
    <xf numFmtId="0" fontId="0" fillId="20" borderId="67" xfId="0" applyFill="1" applyBorder="1" applyAlignment="1">
      <alignment wrapText="1"/>
    </xf>
    <xf numFmtId="0" fontId="2" fillId="19" borderId="66" xfId="0" applyFont="1" applyFill="1" applyBorder="1" applyAlignment="1">
      <alignment horizontal="center" wrapText="1"/>
    </xf>
    <xf numFmtId="0" fontId="0" fillId="20" borderId="59" xfId="0" applyFill="1" applyBorder="1" applyAlignment="1">
      <alignment horizontal="center" wrapText="1"/>
    </xf>
    <xf numFmtId="0" fontId="3" fillId="18" borderId="3" xfId="0" applyFont="1" applyFill="1" applyBorder="1" applyAlignment="1">
      <alignment horizontal="centerContinuous" readingOrder="1"/>
    </xf>
    <xf numFmtId="0" fontId="3" fillId="18" borderId="4" xfId="0" applyFont="1" applyFill="1" applyBorder="1" applyAlignment="1">
      <alignment horizontal="centerContinuous" readingOrder="1"/>
    </xf>
    <xf numFmtId="0" fontId="3" fillId="18" borderId="5" xfId="0" applyFont="1" applyFill="1" applyBorder="1" applyAlignment="1">
      <alignment horizontal="centerContinuous" readingOrder="1"/>
    </xf>
    <xf numFmtId="0" fontId="3" fillId="18" borderId="6" xfId="0" applyFont="1" applyFill="1" applyBorder="1" applyAlignment="1">
      <alignment horizontal="centerContinuous" readingOrder="1"/>
    </xf>
    <xf numFmtId="0" fontId="5" fillId="18" borderId="7" xfId="0" applyFont="1" applyFill="1" applyBorder="1" applyAlignment="1">
      <alignment horizontal="centerContinuous" readingOrder="1"/>
    </xf>
    <xf numFmtId="0" fontId="3" fillId="18" borderId="8" xfId="0" applyFont="1" applyFill="1" applyBorder="1" applyAlignment="1">
      <alignment horizontal="centerContinuous" readingOrder="1"/>
    </xf>
    <xf numFmtId="0" fontId="3" fillId="18" borderId="3" xfId="0" applyFont="1" applyFill="1" applyBorder="1" applyAlignment="1">
      <alignment horizontal="centerContinuous"/>
    </xf>
    <xf numFmtId="0" fontId="0" fillId="18" borderId="4" xfId="0" applyFill="1" applyBorder="1" applyAlignment="1">
      <alignment horizontal="centerContinuous"/>
    </xf>
    <xf numFmtId="0" fontId="3" fillId="18" borderId="5" xfId="0" applyFont="1" applyFill="1" applyBorder="1" applyAlignment="1">
      <alignment horizontal="centerContinuous"/>
    </xf>
    <xf numFmtId="0" fontId="0" fillId="18" borderId="6" xfId="0" applyFill="1" applyBorder="1" applyAlignment="1">
      <alignment horizontal="centerContinuous"/>
    </xf>
    <xf numFmtId="0" fontId="5" fillId="18" borderId="7" xfId="0" applyFont="1" applyFill="1" applyBorder="1" applyAlignment="1">
      <alignment horizontal="centerContinuous"/>
    </xf>
    <xf numFmtId="0" fontId="0" fillId="18" borderId="8" xfId="0" applyFill="1" applyBorder="1" applyAlignment="1">
      <alignment horizontal="centerContinuous"/>
    </xf>
    <xf numFmtId="0" fontId="0" fillId="18" borderId="11" xfId="0" applyFill="1" applyBorder="1" applyAlignment="1">
      <alignment horizontal="centerContinuous"/>
    </xf>
    <xf numFmtId="0" fontId="0" fillId="18" borderId="0" xfId="0" applyFill="1" applyAlignment="1">
      <alignment horizontal="centerContinuous"/>
    </xf>
    <xf numFmtId="0" fontId="0" fillId="18" borderId="12" xfId="0" applyFill="1" applyBorder="1" applyAlignment="1">
      <alignment horizontal="centerContinuous"/>
    </xf>
    <xf numFmtId="0" fontId="0" fillId="3" borderId="37" xfId="0" applyFill="1" applyBorder="1" applyAlignment="1">
      <alignment horizontal="center"/>
    </xf>
    <xf numFmtId="0" fontId="5" fillId="18" borderId="5" xfId="0" applyFont="1" applyFill="1" applyBorder="1" applyAlignment="1">
      <alignment horizontal="centerContinuous"/>
    </xf>
    <xf numFmtId="0" fontId="0" fillId="18" borderId="6" xfId="0" applyFill="1" applyBorder="1" applyAlignment="1">
      <alignment horizontal="centerContinuous" readingOrder="1"/>
    </xf>
    <xf numFmtId="0" fontId="3" fillId="18" borderId="25" xfId="0" applyFont="1" applyFill="1" applyBorder="1" applyAlignment="1">
      <alignment horizontal="centerContinuous" readingOrder="1"/>
    </xf>
    <xf numFmtId="0" fontId="3" fillId="18" borderId="5" xfId="0" applyFont="1" applyFill="1" applyBorder="1"/>
    <xf numFmtId="0" fontId="0" fillId="18" borderId="6" xfId="0" applyFill="1" applyBorder="1"/>
    <xf numFmtId="44" fontId="0" fillId="18" borderId="10" xfId="2" applyFont="1" applyFill="1" applyBorder="1"/>
    <xf numFmtId="0" fontId="3" fillId="15" borderId="46" xfId="0" applyFont="1" applyFill="1" applyBorder="1" applyAlignment="1">
      <alignment horizontal="center"/>
    </xf>
    <xf numFmtId="0" fontId="0" fillId="15" borderId="48" xfId="0" applyFill="1" applyBorder="1" applyAlignment="1">
      <alignment horizontal="center"/>
    </xf>
  </cellXfs>
  <cellStyles count="4">
    <cellStyle name="Comma" xfId="1" builtinId="3"/>
    <cellStyle name="Currency" xfId="2" builtinId="4"/>
    <cellStyle name="Hyperlink" xfId="3" builtinId="8" customBuiltin="1"/>
    <cellStyle name="Normal" xfId="0" builtinId="0"/>
  </cellStyles>
  <dxfs count="641">
    <dxf>
      <font>
        <b/>
        <i val="0"/>
        <color theme="0"/>
      </font>
      <fill>
        <patternFill>
          <bgColor rgb="FFFF0000"/>
        </patternFill>
      </fill>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9" tint="0.79998168889431442"/>
      </font>
      <numFmt numFmtId="168" formatCode=";;;"/>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0"/>
      </font>
      <fill>
        <patternFill>
          <bgColor rgb="FFFF0000"/>
        </patternFill>
      </fill>
    </dxf>
    <dxf>
      <font>
        <color theme="0"/>
      </font>
      <fill>
        <patternFill>
          <bgColor rgb="FFFF0000"/>
        </patternFill>
      </fill>
    </dxf>
    <dxf>
      <font>
        <color theme="9" tint="0.79998168889431442"/>
      </font>
    </dxf>
    <dxf>
      <font>
        <color theme="9" tint="0.79998168889431442"/>
      </font>
    </dxf>
    <dxf>
      <font>
        <color theme="9" tint="0.79998168889431442"/>
      </font>
      <numFmt numFmtId="168" formatCode=";;;"/>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b/>
        <i val="0"/>
        <color theme="0"/>
      </font>
      <fill>
        <patternFill>
          <bgColor rgb="FFFF0000"/>
        </patternFill>
      </fill>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9" tint="0.79998168889431442"/>
      </font>
      <numFmt numFmtId="168" formatCode=";;;"/>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0"/>
      </font>
      <fill>
        <patternFill>
          <bgColor rgb="FFFF0000"/>
        </patternFill>
      </fill>
    </dxf>
    <dxf>
      <font>
        <color theme="0"/>
      </font>
      <fill>
        <patternFill>
          <bgColor rgb="FFFF0000"/>
        </patternFill>
      </fill>
    </dxf>
    <dxf>
      <font>
        <color theme="9" tint="0.79998168889431442"/>
      </font>
    </dxf>
    <dxf>
      <font>
        <color theme="9" tint="0.79998168889431442"/>
      </font>
    </dxf>
    <dxf>
      <font>
        <color theme="9" tint="0.79998168889431442"/>
      </font>
      <numFmt numFmtId="168" formatCode=";;;"/>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auto="1"/>
      </font>
      <fill>
        <patternFill>
          <bgColor theme="0" tint="-0.14996795556505021"/>
        </patternFill>
      </fill>
    </dxf>
    <dxf>
      <font>
        <color auto="1"/>
      </font>
      <numFmt numFmtId="168" formatCode=";;;"/>
    </dxf>
    <dxf>
      <fill>
        <patternFill>
          <bgColor theme="9" tint="0.79998168889431442"/>
        </patternFill>
      </fill>
    </dxf>
    <dxf>
      <fill>
        <patternFill>
          <bgColor theme="7" tint="0.59996337778862885"/>
        </patternFill>
      </fill>
    </dxf>
    <dxf>
      <fill>
        <patternFill>
          <bgColor theme="5" tint="0.59996337778862885"/>
        </patternFill>
      </fill>
    </dxf>
    <dxf>
      <font>
        <color auto="1"/>
      </font>
      <numFmt numFmtId="168" formatCode=";;;"/>
    </dxf>
    <dxf>
      <fill>
        <patternFill>
          <bgColor theme="9" tint="0.79998168889431442"/>
        </patternFill>
      </fill>
    </dxf>
    <dxf>
      <fill>
        <patternFill>
          <bgColor theme="7" tint="0.59996337778862885"/>
        </patternFill>
      </fill>
    </dxf>
    <dxf>
      <fill>
        <patternFill>
          <bgColor theme="5" tint="0.59996337778862885"/>
        </patternFill>
      </fill>
    </dxf>
    <dxf>
      <fill>
        <patternFill>
          <bgColor theme="9" tint="0.79998168889431442"/>
        </patternFill>
      </fill>
    </dxf>
    <dxf>
      <font>
        <color theme="9" tint="0.79998168889431442"/>
      </font>
    </dxf>
    <dxf>
      <fill>
        <patternFill>
          <bgColor theme="0" tint="-0.14996795556505021"/>
        </patternFill>
      </fill>
    </dxf>
    <dxf>
      <font>
        <color auto="1"/>
      </font>
      <numFmt numFmtId="168" formatCode=";;;"/>
    </dxf>
    <dxf>
      <fill>
        <patternFill>
          <bgColor theme="9" tint="0.79998168889431442"/>
        </patternFill>
      </fill>
    </dxf>
    <dxf>
      <fill>
        <patternFill>
          <bgColor theme="7" tint="0.59996337778862885"/>
        </patternFill>
      </fill>
    </dxf>
    <dxf>
      <fill>
        <patternFill>
          <bgColor theme="5" tint="0.59996337778862885"/>
        </patternFill>
      </fill>
    </dxf>
    <dxf>
      <fill>
        <patternFill>
          <bgColor theme="9" tint="0.79998168889431442"/>
        </patternFill>
      </fill>
    </dxf>
    <dxf>
      <font>
        <color theme="9" tint="0.79998168889431442"/>
      </font>
    </dxf>
    <dxf>
      <font>
        <color theme="0"/>
      </font>
    </dxf>
    <dxf>
      <font>
        <color theme="0"/>
      </font>
    </dxf>
    <dxf>
      <font>
        <b/>
        <i val="0"/>
        <color theme="0"/>
      </font>
      <fill>
        <patternFill>
          <bgColor rgb="FFFF0000"/>
        </patternFill>
      </fill>
    </dxf>
    <dxf>
      <font>
        <color theme="0" tint="-0.24994659260841701"/>
      </font>
    </dxf>
    <dxf>
      <font>
        <color theme="0" tint="-0.24994659260841701"/>
      </font>
    </dxf>
    <dxf>
      <fill>
        <patternFill>
          <bgColor rgb="FFFF0000"/>
        </patternFill>
      </fill>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b/>
        <i val="0"/>
        <color theme="0"/>
      </font>
      <fill>
        <patternFill>
          <bgColor rgb="FF00B050"/>
        </patternFill>
      </fill>
    </dxf>
    <dxf>
      <fill>
        <patternFill>
          <bgColor rgb="FFFF0000"/>
        </patternFill>
      </fill>
    </dxf>
    <dxf>
      <fill>
        <patternFill>
          <bgColor rgb="FFFF0000"/>
        </patternFill>
      </fill>
    </dxf>
    <dxf>
      <font>
        <b/>
        <i val="0"/>
      </font>
      <fill>
        <patternFill>
          <bgColor theme="9" tint="0.59996337778862885"/>
        </patternFill>
      </fill>
    </dxf>
    <dxf>
      <font>
        <b/>
        <i val="0"/>
      </font>
      <fill>
        <patternFill>
          <bgColor rgb="FFFFFF00"/>
        </patternFill>
      </fill>
    </dxf>
    <dxf>
      <font>
        <b/>
        <i val="0"/>
      </font>
      <fill>
        <patternFill>
          <bgColor rgb="FFFFFF00"/>
        </patternFill>
      </fill>
    </dxf>
    <dxf>
      <font>
        <b/>
        <i val="0"/>
      </font>
      <fill>
        <patternFill>
          <bgColor theme="9" tint="0.59996337778862885"/>
        </patternFill>
      </fill>
    </dxf>
    <dxf>
      <font>
        <b/>
        <i val="0"/>
        <strike val="0"/>
      </font>
      <fill>
        <patternFill>
          <bgColor rgb="FFFFFF00"/>
        </patternFill>
      </fill>
    </dxf>
    <dxf>
      <font>
        <b/>
        <i val="0"/>
        <strike val="0"/>
      </font>
      <fill>
        <patternFill>
          <bgColor theme="9" tint="0.59996337778862885"/>
        </patternFill>
      </fill>
    </dxf>
    <dxf>
      <font>
        <b/>
        <i val="0"/>
      </font>
      <fill>
        <patternFill>
          <bgColor rgb="FFFFFF00"/>
        </patternFill>
      </fill>
    </dxf>
    <dxf>
      <font>
        <b/>
        <i val="0"/>
      </font>
      <fill>
        <patternFill>
          <bgColor theme="9" tint="0.59996337778862885"/>
        </patternFill>
      </fill>
    </dxf>
    <dxf>
      <font>
        <b/>
        <i val="0"/>
        <strike val="0"/>
      </font>
      <fill>
        <patternFill>
          <bgColor rgb="FFFFFF00"/>
        </patternFill>
      </fill>
    </dxf>
    <dxf>
      <font>
        <b/>
        <i val="0"/>
        <strike val="0"/>
      </font>
      <fill>
        <patternFill>
          <bgColor theme="9" tint="0.59996337778862885"/>
        </patternFill>
      </fill>
    </dxf>
    <dxf>
      <font>
        <b/>
        <i val="0"/>
      </font>
      <fill>
        <patternFill>
          <bgColor rgb="FFFFFF00"/>
        </patternFill>
      </fill>
    </dxf>
    <dxf>
      <font>
        <b/>
        <i val="0"/>
      </font>
      <fill>
        <patternFill>
          <bgColor theme="9" tint="0.59996337778862885"/>
        </patternFill>
      </fill>
    </dxf>
    <dxf>
      <font>
        <b/>
        <i val="0"/>
        <strike val="0"/>
      </font>
      <fill>
        <patternFill>
          <bgColor rgb="FFFFFF00"/>
        </patternFill>
      </fill>
    </dxf>
    <dxf>
      <font>
        <b/>
        <i val="0"/>
        <strike val="0"/>
      </font>
      <fill>
        <patternFill>
          <bgColor theme="9" tint="0.59996337778862885"/>
        </patternFill>
      </fill>
    </dxf>
    <dxf>
      <font>
        <b/>
        <i val="0"/>
      </font>
      <fill>
        <patternFill>
          <bgColor rgb="FFFFFF00"/>
        </patternFill>
      </fill>
    </dxf>
    <dxf>
      <font>
        <b/>
        <i val="0"/>
      </font>
      <fill>
        <patternFill>
          <bgColor theme="9" tint="0.59996337778862885"/>
        </patternFill>
      </fill>
    </dxf>
    <dxf>
      <font>
        <b/>
        <i val="0"/>
        <strike val="0"/>
      </font>
      <fill>
        <patternFill>
          <bgColor rgb="FFFFFF00"/>
        </patternFill>
      </fill>
    </dxf>
    <dxf>
      <font>
        <b/>
        <i val="0"/>
        <strike val="0"/>
      </font>
      <fill>
        <patternFill>
          <bgColor theme="9" tint="0.59996337778862885"/>
        </patternFill>
      </fill>
    </dxf>
    <dxf>
      <font>
        <b/>
        <i val="0"/>
        <strike val="0"/>
      </font>
      <fill>
        <patternFill>
          <bgColor rgb="FFFFFF00"/>
        </patternFill>
      </fill>
    </dxf>
    <dxf>
      <font>
        <strike val="0"/>
        <color theme="9" tint="0.59996337778862885"/>
      </font>
      <fill>
        <patternFill>
          <bgColor theme="9" tint="0.59996337778862885"/>
        </patternFill>
      </fill>
    </dxf>
    <dxf>
      <font>
        <strike val="0"/>
        <color rgb="FFFFFF00"/>
      </font>
      <fill>
        <patternFill>
          <bgColor rgb="FFFFFF00"/>
        </patternFill>
      </fill>
    </dxf>
    <dxf>
      <font>
        <b/>
        <i val="0"/>
      </font>
      <fill>
        <patternFill>
          <bgColor theme="9" tint="0.59996337778862885"/>
        </patternFill>
      </fill>
    </dxf>
    <dxf>
      <font>
        <color rgb="FFFFFF00"/>
      </font>
      <fill>
        <patternFill>
          <bgColor rgb="FFFFFF00"/>
        </patternFill>
      </fill>
    </dxf>
    <dxf>
      <font>
        <b/>
        <i val="0"/>
        <strike val="0"/>
      </font>
      <fill>
        <patternFill>
          <bgColor rgb="FFFFFF00"/>
        </patternFill>
      </fill>
    </dxf>
    <dxf>
      <font>
        <strike val="0"/>
        <color theme="9" tint="0.59996337778862885"/>
      </font>
      <fill>
        <patternFill>
          <bgColor theme="9" tint="0.59996337778862885"/>
        </patternFill>
      </fill>
    </dxf>
    <dxf>
      <font>
        <b/>
        <i val="0"/>
      </font>
      <fill>
        <patternFill>
          <bgColor theme="9" tint="0.59996337778862885"/>
        </patternFill>
      </fill>
    </dxf>
    <dxf>
      <font>
        <color rgb="FFFFFF00"/>
      </font>
      <fill>
        <patternFill>
          <bgColor rgb="FFFFFF00"/>
        </patternFill>
      </fill>
    </dxf>
    <dxf>
      <font>
        <b/>
        <i val="0"/>
      </font>
      <fill>
        <patternFill>
          <bgColor rgb="FFFFFF00"/>
        </patternFill>
      </fill>
    </dxf>
    <dxf>
      <font>
        <color theme="9" tint="0.59996337778862885"/>
      </font>
      <fill>
        <patternFill>
          <bgColor theme="9" tint="0.59996337778862885"/>
        </patternFill>
      </fill>
    </dxf>
    <dxf>
      <font>
        <b/>
        <i val="0"/>
      </font>
      <fill>
        <patternFill>
          <bgColor theme="9" tint="0.59996337778862885"/>
        </patternFill>
      </fill>
    </dxf>
    <dxf>
      <font>
        <b/>
        <i val="0"/>
      </font>
      <fill>
        <patternFill>
          <bgColor theme="9" tint="0.59996337778862885"/>
        </patternFill>
      </fill>
    </dxf>
    <dxf>
      <font>
        <b/>
        <i val="0"/>
      </font>
      <fill>
        <patternFill>
          <bgColor rgb="FFFFFF00"/>
        </patternFill>
      </fill>
    </dxf>
    <dxf>
      <font>
        <b/>
        <i val="0"/>
      </font>
      <fill>
        <patternFill>
          <bgColor rgb="FFFFFF00"/>
        </patternFill>
      </fill>
    </dxf>
    <dxf>
      <font>
        <b/>
        <i val="0"/>
      </font>
      <fill>
        <patternFill>
          <bgColor theme="9" tint="0.59996337778862885"/>
        </patternFill>
      </fill>
    </dxf>
    <dxf>
      <font>
        <b/>
        <i val="0"/>
        <color rgb="FFFFFF00"/>
      </font>
      <fill>
        <patternFill>
          <bgColor rgb="FFFFFF00"/>
        </patternFill>
      </fill>
    </dxf>
    <dxf>
      <font>
        <b/>
        <i val="0"/>
      </font>
      <fill>
        <patternFill>
          <bgColor theme="9" tint="0.59996337778862885"/>
        </patternFill>
      </fill>
    </dxf>
    <dxf>
      <font>
        <b/>
        <i val="0"/>
      </font>
      <fill>
        <patternFill>
          <bgColor rgb="FFFFFF00"/>
        </patternFill>
      </fill>
    </dxf>
    <dxf>
      <font>
        <b/>
        <i val="0"/>
        <color theme="9" tint="0.59996337778862885"/>
      </font>
      <fill>
        <patternFill>
          <bgColor theme="9" tint="0.59996337778862885"/>
        </patternFill>
      </fill>
    </dxf>
    <dxf>
      <font>
        <strike val="0"/>
        <color theme="0"/>
      </font>
    </dxf>
    <dxf>
      <font>
        <color theme="2"/>
      </font>
    </dxf>
    <dxf>
      <fill>
        <patternFill>
          <bgColor theme="2"/>
        </patternFill>
      </fill>
    </dxf>
    <dxf>
      <fill>
        <patternFill>
          <bgColor theme="2"/>
        </patternFill>
      </fill>
    </dxf>
    <dxf>
      <font>
        <b/>
        <i val="0"/>
        <color theme="0"/>
      </font>
      <fill>
        <patternFill>
          <bgColor rgb="FFFF0000"/>
        </patternFill>
      </fill>
    </dxf>
    <dxf>
      <font>
        <color theme="0"/>
      </font>
    </dxf>
    <dxf>
      <font>
        <color theme="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9" tint="0.79998168889431442"/>
      </font>
      <numFmt numFmtId="168" formatCode=";;;"/>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0"/>
      </font>
      <fill>
        <patternFill>
          <bgColor rgb="FFFF0000"/>
        </patternFill>
      </fill>
    </dxf>
    <dxf>
      <font>
        <color theme="0"/>
      </font>
      <fill>
        <patternFill>
          <bgColor rgb="FFFF0000"/>
        </patternFill>
      </fill>
    </dxf>
    <dxf>
      <font>
        <color theme="9" tint="0.79998168889431442"/>
      </font>
    </dxf>
    <dxf>
      <font>
        <color theme="9" tint="0.79998168889431442"/>
      </font>
    </dxf>
    <dxf>
      <font>
        <color theme="9" tint="0.79998168889431442"/>
      </font>
      <numFmt numFmtId="168" formatCode=";;;"/>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b/>
        <i val="0"/>
        <color auto="1"/>
      </font>
    </dxf>
    <dxf>
      <font>
        <b/>
        <i val="0"/>
        <strike val="0"/>
        <color auto="1"/>
      </font>
    </dxf>
    <dxf>
      <font>
        <b/>
        <i val="0"/>
        <strike val="0"/>
        <color auto="1"/>
      </font>
    </dxf>
    <dxf>
      <font>
        <b/>
        <i val="0"/>
        <color auto="1"/>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numFmt numFmtId="168" formatCode=";;;"/>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auto="1"/>
      </font>
      <numFmt numFmtId="168" formatCode=";;;"/>
    </dxf>
    <dxf>
      <fill>
        <patternFill>
          <bgColor theme="9" tint="0.79998168889431442"/>
        </patternFill>
      </fill>
    </dxf>
    <dxf>
      <fill>
        <patternFill>
          <bgColor theme="7" tint="0.59996337778862885"/>
        </patternFill>
      </fill>
    </dxf>
    <dxf>
      <fill>
        <patternFill>
          <bgColor theme="5" tint="0.59996337778862885"/>
        </patternFill>
      </fill>
    </dxf>
    <dxf>
      <font>
        <b/>
        <i val="0"/>
        <color auto="1"/>
      </font>
    </dxf>
    <dxf>
      <font>
        <b/>
        <i val="0"/>
        <strike val="0"/>
        <color auto="1"/>
      </font>
    </dxf>
    <dxf>
      <font>
        <b/>
        <i val="0"/>
        <color auto="1"/>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5"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0"/>
      </font>
    </dxf>
    <dxf>
      <font>
        <color auto="1"/>
      </font>
      <numFmt numFmtId="168" formatCode=";;;"/>
    </dxf>
    <dxf>
      <fill>
        <patternFill>
          <bgColor theme="9" tint="0.79998168889431442"/>
        </patternFill>
      </fill>
    </dxf>
    <dxf>
      <fill>
        <patternFill>
          <bgColor theme="7" tint="0.59996337778862885"/>
        </patternFill>
      </fill>
    </dxf>
    <dxf>
      <fill>
        <patternFill>
          <bgColor theme="5" tint="0.59996337778862885"/>
        </patternFill>
      </fill>
    </dxf>
    <dxf>
      <fill>
        <patternFill>
          <bgColor theme="9" tint="0.79998168889431442"/>
        </patternFill>
      </fill>
    </dxf>
    <dxf>
      <fill>
        <patternFill>
          <bgColor theme="7" tint="0.59996337778862885"/>
        </patternFill>
      </fill>
    </dxf>
    <dxf>
      <fill>
        <patternFill>
          <bgColor theme="5" tint="0.59996337778862885"/>
        </patternFill>
      </fill>
    </dxf>
    <dxf>
      <font>
        <color theme="0"/>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theme="9" tint="0.79998168889431442"/>
      </font>
    </dxf>
    <dxf>
      <font>
        <color auto="1"/>
      </font>
      <numFmt numFmtId="168" formatCode=";;;"/>
    </dxf>
    <dxf>
      <fill>
        <patternFill>
          <bgColor theme="9" tint="0.79998168889431442"/>
        </patternFill>
      </fill>
    </dxf>
    <dxf>
      <fill>
        <patternFill>
          <bgColor theme="7" tint="0.59996337778862885"/>
        </patternFill>
      </fill>
    </dxf>
    <dxf>
      <fill>
        <patternFill>
          <bgColor theme="5" tint="0.59996337778862885"/>
        </patternFill>
      </fill>
    </dxf>
    <dxf>
      <fill>
        <patternFill>
          <bgColor theme="9" tint="0.79998168889431442"/>
        </patternFill>
      </fill>
    </dxf>
    <dxf>
      <font>
        <color theme="9" tint="0.79998168889431442"/>
      </font>
    </dxf>
    <dxf>
      <font>
        <b/>
        <i val="0"/>
        <strike val="0"/>
        <color auto="1"/>
      </font>
    </dxf>
    <dxf>
      <font>
        <b/>
        <i val="0"/>
        <strike val="0"/>
        <color auto="1"/>
      </font>
    </dxf>
    <dxf>
      <font>
        <b/>
        <i val="0"/>
        <color auto="1"/>
      </font>
    </dxf>
    <dxf>
      <font>
        <color theme="0"/>
      </font>
    </dxf>
    <dxf>
      <font>
        <color theme="0"/>
      </font>
      <border>
        <left/>
        <right/>
        <top/>
        <bottom/>
        <vertical/>
        <horizontal/>
      </border>
    </dxf>
    <dxf>
      <font>
        <color theme="0"/>
      </font>
      <border>
        <left/>
        <right/>
        <top/>
        <bottom/>
        <vertical/>
        <horizontal/>
      </border>
    </dxf>
    <dxf>
      <font>
        <color theme="0"/>
      </font>
      <border>
        <left/>
        <right/>
        <top/>
        <bottom/>
        <vertical/>
        <horizontal/>
      </border>
    </dxf>
    <dxf>
      <font>
        <color theme="0"/>
      </font>
      <border>
        <left/>
        <right/>
        <top/>
        <bottom/>
        <vertical/>
        <horizontal/>
      </border>
    </dxf>
    <dxf>
      <font>
        <color theme="0"/>
      </font>
      <border>
        <left/>
        <right/>
        <top/>
        <bottom/>
        <vertical/>
        <horizontal/>
      </border>
    </dxf>
    <dxf>
      <font>
        <color theme="0"/>
      </font>
      <border>
        <left/>
        <right/>
        <top/>
        <bottom/>
        <vertical/>
        <horizontal/>
      </border>
    </dxf>
    <dxf>
      <font>
        <color auto="1"/>
      </font>
      <numFmt numFmtId="168" formatCode=";;;"/>
    </dxf>
    <dxf>
      <fill>
        <patternFill>
          <bgColor theme="7" tint="0.59996337778862885"/>
        </patternFill>
      </fill>
    </dxf>
    <dxf>
      <fill>
        <patternFill>
          <bgColor theme="5" tint="0.59996337778862885"/>
        </patternFill>
      </fill>
    </dxf>
    <dxf>
      <fill>
        <patternFill>
          <bgColor theme="9" tint="0.79998168889431442"/>
        </patternFill>
      </fill>
    </dxf>
    <dxf>
      <fill>
        <patternFill>
          <bgColor theme="9" tint="0.79998168889431442"/>
        </patternFill>
      </fill>
    </dxf>
    <dxf>
      <font>
        <color theme="9" tint="0.79998168889431442"/>
      </font>
    </dxf>
    <dxf>
      <font>
        <b/>
        <i val="0"/>
        <color auto="1"/>
      </font>
    </dxf>
    <dxf>
      <font>
        <b/>
        <i val="0"/>
        <strike val="0"/>
        <color auto="1"/>
      </font>
    </dxf>
    <dxf>
      <font>
        <b/>
        <i val="0"/>
        <strike val="0"/>
        <color auto="1"/>
      </font>
    </dxf>
    <dxf>
      <font>
        <b/>
        <i val="0"/>
        <color auto="1"/>
      </font>
    </dxf>
    <dxf>
      <fill>
        <patternFill>
          <bgColor theme="9" tint="0.79998168889431442"/>
        </patternFill>
      </fill>
    </dxf>
    <dxf>
      <font>
        <color theme="9" tint="0.79998168889431442"/>
      </font>
    </dxf>
    <dxf>
      <font>
        <color theme="0"/>
      </font>
    </dxf>
    <dxf>
      <font>
        <color theme="0"/>
      </font>
      <border>
        <left/>
        <right/>
        <top/>
        <bottom/>
        <vertical/>
        <horizontal/>
      </border>
    </dxf>
    <dxf>
      <font>
        <color theme="0"/>
      </font>
      <border>
        <left/>
        <right/>
        <top/>
        <bottom/>
        <vertical/>
        <horizontal/>
      </border>
    </dxf>
    <dxf>
      <font>
        <color theme="0"/>
      </font>
      <border>
        <left/>
        <right/>
        <top/>
        <bottom/>
        <vertical/>
        <horizontal/>
      </border>
    </dxf>
    <dxf>
      <font>
        <color theme="0"/>
      </font>
      <border>
        <left/>
        <right/>
        <top/>
        <bottom/>
        <vertical/>
        <horizontal/>
      </border>
    </dxf>
    <dxf>
      <font>
        <color theme="0"/>
      </font>
      <border>
        <left/>
        <right/>
        <top/>
        <bottom/>
        <vertical/>
        <horizontal/>
      </border>
    </dxf>
    <dxf>
      <font>
        <color theme="0"/>
      </font>
      <border>
        <left/>
        <right/>
        <top/>
        <bottom/>
        <vertical/>
        <horizontal/>
      </border>
    </dxf>
    <dxf>
      <font>
        <color auto="1"/>
      </font>
      <numFmt numFmtId="168" formatCode=";;;"/>
    </dxf>
    <dxf>
      <fill>
        <patternFill>
          <bgColor theme="9" tint="0.79998168889431442"/>
        </patternFill>
      </fill>
    </dxf>
    <dxf>
      <fill>
        <patternFill>
          <bgColor theme="7" tint="0.59996337778862885"/>
        </patternFill>
      </fill>
    </dxf>
    <dxf>
      <fill>
        <patternFill>
          <bgColor theme="5" tint="0.59996337778862885"/>
        </patternFill>
      </fill>
    </dxf>
    <dxf>
      <font>
        <b/>
        <i val="0"/>
        <color theme="0"/>
      </font>
      <fill>
        <patternFill>
          <bgColor rgb="FFFF0000"/>
        </patternFill>
      </fill>
    </dxf>
    <dxf>
      <font>
        <b/>
        <i val="0"/>
        <color theme="0"/>
      </font>
      <fill>
        <patternFill>
          <bgColor rgb="FFFF0000"/>
        </patternFill>
      </fill>
    </dxf>
    <dxf>
      <fill>
        <patternFill>
          <bgColor theme="9" tint="0.79998168889431442"/>
        </patternFill>
      </fill>
    </dxf>
    <dxf>
      <font>
        <color theme="9" tint="0.79998168889431442"/>
      </font>
    </dxf>
    <dxf>
      <font>
        <b/>
        <i val="0"/>
        <strike val="0"/>
        <color auto="1"/>
      </font>
    </dxf>
    <dxf>
      <font>
        <b/>
        <i val="0"/>
        <color auto="1"/>
      </font>
    </dxf>
    <dxf>
      <font>
        <b/>
        <i val="0"/>
        <color auto="1"/>
      </font>
    </dxf>
    <dxf>
      <font>
        <b/>
        <i val="0"/>
        <strike val="0"/>
        <color auto="1"/>
      </font>
    </dxf>
    <dxf>
      <font>
        <b/>
        <i val="0"/>
        <strike val="0"/>
        <color auto="1"/>
      </font>
    </dxf>
    <dxf>
      <font>
        <b/>
        <i val="0"/>
        <color auto="1"/>
      </font>
    </dxf>
    <dxf>
      <fill>
        <patternFill>
          <bgColor theme="9" tint="0.79998168889431442"/>
        </patternFill>
      </fill>
    </dxf>
    <dxf>
      <font>
        <color theme="9" tint="0.79998168889431442"/>
      </font>
    </dxf>
    <dxf>
      <font>
        <color theme="0"/>
      </font>
    </dxf>
    <dxf>
      <font>
        <color theme="0"/>
      </font>
      <border>
        <left/>
        <right/>
        <top/>
        <bottom/>
        <vertical/>
        <horizontal/>
      </border>
    </dxf>
    <dxf>
      <font>
        <color theme="0"/>
      </font>
      <border>
        <left/>
        <right/>
        <top/>
        <bottom/>
        <vertical/>
        <horizontal/>
      </border>
    </dxf>
    <dxf>
      <font>
        <color theme="0"/>
      </font>
      <border>
        <left/>
        <right/>
        <top/>
        <bottom/>
        <vertical/>
        <horizontal/>
      </border>
    </dxf>
    <dxf>
      <font>
        <color theme="0"/>
      </font>
      <border>
        <left/>
        <right/>
        <top/>
        <bottom/>
        <vertical/>
        <horizontal/>
      </border>
    </dxf>
    <dxf>
      <font>
        <color theme="0"/>
      </font>
      <border>
        <left/>
        <right/>
        <top/>
        <bottom/>
        <vertical/>
        <horizontal/>
      </border>
    </dxf>
    <dxf>
      <font>
        <color theme="0"/>
      </font>
      <border>
        <left/>
        <right/>
        <top/>
        <bottom/>
        <vertical/>
        <horizontal/>
      </border>
    </dxf>
    <dxf>
      <fill>
        <patternFill>
          <bgColor theme="9" tint="0.79998168889431442"/>
        </patternFill>
      </fill>
    </dxf>
    <dxf>
      <font>
        <color theme="9" tint="0.79998168889431442"/>
      </font>
    </dxf>
    <dxf>
      <fill>
        <patternFill>
          <bgColor theme="4" tint="0.39994506668294322"/>
        </patternFill>
      </fill>
    </dxf>
    <dxf>
      <fill>
        <patternFill>
          <bgColor theme="4" tint="0.59996337778862885"/>
        </patternFill>
      </fill>
    </dxf>
    <dxf>
      <fill>
        <patternFill>
          <bgColor theme="4" tint="0.79998168889431442"/>
        </patternFill>
      </fill>
    </dxf>
    <dxf>
      <font>
        <b/>
        <i val="0"/>
        <color theme="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4" tint="0.39994506668294322"/>
        </patternFill>
      </fill>
    </dxf>
    <dxf>
      <font>
        <color theme="0"/>
      </font>
    </dxf>
    <dxf>
      <font>
        <color theme="0"/>
      </font>
    </dxf>
    <dxf>
      <font>
        <color theme="0"/>
      </font>
    </dxf>
    <dxf>
      <font>
        <color theme="0"/>
      </font>
    </dxf>
    <dxf>
      <font>
        <color theme="0"/>
      </font>
    </dxf>
    <dxf>
      <fill>
        <patternFill>
          <bgColor theme="4" tint="0.59996337778862885"/>
        </patternFill>
      </fill>
    </dxf>
    <dxf>
      <fill>
        <patternFill>
          <bgColor theme="4" tint="0.39994506668294322"/>
        </patternFill>
      </fill>
    </dxf>
    <dxf>
      <fill>
        <patternFill>
          <bgColor theme="4" tint="0.59996337778862885"/>
        </patternFill>
      </fill>
    </dxf>
    <dxf>
      <fill>
        <patternFill>
          <bgColor theme="4" tint="0.79998168889431442"/>
        </patternFill>
      </fill>
    </dxf>
    <dxf>
      <fill>
        <patternFill>
          <bgColor theme="4" tint="0.39994506668294322"/>
        </patternFill>
      </fill>
    </dxf>
    <dxf>
      <fill>
        <patternFill>
          <bgColor theme="7" tint="0.39994506668294322"/>
        </patternFill>
      </fill>
    </dxf>
    <dxf>
      <font>
        <b/>
        <i val="0"/>
        <color theme="0"/>
      </font>
      <fill>
        <patternFill>
          <bgColor rgb="FFFF0000"/>
        </patternFill>
      </fill>
    </dxf>
    <dxf>
      <font>
        <b/>
        <i val="0"/>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fill>
        <patternFill>
          <bgColor theme="9" tint="0.59996337778862885"/>
        </patternFill>
      </fill>
    </dxf>
    <dxf>
      <font>
        <color theme="0"/>
      </font>
      <fill>
        <patternFill>
          <bgColor rgb="FFFF0000"/>
        </patternFill>
      </fill>
    </dxf>
    <dxf>
      <alignment horizontal="center" vertical="bottom" textRotation="0" wrapText="0" indent="0" justifyLastLine="0" shrinkToFit="0" readingOrder="0"/>
    </dxf>
    <dxf>
      <numFmt numFmtId="164" formatCode="_(* #,##0_);_(* \(#,##0\);_(* &quot;-&quot;??_);_(@_)"/>
      <alignment horizontal="center" vertical="bottom" textRotation="0" wrapText="0" indent="0" justifyLastLine="0" shrinkToFit="0" readingOrder="0"/>
      <border diagonalUp="0" diagonalDown="0">
        <left style="thin">
          <color indexed="64"/>
        </left>
        <right style="thin">
          <color indexed="64"/>
        </right>
        <top/>
        <bottom/>
        <vertical/>
        <horizontal/>
      </border>
    </dxf>
    <dxf>
      <alignment horizontal="center" vertical="bottom" textRotation="0" wrapText="0" indent="0" justifyLastLine="0" shrinkToFit="0" readingOrder="0"/>
      <border diagonalUp="0" diagonalDown="0">
        <left style="thick">
          <color auto="1"/>
        </left>
        <right style="thin">
          <color indexed="64"/>
        </right>
        <top/>
        <bottom/>
        <vertical/>
        <horizontal/>
      </border>
    </dxf>
    <dxf>
      <border diagonalUp="0" diagonalDown="0">
        <left style="thick">
          <color auto="1"/>
        </left>
        <right style="thick">
          <color auto="1"/>
        </right>
        <top/>
        <bottom/>
        <vertical/>
        <horizontal/>
      </border>
    </dxf>
    <dxf>
      <border diagonalUp="0" diagonalDown="0">
        <left/>
        <right style="thick">
          <color auto="1"/>
        </right>
        <top/>
        <bottom/>
        <vertical/>
        <horizontal/>
      </border>
    </dxf>
    <dxf>
      <border outline="0">
        <left style="thin">
          <color auto="1"/>
        </left>
      </border>
    </dxf>
    <dxf>
      <alignment horizontal="center" vertical="bottom"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4" tint="0.79998168889431442"/>
        </patternFill>
      </fill>
      <alignment horizontal="center" vertical="bottom" textRotation="0" wrapText="0" indent="0" justifyLastLine="0" shrinkToFit="0" readingOrder="0"/>
      <border diagonalUp="0" diagonalDown="0" outline="0">
        <left/>
        <right style="thin">
          <color auto="1"/>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_(* #,##0_);_(* \(#,##0\);_(* &quot;-&quot;??_);_(@_)"/>
      <alignment horizontal="center" vertical="bottom" textRotation="0" wrapText="0" indent="0" justifyLastLine="0" shrinkToFit="0" readingOrder="0"/>
      <border diagonalUp="0" diagonalDown="0">
        <left/>
        <right style="thin">
          <color indexed="64"/>
        </right>
        <top/>
        <bottom/>
        <vertical/>
        <horizontal/>
      </border>
    </dxf>
    <dxf>
      <border diagonalUp="0" diagonalDown="0">
        <left style="thick">
          <color auto="1"/>
        </left>
        <right style="thick">
          <color auto="1"/>
        </right>
        <top/>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ck">
          <color auto="1"/>
        </right>
        <top/>
        <bottom/>
        <vertical/>
        <horizontal/>
      </border>
    </dxf>
    <dxf>
      <font>
        <b val="0"/>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border diagonalUp="0" diagonalDown="0">
        <left style="thin">
          <color auto="1"/>
        </left>
        <right style="thin">
          <color auto="1"/>
        </right>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indexed="64"/>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ill>
        <patternFill patternType="solid">
          <fgColor theme="4" tint="0.79998168889431442"/>
          <bgColor theme="4" tint="0.79998168889431442"/>
        </patternFill>
      </fill>
      <alignment horizontal="center"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font>
        <b/>
        <i val="0"/>
        <color theme="0"/>
      </font>
      <fill>
        <patternFill>
          <bgColor theme="1"/>
        </patternFill>
      </fill>
    </dxf>
    <dxf>
      <fill>
        <patternFill>
          <bgColor theme="2"/>
        </patternFill>
      </fill>
      <border>
        <left style="thick">
          <color auto="1"/>
        </left>
        <right style="thick">
          <color auto="1"/>
        </right>
        <top style="thick">
          <color auto="1"/>
        </top>
        <bottom style="thick">
          <color auto="1"/>
        </bottom>
      </border>
    </dxf>
  </dxfs>
  <tableStyles count="1" defaultTableStyle="TableStyleMedium2" defaultPivotStyle="PivotStyleLight16">
    <tableStyle name="Table Style Journal" pivot="0" count="2" xr9:uid="{27C71652-4430-42E9-9A10-5F18A3AFEC91}">
      <tableStyleElement type="wholeTable" dxfId="640"/>
      <tableStyleElement type="headerRow" dxfId="63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 Id="rId30"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3" Type="http://schemas.openxmlformats.org/officeDocument/2006/relationships/hyperlink" Target="#Closing_Tool!A1"/><Relationship Id="rId2" Type="http://schemas.openxmlformats.org/officeDocument/2006/relationships/hyperlink" Target="#Journal_Entry_Tool!A1"/><Relationship Id="rId1" Type="http://schemas.openxmlformats.org/officeDocument/2006/relationships/hyperlink" Target="#'T-Account_Viewers'!A1"/></Relationships>
</file>

<file path=xl/drawings/_rels/drawing2.xml.rels><?xml version="1.0" encoding="UTF-8" standalone="yes"?>
<Relationships xmlns="http://schemas.openxmlformats.org/package/2006/relationships"><Relationship Id="rId1" Type="http://schemas.openxmlformats.org/officeDocument/2006/relationships/hyperlink" Target="#Journal!A1"/></Relationships>
</file>

<file path=xl/drawings/_rels/drawing3.xml.rels><?xml version="1.0" encoding="UTF-8" standalone="yes"?>
<Relationships xmlns="http://schemas.openxmlformats.org/package/2006/relationships"><Relationship Id="rId1" Type="http://schemas.openxmlformats.org/officeDocument/2006/relationships/hyperlink" Target="#Journal!A1"/></Relationships>
</file>

<file path=xl/drawings/_rels/drawing4.xml.rels><?xml version="1.0" encoding="UTF-8" standalone="yes"?>
<Relationships xmlns="http://schemas.openxmlformats.org/package/2006/relationships"><Relationship Id="rId1" Type="http://schemas.openxmlformats.org/officeDocument/2006/relationships/hyperlink" Target="#Journal!A1"/></Relationships>
</file>

<file path=xl/drawings/_rels/drawing5.xml.rels><?xml version="1.0" encoding="UTF-8" standalone="yes"?>
<Relationships xmlns="http://schemas.openxmlformats.org/package/2006/relationships"><Relationship Id="rId1" Type="http://schemas.openxmlformats.org/officeDocument/2006/relationships/hyperlink" Target="#Indirect_CFO_NonOp_Trans_Tool!A1"/></Relationships>
</file>

<file path=xl/drawings/_rels/drawing6.xml.rels><?xml version="1.0" encoding="UTF-8" standalone="yes"?>
<Relationships xmlns="http://schemas.openxmlformats.org/package/2006/relationships"><Relationship Id="rId1" Type="http://schemas.openxmlformats.org/officeDocument/2006/relationships/hyperlink" Target="#Indirect_CFO_Worksheet_Tool!A1"/></Relationships>
</file>

<file path=xl/drawings/drawing1.xml><?xml version="1.0" encoding="utf-8"?>
<xdr:wsDr xmlns:xdr="http://schemas.openxmlformats.org/drawingml/2006/spreadsheetDrawing" xmlns:a="http://schemas.openxmlformats.org/drawingml/2006/main">
  <xdr:twoCellAnchor editAs="absolute">
    <xdr:from>
      <xdr:col>13</xdr:col>
      <xdr:colOff>212037</xdr:colOff>
      <xdr:row>2</xdr:row>
      <xdr:rowOff>112644</xdr:rowOff>
    </xdr:from>
    <xdr:to>
      <xdr:col>14</xdr:col>
      <xdr:colOff>397568</xdr:colOff>
      <xdr:row>4</xdr:row>
      <xdr:rowOff>33131</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372A0A9A-9B67-0BBD-79B2-8BCBA2FB97C7}"/>
            </a:ext>
          </a:extLst>
        </xdr:cNvPr>
        <xdr:cNvSpPr/>
      </xdr:nvSpPr>
      <xdr:spPr>
        <a:xfrm>
          <a:off x="8812698" y="490331"/>
          <a:ext cx="795131" cy="29154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T Viewers</a:t>
          </a:r>
        </a:p>
      </xdr:txBody>
    </xdr:sp>
    <xdr:clientData/>
  </xdr:twoCellAnchor>
  <xdr:twoCellAnchor editAs="absolute">
    <xdr:from>
      <xdr:col>13</xdr:col>
      <xdr:colOff>212034</xdr:colOff>
      <xdr:row>0</xdr:row>
      <xdr:rowOff>33131</xdr:rowOff>
    </xdr:from>
    <xdr:to>
      <xdr:col>14</xdr:col>
      <xdr:colOff>397565</xdr:colOff>
      <xdr:row>1</xdr:row>
      <xdr:rowOff>132522</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28E0C9D4-C9E5-49F3-B3F3-AC578FF86DEE}"/>
            </a:ext>
          </a:extLst>
        </xdr:cNvPr>
        <xdr:cNvSpPr/>
      </xdr:nvSpPr>
      <xdr:spPr>
        <a:xfrm>
          <a:off x="8812695" y="33131"/>
          <a:ext cx="795131" cy="29154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JE Tool</a:t>
          </a:r>
        </a:p>
      </xdr:txBody>
    </xdr:sp>
    <xdr:clientData/>
  </xdr:twoCellAnchor>
  <xdr:twoCellAnchor editAs="absolute">
    <xdr:from>
      <xdr:col>13</xdr:col>
      <xdr:colOff>212036</xdr:colOff>
      <xdr:row>5</xdr:row>
      <xdr:rowOff>19878</xdr:rowOff>
    </xdr:from>
    <xdr:to>
      <xdr:col>14</xdr:col>
      <xdr:colOff>397567</xdr:colOff>
      <xdr:row>6</xdr:row>
      <xdr:rowOff>119269</xdr:rowOff>
    </xdr:to>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B9809DDD-35D6-4079-9F0F-FFE0EED82878}"/>
            </a:ext>
          </a:extLst>
        </xdr:cNvPr>
        <xdr:cNvSpPr/>
      </xdr:nvSpPr>
      <xdr:spPr>
        <a:xfrm>
          <a:off x="8812697" y="954156"/>
          <a:ext cx="795131" cy="29154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CL</a:t>
          </a:r>
          <a:r>
            <a:rPr lang="en-US" sz="1100" b="1" baseline="0"/>
            <a:t> Tool</a:t>
          </a:r>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364435</xdr:colOff>
      <xdr:row>0</xdr:row>
      <xdr:rowOff>39757</xdr:rowOff>
    </xdr:from>
    <xdr:to>
      <xdr:col>4</xdr:col>
      <xdr:colOff>549966</xdr:colOff>
      <xdr:row>1</xdr:row>
      <xdr:rowOff>132522</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59411D31-E18A-4234-BA32-67C8ACE769DF}"/>
            </a:ext>
          </a:extLst>
        </xdr:cNvPr>
        <xdr:cNvSpPr/>
      </xdr:nvSpPr>
      <xdr:spPr>
        <a:xfrm>
          <a:off x="6294783" y="39757"/>
          <a:ext cx="795131" cy="29154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Journal</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1028700</xdr:colOff>
      <xdr:row>0</xdr:row>
      <xdr:rowOff>68580</xdr:rowOff>
    </xdr:from>
    <xdr:to>
      <xdr:col>4</xdr:col>
      <xdr:colOff>284591</xdr:colOff>
      <xdr:row>1</xdr:row>
      <xdr:rowOff>177248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903F1492-33BC-4CAF-B74E-9708851FD665}"/>
            </a:ext>
          </a:extLst>
        </xdr:cNvPr>
        <xdr:cNvSpPr/>
      </xdr:nvSpPr>
      <xdr:spPr>
        <a:xfrm>
          <a:off x="3169920" y="68580"/>
          <a:ext cx="795131" cy="29154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Journal</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487680</xdr:colOff>
      <xdr:row>0</xdr:row>
      <xdr:rowOff>53340</xdr:rowOff>
    </xdr:from>
    <xdr:to>
      <xdr:col>3</xdr:col>
      <xdr:colOff>673211</xdr:colOff>
      <xdr:row>1</xdr:row>
      <xdr:rowOff>162008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891CC4B9-863E-4DEE-B9E1-ABA679DEB791}"/>
            </a:ext>
          </a:extLst>
        </xdr:cNvPr>
        <xdr:cNvSpPr/>
      </xdr:nvSpPr>
      <xdr:spPr>
        <a:xfrm>
          <a:off x="3665220" y="53340"/>
          <a:ext cx="795131" cy="29154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Journal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64478</xdr:colOff>
      <xdr:row>0</xdr:row>
      <xdr:rowOff>41030</xdr:rowOff>
    </xdr:from>
    <xdr:to>
      <xdr:col>0</xdr:col>
      <xdr:colOff>1576755</xdr:colOff>
      <xdr:row>1</xdr:row>
      <xdr:rowOff>139147</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95E18276-9CD1-43B4-B2D9-040BEE69C183}"/>
            </a:ext>
          </a:extLst>
        </xdr:cNvPr>
        <xdr:cNvSpPr/>
      </xdr:nvSpPr>
      <xdr:spPr>
        <a:xfrm>
          <a:off x="64478" y="41030"/>
          <a:ext cx="1512277" cy="29154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Non-Op</a:t>
          </a:r>
          <a:r>
            <a:rPr lang="en-US" sz="1100" b="1" baseline="0"/>
            <a:t> Trans Tool</a:t>
          </a:r>
          <a:endParaRPr lang="en-US" sz="11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487680</xdr:colOff>
      <xdr:row>0</xdr:row>
      <xdr:rowOff>30480</xdr:rowOff>
    </xdr:from>
    <xdr:to>
      <xdr:col>5</xdr:col>
      <xdr:colOff>171157</xdr:colOff>
      <xdr:row>1</xdr:row>
      <xdr:rowOff>139148</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647925A2-E670-48D2-829B-EE5DAD6A072E}"/>
            </a:ext>
          </a:extLst>
        </xdr:cNvPr>
        <xdr:cNvSpPr/>
      </xdr:nvSpPr>
      <xdr:spPr>
        <a:xfrm>
          <a:off x="1927860" y="30480"/>
          <a:ext cx="1512277" cy="29154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Worksheet </a:t>
          </a:r>
          <a:r>
            <a:rPr lang="en-US" sz="1100" b="1" baseline="0"/>
            <a:t> Tool</a:t>
          </a:r>
          <a:endParaRPr lang="en-US" sz="1100" b="1"/>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298174</xdr:colOff>
      <xdr:row>0</xdr:row>
      <xdr:rowOff>145774</xdr:rowOff>
    </xdr:from>
    <xdr:ext cx="4678679" cy="7764177"/>
    <xdr:sp macro="" textlink="">
      <xdr:nvSpPr>
        <xdr:cNvPr id="2" name="TextBox 1">
          <a:extLst>
            <a:ext uri="{FF2B5EF4-FFF2-40B4-BE49-F238E27FC236}">
              <a16:creationId xmlns:a16="http://schemas.microsoft.com/office/drawing/2014/main" id="{C54DF5C1-C263-4B84-A9B8-D49F716BFD5A}"/>
            </a:ext>
          </a:extLst>
        </xdr:cNvPr>
        <xdr:cNvSpPr txBox="1"/>
      </xdr:nvSpPr>
      <xdr:spPr>
        <a:xfrm>
          <a:off x="298174" y="145774"/>
          <a:ext cx="4678679" cy="7764177"/>
        </a:xfrm>
        <a:prstGeom prst="rect">
          <a:avLst/>
        </a:prstGeom>
        <a:solidFill>
          <a:schemeClr val="bg1"/>
        </a:solid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eaLnBrk="1" fontAlgn="auto" latinLnBrk="0" hangingPunct="1"/>
          <a:endParaRPr lang="en-US" sz="1400" b="1" i="0" baseline="0">
            <a:solidFill>
              <a:schemeClr val="tx1"/>
            </a:solidFill>
            <a:effectLst/>
            <a:latin typeface="+mn-lt"/>
            <a:ea typeface="+mn-ea"/>
            <a:cs typeface="+mn-cs"/>
          </a:endParaRPr>
        </a:p>
        <a:p>
          <a:pPr algn="ctr" eaLnBrk="1" fontAlgn="auto" latinLnBrk="0" hangingPunct="1"/>
          <a:r>
            <a:rPr lang="en-US" sz="1400" b="1" i="0" baseline="0">
              <a:solidFill>
                <a:schemeClr val="tx1"/>
              </a:solidFill>
              <a:effectLst/>
              <a:latin typeface="+mn-lt"/>
              <a:ea typeface="+mn-ea"/>
              <a:cs typeface="+mn-cs"/>
            </a:rPr>
            <a:t>Your Accounting Learning Environment in Excel</a:t>
          </a:r>
          <a:r>
            <a:rPr lang="en-US" sz="1400" b="1" i="0" baseline="30000">
              <a:solidFill>
                <a:schemeClr val="tx1"/>
              </a:solidFill>
              <a:effectLst/>
              <a:latin typeface="+mn-lt"/>
              <a:ea typeface="+mn-ea"/>
              <a:cs typeface="+mn-cs"/>
            </a:rPr>
            <a:t>TM </a:t>
          </a:r>
          <a:r>
            <a:rPr lang="en-US" sz="1400" b="1" i="0" baseline="0">
              <a:solidFill>
                <a:schemeClr val="tx1"/>
              </a:solidFill>
              <a:effectLst/>
              <a:latin typeface="+mn-lt"/>
              <a:ea typeface="+mn-ea"/>
              <a:cs typeface="+mn-cs"/>
            </a:rPr>
            <a:t>(YALEiE</a:t>
          </a:r>
          <a:r>
            <a:rPr lang="en-US" sz="1400" b="1" i="0" baseline="30000">
              <a:solidFill>
                <a:schemeClr val="tx1"/>
              </a:solidFill>
              <a:effectLst/>
              <a:latin typeface="+mn-lt"/>
              <a:ea typeface="+mn-ea"/>
              <a:cs typeface="+mn-cs"/>
            </a:rPr>
            <a:t>TM</a:t>
          </a:r>
          <a:r>
            <a:rPr lang="en-US" sz="1400" b="1" i="0" baseline="0">
              <a:solidFill>
                <a:schemeClr val="tx1"/>
              </a:solidFill>
              <a:effectLst/>
              <a:latin typeface="+mn-lt"/>
              <a:ea typeface="+mn-ea"/>
              <a:cs typeface="+mn-cs"/>
            </a:rPr>
            <a:t>)</a:t>
          </a:r>
          <a:endParaRPr lang="en-US" sz="1400">
            <a:effectLst/>
          </a:endParaRPr>
        </a:p>
        <a:p>
          <a:endParaRPr lang="en-US" sz="1100" b="0" baseline="0">
            <a:solidFill>
              <a:schemeClr val="tx1"/>
            </a:solidFill>
            <a:effectLst/>
            <a:latin typeface="+mn-lt"/>
            <a:ea typeface="+mn-ea"/>
            <a:cs typeface="+mn-cs"/>
          </a:endParaRPr>
        </a:p>
        <a:p>
          <a:r>
            <a:rPr lang="en-US" sz="1100" b="0" baseline="0">
              <a:solidFill>
                <a:schemeClr val="tx1"/>
              </a:solidFill>
              <a:effectLst/>
              <a:latin typeface="+mn-lt"/>
              <a:ea typeface="+mn-ea"/>
              <a:cs typeface="+mn-cs"/>
            </a:rPr>
            <a:t>This Excel workbook will help you learn accounting. It will help you become familiar with:</a:t>
          </a:r>
        </a:p>
        <a:p>
          <a:endParaRPr lang="en-US" sz="1100" b="0" baseline="0">
            <a:solidFill>
              <a:schemeClr val="tx1"/>
            </a:solidFill>
            <a:effectLst/>
            <a:latin typeface="+mn-lt"/>
            <a:ea typeface="+mn-ea"/>
            <a:cs typeface="+mn-cs"/>
          </a:endParaRPr>
        </a:p>
        <a:p>
          <a:pPr marL="628650" lvl="1" indent="-171450">
            <a:buFont typeface="Arial" panose="020B0604020202020204" pitchFamily="34" charset="0"/>
            <a:buChar char="•"/>
          </a:pPr>
          <a:r>
            <a:rPr lang="en-US" sz="1100" b="0" baseline="0">
              <a:solidFill>
                <a:schemeClr val="tx1"/>
              </a:solidFill>
              <a:effectLst/>
              <a:latin typeface="+mn-lt"/>
              <a:ea typeface="+mn-ea"/>
              <a:cs typeface="+mn-cs"/>
            </a:rPr>
            <a:t>Balance Sheets</a:t>
          </a:r>
        </a:p>
        <a:p>
          <a:pPr marL="628650" lvl="1" indent="-171450">
            <a:buFont typeface="Arial" panose="020B0604020202020204" pitchFamily="34" charset="0"/>
            <a:buChar char="•"/>
          </a:pPr>
          <a:r>
            <a:rPr lang="en-US" sz="1100" b="0" baseline="0">
              <a:solidFill>
                <a:schemeClr val="tx1"/>
              </a:solidFill>
              <a:effectLst/>
              <a:latin typeface="+mn-lt"/>
              <a:ea typeface="+mn-ea"/>
              <a:cs typeface="+mn-cs"/>
            </a:rPr>
            <a:t>Statements of Changes in Shareholders' Equity</a:t>
          </a:r>
        </a:p>
        <a:p>
          <a:pPr marL="628650" lvl="1" indent="-171450">
            <a:buFont typeface="Arial" panose="020B0604020202020204" pitchFamily="34" charset="0"/>
            <a:buChar char="•"/>
          </a:pPr>
          <a:r>
            <a:rPr lang="en-US" sz="1100" b="0" baseline="0">
              <a:solidFill>
                <a:schemeClr val="tx1"/>
              </a:solidFill>
              <a:effectLst/>
              <a:latin typeface="+mn-lt"/>
              <a:ea typeface="+mn-ea"/>
              <a:cs typeface="+mn-cs"/>
            </a:rPr>
            <a:t>Income Statements</a:t>
          </a:r>
        </a:p>
        <a:p>
          <a:pPr marL="628650" lvl="1" indent="-171450">
            <a:buFont typeface="Arial" panose="020B0604020202020204" pitchFamily="34" charset="0"/>
            <a:buChar char="•"/>
          </a:pPr>
          <a:r>
            <a:rPr lang="en-US" sz="1100" b="0" baseline="0">
              <a:solidFill>
                <a:schemeClr val="tx1"/>
              </a:solidFill>
              <a:effectLst/>
              <a:latin typeface="+mn-lt"/>
              <a:ea typeface="+mn-ea"/>
              <a:cs typeface="+mn-cs"/>
            </a:rPr>
            <a:t>Cash Flow Statements using both the direct and indirect method for operations</a:t>
          </a:r>
        </a:p>
        <a:p>
          <a:endParaRPr lang="en-US" sz="1100" b="0" baseline="0">
            <a:solidFill>
              <a:schemeClr val="tx1"/>
            </a:solidFill>
            <a:effectLst/>
            <a:latin typeface="+mn-lt"/>
            <a:ea typeface="+mn-ea"/>
            <a:cs typeface="+mn-cs"/>
          </a:endParaRPr>
        </a:p>
        <a:p>
          <a:r>
            <a:rPr lang="en-US" sz="1100" b="0" baseline="0">
              <a:solidFill>
                <a:schemeClr val="tx1"/>
              </a:solidFill>
              <a:effectLst/>
              <a:latin typeface="+mn-lt"/>
              <a:ea typeface="+mn-ea"/>
              <a:cs typeface="+mn-cs"/>
            </a:rPr>
            <a:t>Along the way, you will learn the basic types of accounts (assets, liabilities, equities, revenues, expenses, gains and losses) and their roles in financial statements.</a:t>
          </a:r>
        </a:p>
        <a:p>
          <a:endParaRPr lang="en-US">
            <a:effectLst/>
          </a:endParaRPr>
        </a:p>
        <a:p>
          <a:r>
            <a:rPr lang="en-US" sz="1100" b="0" baseline="0">
              <a:solidFill>
                <a:schemeClr val="tx1"/>
              </a:solidFill>
              <a:effectLst/>
              <a:latin typeface="+mn-lt"/>
              <a:ea typeface="+mn-ea"/>
              <a:cs typeface="+mn-cs"/>
            </a:rPr>
            <a:t>In addition to the Instructions and Notice tabs, this workbook contains two types of tabs: Accounting Environment and Tools:</a:t>
          </a:r>
        </a:p>
        <a:p>
          <a:endParaRPr lang="en-US">
            <a:effectLst/>
          </a:endParaRPr>
        </a:p>
        <a:p>
          <a:pPr lvl="1"/>
          <a:r>
            <a:rPr lang="en-US" sz="1100" b="1" baseline="0">
              <a:solidFill>
                <a:schemeClr val="tx1"/>
              </a:solidFill>
              <a:effectLst/>
              <a:latin typeface="+mn-lt"/>
              <a:ea typeface="+mn-ea"/>
              <a:cs typeface="+mn-cs"/>
            </a:rPr>
            <a:t>Accounting Environment:</a:t>
          </a:r>
          <a:endParaRPr lang="en-US">
            <a:effectLst/>
          </a:endParaRPr>
        </a:p>
        <a:p>
          <a:pPr marL="628650" lvl="1" indent="-171450">
            <a:buFont typeface="Arial" panose="020B0604020202020204" pitchFamily="34" charset="0"/>
            <a:buChar char="•"/>
          </a:pPr>
          <a:r>
            <a:rPr lang="en-US" sz="1100" b="1" baseline="0">
              <a:solidFill>
                <a:schemeClr val="tx1"/>
              </a:solidFill>
              <a:effectLst/>
              <a:latin typeface="+mn-lt"/>
              <a:ea typeface="+mn-ea"/>
              <a:cs typeface="+mn-cs"/>
            </a:rPr>
            <a:t>Journal</a:t>
          </a:r>
          <a:endParaRPr lang="en-US">
            <a:effectLst/>
          </a:endParaRPr>
        </a:p>
        <a:p>
          <a:pPr marL="628650" marR="0" lvl="1"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baseline="0">
              <a:solidFill>
                <a:schemeClr val="tx1"/>
              </a:solidFill>
              <a:effectLst/>
              <a:latin typeface="+mn-lt"/>
              <a:ea typeface="+mn-ea"/>
              <a:cs typeface="+mn-cs"/>
            </a:rPr>
            <a:t>Financial_Statements_X</a:t>
          </a:r>
        </a:p>
        <a:p>
          <a:pPr marL="628650" marR="0" lvl="1"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b="1" baseline="0">
            <a:solidFill>
              <a:schemeClr val="tx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lang="en-US" sz="1100" b="1" baseline="0">
              <a:solidFill>
                <a:schemeClr val="tx1"/>
              </a:solidFill>
              <a:effectLst/>
              <a:latin typeface="+mn-lt"/>
              <a:ea typeface="+mn-ea"/>
              <a:cs typeface="+mn-cs"/>
            </a:rPr>
            <a:t>Tools:</a:t>
          </a:r>
        </a:p>
        <a:p>
          <a:pPr marL="628650" marR="0" lvl="1"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baseline="0">
              <a:solidFill>
                <a:schemeClr val="tx1"/>
              </a:solidFill>
              <a:effectLst/>
              <a:latin typeface="+mn-lt"/>
              <a:ea typeface="+mn-ea"/>
              <a:cs typeface="+mn-cs"/>
            </a:rPr>
            <a:t>Journal_Tool</a:t>
          </a:r>
        </a:p>
        <a:p>
          <a:pPr marL="628650" marR="0" lvl="1"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baseline="0">
              <a:solidFill>
                <a:schemeClr val="tx1"/>
              </a:solidFill>
              <a:effectLst/>
              <a:latin typeface="+mn-lt"/>
              <a:ea typeface="+mn-ea"/>
              <a:cs typeface="+mn-cs"/>
            </a:rPr>
            <a:t>T-Account Viewers</a:t>
          </a:r>
        </a:p>
        <a:p>
          <a:pPr marL="628650" marR="0" lvl="1"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baseline="0">
              <a:solidFill>
                <a:schemeClr val="tx1"/>
              </a:solidFill>
              <a:effectLst/>
              <a:latin typeface="+mn-lt"/>
              <a:ea typeface="+mn-ea"/>
              <a:cs typeface="+mn-cs"/>
            </a:rPr>
            <a:t>Indirect_CFO_Worksheet_Tool</a:t>
          </a:r>
        </a:p>
        <a:p>
          <a:pPr marL="628650" marR="0" lvl="1"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baseline="0">
              <a:solidFill>
                <a:schemeClr val="tx1"/>
              </a:solidFill>
              <a:effectLst/>
              <a:latin typeface="+mn-lt"/>
              <a:ea typeface="+mn-ea"/>
              <a:cs typeface="+mn-cs"/>
            </a:rPr>
            <a:t>Indirect_CFO_NonOp_Trans_Tool</a:t>
          </a:r>
        </a:p>
        <a:p>
          <a:pPr lvl="1"/>
          <a:endParaRPr lang="en-US">
            <a:effectLst/>
          </a:endParaRPr>
        </a:p>
        <a:p>
          <a:r>
            <a:rPr lang="en-US" sz="1100" b="0" baseline="0">
              <a:solidFill>
                <a:schemeClr val="tx1"/>
              </a:solidFill>
              <a:effectLst/>
              <a:latin typeface="+mn-lt"/>
              <a:ea typeface="+mn-ea"/>
              <a:cs typeface="+mn-cs"/>
            </a:rPr>
            <a:t>The Financial_Statements_X tabs vary in how automatically the financial statements are compiled from your entries in the Journal. For example, in the Financial_Statements_1 tab, you must enter all account titles and amounts. In the Financial_Statements_6 tab, all account titles and amounts will be entered automatically. All tabs that require you to enter account names or amounts contain tools that make this less time consuming.</a:t>
          </a:r>
        </a:p>
        <a:p>
          <a:endParaRPr lang="en-US" sz="1100" b="0" baseline="0">
            <a:solidFill>
              <a:schemeClr val="tx1"/>
            </a:solidFill>
            <a:effectLst/>
            <a:latin typeface="+mn-lt"/>
            <a:ea typeface="+mn-ea"/>
            <a:cs typeface="+mn-cs"/>
          </a:endParaRPr>
        </a:p>
        <a:p>
          <a:r>
            <a:rPr lang="en-US" sz="1100" b="0" baseline="0">
              <a:solidFill>
                <a:schemeClr val="tx1"/>
              </a:solidFill>
              <a:effectLst/>
              <a:latin typeface="+mn-lt"/>
              <a:ea typeface="+mn-ea"/>
              <a:cs typeface="+mn-cs"/>
            </a:rPr>
            <a:t>Any Yale student or faculty member may use this workbook. Others must obtain permission by emailing Rick Antle at:</a:t>
          </a:r>
        </a:p>
        <a:p>
          <a:endParaRPr lang="en-US" sz="1100" b="0" baseline="0">
            <a:solidFill>
              <a:schemeClr val="tx1"/>
            </a:solidFill>
            <a:effectLst/>
            <a:latin typeface="+mn-lt"/>
            <a:ea typeface="+mn-ea"/>
            <a:cs typeface="+mn-cs"/>
          </a:endParaRPr>
        </a:p>
        <a:p>
          <a:r>
            <a:rPr lang="en-US" sz="1100" b="0" baseline="0">
              <a:solidFill>
                <a:schemeClr val="tx1"/>
              </a:solidFill>
              <a:effectLst/>
              <a:latin typeface="+mn-lt"/>
              <a:ea typeface="+mn-ea"/>
              <a:cs typeface="+mn-cs"/>
            </a:rPr>
            <a:t>rick.antle@yale.edu</a:t>
          </a:r>
        </a:p>
        <a:p>
          <a:endParaRPr lang="en-US">
            <a:effectLst/>
          </a:endParaRPr>
        </a:p>
        <a:p>
          <a:r>
            <a:rPr lang="en-US" sz="1100" b="1" baseline="0">
              <a:solidFill>
                <a:schemeClr val="tx1"/>
              </a:solidFill>
              <a:effectLst/>
              <a:latin typeface="+mn-lt"/>
              <a:ea typeface="+mn-ea"/>
              <a:cs typeface="+mn-cs"/>
            </a:rPr>
            <a:t>DO NOT DISTRIBUTE THIS WORKBOOK</a:t>
          </a:r>
          <a:endParaRPr lang="en-US">
            <a:effectLst/>
          </a:endParaRPr>
        </a:p>
        <a:p>
          <a:r>
            <a:rPr lang="en-US" sz="1100" b="0" baseline="0">
              <a:solidFill>
                <a:schemeClr val="tx1"/>
              </a:solidFill>
              <a:effectLst/>
              <a:latin typeface="+mn-lt"/>
              <a:ea typeface="+mn-ea"/>
              <a:cs typeface="+mn-cs"/>
            </a:rPr>
            <a:t>©2023 Rick Antle</a:t>
          </a:r>
          <a:endParaRPr lang="en-US" sz="1100"/>
        </a:p>
      </xdr:txBody>
    </xdr:sp>
    <xdr:clientData/>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ADEA94-CDAC-4701-A7AD-62FE9343FDD0}" name="EntityInfo" displayName="EntityInfo" ref="A2:C12" totalsRowShown="0" headerRowDxfId="638">
  <autoFilter ref="A2:C12" xr:uid="{2DADEA94-CDAC-4701-A7AD-62FE9343FDD0}"/>
  <tableColumns count="3">
    <tableColumn id="1" xr3:uid="{016D57DE-AC84-4B48-9619-C5A1D4E5118E}" name="Item"/>
    <tableColumn id="2" xr3:uid="{0855BCCC-BBF9-4D79-A402-C3A4D5769879}" name="Value"/>
    <tableColumn id="3" xr3:uid="{747960E6-ECD8-4FFA-99D8-E270BAD43AFE}" name="InfoText" dataDxfId="63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4F9B6E4B-3055-4267-8E9F-0C2820AE5D5F}" name="RequirementsMaster" displayName="RequirementsMaster" ref="A173:D225" totalsRowShown="0" headerRowDxfId="636">
  <autoFilter ref="A173:D225" xr:uid="{4F9B6E4B-3055-4267-8E9F-0C2820AE5D5F}"/>
  <tableColumns count="4">
    <tableColumn id="1" xr3:uid="{0DBA3005-552C-4F76-AD45-189E271D220A}" name="Requirement"/>
    <tableColumn id="2" xr3:uid="{28ED8C7A-653B-4BBA-BFAA-5BFDBE26E59F}" name="Tab" dataDxfId="635"/>
    <tableColumn id="3" xr3:uid="{8E43C2AE-F29D-46A3-971D-7B18B7D10960}" name="Key" dataDxfId="634"/>
    <tableColumn id="4" xr3:uid="{87A6030E-F102-4F7B-80DD-555B12FDECBA}" name="Yes/No" dataDxfId="63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F7A8658-AEA9-4DD6-AE94-8EE4606E97C7}" name="Purposes" displayName="Purposes" ref="A228:B263" totalsRowShown="0" headerRowDxfId="632" headerRowBorderDxfId="631" tableBorderDxfId="630" totalsRowBorderDxfId="629">
  <autoFilter ref="A228:B263" xr:uid="{BF7A8658-AEA9-4DD6-AE94-8EE4606E97C7}"/>
  <tableColumns count="2">
    <tableColumn id="1" xr3:uid="{3FA2DD73-2850-49DD-939C-BDC1A6CBB748}" name="Purpose" dataDxfId="628"/>
    <tableColumn id="2" xr3:uid="{A9A4A6E6-A4AF-44D1-967C-A88F0CF104A0}" name="YES/NO" dataDxfId="62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2ECBA4C8-FB23-4B6D-B3DF-90A92B8E8D83}" name="TransInfo" displayName="TransInfo" ref="A2:D51" totalsRowShown="0" headerRowDxfId="626">
  <autoFilter ref="A2:D51" xr:uid="{2ECBA4C8-FB23-4B6D-B3DF-90A92B8E8D83}"/>
  <tableColumns count="4">
    <tableColumn id="4" xr3:uid="{1ADF884D-48C6-4165-B323-DAE4507D4002}" name="Num" dataDxfId="625"/>
    <tableColumn id="1" xr3:uid="{D7A3C7EA-9AB4-48A6-B5AF-D4C4BCE3527F}" name="ref" dataDxfId="624"/>
    <tableColumn id="2" xr3:uid="{DA5578AC-55D5-4C15-B35D-4F234AB62C2C}" name="Question"/>
    <tableColumn id="3" xr3:uid="{9541B23C-F9EB-4FF3-B3BC-16DA73CE00F1}" name="Length">
      <calculatedColumnFormula>LEN(TransInfo[[#This Row],[Question]])</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CC4395-9B9E-4096-A086-61EDDAE029E3}" name="TransAbbrs" displayName="TransAbbrs" ref="F2:G33" totalsRowShown="0" headerRowDxfId="623">
  <autoFilter ref="F2:G33" xr:uid="{55CC4395-9B9E-4096-A086-61EDDAE029E3}"/>
  <tableColumns count="2">
    <tableColumn id="1" xr3:uid="{93509E7D-0931-4162-ADBB-A63921BE7D84}" name="Abbr" dataDxfId="622"/>
    <tableColumn id="2" xr3:uid="{142C054C-1D32-4983-8336-FB06B93D845D}" name="Explana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115597A-4074-4B76-B5E8-32F5D67289A3}" name="AssetsMaster" displayName="AssetsMaster" ref="A79:E94" totalsRowShown="0" headerRowDxfId="621">
  <autoFilter ref="A79:E94" xr:uid="{7115597A-4074-4B76-B5E8-32F5D67289A3}"/>
  <tableColumns count="5">
    <tableColumn id="1" xr3:uid="{9B15A29D-AAAC-46FE-9548-A19B4F4079BD}" name="Name"/>
    <tableColumn id="2" xr3:uid="{F2AE4B64-D930-4E6C-A327-03DDF8B3CDEF}" name="Abbr" dataDxfId="620"/>
    <tableColumn id="3" xr3:uid="{612DC40B-B58E-48EF-B710-D865B67B2F28}" name="BalType" dataDxfId="619"/>
    <tableColumn id="4" xr3:uid="{396DEFAE-629D-4432-8B6B-06BCC64EFFAF}" name="C/NC" dataDxfId="618"/>
    <tableColumn id="5" xr3:uid="{A6AD9AF8-512A-4F26-9246-F4567224561B}" name="Num" dataDxfId="61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2F9B43-157B-4550-8D48-2808F9D37182}" name="LiabilitiesMaster" displayName="LiabilitiesMaster" ref="A98:E110" totalsRowShown="0" headerRowDxfId="616">
  <autoFilter ref="A98:E110" xr:uid="{B62F9B43-157B-4550-8D48-2808F9D37182}"/>
  <tableColumns count="5">
    <tableColumn id="1" xr3:uid="{88C8C0A2-425F-4E64-B373-5CA3CD343570}" name="Name"/>
    <tableColumn id="2" xr3:uid="{FCE0B25E-B878-4361-AE8A-CFEF0AE3FEE8}" name="Abbr" dataDxfId="615"/>
    <tableColumn id="3" xr3:uid="{7FD89BBD-9A14-408E-872F-FCA1ED66F406}" name="BalType" dataDxfId="614"/>
    <tableColumn id="4" xr3:uid="{1FF8E790-3885-408F-B4F0-66C1A2B4D014}" name="C/NC" dataDxfId="613"/>
    <tableColumn id="5" xr3:uid="{93218FBF-12B3-4D8E-B7B7-82688D870227}" name="Num" dataDxfId="61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DC0F8E0-A916-4A00-9D48-87B60C406392}" name="EquitiesMaster" displayName="EquitiesMaster" ref="A115:D122" totalsRowShown="0" headerRowDxfId="611">
  <autoFilter ref="A115:D122" xr:uid="{1DC0F8E0-A916-4A00-9D48-87B60C406392}"/>
  <tableColumns count="4">
    <tableColumn id="1" xr3:uid="{B3EE0724-5129-434D-9C6D-2E4CA2D19AD3}" name="Name"/>
    <tableColumn id="2" xr3:uid="{7C054985-D5B8-4649-8678-6EE2B8EA10CF}" name="Abbr" dataDxfId="610"/>
    <tableColumn id="3" xr3:uid="{8D092CBB-5BC2-4C68-8E77-C84D33C37E80}" name="BalType" dataDxfId="609"/>
    <tableColumn id="4" xr3:uid="{D2D64C8F-5F48-4CD6-AD26-0E05D988BBA0}" name="Num"/>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33DD38A-7C3D-4785-B1D2-BBE14EBC2695}" name="_RevenuesMaster" displayName="_RevenuesMaster" ref="A126:B130" totalsRowShown="0" headerRowDxfId="608">
  <autoFilter ref="A126:B130" xr:uid="{333DD38A-7C3D-4785-B1D2-BBE14EBC2695}"/>
  <tableColumns count="2">
    <tableColumn id="1" xr3:uid="{AB671F8D-39ED-4764-822D-963CFB0848D4}" name="Name"/>
    <tableColumn id="2" xr3:uid="{846AAA00-E86F-48FF-8783-AAE66217F5EE}" name="Abbr" dataDxfId="60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0BA4038-8029-424F-916E-87F83813472B}" name="_ExpensesMaster" displayName="_ExpensesMaster" ref="A135:B144" totalsRowShown="0" headerRowDxfId="606">
  <autoFilter ref="A135:B144" xr:uid="{40BA4038-8029-424F-916E-87F83813472B}"/>
  <tableColumns count="2">
    <tableColumn id="1" xr3:uid="{0668DA82-94BE-4FAD-A65B-44D2E5D1FC6C}" name="Name"/>
    <tableColumn id="2" xr3:uid="{7C566E16-8D49-426D-96A2-EFF5C8D55D3A}" name="Abbr" dataDxfId="605"/>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DB6C738-B173-4410-8C99-E025A97A32C7}" name="_GainsMaster" displayName="_GainsMaster" ref="A149:B154" totalsRowShown="0" headerRowDxfId="604">
  <autoFilter ref="A149:B154" xr:uid="{FDB6C738-B173-4410-8C99-E025A97A32C7}"/>
  <tableColumns count="2">
    <tableColumn id="1" xr3:uid="{BB6C84E2-8AB6-422D-A87C-692F43B9A28B}" name="Name"/>
    <tableColumn id="2" xr3:uid="{DC4E1C11-FCE0-4ECD-9EDA-D8195F0A2785}" name="Abbr" dataDxfId="60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A1EF973-DAA4-4368-859E-C4D54C4DA67C}" name="_LossesMaster" displayName="_LossesMaster" ref="A161:B166" totalsRowShown="0" headerRowDxfId="602">
  <autoFilter ref="A161:B166" xr:uid="{BA1EF973-DAA4-4368-859E-C4D54C4DA67C}"/>
  <tableColumns count="2">
    <tableColumn id="1" xr3:uid="{399DA595-B7E9-4D00-8204-0F1CC568FDD1}" name="Name"/>
    <tableColumn id="2" xr3:uid="{43660521-5F62-4053-A5BF-F16EA86AA8A8}" name="Abbr" dataDxfId="601"/>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CB1329-4079-434E-B7FA-4E59114578AC}" name="Asset" displayName="Asset" ref="A2:E17" totalsRowShown="0" tableBorderDxfId="600">
  <autoFilter ref="A2:E17" xr:uid="{D4CB1329-4079-434E-B7FA-4E59114578AC}"/>
  <tableColumns count="5">
    <tableColumn id="1" xr3:uid="{66EAD4E7-7547-4B44-B184-929F2AE08B41}" name="Name"/>
    <tableColumn id="2" xr3:uid="{AA4DF480-E21D-4E64-97F4-5E492357CCCC}" name="Abbr" dataDxfId="599">
      <calculatedColumnFormula>_xlfn.XLOOKUP(Asset[[#This Row],[Name]],AssetsMaster[Name],AssetsMaster[Abbr],"")</calculatedColumnFormula>
    </tableColumn>
    <tableColumn id="3" xr3:uid="{AAD2F5E7-993C-47E3-B0BB-3711459EEE3F}" name="BalType" dataDxfId="598">
      <calculatedColumnFormula>_xlfn.XLOOKUP(Asset[[#This Row],[Name]],AssetsMaster[Name],AssetsMaster[BalType],"")</calculatedColumnFormula>
    </tableColumn>
    <tableColumn id="4" xr3:uid="{FD3D96CA-3888-41E4-A2EF-534A2FEA9AC2}" name="C/NC" dataDxfId="597">
      <calculatedColumnFormula>_xlfn.XLOOKUP(Asset[[#This Row],[Name]],AssetsMaster[Name],AssetsMaster[C/NC],"")</calculatedColumnFormula>
    </tableColumn>
    <tableColumn id="5" xr3:uid="{A450CC00-3FAF-441F-B8A9-19A6C20BBFEF}" name="Num" dataDxfId="596"/>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7DFD15D-0047-4EFA-805C-5A8926B8CEEF}" name="Liability" displayName="Liability" ref="A25:E37" totalsRowShown="0" headerRowDxfId="595" tableBorderDxfId="594">
  <autoFilter ref="A25:E37" xr:uid="{57DFD15D-0047-4EFA-805C-5A8926B8CEEF}"/>
  <tableColumns count="5">
    <tableColumn id="1" xr3:uid="{5FBDE150-BFDC-4E0D-AA75-9C8DEB2472F5}" name="Name"/>
    <tableColumn id="2" xr3:uid="{57A647D1-FD45-4426-BAC2-6803124F8156}" name="Abbr" dataDxfId="593">
      <calculatedColumnFormula>_xlfn.XLOOKUP(Liability[[#This Row],[Name]],LiabilitiesMaster[Name],LiabilitiesMaster[Abbr],"")</calculatedColumnFormula>
    </tableColumn>
    <tableColumn id="3" xr3:uid="{DF30FD29-F1D6-4765-AB37-C8BF583F3BBF}" name="BalType" dataDxfId="592">
      <calculatedColumnFormula>_xlfn.XLOOKUP(Liability[[#This Row],[Name]],LiabilitiesMaster[Name],LiabilitiesMaster[BalType],"")</calculatedColumnFormula>
    </tableColumn>
    <tableColumn id="4" xr3:uid="{3B7B8E55-6C57-436B-B0B4-FBD6AEF2484A}" name="C/NC" dataDxfId="591">
      <calculatedColumnFormula>_xlfn.XLOOKUP(Liability[[#This Row],[Name]],LiabilitiesMaster[Name],LiabilitiesMaster[C/NC],"")</calculatedColumnFormula>
    </tableColumn>
    <tableColumn id="5" xr3:uid="{51ED707D-7EE9-4F4C-9F61-6CC93F023528}" name="Num" dataDxfId="590"/>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DD43510-5D41-47BF-BAFE-48C2275CB8B2}" name="Equity" displayName="Equity" ref="A45:D52" totalsRowShown="0" headerRowDxfId="589" tableBorderDxfId="588">
  <autoFilter ref="A45:D52" xr:uid="{2DD43510-5D41-47BF-BAFE-48C2275CB8B2}"/>
  <tableColumns count="4">
    <tableColumn id="1" xr3:uid="{1BBA2E0F-EB64-4A80-BC90-B1A49153A40E}" name="Name"/>
    <tableColumn id="2" xr3:uid="{268D6BCD-B206-4EA2-B4CF-2E5D1B7F9286}" name="Abbr" dataDxfId="587">
      <calculatedColumnFormula>_xlfn.XLOOKUP(Equity[[#This Row],[Name]],EquitiesMaster[Name],EquitiesMaster[Abbr],"")</calculatedColumnFormula>
    </tableColumn>
    <tableColumn id="3" xr3:uid="{31D5EAF4-C07F-4623-BE9D-E6835B425BF2}" name="BalType" dataDxfId="586">
      <calculatedColumnFormula>_xlfn.XLOOKUP(Equity[[#This Row],[Name]],EquitiesMaster[Name],EquitiesMaster[BalType],"")</calculatedColumnFormula>
    </tableColumn>
    <tableColumn id="4" xr3:uid="{DAC625E3-8EC5-4912-AD95-014CA0FAB647}" name="Num" dataDxfId="585"/>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2BFFE93-196A-4008-AD60-EE77DC3CF8A4}" name="_Revenue" displayName="_Revenue" ref="H2:I6" totalsRowShown="0" headerRowDxfId="584">
  <autoFilter ref="H2:I6" xr:uid="{02BFFE93-196A-4008-AD60-EE77DC3CF8A4}"/>
  <tableColumns count="2">
    <tableColumn id="1" xr3:uid="{A7DBA80A-559F-4A50-9939-83A9696E26FE}" name="Name"/>
    <tableColumn id="2" xr3:uid="{732B0380-B433-45BB-AAAB-2584C1994C7D}" name="Abbr" dataDxfId="583">
      <calculatedColumnFormula>_xlfn.XLOOKUP(_Revenue[[#This Row],[Name]],_RevenuesMaster[Name],_RevenuesMaster[Abbr],"")</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18008F5-3B31-44F8-967B-DC25AB939012}" name="_Expense" displayName="_Expense" ref="H12:I22" totalsRowShown="0" headerRowDxfId="582">
  <autoFilter ref="H12:I22" xr:uid="{C18008F5-3B31-44F8-967B-DC25AB939012}"/>
  <tableColumns count="2">
    <tableColumn id="1" xr3:uid="{F5EFB734-8B43-4329-8FF4-6F5FC43CF85D}" name="Name"/>
    <tableColumn id="2" xr3:uid="{2226DFCD-C264-49D4-ADDC-D32A03856ADA}" name="Abbr" dataDxfId="581">
      <calculatedColumnFormula>_xlfn.XLOOKUP(_Expense[[#This Row],[Name]],_ExpensesMaster[Name],_ExpensesMaster[Abbr],"")</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B7227DB-B3A8-4C8D-BE93-AA25CC1891C0}" name="_Gain" displayName="_Gain" ref="H26:I31" totalsRowShown="0" headerRowDxfId="580">
  <autoFilter ref="H26:I31" xr:uid="{AB7227DB-B3A8-4C8D-BE93-AA25CC1891C0}"/>
  <tableColumns count="2">
    <tableColumn id="1" xr3:uid="{C9D0D7CD-EDB6-4DBF-BC44-006BCC652AF5}" name="Name"/>
    <tableColumn id="2" xr3:uid="{1AE0429B-A97A-42B0-A110-FB7832F55EEC}" name="Abbr" dataDxfId="579">
      <calculatedColumnFormula>_xlfn.XLOOKUP(_Gain[[#This Row],[Name]],_GainsMaster[Name],_GainsMaster[Abbr],"")</calculatedColumnFormula>
    </tableColum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176739A-4E3B-4303-99A7-09FD564EEB6A}" name="_Loss" displayName="_Loss" ref="H36:I41" totalsRowShown="0" headerRowDxfId="578">
  <autoFilter ref="H36:I41" xr:uid="{1176739A-4E3B-4303-99A7-09FD564EEB6A}"/>
  <tableColumns count="2">
    <tableColumn id="1" xr3:uid="{10BB8597-73DF-4395-9695-3C82B4000B78}" name="Name"/>
    <tableColumn id="2" xr3:uid="{03432AAF-81F4-4470-A7DA-3FD095D1EEDE}" name="Abbr" dataDxfId="577">
      <calculatedColumnFormula>_xlfn.XLOOKUP(_Loss[[#This Row],[Name]],_LossesMaster[Name],_LossesMaster[Abbr],"")</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93606D0-C314-4CA6-B05E-2D6A0CD81018}" name="BegBalSht" displayName="BegBalSht" ref="A1:D38" totalsRowShown="0" headerRowDxfId="576">
  <autoFilter ref="A1:D38" xr:uid="{493606D0-C314-4CA6-B05E-2D6A0CD81018}"/>
  <tableColumns count="4">
    <tableColumn id="1" xr3:uid="{CF640A8D-B6A5-405C-85A6-87A27088797A}" name="Account"/>
    <tableColumn id="2" xr3:uid="{1F7A5ABE-7390-4B0C-AD66-D4BBD795D45A}" name="Amount"/>
    <tableColumn id="3" xr3:uid="{F326AC0B-E03F-4DC5-A670-331F16DDE18F}" name="BalType" dataDxfId="575"/>
    <tableColumn id="4" xr3:uid="{9B72A73A-0053-4B95-8E62-57B009C2D346}" name="Num"/>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8A17F7-CEEE-452C-9E3D-B44FBE0F2D9D}" name="Answers" displayName="Answers" ref="A11:H197" totalsRowShown="0" headerRowDxfId="574">
  <autoFilter ref="A11:H197" xr:uid="{918A17F7-CEEE-452C-9E3D-B44FBE0F2D9D}"/>
  <tableColumns count="8">
    <tableColumn id="1" xr3:uid="{95178477-F874-451D-B474-EAF67A3E8632}" name="ref" dataDxfId="573"/>
    <tableColumn id="2" xr3:uid="{CC6C153A-5176-404A-A618-6253C1CBB558}" name="AccntType" dataDxfId="572"/>
    <tableColumn id="3" xr3:uid="{43684C88-8C74-4729-8DD3-A087D2351A16}" name="DrAccnt"/>
    <tableColumn id="4" xr3:uid="{22817F12-CCF4-4149-A81C-27C054C93669}" name="CrAccnt"/>
    <tableColumn id="5" xr3:uid="{82E7035E-ECEC-4B5B-BC00-82FF3C22CE5D}" name="DrAmt" dataDxfId="571" dataCellStyle="Comma"/>
    <tableColumn id="6" xr3:uid="{1EB19E3E-EB84-49B8-890F-E67913BEC47C}" name="CrAmt" dataDxfId="570" dataCellStyle="Comma"/>
    <tableColumn id="7" xr3:uid="{761CA7CF-9338-463A-B1FF-AE73AF0B71A5}" name="CFS" dataDxfId="569"/>
    <tableColumn id="12" xr3:uid="{0B3197DA-889B-40D5-80AA-25920C18AD83}" name="ref2" dataDxfId="568" dataCellStyle="Comma">
      <calculatedColumnFormula>_xlfn.XLOOKUP(Answers[[#This Row],[ref]],TransInfo[Num],TransInfo[ref],"")</calculatedColumnFormula>
    </tableColumn>
  </tableColumns>
  <tableStyleInfo name="Table Style Journal"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381424-B458-4B30-A835-7EEB1C91BF78}" name="AccntType" displayName="AccntType" ref="A1:A8" totalsRowShown="0" headerRowDxfId="567" dataDxfId="566">
  <autoFilter ref="A1:A8" xr:uid="{09381424-B458-4B30-A835-7EEB1C91BF78}"/>
  <tableColumns count="1">
    <tableColumn id="1" xr3:uid="{6F3D66BE-EF20-4418-98EE-5E01F8FE2C38}" name="AccntTypes" dataDxfId="565"/>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B553BF2-B9FA-4C13-9F81-DC29AFC5FB00}" name="CFS" displayName="CFS" ref="A13:A19" totalsRowShown="0" headerRowDxfId="564" dataDxfId="563">
  <autoFilter ref="A13:A19" xr:uid="{0B553BF2-B9FA-4C13-9F81-DC29AFC5FB00}"/>
  <tableColumns count="1">
    <tableColumn id="1" xr3:uid="{EFC74F5D-B3F8-4822-A80D-A8B958D2E15B}" name="Activity" dataDxfId="562"/>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60D191A-3E5A-4230-9482-4BE95C91F9DD}" name="Requirements" displayName="Requirements" ref="A23:C29" totalsRowShown="0">
  <autoFilter ref="A23:C29" xr:uid="{D60D191A-3E5A-4230-9482-4BE95C91F9DD}"/>
  <tableColumns count="3">
    <tableColumn id="1" xr3:uid="{CD8F36A6-CC3C-4C32-A06D-C40A8D77885F}" name="Financial Statement Automation"/>
    <tableColumn id="2" xr3:uid="{1F3EAB48-ADA1-4F52-83DE-169D9C4465CC}" name="Num" dataDxfId="561"/>
    <tableColumn id="3" xr3:uid="{1ABD7812-EB79-43F4-BE3A-C509209104E4}" name="Yes/No" dataDxfId="560"/>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90C81C-BF1D-49EE-A4A8-3561B4BF3C06}" name="Feedback" displayName="Feedback" ref="A32:D43" totalsRowShown="0">
  <autoFilter ref="A32:D43" xr:uid="{0090C81C-BF1D-49EE-A4A8-3561B4BF3C06}"/>
  <tableColumns count="4">
    <tableColumn id="1" xr3:uid="{66FCA6C9-1D85-4A84-9DB0-E525735A67CB}" name="Item"/>
    <tableColumn id="2" xr3:uid="{BA8B8BFB-D460-4F54-84B6-CECB157064B8}" name="Yes/No" dataDxfId="559"/>
    <tableColumn id="4" xr3:uid="{DDBDD4C0-1EE6-4B06-A661-4887B5C49F20}" name="BLANK" dataDxfId="558"/>
    <tableColumn id="3" xr3:uid="{8A37E4D5-9E60-4F3D-A95E-D516C498597E}" name="Description"/>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7F92C35-10EB-4C98-8F55-F5F438C752D0}" name="Journal" displayName="Journal" ref="B9:L195" totalsRowShown="0" headerRowDxfId="557">
  <autoFilter ref="B9:L195" xr:uid="{E7F92C35-10EB-4C98-8F55-F5F438C752D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1" xr3:uid="{94F7A1B1-35A9-4499-86D4-1E7F5ABDCFBD}" name="ref" dataDxfId="556"/>
    <tableColumn id="2" xr3:uid="{2054F028-5A48-461E-8DC8-E9B8D3BB0F85}" name="AccntType" dataDxfId="555"/>
    <tableColumn id="3" xr3:uid="{E57365C5-BA6F-48F7-BA08-71F2B90115F6}" name="DrAccnt" dataDxfId="554"/>
    <tableColumn id="4" xr3:uid="{86B0E1C0-0470-47FC-869B-4DA19B6457CA}" name="CrAccnt"/>
    <tableColumn id="5" xr3:uid="{945060E9-A665-49AA-845B-101B5D8547D5}" name="DrAmt" dataCellStyle="Comma"/>
    <tableColumn id="6" xr3:uid="{DE912126-CAF2-476F-9E29-5D51D17ECDCB}" name="CrAmt" dataDxfId="553" dataCellStyle="Comma"/>
    <tableColumn id="7" xr3:uid="{AA584740-D4AC-431A-9CDB-4E6D240AA6D6}" name="CFS" dataDxfId="552"/>
    <tableColumn id="1" xr3:uid="{776727D5-7F20-49DC-82C6-FED3DF50BD18}" name="ref2" dataDxfId="551">
      <calculatedColumnFormula>_xlfn.XLOOKUP(Journal[[#This Row],[ref]],TransInfo[Num],TransInfo[ref],"")</calculatedColumnFormula>
    </tableColumn>
    <tableColumn id="8" xr3:uid="{4A8E4273-307E-4982-AFD4-1CBF1AD6AFE2}" name="LineNum" dataDxfId="550" dataCellStyle="Comma">
      <calculatedColumnFormula array="1">_xlfn.IFS(ISBLANK(Journal[[#This Row],[ref2]]),"",NOT(ISBLANK(Journal[[#This Row],[ref2]])),1)</calculatedColumnFormula>
    </tableColumn>
    <tableColumn id="9" xr3:uid="{D633CA84-5E22-4822-910A-FC8423EEA16F}" name="ref1" dataDxfId="549">
      <calculatedColumnFormula>IF(NOT(ISBLANK(Journal[[#This Row],[ref2]])),Journal[[#This Row],[ref2]]&amp;Journal[[#This Row],[LineNum]],"")</calculatedColumnFormula>
    </tableColumn>
    <tableColumn id="10" xr3:uid="{FACE6EAF-A9C7-4061-B18A-39FBF40B7564}" name="Cash" dataCellStyle="Comma">
      <calculatedColumnFormula array="1">IFERROR(_xlfn.IFS(Journal[[#This Row],[DrAccnt]]="Cash",Journal[[#This Row],[DrAmt]],Journal[[#This Row],[CrAccnt]]="Cash",-Journal[[#This Row],[CrAmt]]),0)</calculatedColumnFormula>
    </tableColumn>
  </tableColumns>
  <tableStyleInfo name="Table Style Journal"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3" Type="http://schemas.openxmlformats.org/officeDocument/2006/relationships/table" Target="../tables/table7.xml"/><Relationship Id="rId7" Type="http://schemas.openxmlformats.org/officeDocument/2006/relationships/table" Target="../tables/table11.xml"/><Relationship Id="rId12" Type="http://schemas.openxmlformats.org/officeDocument/2006/relationships/table" Target="../tables/table16.xml"/><Relationship Id="rId2" Type="http://schemas.openxmlformats.org/officeDocument/2006/relationships/table" Target="../tables/table6.xml"/><Relationship Id="rId16" Type="http://schemas.openxmlformats.org/officeDocument/2006/relationships/comments" Target="../comments1.xml"/><Relationship Id="rId1" Type="http://schemas.openxmlformats.org/officeDocument/2006/relationships/vmlDrawing" Target="../drawings/vmlDrawing1.vm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vmlDrawing" Target="../drawings/vmlDrawing2.vml"/><Relationship Id="rId6" Type="http://schemas.openxmlformats.org/officeDocument/2006/relationships/comments" Target="../comments2.xml"/><Relationship Id="rId5" Type="http://schemas.openxmlformats.org/officeDocument/2006/relationships/table" Target="../tables/table25.xml"/><Relationship Id="rId4" Type="http://schemas.openxmlformats.org/officeDocument/2006/relationships/table" Target="../tables/table2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13.bin"/><Relationship Id="rId4" Type="http://schemas.openxmlformats.org/officeDocument/2006/relationships/comments" Target="../comments3.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02DD7-40DD-4AFD-A8C0-95815E631BDC}">
  <dimension ref="A1:V263"/>
  <sheetViews>
    <sheetView zoomScaleNormal="100" workbookViewId="0">
      <selection activeCell="C36" sqref="C36"/>
    </sheetView>
  </sheetViews>
  <sheetFormatPr baseColWidth="10" defaultColWidth="8.83203125" defaultRowHeight="15" x14ac:dyDescent="0.2"/>
  <cols>
    <col min="1" max="1" width="45" customWidth="1"/>
    <col min="2" max="2" width="20.83203125" customWidth="1"/>
    <col min="3" max="3" width="30.83203125" customWidth="1"/>
    <col min="5" max="5" width="8.83203125" customWidth="1"/>
    <col min="6" max="6" width="9.1640625" collapsed="1"/>
    <col min="8" max="15" width="8.83203125" customWidth="1"/>
    <col min="16" max="16" width="9.1640625" collapsed="1"/>
    <col min="17" max="18" width="8.83203125" customWidth="1"/>
    <col min="19" max="19" width="9.1640625" collapsed="1"/>
    <col min="20" max="21" width="8.83203125" customWidth="1"/>
    <col min="22" max="22" width="9.1640625" collapsed="1"/>
  </cols>
  <sheetData>
    <row r="1" spans="1:5" x14ac:dyDescent="0.2">
      <c r="A1" s="3" t="s">
        <v>0</v>
      </c>
      <c r="B1" s="3"/>
      <c r="C1" s="3"/>
      <c r="E1" s="3"/>
    </row>
    <row r="2" spans="1:5" x14ac:dyDescent="0.2">
      <c r="A2" s="1" t="s">
        <v>1</v>
      </c>
      <c r="B2" s="1" t="s">
        <v>2</v>
      </c>
      <c r="C2" s="1" t="s">
        <v>3</v>
      </c>
      <c r="E2" s="1"/>
    </row>
    <row r="3" spans="1:5" x14ac:dyDescent="0.2">
      <c r="A3" t="s">
        <v>4</v>
      </c>
      <c r="C3" t="str">
        <f>"Entity Name:    "&amp;EntityInfo[[#This Row],[Value]]</f>
        <v xml:space="preserve">Entity Name:    </v>
      </c>
      <c r="E3" s="1"/>
    </row>
    <row r="4" spans="1:5" x14ac:dyDescent="0.2">
      <c r="A4" t="s">
        <v>5</v>
      </c>
      <c r="C4" t="str">
        <f>"Entity Type:      "&amp;EntityInfo[[#This Row],[Value]]</f>
        <v xml:space="preserve">Entity Type:      </v>
      </c>
      <c r="E4" s="1"/>
    </row>
    <row r="5" spans="1:5" x14ac:dyDescent="0.2">
      <c r="A5" t="s">
        <v>6</v>
      </c>
      <c r="C5" t="str">
        <f>"Entity Activity Type:   "&amp;EntityInfo[[#This Row],[Value]]</f>
        <v xml:space="preserve">Entity Activity Type:   </v>
      </c>
      <c r="E5" s="1"/>
    </row>
    <row r="6" spans="1:5" x14ac:dyDescent="0.2">
      <c r="A6" t="s">
        <v>7</v>
      </c>
      <c r="C6" t="str">
        <f>"BegDate:    "&amp;EntityInfo[[#This Row],[Value]]</f>
        <v xml:space="preserve">BegDate:    </v>
      </c>
      <c r="E6" s="1"/>
    </row>
    <row r="7" spans="1:5" x14ac:dyDescent="0.2">
      <c r="A7" t="s">
        <v>8</v>
      </c>
      <c r="C7" t="str">
        <f>"EndDate:    "&amp;EntityInfo[[#This Row],[Value]]</f>
        <v xml:space="preserve">EndDate:    </v>
      </c>
      <c r="E7" s="1"/>
    </row>
    <row r="8" spans="1:5" x14ac:dyDescent="0.2">
      <c r="A8" t="s">
        <v>9</v>
      </c>
      <c r="C8" t="str">
        <f>"Period:        "&amp;EntityInfo[[#This Row],[Value]]</f>
        <v xml:space="preserve">Period:        </v>
      </c>
    </row>
    <row r="9" spans="1:5" x14ac:dyDescent="0.2">
      <c r="A9" t="s">
        <v>10</v>
      </c>
      <c r="C9" t="str">
        <f>"Units:      "&amp;EntityInfo[[#This Row],[Value]]</f>
        <v xml:space="preserve">Units:      </v>
      </c>
    </row>
    <row r="10" spans="1:5" x14ac:dyDescent="0.2">
      <c r="A10" t="str" cm="1">
        <f t="array" ref="A10">"Common Shares Outstanding @ "&amp;BegDate</f>
        <v xml:space="preserve">Common Shares Outstanding @ </v>
      </c>
      <c r="B10" s="8"/>
      <c r="C10" t="str">
        <f>"Shares Outstanding:      "&amp;TEXT(EntityInfo[[#This Row],[Value]],"#,##0")</f>
        <v>Shares Outstanding:      0</v>
      </c>
    </row>
    <row r="11" spans="1:5" x14ac:dyDescent="0.2">
      <c r="A11" t="s">
        <v>11</v>
      </c>
      <c r="B11" s="9"/>
      <c r="C11" t="str">
        <f>"Par Value:      $"&amp;EntityInfo[[#This Row],[Value]]&amp;"/shr"</f>
        <v>Par Value:      $/shr</v>
      </c>
    </row>
    <row r="12" spans="1:5" x14ac:dyDescent="0.2">
      <c r="A12" t="s">
        <v>12</v>
      </c>
      <c r="C12" t="str">
        <f>"Treasury Shares:      "&amp;EntityInfo[[#This Row],[Value]]</f>
        <v xml:space="preserve">Treasury Shares:      </v>
      </c>
    </row>
    <row r="173" spans="1:4" x14ac:dyDescent="0.2">
      <c r="A173" s="1" t="s">
        <v>13</v>
      </c>
      <c r="B173" s="1" t="s">
        <v>14</v>
      </c>
      <c r="C173" s="1" t="s">
        <v>15</v>
      </c>
      <c r="D173" s="1" t="s">
        <v>16</v>
      </c>
    </row>
    <row r="174" spans="1:4" x14ac:dyDescent="0.2">
      <c r="A174" t="s">
        <v>17</v>
      </c>
      <c r="B174" s="1" t="s">
        <v>18</v>
      </c>
      <c r="C174" s="1">
        <v>1</v>
      </c>
      <c r="D174" s="1" t="s">
        <v>19</v>
      </c>
    </row>
    <row r="175" spans="1:4" x14ac:dyDescent="0.2">
      <c r="A175" t="s">
        <v>20</v>
      </c>
      <c r="B175" s="1" t="s">
        <v>21</v>
      </c>
      <c r="C175" s="1">
        <v>1</v>
      </c>
      <c r="D175" s="1" t="s">
        <v>19</v>
      </c>
    </row>
    <row r="176" spans="1:4" x14ac:dyDescent="0.2">
      <c r="A176" t="s">
        <v>22</v>
      </c>
      <c r="B176" s="1" t="s">
        <v>21</v>
      </c>
      <c r="C176" s="1">
        <v>1</v>
      </c>
      <c r="D176" s="1" t="s">
        <v>19</v>
      </c>
    </row>
    <row r="177" spans="1:4" x14ac:dyDescent="0.2">
      <c r="A177" t="s">
        <v>23</v>
      </c>
      <c r="B177" s="1" t="s">
        <v>18</v>
      </c>
      <c r="C177" s="1">
        <v>1</v>
      </c>
      <c r="D177" s="1" t="s">
        <v>19</v>
      </c>
    </row>
    <row r="178" spans="1:4" x14ac:dyDescent="0.2">
      <c r="A178" t="s">
        <v>24</v>
      </c>
      <c r="B178" s="1" t="s">
        <v>18</v>
      </c>
      <c r="C178" s="1">
        <v>1</v>
      </c>
      <c r="D178" s="1" t="s">
        <v>19</v>
      </c>
    </row>
    <row r="179" spans="1:4" x14ac:dyDescent="0.2">
      <c r="A179" t="s">
        <v>25</v>
      </c>
      <c r="B179" s="1" t="s">
        <v>18</v>
      </c>
      <c r="C179" s="1">
        <v>1</v>
      </c>
      <c r="D179" s="1" t="s">
        <v>19</v>
      </c>
    </row>
    <row r="180" spans="1:4" x14ac:dyDescent="0.2">
      <c r="A180" t="s">
        <v>26</v>
      </c>
      <c r="B180" s="1" t="s">
        <v>18</v>
      </c>
      <c r="C180" s="1">
        <v>1</v>
      </c>
      <c r="D180" s="1" t="s">
        <v>27</v>
      </c>
    </row>
    <row r="181" spans="1:4" x14ac:dyDescent="0.2">
      <c r="A181" t="s">
        <v>28</v>
      </c>
      <c r="B181" s="1" t="s">
        <v>29</v>
      </c>
      <c r="C181" s="1">
        <v>1</v>
      </c>
      <c r="D181" s="1" t="s">
        <v>27</v>
      </c>
    </row>
    <row r="182" spans="1:4" x14ac:dyDescent="0.2">
      <c r="A182" t="s">
        <v>30</v>
      </c>
      <c r="B182" s="1" t="s">
        <v>18</v>
      </c>
      <c r="C182" s="1">
        <v>1</v>
      </c>
      <c r="D182" s="1" t="s">
        <v>27</v>
      </c>
    </row>
    <row r="183" spans="1:4" x14ac:dyDescent="0.2">
      <c r="A183" t="s">
        <v>31</v>
      </c>
      <c r="B183" s="1" t="s">
        <v>32</v>
      </c>
      <c r="C183" s="1">
        <v>2</v>
      </c>
      <c r="D183" s="1" t="s">
        <v>19</v>
      </c>
    </row>
    <row r="184" spans="1:4" x14ac:dyDescent="0.2">
      <c r="A184" t="s">
        <v>20</v>
      </c>
      <c r="B184" s="1" t="s">
        <v>21</v>
      </c>
      <c r="C184" s="1">
        <v>2</v>
      </c>
      <c r="D184" s="1" t="s">
        <v>19</v>
      </c>
    </row>
    <row r="185" spans="1:4" x14ac:dyDescent="0.2">
      <c r="A185" t="s">
        <v>22</v>
      </c>
      <c r="B185" s="1" t="s">
        <v>21</v>
      </c>
      <c r="C185" s="1">
        <v>2</v>
      </c>
      <c r="D185" s="1" t="s">
        <v>19</v>
      </c>
    </row>
    <row r="186" spans="1:4" x14ac:dyDescent="0.2">
      <c r="A186" t="s">
        <v>23</v>
      </c>
      <c r="B186" s="1" t="s">
        <v>32</v>
      </c>
      <c r="C186" s="1">
        <v>2</v>
      </c>
      <c r="D186" s="1" t="s">
        <v>19</v>
      </c>
    </row>
    <row r="187" spans="1:4" x14ac:dyDescent="0.2">
      <c r="A187" t="s">
        <v>24</v>
      </c>
      <c r="B187" s="1" t="s">
        <v>32</v>
      </c>
      <c r="C187" s="1">
        <v>2</v>
      </c>
      <c r="D187" s="1" t="s">
        <v>19</v>
      </c>
    </row>
    <row r="188" spans="1:4" x14ac:dyDescent="0.2">
      <c r="A188" t="s">
        <v>33</v>
      </c>
      <c r="B188" s="1" t="s">
        <v>32</v>
      </c>
      <c r="C188" s="1">
        <v>2</v>
      </c>
      <c r="D188" s="1" t="s">
        <v>19</v>
      </c>
    </row>
    <row r="189" spans="1:4" x14ac:dyDescent="0.2">
      <c r="A189" t="s">
        <v>26</v>
      </c>
      <c r="B189" s="1" t="s">
        <v>32</v>
      </c>
      <c r="C189" s="1">
        <v>2</v>
      </c>
      <c r="D189" s="1" t="s">
        <v>19</v>
      </c>
    </row>
    <row r="190" spans="1:4" x14ac:dyDescent="0.2">
      <c r="A190" t="s">
        <v>28</v>
      </c>
      <c r="B190" s="1" t="s">
        <v>29</v>
      </c>
      <c r="C190" s="1">
        <v>2</v>
      </c>
      <c r="D190" s="1" t="s">
        <v>19</v>
      </c>
    </row>
    <row r="191" spans="1:4" x14ac:dyDescent="0.2">
      <c r="A191" t="s">
        <v>30</v>
      </c>
      <c r="B191" s="1" t="s">
        <v>32</v>
      </c>
      <c r="C191" s="1">
        <v>2</v>
      </c>
      <c r="D191" s="1" t="s">
        <v>19</v>
      </c>
    </row>
    <row r="192" spans="1:4" x14ac:dyDescent="0.2">
      <c r="A192" t="s">
        <v>31</v>
      </c>
      <c r="B192" s="1" t="s">
        <v>34</v>
      </c>
      <c r="C192" s="1">
        <v>3</v>
      </c>
      <c r="D192" s="1" t="s">
        <v>19</v>
      </c>
    </row>
    <row r="193" spans="1:7" x14ac:dyDescent="0.2">
      <c r="A193" t="s">
        <v>20</v>
      </c>
      <c r="B193" s="1" t="s">
        <v>21</v>
      </c>
      <c r="C193" s="1">
        <v>3</v>
      </c>
      <c r="D193" s="1" t="s">
        <v>19</v>
      </c>
    </row>
    <row r="194" spans="1:7" x14ac:dyDescent="0.2">
      <c r="A194" t="s">
        <v>22</v>
      </c>
      <c r="B194" s="1" t="s">
        <v>21</v>
      </c>
      <c r="C194" s="1">
        <v>3</v>
      </c>
      <c r="D194" s="1" t="s">
        <v>19</v>
      </c>
    </row>
    <row r="195" spans="1:7" x14ac:dyDescent="0.2">
      <c r="A195" t="s">
        <v>35</v>
      </c>
      <c r="B195" s="1" t="s">
        <v>34</v>
      </c>
      <c r="C195" s="1">
        <v>3</v>
      </c>
      <c r="D195" s="1" t="s">
        <v>19</v>
      </c>
    </row>
    <row r="196" spans="1:7" x14ac:dyDescent="0.2">
      <c r="A196" t="s">
        <v>24</v>
      </c>
      <c r="B196" s="1" t="s">
        <v>34</v>
      </c>
      <c r="C196" s="1">
        <v>3</v>
      </c>
      <c r="D196" s="1" t="s">
        <v>19</v>
      </c>
    </row>
    <row r="197" spans="1:7" x14ac:dyDescent="0.2">
      <c r="A197" t="s">
        <v>33</v>
      </c>
      <c r="B197" s="1" t="s">
        <v>34</v>
      </c>
      <c r="C197" s="1">
        <v>3</v>
      </c>
      <c r="D197" s="1" t="s">
        <v>19</v>
      </c>
    </row>
    <row r="198" spans="1:7" x14ac:dyDescent="0.2">
      <c r="A198" t="s">
        <v>26</v>
      </c>
      <c r="B198" s="1" t="s">
        <v>34</v>
      </c>
      <c r="C198" s="1">
        <v>3</v>
      </c>
      <c r="D198" s="1" t="s">
        <v>19</v>
      </c>
    </row>
    <row r="199" spans="1:7" x14ac:dyDescent="0.2">
      <c r="A199" t="s">
        <v>28</v>
      </c>
      <c r="B199" s="1" t="s">
        <v>29</v>
      </c>
      <c r="C199" s="1">
        <v>3</v>
      </c>
      <c r="D199" s="1" t="s">
        <v>19</v>
      </c>
      <c r="G199" s="1"/>
    </row>
    <row r="200" spans="1:7" x14ac:dyDescent="0.2">
      <c r="A200" t="s">
        <v>30</v>
      </c>
      <c r="B200" s="1" t="s">
        <v>34</v>
      </c>
      <c r="C200" s="1">
        <v>3</v>
      </c>
      <c r="D200" s="1" t="s">
        <v>19</v>
      </c>
      <c r="G200" s="1"/>
    </row>
    <row r="201" spans="1:7" x14ac:dyDescent="0.2">
      <c r="A201" t="s">
        <v>31</v>
      </c>
      <c r="B201" s="1" t="s">
        <v>36</v>
      </c>
      <c r="C201" s="1">
        <v>4</v>
      </c>
      <c r="D201" s="1" t="s">
        <v>19</v>
      </c>
      <c r="G201" s="1"/>
    </row>
    <row r="202" spans="1:7" x14ac:dyDescent="0.2">
      <c r="A202" t="s">
        <v>20</v>
      </c>
      <c r="B202" s="1" t="s">
        <v>21</v>
      </c>
      <c r="C202" s="1">
        <v>4</v>
      </c>
      <c r="D202" s="1" t="s">
        <v>19</v>
      </c>
      <c r="G202" s="1"/>
    </row>
    <row r="203" spans="1:7" x14ac:dyDescent="0.2">
      <c r="A203" t="s">
        <v>22</v>
      </c>
      <c r="B203" s="1" t="s">
        <v>21</v>
      </c>
      <c r="C203" s="1">
        <v>4</v>
      </c>
      <c r="D203" s="1" t="s">
        <v>19</v>
      </c>
      <c r="G203" s="1"/>
    </row>
    <row r="204" spans="1:7" x14ac:dyDescent="0.2">
      <c r="A204" t="s">
        <v>35</v>
      </c>
      <c r="B204" s="1" t="s">
        <v>36</v>
      </c>
      <c r="C204" s="1">
        <v>4</v>
      </c>
      <c r="D204" s="1" t="s">
        <v>19</v>
      </c>
      <c r="G204" s="1"/>
    </row>
    <row r="205" spans="1:7" x14ac:dyDescent="0.2">
      <c r="A205" t="s">
        <v>37</v>
      </c>
      <c r="B205" s="1" t="s">
        <v>36</v>
      </c>
      <c r="C205" s="1">
        <v>4</v>
      </c>
      <c r="D205" s="1" t="s">
        <v>19</v>
      </c>
      <c r="G205" s="1"/>
    </row>
    <row r="206" spans="1:7" x14ac:dyDescent="0.2">
      <c r="A206" t="s">
        <v>33</v>
      </c>
      <c r="B206" s="1" t="s">
        <v>36</v>
      </c>
      <c r="C206" s="1">
        <v>4</v>
      </c>
      <c r="D206" s="1" t="s">
        <v>19</v>
      </c>
      <c r="G206" s="1"/>
    </row>
    <row r="207" spans="1:7" x14ac:dyDescent="0.2">
      <c r="A207" t="s">
        <v>26</v>
      </c>
      <c r="B207" s="1" t="s">
        <v>36</v>
      </c>
      <c r="C207" s="1">
        <v>4</v>
      </c>
      <c r="D207" s="1" t="s">
        <v>19</v>
      </c>
      <c r="G207" s="1"/>
    </row>
    <row r="208" spans="1:7" x14ac:dyDescent="0.2">
      <c r="A208" t="s">
        <v>28</v>
      </c>
      <c r="B208" s="1" t="s">
        <v>29</v>
      </c>
      <c r="C208" s="1">
        <v>4</v>
      </c>
      <c r="D208" s="1" t="s">
        <v>19</v>
      </c>
      <c r="G208" s="1"/>
    </row>
    <row r="209" spans="1:7" x14ac:dyDescent="0.2">
      <c r="A209" t="s">
        <v>30</v>
      </c>
      <c r="B209" s="1" t="s">
        <v>36</v>
      </c>
      <c r="C209" s="1">
        <v>4</v>
      </c>
      <c r="D209" s="1" t="s">
        <v>19</v>
      </c>
      <c r="G209" s="1"/>
    </row>
    <row r="210" spans="1:7" x14ac:dyDescent="0.2">
      <c r="A210" t="s">
        <v>31</v>
      </c>
      <c r="B210" s="1" t="s">
        <v>38</v>
      </c>
      <c r="C210" s="1">
        <v>5</v>
      </c>
      <c r="D210" s="1" t="s">
        <v>19</v>
      </c>
      <c r="G210" s="1"/>
    </row>
    <row r="211" spans="1:7" x14ac:dyDescent="0.2">
      <c r="A211" t="s">
        <v>20</v>
      </c>
      <c r="B211" s="1" t="s">
        <v>21</v>
      </c>
      <c r="C211" s="1">
        <v>5</v>
      </c>
      <c r="D211" s="1" t="s">
        <v>19</v>
      </c>
      <c r="G211" s="1"/>
    </row>
    <row r="212" spans="1:7" x14ac:dyDescent="0.2">
      <c r="A212" t="s">
        <v>22</v>
      </c>
      <c r="B212" s="1" t="s">
        <v>21</v>
      </c>
      <c r="C212" s="1">
        <v>5</v>
      </c>
      <c r="D212" s="1" t="s">
        <v>19</v>
      </c>
      <c r="G212" s="1"/>
    </row>
    <row r="213" spans="1:7" x14ac:dyDescent="0.2">
      <c r="A213" t="s">
        <v>35</v>
      </c>
      <c r="B213" s="1" t="s">
        <v>38</v>
      </c>
      <c r="C213" s="1">
        <v>5</v>
      </c>
      <c r="D213" s="1" t="s">
        <v>19</v>
      </c>
      <c r="G213" s="1"/>
    </row>
    <row r="214" spans="1:7" x14ac:dyDescent="0.2">
      <c r="A214" t="s">
        <v>37</v>
      </c>
      <c r="B214" s="1" t="s">
        <v>38</v>
      </c>
      <c r="C214" s="1">
        <v>5</v>
      </c>
      <c r="D214" s="1" t="s">
        <v>19</v>
      </c>
      <c r="G214" s="1"/>
    </row>
    <row r="215" spans="1:7" x14ac:dyDescent="0.2">
      <c r="A215" t="s">
        <v>33</v>
      </c>
      <c r="B215" s="1" t="s">
        <v>38</v>
      </c>
      <c r="C215" s="1">
        <v>5</v>
      </c>
      <c r="D215" s="1" t="s">
        <v>19</v>
      </c>
      <c r="G215" s="1"/>
    </row>
    <row r="216" spans="1:7" x14ac:dyDescent="0.2">
      <c r="A216" t="s">
        <v>39</v>
      </c>
      <c r="B216" s="1" t="s">
        <v>38</v>
      </c>
      <c r="C216" s="1">
        <v>5</v>
      </c>
      <c r="D216" s="1" t="s">
        <v>19</v>
      </c>
      <c r="G216" s="1"/>
    </row>
    <row r="217" spans="1:7" x14ac:dyDescent="0.2">
      <c r="A217" t="s">
        <v>28</v>
      </c>
      <c r="B217" s="1" t="s">
        <v>29</v>
      </c>
      <c r="C217" s="1">
        <v>5</v>
      </c>
      <c r="D217" s="1" t="s">
        <v>19</v>
      </c>
      <c r="G217" s="1"/>
    </row>
    <row r="218" spans="1:7" x14ac:dyDescent="0.2">
      <c r="A218" t="s">
        <v>30</v>
      </c>
      <c r="B218" s="1" t="s">
        <v>38</v>
      </c>
      <c r="C218" s="1">
        <v>5</v>
      </c>
      <c r="D218" s="1" t="s">
        <v>19</v>
      </c>
      <c r="G218" s="1"/>
    </row>
    <row r="219" spans="1:7" x14ac:dyDescent="0.2">
      <c r="A219" t="s">
        <v>31</v>
      </c>
      <c r="B219" s="1" t="s">
        <v>38</v>
      </c>
      <c r="C219" s="1">
        <v>6</v>
      </c>
      <c r="D219" s="1" t="s">
        <v>19</v>
      </c>
      <c r="G219" s="1"/>
    </row>
    <row r="220" spans="1:7" x14ac:dyDescent="0.2">
      <c r="A220" t="s">
        <v>20</v>
      </c>
      <c r="B220" s="1" t="s">
        <v>21</v>
      </c>
      <c r="C220" s="1">
        <v>6</v>
      </c>
      <c r="D220" s="1" t="s">
        <v>19</v>
      </c>
      <c r="G220" s="1"/>
    </row>
    <row r="221" spans="1:7" x14ac:dyDescent="0.2">
      <c r="A221" t="s">
        <v>22</v>
      </c>
      <c r="B221" s="1" t="s">
        <v>21</v>
      </c>
      <c r="C221" s="1">
        <v>6</v>
      </c>
      <c r="D221" s="1" t="s">
        <v>19</v>
      </c>
      <c r="G221" s="1"/>
    </row>
    <row r="222" spans="1:7" x14ac:dyDescent="0.2">
      <c r="A222" t="s">
        <v>35</v>
      </c>
      <c r="B222" s="1" t="s">
        <v>38</v>
      </c>
      <c r="C222" s="1">
        <v>6</v>
      </c>
      <c r="D222" s="1" t="s">
        <v>19</v>
      </c>
      <c r="G222" s="1"/>
    </row>
    <row r="223" spans="1:7" x14ac:dyDescent="0.2">
      <c r="A223" t="s">
        <v>37</v>
      </c>
      <c r="B223" s="1" t="s">
        <v>38</v>
      </c>
      <c r="C223" s="1">
        <v>6</v>
      </c>
      <c r="D223" s="1" t="s">
        <v>19</v>
      </c>
    </row>
    <row r="224" spans="1:7" x14ac:dyDescent="0.2">
      <c r="A224" t="s">
        <v>33</v>
      </c>
      <c r="B224" s="1" t="s">
        <v>38</v>
      </c>
      <c r="C224" s="1">
        <v>6</v>
      </c>
      <c r="D224" s="1" t="s">
        <v>19</v>
      </c>
    </row>
    <row r="225" spans="1:4" x14ac:dyDescent="0.2">
      <c r="A225" t="s">
        <v>40</v>
      </c>
      <c r="B225" s="1" t="s">
        <v>38</v>
      </c>
      <c r="C225" s="1">
        <v>6</v>
      </c>
      <c r="D225" s="1" t="s">
        <v>19</v>
      </c>
    </row>
    <row r="228" spans="1:4" ht="16" x14ac:dyDescent="0.2">
      <c r="A228" s="373" t="s">
        <v>41</v>
      </c>
      <c r="B228" s="375" t="s">
        <v>42</v>
      </c>
    </row>
    <row r="229" spans="1:4" ht="16" x14ac:dyDescent="0.2">
      <c r="A229" s="371" t="s">
        <v>43</v>
      </c>
      <c r="B229" s="376" t="s">
        <v>27</v>
      </c>
    </row>
    <row r="230" spans="1:4" ht="16" x14ac:dyDescent="0.2">
      <c r="A230" s="372" t="s">
        <v>44</v>
      </c>
      <c r="B230" s="376" t="s">
        <v>27</v>
      </c>
    </row>
    <row r="231" spans="1:4" ht="16" x14ac:dyDescent="0.2">
      <c r="A231" s="371" t="s">
        <v>45</v>
      </c>
      <c r="B231" s="376" t="s">
        <v>27</v>
      </c>
    </row>
    <row r="232" spans="1:4" ht="16" x14ac:dyDescent="0.2">
      <c r="A232" s="372" t="s">
        <v>46</v>
      </c>
      <c r="B232" s="376" t="s">
        <v>27</v>
      </c>
    </row>
    <row r="233" spans="1:4" ht="16" x14ac:dyDescent="0.2">
      <c r="A233" s="371" t="s">
        <v>47</v>
      </c>
      <c r="B233" s="376" t="s">
        <v>27</v>
      </c>
    </row>
    <row r="234" spans="1:4" ht="32" x14ac:dyDescent="0.2">
      <c r="A234" s="372" t="s">
        <v>48</v>
      </c>
      <c r="B234" s="376" t="s">
        <v>27</v>
      </c>
    </row>
    <row r="235" spans="1:4" ht="32" x14ac:dyDescent="0.2">
      <c r="A235" s="371" t="s">
        <v>49</v>
      </c>
      <c r="B235" s="376" t="s">
        <v>27</v>
      </c>
    </row>
    <row r="236" spans="1:4" ht="16" x14ac:dyDescent="0.2">
      <c r="A236" s="372" t="s">
        <v>50</v>
      </c>
      <c r="B236" s="376" t="s">
        <v>27</v>
      </c>
    </row>
    <row r="237" spans="1:4" ht="16" x14ac:dyDescent="0.2">
      <c r="A237" s="371" t="s">
        <v>51</v>
      </c>
      <c r="B237" s="376" t="s">
        <v>27</v>
      </c>
    </row>
    <row r="238" spans="1:4" ht="16" x14ac:dyDescent="0.2">
      <c r="A238" s="372" t="s">
        <v>52</v>
      </c>
      <c r="B238" s="376" t="s">
        <v>27</v>
      </c>
    </row>
    <row r="239" spans="1:4" ht="16" x14ac:dyDescent="0.2">
      <c r="A239" s="371" t="s">
        <v>53</v>
      </c>
      <c r="B239" s="376" t="s">
        <v>27</v>
      </c>
    </row>
    <row r="240" spans="1:4" ht="16" x14ac:dyDescent="0.2">
      <c r="A240" s="372" t="s">
        <v>54</v>
      </c>
      <c r="B240" s="376" t="s">
        <v>27</v>
      </c>
    </row>
    <row r="241" spans="1:2" ht="16" x14ac:dyDescent="0.2">
      <c r="A241" s="371" t="s">
        <v>55</v>
      </c>
      <c r="B241" s="376" t="s">
        <v>27</v>
      </c>
    </row>
    <row r="242" spans="1:2" ht="32" x14ac:dyDescent="0.2">
      <c r="A242" s="372" t="s">
        <v>56</v>
      </c>
      <c r="B242" s="376" t="s">
        <v>27</v>
      </c>
    </row>
    <row r="243" spans="1:2" ht="32" x14ac:dyDescent="0.2">
      <c r="A243" s="371" t="s">
        <v>57</v>
      </c>
      <c r="B243" s="376" t="s">
        <v>27</v>
      </c>
    </row>
    <row r="244" spans="1:2" ht="32" x14ac:dyDescent="0.2">
      <c r="A244" s="372" t="s">
        <v>58</v>
      </c>
      <c r="B244" s="376" t="s">
        <v>27</v>
      </c>
    </row>
    <row r="245" spans="1:2" ht="16" x14ac:dyDescent="0.2">
      <c r="A245" s="371" t="s">
        <v>59</v>
      </c>
      <c r="B245" s="376" t="s">
        <v>27</v>
      </c>
    </row>
    <row r="246" spans="1:2" ht="32" x14ac:dyDescent="0.2">
      <c r="A246" s="372" t="s">
        <v>60</v>
      </c>
      <c r="B246" s="376" t="s">
        <v>27</v>
      </c>
    </row>
    <row r="247" spans="1:2" ht="16" x14ac:dyDescent="0.2">
      <c r="A247" s="371" t="s">
        <v>61</v>
      </c>
      <c r="B247" s="376" t="s">
        <v>27</v>
      </c>
    </row>
    <row r="248" spans="1:2" ht="32" x14ac:dyDescent="0.2">
      <c r="A248" s="372" t="s">
        <v>62</v>
      </c>
      <c r="B248" s="376" t="s">
        <v>27</v>
      </c>
    </row>
    <row r="249" spans="1:2" ht="32" x14ac:dyDescent="0.2">
      <c r="A249" s="371" t="s">
        <v>63</v>
      </c>
      <c r="B249" s="376" t="s">
        <v>27</v>
      </c>
    </row>
    <row r="250" spans="1:2" ht="16" x14ac:dyDescent="0.2">
      <c r="A250" s="372" t="s">
        <v>64</v>
      </c>
      <c r="B250" s="376" t="s">
        <v>27</v>
      </c>
    </row>
    <row r="251" spans="1:2" ht="16" x14ac:dyDescent="0.2">
      <c r="A251" s="371" t="s">
        <v>65</v>
      </c>
      <c r="B251" s="376" t="s">
        <v>27</v>
      </c>
    </row>
    <row r="252" spans="1:2" ht="16" x14ac:dyDescent="0.2">
      <c r="A252" s="372" t="s">
        <v>66</v>
      </c>
      <c r="B252" s="376" t="s">
        <v>27</v>
      </c>
    </row>
    <row r="253" spans="1:2" ht="32" x14ac:dyDescent="0.2">
      <c r="A253" s="371" t="s">
        <v>67</v>
      </c>
      <c r="B253" s="376" t="s">
        <v>27</v>
      </c>
    </row>
    <row r="254" spans="1:2" ht="32" x14ac:dyDescent="0.2">
      <c r="A254" s="372" t="s">
        <v>68</v>
      </c>
      <c r="B254" s="376" t="s">
        <v>27</v>
      </c>
    </row>
    <row r="255" spans="1:2" ht="32" x14ac:dyDescent="0.2">
      <c r="A255" s="371" t="s">
        <v>69</v>
      </c>
      <c r="B255" s="376" t="s">
        <v>27</v>
      </c>
    </row>
    <row r="256" spans="1:2" ht="48" x14ac:dyDescent="0.2">
      <c r="A256" s="372" t="s">
        <v>70</v>
      </c>
      <c r="B256" s="376" t="s">
        <v>27</v>
      </c>
    </row>
    <row r="257" spans="1:2" ht="32" x14ac:dyDescent="0.2">
      <c r="A257" s="371" t="s">
        <v>71</v>
      </c>
      <c r="B257" s="376" t="s">
        <v>27</v>
      </c>
    </row>
    <row r="258" spans="1:2" ht="32" x14ac:dyDescent="0.2">
      <c r="A258" s="372" t="s">
        <v>72</v>
      </c>
      <c r="B258" s="376" t="s">
        <v>27</v>
      </c>
    </row>
    <row r="259" spans="1:2" ht="32" x14ac:dyDescent="0.2">
      <c r="A259" s="371" t="s">
        <v>73</v>
      </c>
      <c r="B259" s="376" t="s">
        <v>27</v>
      </c>
    </row>
    <row r="260" spans="1:2" ht="32" x14ac:dyDescent="0.2">
      <c r="A260" s="372" t="s">
        <v>74</v>
      </c>
      <c r="B260" s="376" t="s">
        <v>27</v>
      </c>
    </row>
    <row r="261" spans="1:2" ht="32" x14ac:dyDescent="0.2">
      <c r="A261" s="371" t="s">
        <v>75</v>
      </c>
      <c r="B261" s="376" t="s">
        <v>27</v>
      </c>
    </row>
    <row r="262" spans="1:2" ht="16" x14ac:dyDescent="0.2">
      <c r="A262" s="372" t="s">
        <v>76</v>
      </c>
      <c r="B262" s="376" t="s">
        <v>27</v>
      </c>
    </row>
    <row r="263" spans="1:2" ht="32" x14ac:dyDescent="0.2">
      <c r="A263" s="374" t="s">
        <v>77</v>
      </c>
      <c r="B263" s="376" t="s">
        <v>27</v>
      </c>
    </row>
  </sheetData>
  <phoneticPr fontId="7" type="noConversion"/>
  <dataValidations xWindow="182" yWindow="369" count="10">
    <dataValidation allowBlank="1" showInputMessage="1" showErrorMessage="1" promptTitle="Common Shares Outstanding" prompt="Enter the number of common shares outstanding as of the beginning of the accounting period. Use raw numbers, not thousands, millions, etc." sqref="B10" xr:uid="{95057E6C-78A9-46C8-82AF-A62CFC985B01}"/>
    <dataValidation allowBlank="1" showInputMessage="1" showErrorMessage="1" promptTitle="Units" prompt="Enter the financial units in which the accounting is done. E.g., Dollars in Millions, in Millions of USD, Euros in Thousands, etc." sqref="B9" xr:uid="{22E55EFF-861D-40DA-93D2-A3B81DD12D54}"/>
    <dataValidation allowBlank="1" showInputMessage="1" showErrorMessage="1" promptTitle="Par Value" prompt="Enter the par value per share, if any, of common stock." sqref="B11" xr:uid="{05B7D26F-668E-401C-BBEB-1422B1179B09}"/>
    <dataValidation allowBlank="1" showInputMessage="1" showErrorMessage="1" promptTitle="Period" prompt="Enter the time span from the beginning date to the end date. E.g., Year, Quarter, Month, 4 Months, etc." sqref="B8" xr:uid="{7B0FE626-4FC4-4300-A3CD-A2CA285EA755}"/>
    <dataValidation allowBlank="1" showInputMessage="1" showErrorMessage="1" promptTitle="End Date" prompt="Enter the date at which the accounting period ends. E.g., if the accounting period ends as of the close of business on Demberer 31, 20X5, enter December 31, 20X5." sqref="B7" xr:uid="{8A0A43AC-B86F-4869-94CE-BB63B31DB652}"/>
    <dataValidation allowBlank="1" showInputMessage="1" showErrorMessage="1" promptTitle="Begin Date" prompt="Enter the date at which the accounting period begins. Often, this should be the date of the beginning balance sheet you are given. E.g., if the beginning balance sheet is dated August 31, 20X5. and see that close of business on Aug 31 is start of Sept 1." sqref="B6" xr:uid="{27E4303C-D986-48F5-9548-30282D6FE568}"/>
    <dataValidation type="list" allowBlank="1" showInputMessage="1" showErrorMessage="1" promptTitle="Entity Type" prompt="Select &quot;For-Profit&quot;, LLC, &quot;Not-for-Profit&quot;, etc. from the dropdown menu to specify the type of entity for which the accounting is being done." sqref="B4" xr:uid="{D83D2A83-18FB-4695-A410-301A06E0B66A}">
      <formula1>"For-Profit Corporation, For-Profit LLC, For-Profit Partnershiip,Not-for-Profit"</formula1>
    </dataValidation>
    <dataValidation allowBlank="1" showInputMessage="1" showErrorMessage="1" promptTitle="Entity" prompt="Enter the name of the entity for which the accounting is being done. E.g., Rick and Stan's Business, Grow Co., Yale New Haven Hospital, etc." sqref="B3" xr:uid="{45BBC794-8624-4B54-A2AB-4D6FA56168C0}"/>
    <dataValidation type="list" allowBlank="1" showInputMessage="1" showErrorMessage="1" promptTitle="Entity" sqref="B5" xr:uid="{46E24854-B11C-4EA4-95DD-268F19A6E9D0}">
      <formula1>"Retail, Manufacturing, Service, Combination"</formula1>
    </dataValidation>
    <dataValidation type="list" allowBlank="1" showInputMessage="1" showErrorMessage="1" sqref="B229:B263 D174:D225" xr:uid="{D7C1F5CE-2843-41AC-AD82-958960131C7C}">
      <formula1>"YES,NO"</formula1>
    </dataValidation>
  </dataValidations>
  <pageMargins left="0.7" right="0.7" top="0.75" bottom="0.75" header="0.3" footer="0.3"/>
  <pageSetup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80BDC-88BF-4FB6-8275-B4D9B2D1DE35}">
  <dimension ref="A1:AI74"/>
  <sheetViews>
    <sheetView tabSelected="1" workbookViewId="0">
      <selection activeCell="L2" sqref="L2"/>
    </sheetView>
  </sheetViews>
  <sheetFormatPr baseColWidth="10" defaultColWidth="8.83203125" defaultRowHeight="15" x14ac:dyDescent="0.2"/>
  <cols>
    <col min="3" max="3" width="37.1640625" customWidth="1"/>
    <col min="7" max="7" width="31.5" bestFit="1" customWidth="1"/>
  </cols>
  <sheetData>
    <row r="1" spans="1:35" x14ac:dyDescent="0.2">
      <c r="B1" s="5" t="s">
        <v>78</v>
      </c>
      <c r="F1" t="s">
        <v>79</v>
      </c>
      <c r="I1" s="119" t="s">
        <v>80</v>
      </c>
      <c r="J1" s="120"/>
      <c r="K1" s="121"/>
      <c r="L1" s="119" t="s">
        <v>81</v>
      </c>
      <c r="M1" s="120"/>
      <c r="N1" s="121"/>
      <c r="O1" s="119" t="s">
        <v>82</v>
      </c>
      <c r="P1" s="120"/>
      <c r="Q1" s="121"/>
      <c r="R1" s="119" t="s">
        <v>83</v>
      </c>
      <c r="S1" s="120"/>
      <c r="T1" s="121"/>
      <c r="U1" s="119" t="s">
        <v>84</v>
      </c>
      <c r="V1" s="120"/>
      <c r="W1" s="121"/>
      <c r="X1" s="119" t="s">
        <v>85</v>
      </c>
      <c r="Y1" s="120"/>
      <c r="Z1" s="121"/>
      <c r="AA1" s="119" t="s">
        <v>86</v>
      </c>
      <c r="AB1" s="120"/>
      <c r="AC1" s="121"/>
      <c r="AD1" s="119" t="s">
        <v>87</v>
      </c>
      <c r="AE1" s="120"/>
      <c r="AF1" s="121"/>
      <c r="AG1" s="119" t="s">
        <v>87</v>
      </c>
      <c r="AH1" s="120"/>
      <c r="AI1" s="121"/>
    </row>
    <row r="2" spans="1:35" x14ac:dyDescent="0.2">
      <c r="A2" s="4" t="s">
        <v>88</v>
      </c>
      <c r="B2" s="4" t="s">
        <v>89</v>
      </c>
      <c r="C2" s="4" t="s">
        <v>90</v>
      </c>
      <c r="D2" s="4" t="s">
        <v>91</v>
      </c>
      <c r="E2" s="4"/>
      <c r="F2" s="1" t="s">
        <v>92</v>
      </c>
      <c r="G2" s="1" t="s">
        <v>93</v>
      </c>
      <c r="I2" s="17" t="str" cm="1">
        <f t="array" ref="I2:I5">_xlfn.TEXTSPLIT(_xlfn.XLOOKUP(AnswerData!B1,TransInfo[Num],TransInfo[Question]," ",0),," ",TRUE,0)</f>
        <v>Sold</v>
      </c>
      <c r="J2">
        <f>LEN(K2)</f>
        <v>17</v>
      </c>
      <c r="K2" s="18" t="str">
        <f>_xlfn.TEXTJOIN(" ",TRUE,I2:I16)</f>
        <v>Sold BU for XXXXX</v>
      </c>
      <c r="L2" s="17" t="e">
        <f ca="1">TEXTSPLIT(XLOOKUP(Journal!C7,TransInfo[Num],TransInfo[Question]," ",0),," ",TRUE,0)</f>
        <v>#NAME?</v>
      </c>
      <c r="M2" t="e">
        <f ca="1">LEN(N2)</f>
        <v>#NAME?</v>
      </c>
      <c r="N2" s="18" t="e">
        <f ca="1">_xlfn.TEXTJOIN(" ",TRUE,L2:L16)</f>
        <v>#NAME?</v>
      </c>
      <c r="O2" s="17" t="str" cm="1">
        <f t="array" ref="O2:O5">_xlfn.TEXTSPLIT(_xlfn.XLOOKUP(Financial_Statements_1!AE3,TransInfo[Num],TransInfo[Question]," ",0),," ",TRUE,0)</f>
        <v>Sold</v>
      </c>
      <c r="P2">
        <f>LEN(Q2)</f>
        <v>17</v>
      </c>
      <c r="Q2" s="18" t="str">
        <f>_xlfn.TEXTJOIN(" ",TRUE,O2:O16)</f>
        <v>Sold BU for XXXXX</v>
      </c>
      <c r="R2" s="17" t="str" cm="1">
        <f t="array" ref="R2:R5">_xlfn.TEXTSPLIT(_xlfn.XLOOKUP(Financial_Statements_1!AR3,TransInfo[Num],TransInfo[Question]," ",0),," ",TRUE,0)</f>
        <v>Sold</v>
      </c>
      <c r="S2">
        <f>LEN(T2)</f>
        <v>17</v>
      </c>
      <c r="T2" s="18" t="str">
        <f>_xlfn.TEXTJOIN(" ",TRUE,R2:R16)</f>
        <v>Sold BU for XXXXX</v>
      </c>
      <c r="U2" s="17" t="str" cm="1">
        <f t="array" ref="U2:U5">_xlfn.TEXTSPLIT(_xlfn.XLOOKUP(Financial_Statements_2!Z3,TransInfo[Num],TransInfo[Question]," ",0),," ",TRUE,0)</f>
        <v>Sold</v>
      </c>
      <c r="V2">
        <f>LEN(W2)</f>
        <v>17</v>
      </c>
      <c r="W2" s="18" t="str">
        <f>_xlfn.TEXTJOIN(" ",TRUE,U2:U16)</f>
        <v>Sold BU for XXXXX</v>
      </c>
      <c r="X2" s="17" t="str" cm="1">
        <f t="array" ref="X2:X5">_xlfn.TEXTSPLIT(_xlfn.XLOOKUP(Financial_Statements_2!AM3,TransInfo[Num],TransInfo[Question]," ",0),," ",TRUE,0)</f>
        <v>Sold</v>
      </c>
      <c r="Y2">
        <f>LEN(Z2)</f>
        <v>17</v>
      </c>
      <c r="Z2" s="18" t="str">
        <f>_xlfn.TEXTJOIN(" ",TRUE,X2:X16)</f>
        <v>Sold BU for XXXXX</v>
      </c>
      <c r="AA2" s="17" t="str" cm="1">
        <f t="array" ref="AA2:AA5">_xlfn.TEXTSPLIT(_xlfn.XLOOKUP(Financial_Statements_3!T2,TransInfo[Num],TransInfo[Question]," ",0),," ",TRUE,0)</f>
        <v>Sold</v>
      </c>
      <c r="AB2">
        <f>LEN(AC2)</f>
        <v>17</v>
      </c>
      <c r="AC2" s="18" t="str">
        <f>_xlfn.TEXTJOIN(" ",TRUE,AA2:AA16)</f>
        <v>Sold BU for XXXXX</v>
      </c>
      <c r="AD2" s="17" t="str" cm="1">
        <f t="array" ref="AD2:AD5">_xlfn.TEXTSPLIT(_xlfn.XLOOKUP(Financial_Statements_3!AG3,TransInfo[Num],TransInfo[Question]," ",0),," ",TRUE,0)</f>
        <v>Sold</v>
      </c>
      <c r="AE2">
        <f>LEN(AF2)</f>
        <v>17</v>
      </c>
      <c r="AF2" s="18" t="str">
        <f>_xlfn.TEXTJOIN(" ",TRUE,AD2:AD16)</f>
        <v>Sold BU for XXXXX</v>
      </c>
      <c r="AG2" s="17" t="e" cm="1">
        <f t="array" ref="AG2">_xlfn.TEXTSPLIT(_xlfn.XLOOKUP(Financial_Statements_4!W3,TransInfo[Num],TransInfo[Question]," ",0),," ",TRUE,0)</f>
        <v>#VALUE!</v>
      </c>
      <c r="AH2" t="e">
        <f>LEN(AI2)</f>
        <v>#VALUE!</v>
      </c>
      <c r="AI2" s="18" t="e">
        <f>_xlfn.TEXTJOIN(" ",TRUE,AG2:AG16)</f>
        <v>#VALUE!</v>
      </c>
    </row>
    <row r="3" spans="1:35" x14ac:dyDescent="0.2">
      <c r="A3" s="1">
        <v>1</v>
      </c>
      <c r="B3" s="1" t="s">
        <v>94</v>
      </c>
      <c r="C3" t="s">
        <v>95</v>
      </c>
      <c r="D3">
        <f>LEN(TransInfo[[#This Row],[Question]])</f>
        <v>17</v>
      </c>
      <c r="F3" s="1" t="s">
        <v>96</v>
      </c>
      <c r="G3" t="s">
        <v>97</v>
      </c>
      <c r="I3" s="17" t="str">
        <v>BU</v>
      </c>
      <c r="J3">
        <f>LEN(K3)</f>
        <v>0</v>
      </c>
      <c r="K3" s="18" t="str">
        <f>_xlfn.TEXTJOIN(" ",TRUE,I17:I31)</f>
        <v/>
      </c>
      <c r="L3" s="17"/>
      <c r="M3">
        <f>LEN(N3)</f>
        <v>0</v>
      </c>
      <c r="N3" s="18" t="str">
        <f>_xlfn.TEXTJOIN(" ",TRUE,L17:L31)</f>
        <v/>
      </c>
      <c r="O3" s="17" t="str">
        <v>BU</v>
      </c>
      <c r="P3">
        <f>LEN(Q3)</f>
        <v>0</v>
      </c>
      <c r="Q3" s="18" t="str">
        <f>_xlfn.TEXTJOIN(" ",TRUE,O17:O31)</f>
        <v/>
      </c>
      <c r="R3" s="17" t="str">
        <v>BU</v>
      </c>
      <c r="S3">
        <f>LEN(T3)</f>
        <v>0</v>
      </c>
      <c r="T3" s="18" t="str">
        <f>_xlfn.TEXTJOIN(" ",TRUE,R17:R31)</f>
        <v/>
      </c>
      <c r="U3" s="17" t="str">
        <v>BU</v>
      </c>
      <c r="V3">
        <f>LEN(W3)</f>
        <v>0</v>
      </c>
      <c r="W3" s="18" t="str">
        <f>_xlfn.TEXTJOIN(" ",TRUE,U17:U31)</f>
        <v/>
      </c>
      <c r="X3" s="17" t="str">
        <v>BU</v>
      </c>
      <c r="Y3">
        <f>LEN(Z3)</f>
        <v>0</v>
      </c>
      <c r="Z3" s="18" t="str">
        <f>_xlfn.TEXTJOIN(" ",TRUE,X17:X31)</f>
        <v/>
      </c>
      <c r="AA3" s="17" t="str">
        <v>BU</v>
      </c>
      <c r="AB3">
        <f>LEN(AC3)</f>
        <v>0</v>
      </c>
      <c r="AC3" s="18" t="str">
        <f>_xlfn.TEXTJOIN(" ",TRUE,AA17:AA31)</f>
        <v/>
      </c>
      <c r="AD3" s="17" t="str">
        <v>BU</v>
      </c>
      <c r="AE3">
        <f>LEN(AF3)</f>
        <v>0</v>
      </c>
      <c r="AF3" s="18" t="str">
        <f>_xlfn.TEXTJOIN(" ",TRUE,AD17:AD31)</f>
        <v/>
      </c>
      <c r="AG3" s="17"/>
      <c r="AH3">
        <f>LEN(AI3)</f>
        <v>0</v>
      </c>
      <c r="AI3" s="18" t="str">
        <f>_xlfn.TEXTJOIN(" ",TRUE,AG17:AG31)</f>
        <v/>
      </c>
    </row>
    <row r="4" spans="1:35" x14ac:dyDescent="0.2">
      <c r="A4" s="1">
        <v>2</v>
      </c>
      <c r="B4" s="1"/>
      <c r="D4">
        <f>LEN(TransInfo[[#This Row],[Question]])</f>
        <v>0</v>
      </c>
      <c r="F4" s="1" t="s">
        <v>98</v>
      </c>
      <c r="G4" t="s">
        <v>99</v>
      </c>
      <c r="I4" s="17" t="str">
        <v>for</v>
      </c>
      <c r="J4">
        <f>LEN(K4)</f>
        <v>0</v>
      </c>
      <c r="K4" s="18" t="str">
        <f>_xlfn.TEXTJOIN(" ",TRUE,I31:I45)</f>
        <v/>
      </c>
      <c r="L4" s="17"/>
      <c r="M4">
        <f>LEN(N4)</f>
        <v>0</v>
      </c>
      <c r="N4" s="18" t="str">
        <f>_xlfn.TEXTJOIN(" ",TRUE,L31:L45)</f>
        <v/>
      </c>
      <c r="O4" s="17" t="str">
        <v>for</v>
      </c>
      <c r="P4">
        <f>LEN(Q4)</f>
        <v>0</v>
      </c>
      <c r="Q4" s="18" t="str">
        <f>_xlfn.TEXTJOIN(" ",TRUE,O31:O45)</f>
        <v/>
      </c>
      <c r="R4" s="17" t="str">
        <v>for</v>
      </c>
      <c r="S4">
        <f>LEN(T4)</f>
        <v>0</v>
      </c>
      <c r="T4" s="18" t="str">
        <f>_xlfn.TEXTJOIN(" ",TRUE,R31:R45)</f>
        <v/>
      </c>
      <c r="U4" s="17" t="str">
        <v>for</v>
      </c>
      <c r="V4">
        <f>LEN(W4)</f>
        <v>0</v>
      </c>
      <c r="W4" s="18" t="str">
        <f>_xlfn.TEXTJOIN(" ",TRUE,U31:U45)</f>
        <v/>
      </c>
      <c r="X4" s="17" t="str">
        <v>for</v>
      </c>
      <c r="Y4">
        <f>LEN(Z4)</f>
        <v>0</v>
      </c>
      <c r="Z4" s="18" t="str">
        <f>_xlfn.TEXTJOIN(" ",TRUE,X31:X45)</f>
        <v/>
      </c>
      <c r="AA4" s="17" t="str">
        <v>for</v>
      </c>
      <c r="AB4">
        <f>LEN(AC4)</f>
        <v>0</v>
      </c>
      <c r="AC4" s="18" t="str">
        <f>_xlfn.TEXTJOIN(" ",TRUE,AA31:AA45)</f>
        <v/>
      </c>
      <c r="AD4" s="17" t="str">
        <v>for</v>
      </c>
      <c r="AE4">
        <f>LEN(AF4)</f>
        <v>0</v>
      </c>
      <c r="AF4" s="18" t="str">
        <f>_xlfn.TEXTJOIN(" ",TRUE,AD31:AD45)</f>
        <v/>
      </c>
      <c r="AG4" s="17"/>
      <c r="AH4">
        <f>LEN(AI4)</f>
        <v>0</v>
      </c>
      <c r="AI4" s="18" t="str">
        <f>_xlfn.TEXTJOIN(" ",TRUE,AG31:AG45)</f>
        <v/>
      </c>
    </row>
    <row r="5" spans="1:35" x14ac:dyDescent="0.2">
      <c r="A5" s="1">
        <v>3</v>
      </c>
      <c r="B5" s="1"/>
      <c r="D5">
        <f>LEN(TransInfo[[#This Row],[Question]])</f>
        <v>0</v>
      </c>
      <c r="F5" s="1" t="s">
        <v>100</v>
      </c>
      <c r="G5" t="s">
        <v>101</v>
      </c>
      <c r="I5" s="17" t="str">
        <v>XXXXX</v>
      </c>
      <c r="J5">
        <f>LEN(K5)</f>
        <v>0</v>
      </c>
      <c r="K5" s="18" t="str">
        <f>_xlfn.TEXTJOIN(" ",TRUE,H45:H59)</f>
        <v/>
      </c>
      <c r="L5" s="17"/>
      <c r="M5">
        <f>LEN(N5)</f>
        <v>0</v>
      </c>
      <c r="N5" s="18" t="str">
        <f>_xlfn.TEXTJOIN(" ",TRUE,L45:L59)</f>
        <v/>
      </c>
      <c r="O5" s="17" t="str">
        <v>XXXXX</v>
      </c>
      <c r="P5">
        <f>LEN(Q5)</f>
        <v>0</v>
      </c>
      <c r="Q5" s="18" t="str">
        <f>_xlfn.TEXTJOIN(" ",TRUE,O45:O59)</f>
        <v/>
      </c>
      <c r="R5" s="17" t="str">
        <v>XXXXX</v>
      </c>
      <c r="S5">
        <f>LEN(T5)</f>
        <v>0</v>
      </c>
      <c r="T5" s="18" t="str">
        <f>_xlfn.TEXTJOIN(" ",TRUE,Q45:Q59)</f>
        <v/>
      </c>
      <c r="U5" s="17" t="str">
        <v>XXXXX</v>
      </c>
      <c r="V5">
        <f>LEN(W5)</f>
        <v>0</v>
      </c>
      <c r="W5" s="18" t="str">
        <f>_xlfn.TEXTJOIN(" ",TRUE,T45:T59)</f>
        <v/>
      </c>
      <c r="X5" s="17" t="str">
        <v>XXXXX</v>
      </c>
      <c r="Y5">
        <f>LEN(Z5)</f>
        <v>0</v>
      </c>
      <c r="Z5" s="18" t="str">
        <f>_xlfn.TEXTJOIN(" ",TRUE,W45:W59)</f>
        <v/>
      </c>
      <c r="AA5" s="17" t="str">
        <v>XXXXX</v>
      </c>
      <c r="AB5">
        <f>LEN(AC5)</f>
        <v>0</v>
      </c>
      <c r="AC5" s="18" t="str">
        <f>_xlfn.TEXTJOIN(" ",TRUE,Z45:Z59)</f>
        <v/>
      </c>
      <c r="AD5" s="17" t="str">
        <v>XXXXX</v>
      </c>
      <c r="AE5">
        <f>LEN(AF5)</f>
        <v>0</v>
      </c>
      <c r="AF5" s="18" t="str">
        <f>_xlfn.TEXTJOIN(" ",TRUE,AC45:AC59)</f>
        <v/>
      </c>
      <c r="AG5" s="17"/>
      <c r="AH5">
        <f>LEN(AI5)</f>
        <v>0</v>
      </c>
      <c r="AI5" s="18" t="str">
        <f>_xlfn.TEXTJOIN(" ",TRUE,AF45:AF59)</f>
        <v/>
      </c>
    </row>
    <row r="6" spans="1:35" x14ac:dyDescent="0.2">
      <c r="A6" s="1">
        <v>4</v>
      </c>
      <c r="B6" s="1"/>
      <c r="D6">
        <f>LEN(TransInfo[[#This Row],[Question]])</f>
        <v>0</v>
      </c>
      <c r="F6" s="1" t="s">
        <v>102</v>
      </c>
      <c r="G6" t="s">
        <v>103</v>
      </c>
      <c r="I6" s="17"/>
      <c r="J6">
        <f>LEN(K6)</f>
        <v>0</v>
      </c>
      <c r="K6" s="18" t="str">
        <f>_xlfn.TEXTJOIN(" ",TRUE,I60:I74)</f>
        <v/>
      </c>
      <c r="L6" s="17"/>
      <c r="M6">
        <f>LEN(N6)</f>
        <v>0</v>
      </c>
      <c r="N6" s="18" t="str">
        <f>_xlfn.TEXTJOIN(" ",TRUE,L60:L74)</f>
        <v/>
      </c>
      <c r="O6" s="17"/>
      <c r="P6">
        <f>LEN(Q6)</f>
        <v>0</v>
      </c>
      <c r="Q6" s="18" t="str">
        <f>_xlfn.TEXTJOIN(" ",TRUE,O60:O74)</f>
        <v/>
      </c>
      <c r="R6" s="17"/>
      <c r="S6">
        <f>LEN(T6)</f>
        <v>0</v>
      </c>
      <c r="T6" s="18" t="str">
        <f>_xlfn.TEXTJOIN(" ",TRUE,R60:R74)</f>
        <v/>
      </c>
      <c r="U6" s="17"/>
      <c r="V6">
        <f>LEN(W6)</f>
        <v>0</v>
      </c>
      <c r="W6" s="18" t="str">
        <f>_xlfn.TEXTJOIN(" ",TRUE,U60:U74)</f>
        <v/>
      </c>
      <c r="X6" s="17"/>
      <c r="Y6">
        <f>LEN(Z6)</f>
        <v>0</v>
      </c>
      <c r="Z6" s="18" t="str">
        <f>_xlfn.TEXTJOIN(" ",TRUE,X60:X74)</f>
        <v/>
      </c>
      <c r="AA6" s="17"/>
      <c r="AB6">
        <f>LEN(AC6)</f>
        <v>0</v>
      </c>
      <c r="AC6" s="18" t="str">
        <f>_xlfn.TEXTJOIN(" ",TRUE,AA60:AA74)</f>
        <v/>
      </c>
      <c r="AD6" s="17"/>
      <c r="AE6">
        <f>LEN(AF6)</f>
        <v>0</v>
      </c>
      <c r="AF6" s="18" t="str">
        <f>_xlfn.TEXTJOIN(" ",TRUE,AD60:AD74)</f>
        <v/>
      </c>
      <c r="AG6" s="17"/>
      <c r="AH6">
        <f>LEN(AI6)</f>
        <v>0</v>
      </c>
      <c r="AI6" s="18" t="str">
        <f>_xlfn.TEXTJOIN(" ",TRUE,AG60:AG74)</f>
        <v/>
      </c>
    </row>
    <row r="7" spans="1:35" x14ac:dyDescent="0.2">
      <c r="A7" s="1">
        <v>5</v>
      </c>
      <c r="B7" s="1"/>
      <c r="D7">
        <f>LEN(TransInfo[[#This Row],[Question]])</f>
        <v>0</v>
      </c>
      <c r="F7" s="1" t="s">
        <v>104</v>
      </c>
      <c r="G7" t="s">
        <v>105</v>
      </c>
      <c r="I7" s="17"/>
      <c r="K7" s="18"/>
      <c r="L7" s="17"/>
      <c r="N7" s="18"/>
      <c r="O7" s="17"/>
      <c r="Q7" s="18"/>
      <c r="R7" s="17"/>
      <c r="T7" s="18"/>
      <c r="U7" s="17"/>
      <c r="W7" s="18"/>
      <c r="X7" s="17"/>
      <c r="Z7" s="18"/>
      <c r="AA7" s="17"/>
      <c r="AC7" s="18"/>
      <c r="AD7" s="17"/>
      <c r="AF7" s="18"/>
      <c r="AG7" s="17"/>
      <c r="AI7" s="18"/>
    </row>
    <row r="8" spans="1:35" x14ac:dyDescent="0.2">
      <c r="A8" s="1">
        <v>6</v>
      </c>
      <c r="B8" s="1"/>
      <c r="D8">
        <f>LEN(TransInfo[[#This Row],[Question]])</f>
        <v>0</v>
      </c>
      <c r="F8" s="1" t="s">
        <v>106</v>
      </c>
      <c r="G8" t="s">
        <v>107</v>
      </c>
      <c r="I8" s="17"/>
      <c r="K8" s="18"/>
      <c r="L8" s="17"/>
      <c r="N8" s="18"/>
      <c r="O8" s="17"/>
      <c r="Q8" s="18"/>
      <c r="R8" s="17"/>
      <c r="T8" s="18"/>
      <c r="U8" s="17"/>
      <c r="W8" s="18"/>
      <c r="X8" s="17"/>
      <c r="Z8" s="18"/>
      <c r="AA8" s="17"/>
      <c r="AC8" s="18"/>
      <c r="AD8" s="17"/>
      <c r="AF8" s="18"/>
      <c r="AG8" s="17"/>
      <c r="AI8" s="18"/>
    </row>
    <row r="9" spans="1:35" x14ac:dyDescent="0.2">
      <c r="A9" s="1">
        <v>7</v>
      </c>
      <c r="B9" s="1"/>
      <c r="D9">
        <f>LEN(TransInfo[[#This Row],[Question]])</f>
        <v>0</v>
      </c>
      <c r="F9" s="1" t="s">
        <v>108</v>
      </c>
      <c r="G9" t="s">
        <v>109</v>
      </c>
      <c r="I9" s="17"/>
      <c r="K9" s="18"/>
      <c r="L9" s="17"/>
      <c r="N9" s="18"/>
      <c r="O9" s="17"/>
      <c r="Q9" s="18"/>
      <c r="R9" s="17"/>
      <c r="T9" s="18"/>
      <c r="U9" s="17"/>
      <c r="W9" s="18"/>
      <c r="X9" s="17"/>
      <c r="Z9" s="18"/>
      <c r="AA9" s="17"/>
      <c r="AC9" s="18"/>
      <c r="AD9" s="17"/>
      <c r="AF9" s="18"/>
      <c r="AG9" s="17"/>
      <c r="AI9" s="18"/>
    </row>
    <row r="10" spans="1:35" x14ac:dyDescent="0.2">
      <c r="A10" s="1">
        <v>8</v>
      </c>
      <c r="B10" s="1"/>
      <c r="D10">
        <f>LEN(TransInfo[[#This Row],[Question]])</f>
        <v>0</v>
      </c>
      <c r="F10" s="1" t="s">
        <v>110</v>
      </c>
      <c r="G10" t="s">
        <v>111</v>
      </c>
      <c r="I10" s="17"/>
      <c r="K10" s="18"/>
      <c r="L10" s="17"/>
      <c r="N10" s="18"/>
      <c r="O10" s="17"/>
      <c r="Q10" s="18"/>
      <c r="R10" s="17"/>
      <c r="T10" s="18"/>
      <c r="U10" s="17"/>
      <c r="W10" s="18"/>
      <c r="X10" s="17"/>
      <c r="Z10" s="18"/>
      <c r="AA10" s="17"/>
      <c r="AC10" s="18"/>
      <c r="AD10" s="17"/>
      <c r="AF10" s="18"/>
      <c r="AG10" s="17"/>
      <c r="AI10" s="18"/>
    </row>
    <row r="11" spans="1:35" x14ac:dyDescent="0.2">
      <c r="A11" s="1">
        <v>9</v>
      </c>
      <c r="B11" s="1"/>
      <c r="D11">
        <f>LEN(TransInfo[[#This Row],[Question]])</f>
        <v>0</v>
      </c>
      <c r="F11" s="1" t="s">
        <v>112</v>
      </c>
      <c r="G11" t="s">
        <v>113</v>
      </c>
      <c r="I11" s="17"/>
      <c r="K11" s="18"/>
      <c r="L11" s="17"/>
      <c r="N11" s="18"/>
      <c r="O11" s="17"/>
      <c r="Q11" s="18"/>
      <c r="R11" s="17"/>
      <c r="T11" s="18"/>
      <c r="U11" s="17"/>
      <c r="W11" s="18"/>
      <c r="X11" s="17"/>
      <c r="Z11" s="18"/>
      <c r="AA11" s="17"/>
      <c r="AC11" s="18"/>
      <c r="AD11" s="17"/>
      <c r="AF11" s="18"/>
      <c r="AG11" s="17"/>
      <c r="AI11" s="18"/>
    </row>
    <row r="12" spans="1:35" x14ac:dyDescent="0.2">
      <c r="A12" s="1">
        <v>10</v>
      </c>
      <c r="B12" s="1"/>
      <c r="D12">
        <f>LEN(TransInfo[[#This Row],[Question]])</f>
        <v>0</v>
      </c>
      <c r="F12" s="1" t="s">
        <v>114</v>
      </c>
      <c r="G12" t="s">
        <v>115</v>
      </c>
      <c r="I12" s="17"/>
      <c r="K12" s="18"/>
      <c r="L12" s="17"/>
      <c r="N12" s="18"/>
      <c r="O12" s="17"/>
      <c r="Q12" s="18"/>
      <c r="R12" s="17"/>
      <c r="T12" s="18"/>
      <c r="U12" s="17"/>
      <c r="W12" s="18"/>
      <c r="X12" s="17"/>
      <c r="Z12" s="18"/>
      <c r="AA12" s="17"/>
      <c r="AC12" s="18"/>
      <c r="AD12" s="17"/>
      <c r="AF12" s="18"/>
      <c r="AG12" s="17"/>
      <c r="AI12" s="18"/>
    </row>
    <row r="13" spans="1:35" x14ac:dyDescent="0.2">
      <c r="A13" s="1">
        <v>11</v>
      </c>
      <c r="B13" s="1"/>
      <c r="D13">
        <f>LEN(TransInfo[[#This Row],[Question]])</f>
        <v>0</v>
      </c>
      <c r="F13" s="1" t="s">
        <v>116</v>
      </c>
      <c r="G13" t="s">
        <v>117</v>
      </c>
      <c r="I13" s="17"/>
      <c r="K13" s="18"/>
      <c r="L13" s="17"/>
      <c r="N13" s="18"/>
      <c r="O13" s="17"/>
      <c r="Q13" s="18"/>
      <c r="R13" s="17"/>
      <c r="T13" s="18"/>
      <c r="U13" s="17"/>
      <c r="W13" s="18"/>
      <c r="X13" s="17"/>
      <c r="Z13" s="18"/>
      <c r="AA13" s="17"/>
      <c r="AC13" s="18"/>
      <c r="AD13" s="17"/>
      <c r="AF13" s="18"/>
      <c r="AG13" s="17"/>
      <c r="AI13" s="18"/>
    </row>
    <row r="14" spans="1:35" x14ac:dyDescent="0.2">
      <c r="A14" s="1">
        <v>12</v>
      </c>
      <c r="B14" s="1"/>
      <c r="D14">
        <f>LEN(TransInfo[[#This Row],[Question]])</f>
        <v>0</v>
      </c>
      <c r="F14" s="1" t="s">
        <v>118</v>
      </c>
      <c r="G14" t="s">
        <v>119</v>
      </c>
      <c r="I14" s="17"/>
      <c r="K14" s="18"/>
      <c r="L14" s="17"/>
      <c r="N14" s="18"/>
      <c r="O14" s="17"/>
      <c r="Q14" s="18"/>
      <c r="R14" s="17"/>
      <c r="T14" s="18"/>
      <c r="U14" s="17"/>
      <c r="W14" s="18"/>
      <c r="X14" s="17"/>
      <c r="Z14" s="18"/>
      <c r="AA14" s="17"/>
      <c r="AC14" s="18"/>
      <c r="AD14" s="17"/>
      <c r="AF14" s="18"/>
      <c r="AG14" s="17"/>
      <c r="AI14" s="18"/>
    </row>
    <row r="15" spans="1:35" x14ac:dyDescent="0.2">
      <c r="A15" s="1">
        <v>13</v>
      </c>
      <c r="B15" s="1"/>
      <c r="D15">
        <f>LEN(TransInfo[[#This Row],[Question]])</f>
        <v>0</v>
      </c>
      <c r="F15" s="1" t="s">
        <v>120</v>
      </c>
      <c r="G15" t="s">
        <v>121</v>
      </c>
      <c r="I15" s="17"/>
      <c r="K15" s="18"/>
      <c r="L15" s="17"/>
      <c r="N15" s="18"/>
      <c r="O15" s="17"/>
      <c r="Q15" s="18"/>
      <c r="R15" s="17"/>
      <c r="T15" s="18"/>
      <c r="U15" s="17"/>
      <c r="W15" s="18"/>
      <c r="X15" s="17"/>
      <c r="Z15" s="18"/>
      <c r="AA15" s="17"/>
      <c r="AC15" s="18"/>
      <c r="AD15" s="17"/>
      <c r="AF15" s="18"/>
      <c r="AG15" s="17"/>
      <c r="AI15" s="18"/>
    </row>
    <row r="16" spans="1:35" x14ac:dyDescent="0.2">
      <c r="A16" s="1">
        <v>14</v>
      </c>
      <c r="B16" s="1"/>
      <c r="D16">
        <f>LEN(TransInfo[[#This Row],[Question]])</f>
        <v>0</v>
      </c>
      <c r="F16" s="1" t="s">
        <v>122</v>
      </c>
      <c r="G16" t="s">
        <v>123</v>
      </c>
      <c r="I16" s="17"/>
      <c r="K16" s="18"/>
      <c r="L16" s="17"/>
      <c r="N16" s="18"/>
      <c r="O16" s="17"/>
      <c r="Q16" s="18"/>
      <c r="R16" s="17"/>
      <c r="T16" s="18"/>
      <c r="U16" s="17"/>
      <c r="W16" s="18"/>
      <c r="X16" s="17"/>
      <c r="Z16" s="18"/>
      <c r="AA16" s="17"/>
      <c r="AC16" s="18"/>
      <c r="AD16" s="17"/>
      <c r="AF16" s="18"/>
      <c r="AG16" s="17"/>
      <c r="AI16" s="18"/>
    </row>
    <row r="17" spans="1:35" x14ac:dyDescent="0.2">
      <c r="A17" s="1">
        <v>15</v>
      </c>
      <c r="B17" s="1"/>
      <c r="D17">
        <f>LEN(TransInfo[[#This Row],[Question]])</f>
        <v>0</v>
      </c>
      <c r="F17" s="1" t="s">
        <v>124</v>
      </c>
      <c r="G17" t="s">
        <v>125</v>
      </c>
      <c r="I17" s="17"/>
      <c r="K17" s="18"/>
      <c r="L17" s="17"/>
      <c r="N17" s="18"/>
      <c r="O17" s="17"/>
      <c r="Q17" s="18"/>
      <c r="R17" s="17"/>
      <c r="T17" s="18"/>
      <c r="U17" s="17"/>
      <c r="W17" s="18"/>
      <c r="X17" s="17"/>
      <c r="Z17" s="18"/>
      <c r="AA17" s="17"/>
      <c r="AC17" s="18"/>
      <c r="AD17" s="17"/>
      <c r="AF17" s="18"/>
      <c r="AG17" s="17"/>
      <c r="AI17" s="18"/>
    </row>
    <row r="18" spans="1:35" x14ac:dyDescent="0.2">
      <c r="A18" s="1">
        <v>16</v>
      </c>
      <c r="B18" s="1"/>
      <c r="D18">
        <f>LEN(TransInfo[[#This Row],[Question]])</f>
        <v>0</v>
      </c>
      <c r="F18" s="1" t="s">
        <v>126</v>
      </c>
      <c r="G18" t="s">
        <v>127</v>
      </c>
      <c r="I18" s="17"/>
      <c r="K18" s="18"/>
      <c r="L18" s="17"/>
      <c r="N18" s="18"/>
      <c r="O18" s="17"/>
      <c r="Q18" s="18"/>
      <c r="R18" s="17"/>
      <c r="T18" s="18"/>
      <c r="U18" s="17"/>
      <c r="W18" s="18"/>
      <c r="X18" s="17"/>
      <c r="Z18" s="18"/>
      <c r="AA18" s="17"/>
      <c r="AC18" s="18"/>
      <c r="AD18" s="17"/>
      <c r="AF18" s="18"/>
      <c r="AG18" s="17"/>
      <c r="AI18" s="18"/>
    </row>
    <row r="19" spans="1:35" x14ac:dyDescent="0.2">
      <c r="A19" s="1">
        <v>17</v>
      </c>
      <c r="B19" s="1"/>
      <c r="D19">
        <f>LEN(TransInfo[[#This Row],[Question]])</f>
        <v>0</v>
      </c>
      <c r="F19" s="1" t="s">
        <v>128</v>
      </c>
      <c r="G19" t="s">
        <v>129</v>
      </c>
      <c r="I19" s="17"/>
      <c r="K19" s="18"/>
      <c r="L19" s="17"/>
      <c r="N19" s="18"/>
      <c r="O19" s="17"/>
      <c r="Q19" s="18"/>
      <c r="R19" s="17"/>
      <c r="T19" s="18"/>
      <c r="U19" s="17"/>
      <c r="W19" s="18"/>
      <c r="X19" s="17"/>
      <c r="Z19" s="18"/>
      <c r="AA19" s="17"/>
      <c r="AC19" s="18"/>
      <c r="AD19" s="17"/>
      <c r="AF19" s="18"/>
      <c r="AG19" s="17"/>
      <c r="AI19" s="18"/>
    </row>
    <row r="20" spans="1:35" x14ac:dyDescent="0.2">
      <c r="A20" s="1">
        <v>18</v>
      </c>
      <c r="B20" s="1"/>
      <c r="D20">
        <f>LEN(TransInfo[[#This Row],[Question]])</f>
        <v>0</v>
      </c>
      <c r="F20" s="1" t="s">
        <v>94</v>
      </c>
      <c r="G20" t="s">
        <v>130</v>
      </c>
      <c r="I20" s="17"/>
      <c r="K20" s="18"/>
      <c r="L20" s="17"/>
      <c r="N20" s="18"/>
      <c r="O20" s="17"/>
      <c r="Q20" s="18"/>
      <c r="R20" s="17"/>
      <c r="T20" s="18"/>
      <c r="U20" s="17"/>
      <c r="W20" s="18"/>
      <c r="X20" s="17"/>
      <c r="Z20" s="18"/>
      <c r="AA20" s="17"/>
      <c r="AC20" s="18"/>
      <c r="AD20" s="17"/>
      <c r="AF20" s="18"/>
      <c r="AG20" s="17"/>
      <c r="AI20" s="18"/>
    </row>
    <row r="21" spans="1:35" x14ac:dyDescent="0.2">
      <c r="A21" s="1">
        <v>19</v>
      </c>
      <c r="B21" s="1"/>
      <c r="D21">
        <f>LEN(TransInfo[[#This Row],[Question]])</f>
        <v>0</v>
      </c>
      <c r="F21" s="1" t="s">
        <v>131</v>
      </c>
      <c r="G21" t="s">
        <v>132</v>
      </c>
      <c r="I21" s="17"/>
      <c r="K21" s="18"/>
      <c r="L21" s="17"/>
      <c r="N21" s="18"/>
      <c r="O21" s="17"/>
      <c r="Q21" s="18"/>
      <c r="R21" s="17"/>
      <c r="T21" s="18"/>
      <c r="U21" s="17"/>
      <c r="W21" s="18"/>
      <c r="X21" s="17"/>
      <c r="Z21" s="18"/>
      <c r="AA21" s="17"/>
      <c r="AC21" s="18"/>
      <c r="AD21" s="17"/>
      <c r="AF21" s="18"/>
      <c r="AG21" s="17"/>
      <c r="AI21" s="18"/>
    </row>
    <row r="22" spans="1:35" x14ac:dyDescent="0.2">
      <c r="A22" s="1">
        <v>20</v>
      </c>
      <c r="B22" s="1"/>
      <c r="D22">
        <f>LEN(TransInfo[[#This Row],[Question]])</f>
        <v>0</v>
      </c>
      <c r="F22" s="1" t="s">
        <v>133</v>
      </c>
      <c r="G22" t="s">
        <v>134</v>
      </c>
      <c r="I22" s="17"/>
      <c r="K22" s="18"/>
      <c r="L22" s="17"/>
      <c r="N22" s="18"/>
      <c r="O22" s="17"/>
      <c r="Q22" s="18"/>
      <c r="R22" s="17"/>
      <c r="T22" s="18"/>
      <c r="U22" s="17"/>
      <c r="W22" s="18"/>
      <c r="X22" s="17"/>
      <c r="Z22" s="18"/>
      <c r="AA22" s="17"/>
      <c r="AC22" s="18"/>
      <c r="AD22" s="17"/>
      <c r="AF22" s="18"/>
      <c r="AG22" s="17"/>
      <c r="AI22" s="18"/>
    </row>
    <row r="23" spans="1:35" x14ac:dyDescent="0.2">
      <c r="A23" s="1">
        <v>21</v>
      </c>
      <c r="B23" s="1"/>
      <c r="D23">
        <f>LEN(TransInfo[[#This Row],[Question]])</f>
        <v>0</v>
      </c>
      <c r="F23" s="1" t="s">
        <v>135</v>
      </c>
      <c r="G23" t="s">
        <v>136</v>
      </c>
      <c r="I23" s="17"/>
      <c r="K23" s="18"/>
      <c r="L23" s="17"/>
      <c r="N23" s="18"/>
      <c r="O23" s="17"/>
      <c r="Q23" s="18"/>
      <c r="R23" s="17"/>
      <c r="T23" s="18"/>
      <c r="U23" s="17"/>
      <c r="W23" s="18"/>
      <c r="X23" s="17"/>
      <c r="Z23" s="18"/>
      <c r="AA23" s="17"/>
      <c r="AC23" s="18"/>
      <c r="AD23" s="17"/>
      <c r="AF23" s="18"/>
      <c r="AG23" s="17"/>
      <c r="AI23" s="18"/>
    </row>
    <row r="24" spans="1:35" x14ac:dyDescent="0.2">
      <c r="A24" s="1">
        <v>22</v>
      </c>
      <c r="B24" s="1"/>
      <c r="D24">
        <f>LEN(TransInfo[[#This Row],[Question]])</f>
        <v>0</v>
      </c>
      <c r="F24" s="1" t="s">
        <v>137</v>
      </c>
      <c r="G24" t="s">
        <v>138</v>
      </c>
      <c r="I24" s="17"/>
      <c r="K24" s="18"/>
      <c r="L24" s="17"/>
      <c r="N24" s="18"/>
      <c r="O24" s="17"/>
      <c r="Q24" s="18"/>
      <c r="R24" s="17"/>
      <c r="T24" s="18"/>
      <c r="U24" s="17"/>
      <c r="W24" s="18"/>
      <c r="X24" s="17"/>
      <c r="Z24" s="18"/>
      <c r="AA24" s="17"/>
      <c r="AC24" s="18"/>
      <c r="AD24" s="17"/>
      <c r="AF24" s="18"/>
      <c r="AG24" s="17"/>
      <c r="AI24" s="18"/>
    </row>
    <row r="25" spans="1:35" x14ac:dyDescent="0.2">
      <c r="A25" s="1">
        <v>23</v>
      </c>
      <c r="B25" s="1"/>
      <c r="D25">
        <f>LEN(TransInfo[[#This Row],[Question]])</f>
        <v>0</v>
      </c>
      <c r="F25" s="1" t="s">
        <v>139</v>
      </c>
      <c r="G25" t="s">
        <v>140</v>
      </c>
      <c r="I25" s="17"/>
      <c r="K25" s="18"/>
      <c r="L25" s="17"/>
      <c r="N25" s="18"/>
      <c r="O25" s="17"/>
      <c r="Q25" s="18"/>
      <c r="R25" s="17"/>
      <c r="T25" s="18"/>
      <c r="U25" s="17"/>
      <c r="W25" s="18"/>
      <c r="X25" s="17"/>
      <c r="Z25" s="18"/>
      <c r="AA25" s="17"/>
      <c r="AC25" s="18"/>
      <c r="AD25" s="17"/>
      <c r="AF25" s="18"/>
      <c r="AG25" s="17"/>
      <c r="AI25" s="18"/>
    </row>
    <row r="26" spans="1:35" x14ac:dyDescent="0.2">
      <c r="A26" s="1">
        <v>24</v>
      </c>
      <c r="B26" s="1"/>
      <c r="D26">
        <f>LEN(TransInfo[[#This Row],[Question]])</f>
        <v>0</v>
      </c>
      <c r="F26" s="1" t="s">
        <v>141</v>
      </c>
      <c r="G26" t="s">
        <v>142</v>
      </c>
      <c r="I26" s="17"/>
      <c r="K26" s="18"/>
      <c r="L26" s="17"/>
      <c r="N26" s="18"/>
      <c r="O26" s="17"/>
      <c r="Q26" s="18"/>
      <c r="R26" s="17"/>
      <c r="T26" s="18"/>
      <c r="U26" s="17"/>
      <c r="W26" s="18"/>
      <c r="X26" s="17"/>
      <c r="Z26" s="18"/>
      <c r="AA26" s="17"/>
      <c r="AC26" s="18"/>
      <c r="AD26" s="17"/>
      <c r="AF26" s="18"/>
      <c r="AG26" s="17"/>
      <c r="AI26" s="18"/>
    </row>
    <row r="27" spans="1:35" x14ac:dyDescent="0.2">
      <c r="A27" s="1">
        <v>25</v>
      </c>
      <c r="B27" s="1"/>
      <c r="D27">
        <f>LEN(TransInfo[[#This Row],[Question]])</f>
        <v>0</v>
      </c>
      <c r="F27" s="1" t="s">
        <v>143</v>
      </c>
      <c r="G27" t="s">
        <v>144</v>
      </c>
      <c r="I27" s="17"/>
      <c r="K27" s="18"/>
      <c r="L27" s="17"/>
      <c r="N27" s="18"/>
      <c r="O27" s="17"/>
      <c r="Q27" s="18"/>
      <c r="R27" s="17"/>
      <c r="T27" s="18"/>
      <c r="U27" s="17"/>
      <c r="W27" s="18"/>
      <c r="X27" s="17"/>
      <c r="Z27" s="18"/>
      <c r="AA27" s="17"/>
      <c r="AC27" s="18"/>
      <c r="AD27" s="17"/>
      <c r="AF27" s="18"/>
      <c r="AG27" s="17"/>
      <c r="AI27" s="18"/>
    </row>
    <row r="28" spans="1:35" x14ac:dyDescent="0.2">
      <c r="A28" s="1">
        <v>26</v>
      </c>
      <c r="B28" s="1"/>
      <c r="D28">
        <f>LEN(TransInfo[[#This Row],[Question]])</f>
        <v>0</v>
      </c>
      <c r="F28" s="1" t="s">
        <v>145</v>
      </c>
      <c r="G28" t="s">
        <v>146</v>
      </c>
      <c r="I28" s="17"/>
      <c r="K28" s="18"/>
      <c r="L28" s="17"/>
      <c r="N28" s="18"/>
      <c r="O28" s="17"/>
      <c r="Q28" s="18"/>
      <c r="R28" s="17"/>
      <c r="T28" s="18"/>
      <c r="U28" s="17"/>
      <c r="W28" s="18"/>
      <c r="X28" s="17"/>
      <c r="Z28" s="18"/>
      <c r="AA28" s="17"/>
      <c r="AC28" s="18"/>
      <c r="AD28" s="17"/>
      <c r="AF28" s="18"/>
      <c r="AG28" s="17"/>
      <c r="AI28" s="18"/>
    </row>
    <row r="29" spans="1:35" x14ac:dyDescent="0.2">
      <c r="A29" s="1">
        <v>27</v>
      </c>
      <c r="B29" s="1"/>
      <c r="D29">
        <f>LEN(TransInfo[[#This Row],[Question]])</f>
        <v>0</v>
      </c>
      <c r="F29" s="1" t="s">
        <v>147</v>
      </c>
      <c r="G29" t="s">
        <v>148</v>
      </c>
      <c r="I29" s="17"/>
      <c r="K29" s="18"/>
      <c r="L29" s="17"/>
      <c r="N29" s="18"/>
      <c r="O29" s="17"/>
      <c r="Q29" s="18"/>
      <c r="R29" s="17"/>
      <c r="T29" s="18"/>
      <c r="U29" s="17"/>
      <c r="W29" s="18"/>
      <c r="X29" s="17"/>
      <c r="Z29" s="18"/>
      <c r="AA29" s="17"/>
      <c r="AC29" s="18"/>
      <c r="AD29" s="17"/>
      <c r="AF29" s="18"/>
      <c r="AG29" s="17"/>
      <c r="AI29" s="18"/>
    </row>
    <row r="30" spans="1:35" x14ac:dyDescent="0.2">
      <c r="A30" s="1">
        <v>28</v>
      </c>
      <c r="B30" s="1"/>
      <c r="D30">
        <f>LEN(TransInfo[[#This Row],[Question]])</f>
        <v>0</v>
      </c>
      <c r="F30" s="1" t="s">
        <v>149</v>
      </c>
      <c r="G30" t="s">
        <v>150</v>
      </c>
      <c r="I30" s="17"/>
      <c r="K30" s="18"/>
      <c r="L30" s="17"/>
      <c r="N30" s="18"/>
      <c r="O30" s="17"/>
      <c r="Q30" s="18"/>
      <c r="R30" s="17"/>
      <c r="T30" s="18"/>
      <c r="U30" s="17"/>
      <c r="W30" s="18"/>
      <c r="X30" s="17"/>
      <c r="Z30" s="18"/>
      <c r="AA30" s="17"/>
      <c r="AC30" s="18"/>
      <c r="AD30" s="17"/>
      <c r="AF30" s="18"/>
      <c r="AG30" s="17"/>
      <c r="AI30" s="18"/>
    </row>
    <row r="31" spans="1:35" x14ac:dyDescent="0.2">
      <c r="A31" s="1">
        <v>29</v>
      </c>
      <c r="B31" s="1"/>
      <c r="D31">
        <f>LEN(TransInfo[[#This Row],[Question]])</f>
        <v>0</v>
      </c>
      <c r="F31" s="1" t="s">
        <v>151</v>
      </c>
      <c r="G31" t="s">
        <v>152</v>
      </c>
      <c r="I31" s="17"/>
      <c r="K31" s="18"/>
      <c r="L31" s="17"/>
      <c r="N31" s="18"/>
      <c r="O31" s="17"/>
      <c r="Q31" s="18"/>
      <c r="R31" s="17"/>
      <c r="T31" s="18"/>
      <c r="U31" s="17"/>
      <c r="W31" s="18"/>
      <c r="X31" s="17"/>
      <c r="Z31" s="18"/>
      <c r="AA31" s="17"/>
      <c r="AC31" s="18"/>
      <c r="AD31" s="17"/>
      <c r="AF31" s="18"/>
      <c r="AG31" s="17"/>
      <c r="AI31" s="18"/>
    </row>
    <row r="32" spans="1:35" x14ac:dyDescent="0.2">
      <c r="A32" s="1">
        <v>30</v>
      </c>
      <c r="B32" s="1"/>
      <c r="D32">
        <f>LEN(TransInfo[[#This Row],[Question]])</f>
        <v>0</v>
      </c>
      <c r="F32" s="1"/>
      <c r="I32" s="17"/>
      <c r="K32" s="18"/>
      <c r="L32" s="17"/>
      <c r="N32" s="18"/>
      <c r="O32" s="17"/>
      <c r="Q32" s="18"/>
      <c r="R32" s="17"/>
      <c r="T32" s="18"/>
      <c r="U32" s="17"/>
      <c r="W32" s="18"/>
      <c r="X32" s="17"/>
      <c r="Z32" s="18"/>
      <c r="AA32" s="17"/>
      <c r="AC32" s="18"/>
      <c r="AD32" s="17"/>
      <c r="AF32" s="18"/>
      <c r="AG32" s="17"/>
      <c r="AI32" s="18"/>
    </row>
    <row r="33" spans="1:35" x14ac:dyDescent="0.2">
      <c r="A33" s="1">
        <v>31</v>
      </c>
      <c r="B33" s="1"/>
      <c r="D33">
        <f>LEN(TransInfo[[#This Row],[Question]])</f>
        <v>0</v>
      </c>
      <c r="F33" s="1"/>
      <c r="I33" s="17"/>
      <c r="K33" s="18"/>
      <c r="L33" s="17"/>
      <c r="N33" s="18"/>
      <c r="O33" s="17"/>
      <c r="Q33" s="18"/>
      <c r="R33" s="17"/>
      <c r="T33" s="18"/>
      <c r="U33" s="17"/>
      <c r="W33" s="18"/>
      <c r="X33" s="17"/>
      <c r="Z33" s="18"/>
      <c r="AA33" s="17"/>
      <c r="AC33" s="18"/>
      <c r="AD33" s="17"/>
      <c r="AF33" s="18"/>
      <c r="AG33" s="17"/>
      <c r="AI33" s="18"/>
    </row>
    <row r="34" spans="1:35" x14ac:dyDescent="0.2">
      <c r="A34" s="1">
        <v>32</v>
      </c>
      <c r="B34" s="1"/>
      <c r="D34">
        <f>LEN(TransInfo[[#This Row],[Question]])</f>
        <v>0</v>
      </c>
      <c r="I34" s="17"/>
      <c r="K34" s="18"/>
      <c r="L34" s="17"/>
      <c r="N34" s="18"/>
      <c r="O34" s="17"/>
      <c r="Q34" s="18"/>
      <c r="R34" s="17"/>
      <c r="T34" s="18"/>
      <c r="U34" s="17"/>
      <c r="W34" s="18"/>
      <c r="X34" s="17"/>
      <c r="Z34" s="18"/>
      <c r="AA34" s="17"/>
      <c r="AC34" s="18"/>
      <c r="AD34" s="17"/>
      <c r="AF34" s="18"/>
      <c r="AG34" s="17"/>
      <c r="AI34" s="18"/>
    </row>
    <row r="35" spans="1:35" x14ac:dyDescent="0.2">
      <c r="A35" s="1">
        <v>33</v>
      </c>
      <c r="B35" s="1"/>
      <c r="D35">
        <f>LEN(TransInfo[[#This Row],[Question]])</f>
        <v>0</v>
      </c>
      <c r="I35" s="17"/>
      <c r="K35" s="18"/>
      <c r="L35" s="17"/>
      <c r="N35" s="18"/>
      <c r="O35" s="17"/>
      <c r="Q35" s="18"/>
      <c r="R35" s="17"/>
      <c r="T35" s="18"/>
      <c r="U35" s="17"/>
      <c r="W35" s="18"/>
      <c r="X35" s="17"/>
      <c r="Z35" s="18"/>
      <c r="AA35" s="17"/>
      <c r="AC35" s="18"/>
      <c r="AD35" s="17"/>
      <c r="AF35" s="18"/>
      <c r="AG35" s="17"/>
      <c r="AI35" s="18"/>
    </row>
    <row r="36" spans="1:35" x14ac:dyDescent="0.2">
      <c r="A36" s="1">
        <v>34</v>
      </c>
      <c r="B36" s="1"/>
      <c r="D36">
        <f>LEN(TransInfo[[#This Row],[Question]])</f>
        <v>0</v>
      </c>
      <c r="I36" s="17"/>
      <c r="K36" s="18"/>
      <c r="L36" s="17"/>
      <c r="N36" s="18"/>
      <c r="O36" s="17"/>
      <c r="Q36" s="18"/>
      <c r="R36" s="17"/>
      <c r="T36" s="18"/>
      <c r="U36" s="17"/>
      <c r="W36" s="18"/>
      <c r="X36" s="17"/>
      <c r="Z36" s="18"/>
      <c r="AA36" s="17"/>
      <c r="AC36" s="18"/>
      <c r="AD36" s="17"/>
      <c r="AF36" s="18"/>
      <c r="AG36" s="17"/>
      <c r="AI36" s="18"/>
    </row>
    <row r="37" spans="1:35" x14ac:dyDescent="0.2">
      <c r="A37" s="1">
        <v>35</v>
      </c>
      <c r="B37" s="1"/>
      <c r="D37">
        <f>LEN(TransInfo[[#This Row],[Question]])</f>
        <v>0</v>
      </c>
      <c r="I37" s="17"/>
      <c r="K37" s="18"/>
      <c r="L37" s="17"/>
      <c r="N37" s="18"/>
      <c r="O37" s="17"/>
      <c r="Q37" s="18"/>
      <c r="R37" s="17"/>
      <c r="T37" s="18"/>
      <c r="U37" s="17"/>
      <c r="W37" s="18"/>
      <c r="X37" s="17"/>
      <c r="Z37" s="18"/>
      <c r="AA37" s="17"/>
      <c r="AC37" s="18"/>
      <c r="AD37" s="17"/>
      <c r="AF37" s="18"/>
      <c r="AG37" s="17"/>
      <c r="AI37" s="18"/>
    </row>
    <row r="38" spans="1:35" x14ac:dyDescent="0.2">
      <c r="A38" s="1">
        <v>36</v>
      </c>
      <c r="B38" s="1"/>
      <c r="D38">
        <f>LEN(TransInfo[[#This Row],[Question]])</f>
        <v>0</v>
      </c>
      <c r="I38" s="17"/>
      <c r="K38" s="18"/>
      <c r="L38" s="17"/>
      <c r="N38" s="18"/>
      <c r="O38" s="17"/>
      <c r="Q38" s="18"/>
      <c r="R38" s="17"/>
      <c r="T38" s="18"/>
      <c r="U38" s="17"/>
      <c r="W38" s="18"/>
      <c r="X38" s="17"/>
      <c r="Z38" s="18"/>
      <c r="AA38" s="17"/>
      <c r="AC38" s="18"/>
      <c r="AD38" s="17"/>
      <c r="AF38" s="18"/>
      <c r="AG38" s="17"/>
      <c r="AI38" s="18"/>
    </row>
    <row r="39" spans="1:35" x14ac:dyDescent="0.2">
      <c r="A39" s="1">
        <v>37</v>
      </c>
      <c r="B39" s="1"/>
      <c r="D39">
        <f>LEN(TransInfo[[#This Row],[Question]])</f>
        <v>0</v>
      </c>
      <c r="I39" s="17"/>
      <c r="K39" s="18"/>
      <c r="L39" s="17"/>
      <c r="N39" s="18"/>
      <c r="O39" s="17"/>
      <c r="Q39" s="18"/>
      <c r="R39" s="17"/>
      <c r="T39" s="18"/>
      <c r="U39" s="17"/>
      <c r="W39" s="18"/>
      <c r="X39" s="17"/>
      <c r="Z39" s="18"/>
      <c r="AA39" s="17"/>
      <c r="AC39" s="18"/>
      <c r="AD39" s="17"/>
      <c r="AF39" s="18"/>
      <c r="AG39" s="17"/>
      <c r="AI39" s="18"/>
    </row>
    <row r="40" spans="1:35" x14ac:dyDescent="0.2">
      <c r="A40" s="1">
        <v>38</v>
      </c>
      <c r="B40" s="1"/>
      <c r="D40">
        <f>LEN(TransInfo[[#This Row],[Question]])</f>
        <v>0</v>
      </c>
      <c r="I40" s="17"/>
      <c r="K40" s="18"/>
      <c r="L40" s="17"/>
      <c r="N40" s="18"/>
      <c r="O40" s="17"/>
      <c r="Q40" s="18"/>
      <c r="R40" s="17"/>
      <c r="T40" s="18"/>
      <c r="U40" s="17"/>
      <c r="W40" s="18"/>
      <c r="X40" s="17"/>
      <c r="Z40" s="18"/>
      <c r="AA40" s="17"/>
      <c r="AC40" s="18"/>
      <c r="AD40" s="17"/>
      <c r="AF40" s="18"/>
      <c r="AG40" s="17"/>
      <c r="AI40" s="18"/>
    </row>
    <row r="41" spans="1:35" x14ac:dyDescent="0.2">
      <c r="A41" s="1">
        <v>39</v>
      </c>
      <c r="B41" s="1"/>
      <c r="D41">
        <f>LEN(TransInfo[[#This Row],[Question]])</f>
        <v>0</v>
      </c>
      <c r="I41" s="17"/>
      <c r="K41" s="18"/>
      <c r="L41" s="17"/>
      <c r="N41" s="18"/>
      <c r="O41" s="17"/>
      <c r="Q41" s="18"/>
      <c r="R41" s="17"/>
      <c r="T41" s="18"/>
      <c r="U41" s="17"/>
      <c r="W41" s="18"/>
      <c r="X41" s="17"/>
      <c r="Z41" s="18"/>
      <c r="AA41" s="17"/>
      <c r="AC41" s="18"/>
      <c r="AD41" s="17"/>
      <c r="AF41" s="18"/>
      <c r="AG41" s="17"/>
      <c r="AI41" s="18"/>
    </row>
    <row r="42" spans="1:35" x14ac:dyDescent="0.2">
      <c r="A42" s="1">
        <v>40</v>
      </c>
      <c r="B42" s="1"/>
      <c r="D42">
        <f>LEN(TransInfo[[#This Row],[Question]])</f>
        <v>0</v>
      </c>
      <c r="I42" s="17"/>
      <c r="K42" s="18"/>
      <c r="L42" s="17"/>
      <c r="N42" s="18"/>
      <c r="O42" s="17"/>
      <c r="Q42" s="18"/>
      <c r="R42" s="17"/>
      <c r="T42" s="18"/>
      <c r="U42" s="17"/>
      <c r="W42" s="18"/>
      <c r="X42" s="17"/>
      <c r="Z42" s="18"/>
      <c r="AA42" s="17"/>
      <c r="AC42" s="18"/>
      <c r="AD42" s="17"/>
      <c r="AF42" s="18"/>
      <c r="AG42" s="17"/>
      <c r="AI42" s="18"/>
    </row>
    <row r="43" spans="1:35" x14ac:dyDescent="0.2">
      <c r="A43" s="1">
        <v>41</v>
      </c>
      <c r="B43" s="1"/>
      <c r="D43">
        <f>LEN(TransInfo[[#This Row],[Question]])</f>
        <v>0</v>
      </c>
      <c r="I43" s="17"/>
      <c r="K43" s="18"/>
      <c r="L43" s="17"/>
      <c r="N43" s="18"/>
      <c r="O43" s="17"/>
      <c r="Q43" s="18"/>
      <c r="R43" s="17"/>
      <c r="T43" s="18"/>
      <c r="U43" s="17"/>
      <c r="W43" s="18"/>
      <c r="X43" s="17"/>
      <c r="Z43" s="18"/>
      <c r="AA43" s="17"/>
      <c r="AC43" s="18"/>
      <c r="AD43" s="17"/>
      <c r="AF43" s="18"/>
      <c r="AG43" s="17"/>
      <c r="AI43" s="18"/>
    </row>
    <row r="44" spans="1:35" x14ac:dyDescent="0.2">
      <c r="A44" s="1">
        <v>42</v>
      </c>
      <c r="B44" s="1"/>
      <c r="D44">
        <f>LEN(TransInfo[[#This Row],[Question]])</f>
        <v>0</v>
      </c>
      <c r="I44" s="17"/>
      <c r="K44" s="18"/>
      <c r="L44" s="17"/>
      <c r="N44" s="18"/>
      <c r="O44" s="17"/>
      <c r="Q44" s="18"/>
      <c r="R44" s="17"/>
      <c r="T44" s="18"/>
      <c r="U44" s="17"/>
      <c r="W44" s="18"/>
      <c r="X44" s="17"/>
      <c r="Z44" s="18"/>
      <c r="AA44" s="17"/>
      <c r="AC44" s="18"/>
      <c r="AD44" s="17"/>
      <c r="AF44" s="18"/>
      <c r="AG44" s="17"/>
      <c r="AI44" s="18"/>
    </row>
    <row r="45" spans="1:35" x14ac:dyDescent="0.2">
      <c r="A45" s="1">
        <v>43</v>
      </c>
      <c r="B45" s="1"/>
      <c r="D45">
        <f>LEN(TransInfo[[#This Row],[Question]])</f>
        <v>0</v>
      </c>
      <c r="I45" s="17"/>
      <c r="K45" s="18"/>
      <c r="L45" s="17"/>
      <c r="N45" s="18"/>
      <c r="O45" s="17"/>
      <c r="Q45" s="18"/>
      <c r="R45" s="17"/>
      <c r="T45" s="18"/>
      <c r="U45" s="17"/>
      <c r="W45" s="18"/>
      <c r="X45" s="17"/>
      <c r="Z45" s="18"/>
      <c r="AA45" s="17"/>
      <c r="AC45" s="18"/>
      <c r="AD45" s="17"/>
      <c r="AF45" s="18"/>
      <c r="AG45" s="17"/>
      <c r="AI45" s="18"/>
    </row>
    <row r="46" spans="1:35" x14ac:dyDescent="0.2">
      <c r="A46" s="1">
        <v>44</v>
      </c>
      <c r="B46" s="1"/>
      <c r="D46">
        <f>LEN(TransInfo[[#This Row],[Question]])</f>
        <v>0</v>
      </c>
      <c r="I46" s="17"/>
      <c r="K46" s="18"/>
      <c r="L46" s="17"/>
      <c r="N46" s="18"/>
      <c r="O46" s="17"/>
      <c r="Q46" s="18"/>
      <c r="R46" s="17"/>
      <c r="T46" s="18"/>
      <c r="U46" s="17"/>
      <c r="W46" s="18"/>
      <c r="X46" s="17"/>
      <c r="Z46" s="18"/>
      <c r="AA46" s="17"/>
      <c r="AC46" s="18"/>
      <c r="AD46" s="17"/>
      <c r="AF46" s="18"/>
      <c r="AG46" s="17"/>
      <c r="AI46" s="18"/>
    </row>
    <row r="47" spans="1:35" x14ac:dyDescent="0.2">
      <c r="A47" s="1">
        <v>45</v>
      </c>
      <c r="B47" s="1"/>
      <c r="D47">
        <f>LEN(TransInfo[[#This Row],[Question]])</f>
        <v>0</v>
      </c>
      <c r="I47" s="17"/>
      <c r="K47" s="18"/>
      <c r="L47" s="17"/>
      <c r="N47" s="18"/>
      <c r="O47" s="17"/>
      <c r="Q47" s="18"/>
      <c r="R47" s="17"/>
      <c r="T47" s="18"/>
      <c r="U47" s="17"/>
      <c r="W47" s="18"/>
      <c r="X47" s="17"/>
      <c r="Z47" s="18"/>
      <c r="AA47" s="17"/>
      <c r="AC47" s="18"/>
      <c r="AD47" s="17"/>
      <c r="AF47" s="18"/>
      <c r="AG47" s="17"/>
      <c r="AI47" s="18"/>
    </row>
    <row r="48" spans="1:35" x14ac:dyDescent="0.2">
      <c r="A48" s="1">
        <v>46</v>
      </c>
      <c r="B48" s="1"/>
      <c r="D48">
        <f>LEN(TransInfo[[#This Row],[Question]])</f>
        <v>0</v>
      </c>
      <c r="I48" s="17"/>
      <c r="K48" s="18"/>
      <c r="L48" s="17"/>
      <c r="N48" s="18"/>
      <c r="O48" s="17"/>
      <c r="Q48" s="18"/>
      <c r="R48" s="17"/>
      <c r="T48" s="18"/>
      <c r="U48" s="17"/>
      <c r="W48" s="18"/>
      <c r="X48" s="17"/>
      <c r="Z48" s="18"/>
      <c r="AA48" s="17"/>
      <c r="AC48" s="18"/>
      <c r="AD48" s="17"/>
      <c r="AF48" s="18"/>
      <c r="AG48" s="17"/>
      <c r="AI48" s="18"/>
    </row>
    <row r="49" spans="1:35" x14ac:dyDescent="0.2">
      <c r="A49" s="1">
        <v>47</v>
      </c>
      <c r="B49" s="1"/>
      <c r="D49">
        <f>LEN(TransInfo[[#This Row],[Question]])</f>
        <v>0</v>
      </c>
      <c r="I49" s="17"/>
      <c r="K49" s="18"/>
      <c r="L49" s="17"/>
      <c r="N49" s="18"/>
      <c r="O49" s="17"/>
      <c r="Q49" s="18"/>
      <c r="R49" s="17"/>
      <c r="T49" s="18"/>
      <c r="U49" s="17"/>
      <c r="W49" s="18"/>
      <c r="X49" s="17"/>
      <c r="Z49" s="18"/>
      <c r="AA49" s="17"/>
      <c r="AC49" s="18"/>
      <c r="AD49" s="17"/>
      <c r="AF49" s="18"/>
      <c r="AG49" s="17"/>
      <c r="AI49" s="18"/>
    </row>
    <row r="50" spans="1:35" x14ac:dyDescent="0.2">
      <c r="A50" s="1">
        <v>48</v>
      </c>
      <c r="B50" s="1"/>
      <c r="D50">
        <f>LEN(TransInfo[[#This Row],[Question]])</f>
        <v>0</v>
      </c>
      <c r="I50" s="17"/>
      <c r="K50" s="18"/>
      <c r="L50" s="17"/>
      <c r="N50" s="18"/>
      <c r="O50" s="17"/>
      <c r="Q50" s="18"/>
      <c r="R50" s="17"/>
      <c r="T50" s="18"/>
      <c r="U50" s="17"/>
      <c r="W50" s="18"/>
      <c r="X50" s="17"/>
      <c r="Z50" s="18"/>
      <c r="AA50" s="17"/>
      <c r="AC50" s="18"/>
      <c r="AD50" s="17"/>
      <c r="AF50" s="18"/>
      <c r="AG50" s="17"/>
      <c r="AI50" s="18"/>
    </row>
    <row r="51" spans="1:35" x14ac:dyDescent="0.2">
      <c r="A51" s="1">
        <v>49</v>
      </c>
      <c r="B51" s="1"/>
      <c r="D51">
        <f>LEN(TransInfo[[#This Row],[Question]])</f>
        <v>0</v>
      </c>
      <c r="I51" s="17"/>
      <c r="K51" s="18"/>
      <c r="L51" s="17"/>
      <c r="N51" s="18"/>
      <c r="O51" s="17"/>
      <c r="Q51" s="18"/>
      <c r="R51" s="17"/>
      <c r="T51" s="18"/>
      <c r="U51" s="17"/>
      <c r="W51" s="18"/>
      <c r="X51" s="17"/>
      <c r="Z51" s="18"/>
      <c r="AA51" s="17"/>
      <c r="AC51" s="18"/>
      <c r="AD51" s="17"/>
      <c r="AF51" s="18"/>
      <c r="AG51" s="17"/>
      <c r="AI51" s="18"/>
    </row>
    <row r="52" spans="1:35" x14ac:dyDescent="0.2">
      <c r="I52" s="17"/>
      <c r="K52" s="18"/>
      <c r="L52" s="17"/>
      <c r="N52" s="18"/>
      <c r="O52" s="17"/>
      <c r="Q52" s="18"/>
      <c r="R52" s="17"/>
      <c r="T52" s="18"/>
      <c r="U52" s="17"/>
      <c r="W52" s="18"/>
      <c r="X52" s="17"/>
      <c r="Z52" s="18"/>
      <c r="AA52" s="17"/>
      <c r="AC52" s="18"/>
      <c r="AD52" s="17"/>
      <c r="AF52" s="18"/>
      <c r="AG52" s="17"/>
      <c r="AI52" s="18"/>
    </row>
    <row r="53" spans="1:35" x14ac:dyDescent="0.2">
      <c r="A53" t="s">
        <v>153</v>
      </c>
      <c r="B53" t="str">
        <f>"TransInfo[ref]"</f>
        <v>TransInfo[ref]</v>
      </c>
      <c r="C53" t="str">
        <f>"TransInfo[Question]"</f>
        <v>TransInfo[Question]</v>
      </c>
      <c r="I53" s="17"/>
      <c r="K53" s="18"/>
      <c r="L53" s="17"/>
      <c r="N53" s="18"/>
      <c r="O53" s="17"/>
      <c r="Q53" s="18"/>
      <c r="R53" s="17"/>
      <c r="T53" s="18"/>
      <c r="U53" s="17"/>
      <c r="W53" s="18"/>
      <c r="X53" s="17"/>
      <c r="Z53" s="18"/>
      <c r="AA53" s="17"/>
      <c r="AC53" s="18"/>
      <c r="AD53" s="17"/>
      <c r="AF53" s="18"/>
      <c r="AG53" s="17"/>
      <c r="AI53" s="18"/>
    </row>
    <row r="54" spans="1:35" x14ac:dyDescent="0.2">
      <c r="I54" s="17"/>
      <c r="K54" s="18"/>
      <c r="L54" s="17"/>
      <c r="N54" s="18"/>
      <c r="O54" s="17"/>
      <c r="Q54" s="18"/>
      <c r="R54" s="17"/>
      <c r="T54" s="18"/>
      <c r="U54" s="17"/>
      <c r="W54" s="18"/>
      <c r="X54" s="17"/>
      <c r="Z54" s="18"/>
      <c r="AA54" s="17"/>
      <c r="AC54" s="18"/>
      <c r="AD54" s="17"/>
      <c r="AF54" s="18"/>
      <c r="AG54" s="17"/>
      <c r="AI54" s="18"/>
    </row>
    <row r="55" spans="1:35" x14ac:dyDescent="0.2">
      <c r="I55" s="17"/>
      <c r="K55" s="18"/>
      <c r="L55" s="17"/>
      <c r="N55" s="18"/>
      <c r="O55" s="17"/>
      <c r="Q55" s="18"/>
      <c r="R55" s="17"/>
      <c r="T55" s="18"/>
      <c r="U55" s="17"/>
      <c r="W55" s="18"/>
      <c r="X55" s="17"/>
      <c r="Z55" s="18"/>
      <c r="AA55" s="17"/>
      <c r="AC55" s="18"/>
      <c r="AD55" s="17"/>
      <c r="AF55" s="18"/>
      <c r="AG55" s="17"/>
      <c r="AI55" s="18"/>
    </row>
    <row r="56" spans="1:35" x14ac:dyDescent="0.2">
      <c r="I56" s="17"/>
      <c r="K56" s="18"/>
      <c r="L56" s="17"/>
      <c r="N56" s="18"/>
      <c r="O56" s="17"/>
      <c r="Q56" s="18"/>
      <c r="R56" s="17"/>
      <c r="T56" s="18"/>
      <c r="U56" s="17"/>
      <c r="W56" s="18"/>
      <c r="X56" s="17"/>
      <c r="Z56" s="18"/>
      <c r="AA56" s="17"/>
      <c r="AC56" s="18"/>
      <c r="AD56" s="17"/>
      <c r="AF56" s="18"/>
      <c r="AG56" s="17"/>
      <c r="AI56" s="18"/>
    </row>
    <row r="57" spans="1:35" x14ac:dyDescent="0.2">
      <c r="I57" s="17"/>
      <c r="K57" s="18"/>
      <c r="L57" s="17"/>
      <c r="N57" s="18"/>
      <c r="O57" s="17"/>
      <c r="Q57" s="18"/>
      <c r="R57" s="17"/>
      <c r="T57" s="18"/>
      <c r="U57" s="17"/>
      <c r="W57" s="18"/>
      <c r="X57" s="17"/>
      <c r="Z57" s="18"/>
      <c r="AA57" s="17"/>
      <c r="AC57" s="18"/>
      <c r="AD57" s="17"/>
      <c r="AF57" s="18"/>
      <c r="AG57" s="17"/>
      <c r="AI57" s="18"/>
    </row>
    <row r="58" spans="1:35" x14ac:dyDescent="0.2">
      <c r="I58" s="17"/>
      <c r="K58" s="18"/>
      <c r="L58" s="17"/>
      <c r="N58" s="18"/>
      <c r="O58" s="17"/>
      <c r="Q58" s="18"/>
      <c r="R58" s="17"/>
      <c r="T58" s="18"/>
      <c r="U58" s="17"/>
      <c r="W58" s="18"/>
      <c r="X58" s="17"/>
      <c r="Z58" s="18"/>
      <c r="AA58" s="17"/>
      <c r="AC58" s="18"/>
      <c r="AD58" s="17"/>
      <c r="AF58" s="18"/>
      <c r="AG58" s="17"/>
      <c r="AI58" s="18"/>
    </row>
    <row r="59" spans="1:35" x14ac:dyDescent="0.2">
      <c r="I59" s="17"/>
      <c r="K59" s="18"/>
      <c r="L59" s="17"/>
      <c r="N59" s="18"/>
      <c r="O59" s="17"/>
      <c r="Q59" s="18"/>
      <c r="R59" s="17"/>
      <c r="T59" s="18"/>
      <c r="U59" s="17"/>
      <c r="W59" s="18"/>
      <c r="X59" s="17"/>
      <c r="Z59" s="18"/>
      <c r="AA59" s="17"/>
      <c r="AC59" s="18"/>
      <c r="AD59" s="17"/>
      <c r="AF59" s="18"/>
      <c r="AG59" s="17"/>
      <c r="AI59" s="18"/>
    </row>
    <row r="60" spans="1:35" x14ac:dyDescent="0.2">
      <c r="I60" s="17"/>
      <c r="K60" s="18"/>
      <c r="L60" s="17"/>
      <c r="N60" s="18"/>
      <c r="O60" s="17"/>
      <c r="Q60" s="18"/>
      <c r="R60" s="17"/>
      <c r="T60" s="18"/>
      <c r="U60" s="17"/>
      <c r="W60" s="18"/>
      <c r="X60" s="17"/>
      <c r="Z60" s="18"/>
      <c r="AA60" s="17"/>
      <c r="AC60" s="18"/>
      <c r="AD60" s="17"/>
      <c r="AF60" s="18"/>
      <c r="AG60" s="17"/>
      <c r="AI60" s="18"/>
    </row>
    <row r="61" spans="1:35" x14ac:dyDescent="0.2">
      <c r="I61" s="17"/>
      <c r="K61" s="18"/>
      <c r="L61" s="17"/>
      <c r="N61" s="18"/>
      <c r="O61" s="17"/>
      <c r="Q61" s="18"/>
      <c r="R61" s="17"/>
      <c r="T61" s="18"/>
      <c r="U61" s="17"/>
      <c r="W61" s="18"/>
      <c r="X61" s="17"/>
      <c r="Z61" s="18"/>
      <c r="AA61" s="17"/>
      <c r="AC61" s="18"/>
      <c r="AD61" s="17"/>
      <c r="AF61" s="18"/>
      <c r="AG61" s="17"/>
      <c r="AI61" s="18"/>
    </row>
    <row r="62" spans="1:35" x14ac:dyDescent="0.2">
      <c r="I62" s="17"/>
      <c r="K62" s="18"/>
      <c r="L62" s="17"/>
      <c r="N62" s="18"/>
      <c r="O62" s="17"/>
      <c r="Q62" s="18"/>
      <c r="R62" s="17"/>
      <c r="T62" s="18"/>
      <c r="U62" s="17"/>
      <c r="W62" s="18"/>
      <c r="X62" s="17"/>
      <c r="Z62" s="18"/>
      <c r="AA62" s="17"/>
      <c r="AC62" s="18"/>
      <c r="AD62" s="17"/>
      <c r="AF62" s="18"/>
      <c r="AG62" s="17"/>
      <c r="AI62" s="18"/>
    </row>
    <row r="63" spans="1:35" x14ac:dyDescent="0.2">
      <c r="I63" s="17"/>
      <c r="K63" s="18"/>
      <c r="L63" s="17"/>
      <c r="N63" s="18"/>
      <c r="O63" s="17"/>
      <c r="Q63" s="18"/>
      <c r="R63" s="17"/>
      <c r="T63" s="18"/>
      <c r="U63" s="17"/>
      <c r="W63" s="18"/>
      <c r="X63" s="17"/>
      <c r="Z63" s="18"/>
      <c r="AA63" s="17"/>
      <c r="AC63" s="18"/>
      <c r="AD63" s="17"/>
      <c r="AF63" s="18"/>
      <c r="AG63" s="17"/>
      <c r="AI63" s="18"/>
    </row>
    <row r="64" spans="1:35" x14ac:dyDescent="0.2">
      <c r="I64" s="17"/>
      <c r="K64" s="18"/>
      <c r="L64" s="17"/>
      <c r="N64" s="18"/>
      <c r="O64" s="17"/>
      <c r="Q64" s="18"/>
      <c r="R64" s="17"/>
      <c r="T64" s="18"/>
      <c r="U64" s="17"/>
      <c r="W64" s="18"/>
      <c r="X64" s="17"/>
      <c r="Z64" s="18"/>
      <c r="AA64" s="17"/>
      <c r="AC64" s="18"/>
      <c r="AD64" s="17"/>
      <c r="AF64" s="18"/>
      <c r="AG64" s="17"/>
      <c r="AI64" s="18"/>
    </row>
    <row r="65" spans="9:35" x14ac:dyDescent="0.2">
      <c r="I65" s="17"/>
      <c r="K65" s="18"/>
      <c r="L65" s="17"/>
      <c r="N65" s="18"/>
      <c r="O65" s="17"/>
      <c r="Q65" s="18"/>
      <c r="R65" s="17"/>
      <c r="T65" s="18"/>
      <c r="U65" s="17"/>
      <c r="W65" s="18"/>
      <c r="X65" s="17"/>
      <c r="Z65" s="18"/>
      <c r="AA65" s="17"/>
      <c r="AC65" s="18"/>
      <c r="AD65" s="17"/>
      <c r="AF65" s="18"/>
      <c r="AG65" s="17"/>
      <c r="AI65" s="18"/>
    </row>
    <row r="66" spans="9:35" x14ac:dyDescent="0.2">
      <c r="I66" s="17"/>
      <c r="K66" s="18"/>
      <c r="L66" s="17"/>
      <c r="N66" s="18"/>
      <c r="O66" s="17"/>
      <c r="Q66" s="18"/>
      <c r="R66" s="17"/>
      <c r="T66" s="18"/>
      <c r="U66" s="17"/>
      <c r="W66" s="18"/>
      <c r="X66" s="17"/>
      <c r="Z66" s="18"/>
      <c r="AA66" s="17"/>
      <c r="AC66" s="18"/>
      <c r="AD66" s="17"/>
      <c r="AF66" s="18"/>
      <c r="AG66" s="17"/>
      <c r="AI66" s="18"/>
    </row>
    <row r="67" spans="9:35" x14ac:dyDescent="0.2">
      <c r="I67" s="17"/>
      <c r="K67" s="18"/>
      <c r="L67" s="17"/>
      <c r="N67" s="18"/>
      <c r="O67" s="17"/>
      <c r="Q67" s="18"/>
      <c r="R67" s="17"/>
      <c r="T67" s="18"/>
      <c r="U67" s="17"/>
      <c r="W67" s="18"/>
      <c r="X67" s="17"/>
      <c r="Z67" s="18"/>
      <c r="AA67" s="17"/>
      <c r="AC67" s="18"/>
      <c r="AD67" s="17"/>
      <c r="AF67" s="18"/>
      <c r="AG67" s="17"/>
      <c r="AI67" s="18"/>
    </row>
    <row r="68" spans="9:35" x14ac:dyDescent="0.2">
      <c r="I68" s="17"/>
      <c r="K68" s="18"/>
      <c r="L68" s="17"/>
      <c r="N68" s="18"/>
      <c r="O68" s="17"/>
      <c r="Q68" s="18"/>
      <c r="R68" s="17"/>
      <c r="T68" s="18"/>
      <c r="U68" s="17"/>
      <c r="W68" s="18"/>
      <c r="X68" s="17"/>
      <c r="Z68" s="18"/>
      <c r="AA68" s="17"/>
      <c r="AC68" s="18"/>
      <c r="AD68" s="17"/>
      <c r="AF68" s="18"/>
      <c r="AG68" s="17"/>
      <c r="AI68" s="18"/>
    </row>
    <row r="69" spans="9:35" x14ac:dyDescent="0.2">
      <c r="I69" s="17"/>
      <c r="K69" s="18"/>
      <c r="L69" s="17"/>
      <c r="N69" s="18"/>
      <c r="O69" s="17"/>
      <c r="Q69" s="18"/>
      <c r="R69" s="17"/>
      <c r="T69" s="18"/>
      <c r="U69" s="17"/>
      <c r="W69" s="18"/>
      <c r="X69" s="17"/>
      <c r="Z69" s="18"/>
      <c r="AA69" s="17"/>
      <c r="AC69" s="18"/>
      <c r="AD69" s="17"/>
      <c r="AF69" s="18"/>
      <c r="AG69" s="17"/>
      <c r="AI69" s="18"/>
    </row>
    <row r="70" spans="9:35" x14ac:dyDescent="0.2">
      <c r="I70" s="17"/>
      <c r="K70" s="18"/>
      <c r="L70" s="17"/>
      <c r="N70" s="18"/>
      <c r="O70" s="17"/>
      <c r="Q70" s="18"/>
      <c r="R70" s="17"/>
      <c r="T70" s="18"/>
      <c r="U70" s="17"/>
      <c r="W70" s="18"/>
      <c r="X70" s="17"/>
      <c r="Z70" s="18"/>
      <c r="AA70" s="17"/>
      <c r="AC70" s="18"/>
      <c r="AD70" s="17"/>
      <c r="AF70" s="18"/>
      <c r="AG70" s="17"/>
      <c r="AI70" s="18"/>
    </row>
    <row r="71" spans="9:35" x14ac:dyDescent="0.2">
      <c r="I71" s="17"/>
      <c r="K71" s="18"/>
      <c r="L71" s="17"/>
      <c r="N71" s="18"/>
      <c r="O71" s="17"/>
      <c r="Q71" s="18"/>
      <c r="R71" s="17"/>
      <c r="T71" s="18"/>
      <c r="U71" s="17"/>
      <c r="W71" s="18"/>
      <c r="X71" s="17"/>
      <c r="Z71" s="18"/>
      <c r="AA71" s="17"/>
      <c r="AC71" s="18"/>
      <c r="AD71" s="17"/>
      <c r="AF71" s="18"/>
      <c r="AG71" s="17"/>
      <c r="AI71" s="18"/>
    </row>
    <row r="72" spans="9:35" x14ac:dyDescent="0.2">
      <c r="I72" s="17"/>
      <c r="K72" s="18"/>
      <c r="L72" s="17"/>
      <c r="N72" s="18"/>
      <c r="O72" s="17"/>
      <c r="Q72" s="18"/>
      <c r="R72" s="17"/>
      <c r="T72" s="18"/>
      <c r="U72" s="17"/>
      <c r="W72" s="18"/>
      <c r="X72" s="17"/>
      <c r="Z72" s="18"/>
      <c r="AA72" s="17"/>
      <c r="AC72" s="18"/>
      <c r="AD72" s="17"/>
      <c r="AF72" s="18"/>
      <c r="AG72" s="17"/>
      <c r="AI72" s="18"/>
    </row>
    <row r="73" spans="9:35" x14ac:dyDescent="0.2">
      <c r="I73" s="17"/>
      <c r="K73" s="18"/>
      <c r="L73" s="17"/>
      <c r="N73" s="18"/>
      <c r="O73" s="17"/>
      <c r="Q73" s="18"/>
      <c r="R73" s="17"/>
      <c r="T73" s="18"/>
      <c r="U73" s="17"/>
      <c r="W73" s="18"/>
      <c r="X73" s="17"/>
      <c r="Z73" s="18"/>
      <c r="AA73" s="17"/>
      <c r="AC73" s="18"/>
      <c r="AD73" s="17"/>
      <c r="AF73" s="18"/>
      <c r="AG73" s="17"/>
      <c r="AI73" s="18"/>
    </row>
    <row r="74" spans="9:35" ht="16" thickBot="1" x14ac:dyDescent="0.25">
      <c r="I74" s="24"/>
      <c r="J74" s="113"/>
      <c r="K74" s="25"/>
      <c r="L74" s="24"/>
      <c r="M74" s="113"/>
      <c r="N74" s="25"/>
      <c r="O74" s="24"/>
      <c r="P74" s="113"/>
      <c r="Q74" s="25"/>
      <c r="R74" s="24"/>
      <c r="S74" s="113"/>
      <c r="T74" s="25"/>
      <c r="U74" s="24"/>
      <c r="V74" s="113"/>
      <c r="W74" s="25"/>
      <c r="X74" s="24"/>
      <c r="Y74" s="113"/>
      <c r="Z74" s="25"/>
      <c r="AA74" s="24"/>
      <c r="AB74" s="113"/>
      <c r="AC74" s="25"/>
      <c r="AD74" s="24"/>
      <c r="AE74" s="113"/>
      <c r="AF74" s="25"/>
      <c r="AG74" s="24"/>
      <c r="AH74" s="113"/>
      <c r="AI74" s="25"/>
    </row>
  </sheetData>
  <conditionalFormatting sqref="M2">
    <cfRule type="cellIs" dxfId="548" priority="35" operator="greaterThan">
      <formula>125</formula>
    </cfRule>
    <cfRule type="cellIs" dxfId="547" priority="36" operator="lessThanOrEqual">
      <formula>125</formula>
    </cfRule>
  </conditionalFormatting>
  <conditionalFormatting sqref="M3:M6">
    <cfRule type="cellIs" dxfId="546" priority="33" operator="greaterThan">
      <formula>125</formula>
    </cfRule>
    <cfRule type="cellIs" dxfId="545" priority="34" operator="lessThanOrEqual">
      <formula>125</formula>
    </cfRule>
  </conditionalFormatting>
  <conditionalFormatting sqref="P2">
    <cfRule type="cellIs" dxfId="544" priority="31" operator="greaterThan">
      <formula>125</formula>
    </cfRule>
    <cfRule type="cellIs" dxfId="543" priority="32" operator="lessThanOrEqual">
      <formula>125</formula>
    </cfRule>
  </conditionalFormatting>
  <conditionalFormatting sqref="P3:P6">
    <cfRule type="cellIs" dxfId="542" priority="29" operator="greaterThan">
      <formula>125</formula>
    </cfRule>
    <cfRule type="cellIs" dxfId="541" priority="30" operator="lessThanOrEqual">
      <formula>125</formula>
    </cfRule>
  </conditionalFormatting>
  <conditionalFormatting sqref="S2">
    <cfRule type="cellIs" dxfId="540" priority="27" operator="greaterThan">
      <formula>125</formula>
    </cfRule>
    <cfRule type="cellIs" dxfId="539" priority="28" operator="lessThanOrEqual">
      <formula>125</formula>
    </cfRule>
  </conditionalFormatting>
  <conditionalFormatting sqref="S3:S6">
    <cfRule type="cellIs" dxfId="538" priority="25" operator="greaterThan">
      <formula>125</formula>
    </cfRule>
    <cfRule type="cellIs" dxfId="537" priority="26" operator="lessThanOrEqual">
      <formula>125</formula>
    </cfRule>
  </conditionalFormatting>
  <conditionalFormatting sqref="V2">
    <cfRule type="cellIs" dxfId="536" priority="23" operator="greaterThan">
      <formula>125</formula>
    </cfRule>
    <cfRule type="cellIs" dxfId="535" priority="24" operator="lessThanOrEqual">
      <formula>125</formula>
    </cfRule>
  </conditionalFormatting>
  <conditionalFormatting sqref="V3:V6">
    <cfRule type="cellIs" dxfId="534" priority="21" operator="greaterThan">
      <formula>125</formula>
    </cfRule>
    <cfRule type="cellIs" dxfId="533" priority="22" operator="lessThanOrEqual">
      <formula>125</formula>
    </cfRule>
  </conditionalFormatting>
  <conditionalFormatting sqref="Y2">
    <cfRule type="cellIs" dxfId="532" priority="19" operator="greaterThan">
      <formula>125</formula>
    </cfRule>
    <cfRule type="cellIs" dxfId="531" priority="20" operator="lessThanOrEqual">
      <formula>125</formula>
    </cfRule>
  </conditionalFormatting>
  <conditionalFormatting sqref="Y3:Y6">
    <cfRule type="cellIs" dxfId="530" priority="17" operator="greaterThan">
      <formula>125</formula>
    </cfRule>
    <cfRule type="cellIs" dxfId="529" priority="18" operator="lessThanOrEqual">
      <formula>125</formula>
    </cfRule>
  </conditionalFormatting>
  <conditionalFormatting sqref="AB3:AB6">
    <cfRule type="cellIs" dxfId="528" priority="15" operator="greaterThan">
      <formula>125</formula>
    </cfRule>
    <cfRule type="cellIs" dxfId="527" priority="16" operator="lessThanOrEqual">
      <formula>125</formula>
    </cfRule>
  </conditionalFormatting>
  <conditionalFormatting sqref="J2">
    <cfRule type="cellIs" dxfId="526" priority="13" operator="greaterThan">
      <formula>125</formula>
    </cfRule>
    <cfRule type="cellIs" dxfId="525" priority="14" operator="lessThanOrEqual">
      <formula>125</formula>
    </cfRule>
  </conditionalFormatting>
  <conditionalFormatting sqref="J3:J6">
    <cfRule type="cellIs" dxfId="524" priority="11" operator="greaterThan">
      <formula>125</formula>
    </cfRule>
    <cfRule type="cellIs" dxfId="523" priority="12" operator="lessThanOrEqual">
      <formula>125</formula>
    </cfRule>
  </conditionalFormatting>
  <conditionalFormatting sqref="AB2">
    <cfRule type="cellIs" dxfId="522" priority="9" operator="greaterThan">
      <formula>125</formula>
    </cfRule>
    <cfRule type="cellIs" dxfId="521" priority="10" operator="lessThanOrEqual">
      <formula>125</formula>
    </cfRule>
  </conditionalFormatting>
  <conditionalFormatting sqref="AE3:AE6">
    <cfRule type="cellIs" dxfId="520" priority="7" operator="greaterThan">
      <formula>125</formula>
    </cfRule>
    <cfRule type="cellIs" dxfId="519" priority="8" operator="lessThanOrEqual">
      <formula>125</formula>
    </cfRule>
  </conditionalFormatting>
  <conditionalFormatting sqref="AE2">
    <cfRule type="cellIs" dxfId="518" priority="5" operator="greaterThan">
      <formula>125</formula>
    </cfRule>
    <cfRule type="cellIs" dxfId="517" priority="6" operator="lessThanOrEqual">
      <formula>125</formula>
    </cfRule>
  </conditionalFormatting>
  <conditionalFormatting sqref="AH3:AH6">
    <cfRule type="cellIs" dxfId="516" priority="3" operator="greaterThan">
      <formula>125</formula>
    </cfRule>
    <cfRule type="cellIs" dxfId="515" priority="4" operator="lessThanOrEqual">
      <formula>125</formula>
    </cfRule>
  </conditionalFormatting>
  <conditionalFormatting sqref="AH2">
    <cfRule type="cellIs" dxfId="514" priority="1" operator="greaterThan">
      <formula>125</formula>
    </cfRule>
    <cfRule type="cellIs" dxfId="513" priority="2" operator="lessThanOrEqual">
      <formula>125</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4AC79-BE0B-4081-B9D1-5E44858CC3FD}">
  <dimension ref="A1:O169"/>
  <sheetViews>
    <sheetView workbookViewId="0">
      <selection activeCell="K37" sqref="K37"/>
    </sheetView>
  </sheetViews>
  <sheetFormatPr baseColWidth="10" defaultColWidth="8.83203125" defaultRowHeight="15" x14ac:dyDescent="0.2"/>
  <cols>
    <col min="1" max="1" width="42.1640625" bestFit="1" customWidth="1"/>
    <col min="8" max="8" width="27.1640625" customWidth="1"/>
    <col min="11" max="11" width="17" bestFit="1" customWidth="1"/>
  </cols>
  <sheetData>
    <row r="1" spans="1:15" x14ac:dyDescent="0.2">
      <c r="A1" s="14" t="s">
        <v>154</v>
      </c>
      <c r="B1" s="93"/>
      <c r="C1" s="93"/>
      <c r="D1" s="93"/>
      <c r="E1" s="98"/>
      <c r="H1" s="14" t="s">
        <v>155</v>
      </c>
      <c r="I1" s="98"/>
    </row>
    <row r="2" spans="1:15" x14ac:dyDescent="0.2">
      <c r="A2" s="17" t="s">
        <v>156</v>
      </c>
      <c r="B2" t="s">
        <v>92</v>
      </c>
      <c r="C2" t="s">
        <v>157</v>
      </c>
      <c r="D2" s="18" t="s">
        <v>158</v>
      </c>
      <c r="E2" s="18" t="s">
        <v>88</v>
      </c>
      <c r="H2" s="97" t="s">
        <v>156</v>
      </c>
      <c r="I2" s="94" t="s">
        <v>92</v>
      </c>
    </row>
    <row r="3" spans="1:15" x14ac:dyDescent="0.2">
      <c r="A3" s="17" t="s">
        <v>159</v>
      </c>
      <c r="B3" s="1" t="str">
        <f>_xlfn.XLOOKUP(Asset[[#This Row],[Name]],AssetsMaster[Name],AssetsMaster[Abbr],"")</f>
        <v>CSH</v>
      </c>
      <c r="C3" s="1" t="str">
        <f>_xlfn.XLOOKUP(Asset[[#This Row],[Name]],AssetsMaster[Name],AssetsMaster[BalType],"")</f>
        <v>Debit</v>
      </c>
      <c r="D3" s="1" t="str">
        <f>_xlfn.XLOOKUP(Asset[[#This Row],[Name]],AssetsMaster[Name],AssetsMaster[C/NC],"")</f>
        <v>C</v>
      </c>
      <c r="E3" s="94">
        <v>1</v>
      </c>
      <c r="H3" s="17" t="s">
        <v>160</v>
      </c>
      <c r="I3" s="94" t="str">
        <f>_xlfn.XLOOKUP(_Revenue[[#This Row],[Name]],_RevenuesMaster[Name],_RevenuesMaster[Abbr],"")</f>
        <v>SLs</v>
      </c>
    </row>
    <row r="4" spans="1:15" x14ac:dyDescent="0.2">
      <c r="A4" s="17" t="s">
        <v>161</v>
      </c>
      <c r="B4" s="1" t="str">
        <f>_xlfn.XLOOKUP(Asset[[#This Row],[Name]],AssetsMaster[Name],AssetsMaster[Abbr],"")</f>
        <v>AR</v>
      </c>
      <c r="C4" s="1" t="str">
        <f>_xlfn.XLOOKUP(Asset[[#This Row],[Name]],AssetsMaster[Name],AssetsMaster[BalType],"")</f>
        <v>Debit</v>
      </c>
      <c r="D4" s="1" t="str">
        <f>_xlfn.XLOOKUP(Asset[[#This Row],[Name]],AssetsMaster[Name],AssetsMaster[C/NC],"")</f>
        <v>C</v>
      </c>
      <c r="E4" s="94">
        <v>2</v>
      </c>
      <c r="H4" s="17"/>
      <c r="I4" s="94" t="str">
        <f>_xlfn.XLOOKUP(_Revenue[[#This Row],[Name]],_RevenuesMaster[Name],_RevenuesMaster[Abbr],"")</f>
        <v/>
      </c>
    </row>
    <row r="5" spans="1:15" x14ac:dyDescent="0.2">
      <c r="A5" s="17" t="s">
        <v>162</v>
      </c>
      <c r="B5" s="1" t="str">
        <f>_xlfn.XLOOKUP(Asset[[#This Row],[Name]],AssetsMaster[Name],AssetsMaster[Abbr],"")</f>
        <v>ADA</v>
      </c>
      <c r="C5" s="1" t="str">
        <f>_xlfn.XLOOKUP(Asset[[#This Row],[Name]],AssetsMaster[Name],AssetsMaster[BalType],"")</f>
        <v>Credit</v>
      </c>
      <c r="D5" s="1" t="str">
        <f>_xlfn.XLOOKUP(Asset[[#This Row],[Name]],AssetsMaster[Name],AssetsMaster[C/NC],"")</f>
        <v>C</v>
      </c>
      <c r="E5" s="94">
        <v>3</v>
      </c>
      <c r="H5" s="17"/>
      <c r="I5" s="94" t="str">
        <f>_xlfn.XLOOKUP(_Revenue[[#This Row],[Name]],_RevenuesMaster[Name],_RevenuesMaster[Abbr],"")</f>
        <v/>
      </c>
    </row>
    <row r="6" spans="1:15" ht="16" thickBot="1" x14ac:dyDescent="0.25">
      <c r="A6" s="17" t="s">
        <v>163</v>
      </c>
      <c r="B6" s="1" t="str">
        <f>_xlfn.XLOOKUP(Asset[[#This Row],[Name]],AssetsMaster[Name],AssetsMaster[Abbr],"")</f>
        <v>MS</v>
      </c>
      <c r="C6" s="1" t="str">
        <f>_xlfn.XLOOKUP(Asset[[#This Row],[Name]],AssetsMaster[Name],AssetsMaster[BalType],"")</f>
        <v>Debit</v>
      </c>
      <c r="D6" s="1" t="str">
        <f>_xlfn.XLOOKUP(Asset[[#This Row],[Name]],AssetsMaster[Name],AssetsMaster[C/NC],"")</f>
        <v>C</v>
      </c>
      <c r="E6" s="94">
        <v>4</v>
      </c>
      <c r="H6" s="24"/>
      <c r="I6" s="96" t="str">
        <f>_xlfn.XLOOKUP(_Revenue[[#This Row],[Name]],_RevenuesMaster[Name],_RevenuesMaster[Abbr],"")</f>
        <v/>
      </c>
    </row>
    <row r="7" spans="1:15" x14ac:dyDescent="0.2">
      <c r="A7" s="17" t="s">
        <v>164</v>
      </c>
      <c r="B7" s="1" t="str">
        <f>_xlfn.XLOOKUP(Asset[[#This Row],[Name]],AssetsMaster[Name],AssetsMaster[Abbr],"")</f>
        <v>Inv</v>
      </c>
      <c r="C7" s="1" t="str">
        <f>_xlfn.XLOOKUP(Asset[[#This Row],[Name]],AssetsMaster[Name],AssetsMaster[BalType],"")</f>
        <v>Debit</v>
      </c>
      <c r="D7" s="1" t="str">
        <f>_xlfn.XLOOKUP(Asset[[#This Row],[Name]],AssetsMaster[Name],AssetsMaster[C/NC],"")</f>
        <v>C</v>
      </c>
      <c r="E7" s="94">
        <v>5</v>
      </c>
    </row>
    <row r="8" spans="1:15" x14ac:dyDescent="0.2">
      <c r="A8" s="17" t="s">
        <v>165</v>
      </c>
      <c r="B8" s="1" t="str">
        <f>_xlfn.XLOOKUP(Asset[[#This Row],[Name]],AssetsMaster[Name],AssetsMaster[Abbr],"")</f>
        <v>PPdE</v>
      </c>
      <c r="C8" s="1" t="str">
        <f>_xlfn.XLOOKUP(Asset[[#This Row],[Name]],AssetsMaster[Name],AssetsMaster[BalType],"")</f>
        <v>Debit</v>
      </c>
      <c r="D8" s="1" t="str">
        <f>_xlfn.XLOOKUP(Asset[[#This Row],[Name]],AssetsMaster[Name],AssetsMaster[C/NC],"")</f>
        <v>C</v>
      </c>
      <c r="E8" s="94">
        <v>6</v>
      </c>
      <c r="H8" t="str">
        <f>"_Revenue[Name]"</f>
        <v>_Revenue[Name]</v>
      </c>
    </row>
    <row r="9" spans="1:15" x14ac:dyDescent="0.2">
      <c r="A9" s="17" t="s">
        <v>166</v>
      </c>
      <c r="B9" s="1" t="str">
        <f>_xlfn.XLOOKUP(Asset[[#This Row],[Name]],AssetsMaster[Name],AssetsMaster[Abbr],"")</f>
        <v>PPdR</v>
      </c>
      <c r="C9" s="1" t="str">
        <f>_xlfn.XLOOKUP(Asset[[#This Row],[Name]],AssetsMaster[Name],AssetsMaster[BalType],"")</f>
        <v>Debit</v>
      </c>
      <c r="D9" s="1" t="str">
        <f>_xlfn.XLOOKUP(Asset[[#This Row],[Name]],AssetsMaster[Name],AssetsMaster[C/NC],"")</f>
        <v>C</v>
      </c>
      <c r="E9" s="94">
        <v>7</v>
      </c>
    </row>
    <row r="10" spans="1:15" ht="16" thickBot="1" x14ac:dyDescent="0.25">
      <c r="A10" s="17" t="s">
        <v>167</v>
      </c>
      <c r="B10" s="1" t="str">
        <f>_xlfn.XLOOKUP(Asset[[#This Row],[Name]],AssetsMaster[Name],AssetsMaster[Abbr],"")</f>
        <v>OCA</v>
      </c>
      <c r="C10" s="1" t="str">
        <f>_xlfn.XLOOKUP(Asset[[#This Row],[Name]],AssetsMaster[Name],AssetsMaster[BalType],"")</f>
        <v>Debit</v>
      </c>
      <c r="D10" s="1" t="str">
        <f>_xlfn.XLOOKUP(Asset[[#This Row],[Name]],AssetsMaster[Name],AssetsMaster[C/NC],"")</f>
        <v>C</v>
      </c>
      <c r="E10" s="94">
        <v>8</v>
      </c>
    </row>
    <row r="11" spans="1:15" x14ac:dyDescent="0.2">
      <c r="A11" s="17" t="s">
        <v>168</v>
      </c>
      <c r="B11" s="1" t="str">
        <f>_xlfn.XLOOKUP(Asset[[#This Row],[Name]],AssetsMaster[Name],AssetsMaster[Abbr],"")</f>
        <v>PPE</v>
      </c>
      <c r="C11" s="1" t="str">
        <f>_xlfn.XLOOKUP(Asset[[#This Row],[Name]],AssetsMaster[Name],AssetsMaster[BalType],"")</f>
        <v>Debit</v>
      </c>
      <c r="D11" s="1" t="str">
        <f>_xlfn.XLOOKUP(Asset[[#This Row],[Name]],AssetsMaster[Name],AssetsMaster[C/NC],"")</f>
        <v>NC</v>
      </c>
      <c r="E11" s="94">
        <v>9</v>
      </c>
      <c r="H11" s="14" t="s">
        <v>169</v>
      </c>
      <c r="I11" s="98"/>
      <c r="J11" s="3"/>
      <c r="K11" s="4"/>
      <c r="N11" s="3"/>
      <c r="O11" s="4"/>
    </row>
    <row r="12" spans="1:15" x14ac:dyDescent="0.2">
      <c r="A12" s="17" t="s">
        <v>170</v>
      </c>
      <c r="B12" s="1" t="str">
        <f>_xlfn.XLOOKUP(Asset[[#This Row],[Name]],AssetsMaster[Name],AssetsMaster[Abbr],"")</f>
        <v>AccDepr</v>
      </c>
      <c r="C12" s="1" t="str">
        <f>_xlfn.XLOOKUP(Asset[[#This Row],[Name]],AssetsMaster[Name],AssetsMaster[BalType],"")</f>
        <v>Credit</v>
      </c>
      <c r="D12" s="1" t="str">
        <f>_xlfn.XLOOKUP(Asset[[#This Row],[Name]],AssetsMaster[Name],AssetsMaster[C/NC],"")</f>
        <v>NC</v>
      </c>
      <c r="E12" s="94">
        <v>10</v>
      </c>
      <c r="H12" s="97" t="s">
        <v>156</v>
      </c>
      <c r="I12" s="94" t="s">
        <v>92</v>
      </c>
      <c r="J12" s="1"/>
      <c r="K12" s="1"/>
      <c r="N12" s="1"/>
      <c r="O12" s="1"/>
    </row>
    <row r="13" spans="1:15" x14ac:dyDescent="0.2">
      <c r="A13" s="17" t="s">
        <v>171</v>
      </c>
      <c r="B13" s="1" t="str">
        <f>_xlfn.XLOOKUP(Asset[[#This Row],[Name]],AssetsMaster[Name],AssetsMaster[Abbr],"")</f>
        <v>Intang</v>
      </c>
      <c r="C13" s="1" t="str">
        <f>_xlfn.XLOOKUP(Asset[[#This Row],[Name]],AssetsMaster[Name],AssetsMaster[BalType],"")</f>
        <v>Debit</v>
      </c>
      <c r="D13" s="1" t="str">
        <f>_xlfn.XLOOKUP(Asset[[#This Row],[Name]],AssetsMaster[Name],AssetsMaster[C/NC],"")</f>
        <v>NC</v>
      </c>
      <c r="E13" s="94">
        <v>11</v>
      </c>
      <c r="H13" s="17" t="s">
        <v>172</v>
      </c>
      <c r="I13" s="94" t="str">
        <f>_xlfn.XLOOKUP(_Expense[[#This Row],[Name]],_ExpensesMaster[Name],_ExpensesMaster[Abbr],"")</f>
        <v>CoGS</v>
      </c>
      <c r="J13" s="1"/>
      <c r="N13" s="1"/>
    </row>
    <row r="14" spans="1:15" x14ac:dyDescent="0.2">
      <c r="A14" s="17" t="s">
        <v>173</v>
      </c>
      <c r="B14" s="1" t="str">
        <f>_xlfn.XLOOKUP(Asset[[#This Row],[Name]],AssetsMaster[Name],AssetsMaster[Abbr],"")</f>
        <v>Gdwll</v>
      </c>
      <c r="C14" s="1" t="str">
        <f>_xlfn.XLOOKUP(Asset[[#This Row],[Name]],AssetsMaster[Name],AssetsMaster[BalType],"")</f>
        <v>Debit</v>
      </c>
      <c r="D14" s="1" t="str">
        <f>_xlfn.XLOOKUP(Asset[[#This Row],[Name]],AssetsMaster[Name],AssetsMaster[C/NC],"")</f>
        <v>NC</v>
      </c>
      <c r="E14" s="94">
        <v>12</v>
      </c>
      <c r="H14" s="17"/>
      <c r="I14" s="94" t="str">
        <f>_xlfn.XLOOKUP(_Expense[[#This Row],[Name]],_ExpensesMaster[Name],_ExpensesMaster[Abbr],"")</f>
        <v/>
      </c>
      <c r="J14" s="1"/>
      <c r="N14" s="1"/>
    </row>
    <row r="15" spans="1:15" x14ac:dyDescent="0.2">
      <c r="A15" t="s">
        <v>174</v>
      </c>
      <c r="B15" s="1" t="str">
        <f>_xlfn.XLOOKUP(Asset[[#This Row],[Name]],AssetsMaster[Name],AssetsMaster[Abbr],"")</f>
        <v>ONCA</v>
      </c>
      <c r="C15" s="1" t="str">
        <f>_xlfn.XLOOKUP(Asset[[#This Row],[Name]],AssetsMaster[Name],AssetsMaster[BalType],"")</f>
        <v>Debit</v>
      </c>
      <c r="D15" s="1" t="str">
        <f>_xlfn.XLOOKUP(Asset[[#This Row],[Name]],AssetsMaster[Name],AssetsMaster[C/NC],"")</f>
        <v>NC</v>
      </c>
      <c r="E15" s="1">
        <v>13</v>
      </c>
      <c r="H15" s="17"/>
      <c r="I15" s="94" t="str">
        <f>_xlfn.XLOOKUP(_Expense[[#This Row],[Name]],_ExpensesMaster[Name],_ExpensesMaster[Abbr],"")</f>
        <v/>
      </c>
      <c r="J15" s="1"/>
      <c r="N15" s="1"/>
    </row>
    <row r="16" spans="1:15" x14ac:dyDescent="0.2">
      <c r="A16" t="s">
        <v>175</v>
      </c>
      <c r="B16" s="1" t="str">
        <f>_xlfn.XLOOKUP(Asset[[#This Row],[Name]],AssetsMaster[Name],AssetsMaster[Abbr],"")</f>
        <v>DefTxA</v>
      </c>
      <c r="C16" s="1" t="str">
        <f>_xlfn.XLOOKUP(Asset[[#This Row],[Name]],AssetsMaster[Name],AssetsMaster[BalType],"")</f>
        <v>Debit</v>
      </c>
      <c r="D16" s="1" t="str">
        <f>_xlfn.XLOOKUP(Asset[[#This Row],[Name]],AssetsMaster[Name],AssetsMaster[C/NC],"")</f>
        <v>NC</v>
      </c>
      <c r="E16" s="1">
        <v>14</v>
      </c>
      <c r="H16" s="17"/>
      <c r="I16" s="94" t="str">
        <f>_xlfn.XLOOKUP(_Expense[[#This Row],[Name]],_ExpensesMaster[Name],_ExpensesMaster[Abbr],"")</f>
        <v/>
      </c>
      <c r="J16" s="1"/>
      <c r="N16" s="1"/>
    </row>
    <row r="17" spans="1:14" x14ac:dyDescent="0.2">
      <c r="A17" t="s">
        <v>176</v>
      </c>
      <c r="B17" s="1" t="str">
        <f>_xlfn.XLOOKUP(Asset[[#This Row],[Name]],AssetsMaster[Name],AssetsMaster[Abbr],"")</f>
        <v>AccAmort</v>
      </c>
      <c r="C17" s="1" t="str">
        <f>_xlfn.XLOOKUP(Asset[[#This Row],[Name]],AssetsMaster[Name],AssetsMaster[BalType],"")</f>
        <v>Credit</v>
      </c>
      <c r="D17" s="1" t="str">
        <f>_xlfn.XLOOKUP(Asset[[#This Row],[Name]],AssetsMaster[Name],AssetsMaster[C/NC],"")</f>
        <v>NC</v>
      </c>
      <c r="E17" s="1">
        <v>15</v>
      </c>
      <c r="H17" s="17"/>
      <c r="I17" s="94" t="str">
        <f>_xlfn.XLOOKUP(_Expense[[#This Row],[Name]],_ExpensesMaster[Name],_ExpensesMaster[Abbr],"")</f>
        <v/>
      </c>
      <c r="J17" s="1"/>
      <c r="N17" s="1"/>
    </row>
    <row r="18" spans="1:14" x14ac:dyDescent="0.2">
      <c r="A18" t="str">
        <f>"Asset[Name]"</f>
        <v>Asset[Name]</v>
      </c>
      <c r="E18" t="s">
        <v>177</v>
      </c>
      <c r="H18" s="17"/>
      <c r="I18" s="94" t="str">
        <f>_xlfn.XLOOKUP(_Expense[[#This Row],[Name]],_ExpensesMaster[Name],_ExpensesMaster[Abbr],"")</f>
        <v/>
      </c>
      <c r="J18" s="1"/>
    </row>
    <row r="19" spans="1:14" x14ac:dyDescent="0.2">
      <c r="H19" s="17"/>
      <c r="I19" s="94" t="str">
        <f>_xlfn.XLOOKUP(_Expense[[#This Row],[Name]],_ExpensesMaster[Name],_ExpensesMaster[Abbr],"")</f>
        <v/>
      </c>
      <c r="J19" s="1"/>
    </row>
    <row r="20" spans="1:14" x14ac:dyDescent="0.2">
      <c r="H20" s="17"/>
      <c r="I20" s="94" t="str">
        <f>_xlfn.XLOOKUP(_Expense[[#This Row],[Name]],_ExpensesMaster[Name],_ExpensesMaster[Abbr],"")</f>
        <v/>
      </c>
      <c r="J20" s="1"/>
    </row>
    <row r="21" spans="1:14" x14ac:dyDescent="0.2">
      <c r="H21" s="17"/>
      <c r="I21" s="94" t="str">
        <f>_xlfn.XLOOKUP(_Expense[[#This Row],[Name]],_ExpensesMaster[Name],_ExpensesMaster[Abbr],"")</f>
        <v/>
      </c>
      <c r="J21" s="1"/>
    </row>
    <row r="22" spans="1:14" ht="16" thickBot="1" x14ac:dyDescent="0.25">
      <c r="H22" s="24"/>
      <c r="I22" s="96" t="str">
        <f>_xlfn.XLOOKUP(_Expense[[#This Row],[Name]],_ExpensesMaster[Name],_ExpensesMaster[Abbr],"")</f>
        <v/>
      </c>
      <c r="J22" s="1"/>
    </row>
    <row r="23" spans="1:14" ht="16" thickBot="1" x14ac:dyDescent="0.25">
      <c r="H23" t="str">
        <f>"_Expense[Name]"</f>
        <v>_Expense[Name]</v>
      </c>
    </row>
    <row r="24" spans="1:14" ht="16" thickBot="1" x14ac:dyDescent="0.25">
      <c r="A24" s="14" t="s">
        <v>178</v>
      </c>
      <c r="B24" s="93"/>
      <c r="C24" s="93"/>
      <c r="D24" s="93"/>
      <c r="E24" s="98"/>
    </row>
    <row r="25" spans="1:14" x14ac:dyDescent="0.2">
      <c r="A25" s="97" t="s">
        <v>156</v>
      </c>
      <c r="B25" s="1" t="s">
        <v>92</v>
      </c>
      <c r="C25" s="1" t="s">
        <v>157</v>
      </c>
      <c r="D25" s="94" t="s">
        <v>158</v>
      </c>
      <c r="E25" s="94" t="s">
        <v>88</v>
      </c>
      <c r="H25" s="14" t="s">
        <v>179</v>
      </c>
      <c r="I25" s="98"/>
    </row>
    <row r="26" spans="1:14" x14ac:dyDescent="0.2">
      <c r="A26" s="17" t="s">
        <v>180</v>
      </c>
      <c r="B26" s="1" t="str">
        <f>_xlfn.XLOOKUP(Liability[[#This Row],[Name]],LiabilitiesMaster[Name],LiabilitiesMaster[Abbr],"")</f>
        <v>AP</v>
      </c>
      <c r="C26" s="1" t="str">
        <f>_xlfn.XLOOKUP(Liability[[#This Row],[Name]],LiabilitiesMaster[Name],LiabilitiesMaster[BalType],"")</f>
        <v>Credit</v>
      </c>
      <c r="D26" s="1" t="str">
        <f>_xlfn.XLOOKUP(Liability[[#This Row],[Name]],LiabilitiesMaster[Name],LiabilitiesMaster[C/NC],"")</f>
        <v>C</v>
      </c>
      <c r="E26" s="94">
        <v>1</v>
      </c>
      <c r="H26" s="97" t="s">
        <v>156</v>
      </c>
      <c r="I26" s="94" t="s">
        <v>92</v>
      </c>
    </row>
    <row r="27" spans="1:14" x14ac:dyDescent="0.2">
      <c r="A27" s="17" t="s">
        <v>181</v>
      </c>
      <c r="B27" s="1" t="str">
        <f>_xlfn.XLOOKUP(Liability[[#This Row],[Name]],LiabilitiesMaster[Name],LiabilitiesMaster[Abbr],"")</f>
        <v>AccExp</v>
      </c>
      <c r="C27" s="1" t="str">
        <f>_xlfn.XLOOKUP(Liability[[#This Row],[Name]],LiabilitiesMaster[Name],LiabilitiesMaster[BalType],"")</f>
        <v>Credit</v>
      </c>
      <c r="D27" s="1" t="str">
        <f>_xlfn.XLOOKUP(Liability[[#This Row],[Name]],LiabilitiesMaster[Name],LiabilitiesMaster[C/NC],"")</f>
        <v>C</v>
      </c>
      <c r="E27" s="94">
        <v>2</v>
      </c>
      <c r="H27" s="17" t="s">
        <v>182</v>
      </c>
      <c r="I27" s="94" t="str">
        <f>_xlfn.XLOOKUP(_Gain[[#This Row],[Name]],_GainsMaster[Name],_GainsMaster[Abbr],"")</f>
        <v>GSaleSub</v>
      </c>
    </row>
    <row r="28" spans="1:14" x14ac:dyDescent="0.2">
      <c r="A28" s="17" t="s">
        <v>183</v>
      </c>
      <c r="B28" s="1" t="str">
        <f>_xlfn.XLOOKUP(Liability[[#This Row],[Name]],LiabilitiesMaster[Name],LiabilitiesMaster[Abbr],"")</f>
        <v>IP</v>
      </c>
      <c r="C28" s="1" t="str">
        <f>_xlfn.XLOOKUP(Liability[[#This Row],[Name]],LiabilitiesMaster[Name],LiabilitiesMaster[BalType],"")</f>
        <v>Credit</v>
      </c>
      <c r="D28" s="1" t="str">
        <f>_xlfn.XLOOKUP(Liability[[#This Row],[Name]],LiabilitiesMaster[Name],LiabilitiesMaster[C/NC],"")</f>
        <v>C</v>
      </c>
      <c r="E28" s="94">
        <v>3</v>
      </c>
      <c r="H28" s="17"/>
      <c r="I28" s="94" t="str">
        <f>_xlfn.XLOOKUP(_Gain[[#This Row],[Name]],_GainsMaster[Name],_GainsMaster[Abbr],"")</f>
        <v/>
      </c>
    </row>
    <row r="29" spans="1:14" x14ac:dyDescent="0.2">
      <c r="A29" s="17" t="s">
        <v>184</v>
      </c>
      <c r="B29" s="1" t="str">
        <f>_xlfn.XLOOKUP(Liability[[#This Row],[Name]],LiabilitiesMaster[Name],LiabilitiesMaster[Abbr],"")</f>
        <v>DP</v>
      </c>
      <c r="C29" s="1" t="str">
        <f>_xlfn.XLOOKUP(Liability[[#This Row],[Name]],LiabilitiesMaster[Name],LiabilitiesMaster[BalType],"")</f>
        <v>Credit</v>
      </c>
      <c r="D29" s="1" t="str">
        <f>_xlfn.XLOOKUP(Liability[[#This Row],[Name]],LiabilitiesMaster[Name],LiabilitiesMaster[C/NC],"")</f>
        <v>C</v>
      </c>
      <c r="E29" s="94">
        <v>4</v>
      </c>
      <c r="H29" s="17"/>
      <c r="I29" s="94" t="str">
        <f>_xlfn.XLOOKUP(_Gain[[#This Row],[Name]],_GainsMaster[Name],_GainsMaster[Abbr],"")</f>
        <v/>
      </c>
    </row>
    <row r="30" spans="1:14" x14ac:dyDescent="0.2">
      <c r="A30" s="17" t="s">
        <v>185</v>
      </c>
      <c r="B30" s="1" t="str">
        <f>_xlfn.XLOOKUP(Liability[[#This Row],[Name]],LiabilitiesMaster[Name],LiabilitiesMaster[Abbr],"")</f>
        <v>TxP</v>
      </c>
      <c r="C30" s="1" t="str">
        <f>_xlfn.XLOOKUP(Liability[[#This Row],[Name]],LiabilitiesMaster[Name],LiabilitiesMaster[BalType],"")</f>
        <v>Credit</v>
      </c>
      <c r="D30" s="1" t="str">
        <f>_xlfn.XLOOKUP(Liability[[#This Row],[Name]],LiabilitiesMaster[Name],LiabilitiesMaster[C/NC],"")</f>
        <v>C</v>
      </c>
      <c r="E30" s="94">
        <v>5</v>
      </c>
      <c r="H30" s="17"/>
      <c r="I30" s="94" t="str">
        <f>_xlfn.XLOOKUP(_Gain[[#This Row],[Name]],_GainsMaster[Name],_GainsMaster[Abbr],"")</f>
        <v/>
      </c>
    </row>
    <row r="31" spans="1:14" ht="16" thickBot="1" x14ac:dyDescent="0.25">
      <c r="A31" s="17" t="s">
        <v>186</v>
      </c>
      <c r="B31" s="1" t="str">
        <f>_xlfn.XLOOKUP(Liability[[#This Row],[Name]],LiabilitiesMaster[Name],LiabilitiesMaster[Abbr],"")</f>
        <v>DefTxL</v>
      </c>
      <c r="C31" s="1" t="str">
        <f>_xlfn.XLOOKUP(Liability[[#This Row],[Name]],LiabilitiesMaster[Name],LiabilitiesMaster[BalType],"")</f>
        <v>Credit</v>
      </c>
      <c r="D31" s="1" t="str">
        <f>_xlfn.XLOOKUP(Liability[[#This Row],[Name]],LiabilitiesMaster[Name],LiabilitiesMaster[C/NC],"")</f>
        <v>C</v>
      </c>
      <c r="E31" s="94">
        <v>6</v>
      </c>
      <c r="H31" s="24"/>
      <c r="I31" s="96" t="str">
        <f>_xlfn.XLOOKUP(_Gain[[#This Row],[Name]],_GainsMaster[Name],_GainsMaster[Abbr],"")</f>
        <v/>
      </c>
    </row>
    <row r="32" spans="1:14" x14ac:dyDescent="0.2">
      <c r="A32" s="17" t="s">
        <v>187</v>
      </c>
      <c r="B32" s="1" t="str">
        <f>_xlfn.XLOOKUP(Liability[[#This Row],[Name]],LiabilitiesMaster[Name],LiabilitiesMaster[Abbr],"")</f>
        <v>UR</v>
      </c>
      <c r="C32" s="1" t="str">
        <f>_xlfn.XLOOKUP(Liability[[#This Row],[Name]],LiabilitiesMaster[Name],LiabilitiesMaster[BalType],"")</f>
        <v>Credit</v>
      </c>
      <c r="D32" s="1" t="str">
        <f>_xlfn.XLOOKUP(Liability[[#This Row],[Name]],LiabilitiesMaster[Name],LiabilitiesMaster[C/NC],"")</f>
        <v>C</v>
      </c>
      <c r="E32" s="94">
        <v>7</v>
      </c>
    </row>
    <row r="33" spans="1:9" x14ac:dyDescent="0.2">
      <c r="A33" s="17" t="s">
        <v>188</v>
      </c>
      <c r="B33" s="1" t="str">
        <f>_xlfn.XLOOKUP(Liability[[#This Row],[Name]],LiabilitiesMaster[Name],LiabilitiesMaster[Abbr],"")</f>
        <v>BP</v>
      </c>
      <c r="C33" s="1" t="str">
        <f>_xlfn.XLOOKUP(Liability[[#This Row],[Name]],LiabilitiesMaster[Name],LiabilitiesMaster[BalType],"")</f>
        <v>Credit</v>
      </c>
      <c r="D33" s="1" t="str">
        <f>_xlfn.XLOOKUP(Liability[[#This Row],[Name]],LiabilitiesMaster[Name],LiabilitiesMaster[C/NC],"")</f>
        <v>NC</v>
      </c>
      <c r="E33" s="94">
        <v>8</v>
      </c>
      <c r="H33" t="str">
        <f>"_Gain[Name]"</f>
        <v>_Gain[Name]</v>
      </c>
    </row>
    <row r="34" spans="1:9" ht="16" thickBot="1" x14ac:dyDescent="0.25">
      <c r="A34" s="17" t="s">
        <v>189</v>
      </c>
      <c r="B34" s="1" t="str">
        <f>_xlfn.XLOOKUP(Liability[[#This Row],[Name]],LiabilitiesMaster[Name],LiabilitiesMaster[Abbr],"")</f>
        <v>NP</v>
      </c>
      <c r="C34" s="1" t="str">
        <f>_xlfn.XLOOKUP(Liability[[#This Row],[Name]],LiabilitiesMaster[Name],LiabilitiesMaster[BalType],"")</f>
        <v>Credit</v>
      </c>
      <c r="D34" s="1" t="str">
        <f>_xlfn.XLOOKUP(Liability[[#This Row],[Name]],LiabilitiesMaster[Name],LiabilitiesMaster[C/NC],"")</f>
        <v>NC</v>
      </c>
      <c r="E34" s="94">
        <v>9</v>
      </c>
    </row>
    <row r="35" spans="1:9" x14ac:dyDescent="0.2">
      <c r="A35" s="17" t="s">
        <v>190</v>
      </c>
      <c r="B35" s="1" t="str">
        <f>_xlfn.XLOOKUP(Liability[[#This Row],[Name]],LiabilitiesMaster[Name],LiabilitiesMaster[Abbr],"")</f>
        <v>SenDbt</v>
      </c>
      <c r="C35" s="1" t="str">
        <f>_xlfn.XLOOKUP(Liability[[#This Row],[Name]],LiabilitiesMaster[Name],LiabilitiesMaster[BalType],"")</f>
        <v>Credit</v>
      </c>
      <c r="D35" s="1" t="str">
        <f>_xlfn.XLOOKUP(Liability[[#This Row],[Name]],LiabilitiesMaster[Name],LiabilitiesMaster[C/NC],"")</f>
        <v>NC</v>
      </c>
      <c r="E35" s="94">
        <v>10</v>
      </c>
      <c r="H35" s="14" t="s">
        <v>191</v>
      </c>
      <c r="I35" s="98"/>
    </row>
    <row r="36" spans="1:9" x14ac:dyDescent="0.2">
      <c r="A36" s="17" t="s">
        <v>192</v>
      </c>
      <c r="B36" s="1" t="str">
        <f>_xlfn.XLOOKUP(Liability[[#This Row],[Name]],LiabilitiesMaster[Name],LiabilitiesMaster[Abbr],"")</f>
        <v>SubDbt</v>
      </c>
      <c r="C36" s="1" t="str">
        <f>_xlfn.XLOOKUP(Liability[[#This Row],[Name]],LiabilitiesMaster[Name],LiabilitiesMaster[BalType],"")</f>
        <v>Credit</v>
      </c>
      <c r="D36" s="1" t="str">
        <f>_xlfn.XLOOKUP(Liability[[#This Row],[Name]],LiabilitiesMaster[Name],LiabilitiesMaster[C/NC],"")</f>
        <v>NC</v>
      </c>
      <c r="E36" s="94">
        <v>11</v>
      </c>
      <c r="H36" s="97" t="s">
        <v>156</v>
      </c>
      <c r="I36" s="94" t="s">
        <v>92</v>
      </c>
    </row>
    <row r="37" spans="1:9" ht="16" thickBot="1" x14ac:dyDescent="0.25">
      <c r="A37" s="24" t="s">
        <v>193</v>
      </c>
      <c r="B37" s="95" t="str">
        <f>_xlfn.XLOOKUP(Liability[[#This Row],[Name]],LiabilitiesMaster[Name],LiabilitiesMaster[Abbr],"")</f>
        <v>SWP</v>
      </c>
      <c r="C37" s="95" t="str">
        <f>_xlfn.XLOOKUP(Liability[[#This Row],[Name]],LiabilitiesMaster[Name],LiabilitiesMaster[BalType],"")</f>
        <v>Credit</v>
      </c>
      <c r="D37" s="95" t="str">
        <f>_xlfn.XLOOKUP(Liability[[#This Row],[Name]],LiabilitiesMaster[Name],LiabilitiesMaster[C/NC],"")</f>
        <v>C</v>
      </c>
      <c r="E37" s="96">
        <v>12</v>
      </c>
      <c r="H37" s="17" t="s">
        <v>194</v>
      </c>
      <c r="I37" s="94" t="str">
        <f>_xlfn.XLOOKUP(_Loss[[#This Row],[Name]],_LossesMaster[Name],_LossesMaster[Abbr],"")</f>
        <v>LSaleSub</v>
      </c>
    </row>
    <row r="38" spans="1:9" x14ac:dyDescent="0.2">
      <c r="A38" t="str">
        <f>"Liability[Name]"</f>
        <v>Liability[Name]</v>
      </c>
      <c r="E38" t="s">
        <v>195</v>
      </c>
      <c r="H38" s="17"/>
      <c r="I38" s="94" t="str">
        <f>_xlfn.XLOOKUP(_Loss[[#This Row],[Name]],_LossesMaster[Name],_LossesMaster[Abbr],"")</f>
        <v/>
      </c>
    </row>
    <row r="39" spans="1:9" x14ac:dyDescent="0.2">
      <c r="H39" s="17"/>
      <c r="I39" s="94" t="str">
        <f>_xlfn.XLOOKUP(_Loss[[#This Row],[Name]],_LossesMaster[Name],_LossesMaster[Abbr],"")</f>
        <v/>
      </c>
    </row>
    <row r="40" spans="1:9" x14ac:dyDescent="0.2">
      <c r="H40" s="17"/>
      <c r="I40" s="94" t="str">
        <f>_xlfn.XLOOKUP(_Loss[[#This Row],[Name]],_LossesMaster[Name],_LossesMaster[Abbr],"")</f>
        <v/>
      </c>
    </row>
    <row r="41" spans="1:9" ht="16" thickBot="1" x14ac:dyDescent="0.25">
      <c r="H41" s="24"/>
      <c r="I41" s="96" t="str">
        <f>_xlfn.XLOOKUP(_Loss[[#This Row],[Name]],_LossesMaster[Name],_LossesMaster[Abbr],"")</f>
        <v/>
      </c>
    </row>
    <row r="43" spans="1:9" ht="16" thickBot="1" x14ac:dyDescent="0.25">
      <c r="H43" t="str">
        <f>"_Loss[Name]"</f>
        <v>_Loss[Name]</v>
      </c>
    </row>
    <row r="44" spans="1:9" x14ac:dyDescent="0.2">
      <c r="A44" s="14" t="s">
        <v>196</v>
      </c>
      <c r="B44" s="93"/>
      <c r="C44" s="98"/>
      <c r="D44" s="98"/>
    </row>
    <row r="45" spans="1:9" x14ac:dyDescent="0.2">
      <c r="A45" s="97" t="s">
        <v>156</v>
      </c>
      <c r="B45" s="1" t="s">
        <v>92</v>
      </c>
      <c r="C45" s="94" t="s">
        <v>157</v>
      </c>
      <c r="D45" s="94" t="s">
        <v>88</v>
      </c>
    </row>
    <row r="46" spans="1:9" x14ac:dyDescent="0.2">
      <c r="A46" s="17" t="s">
        <v>197</v>
      </c>
      <c r="B46" s="1" t="str">
        <f>_xlfn.XLOOKUP(Equity[[#This Row],[Name]],EquitiesMaster[Name],EquitiesMaster[Abbr],"")</f>
        <v>PrefStk</v>
      </c>
      <c r="C46" s="1" t="str">
        <f>_xlfn.XLOOKUP(Equity[[#This Row],[Name]],EquitiesMaster[Name],EquitiesMaster[BalType],"")</f>
        <v>Credit</v>
      </c>
      <c r="D46" s="94">
        <v>1</v>
      </c>
    </row>
    <row r="47" spans="1:9" x14ac:dyDescent="0.2">
      <c r="A47" s="17" t="s">
        <v>198</v>
      </c>
      <c r="B47" s="1" t="str">
        <f>_xlfn.XLOOKUP(Equity[[#This Row],[Name]],EquitiesMaster[Name],EquitiesMaster[Abbr],"")</f>
        <v>CS</v>
      </c>
      <c r="C47" s="1" t="str">
        <f>_xlfn.XLOOKUP(Equity[[#This Row],[Name]],EquitiesMaster[Name],EquitiesMaster[BalType],"")</f>
        <v>Credit</v>
      </c>
      <c r="D47" s="94">
        <v>2</v>
      </c>
    </row>
    <row r="48" spans="1:9" x14ac:dyDescent="0.2">
      <c r="A48" s="17" t="s">
        <v>199</v>
      </c>
      <c r="B48" s="1" t="str">
        <f>_xlfn.XLOOKUP(Equity[[#This Row],[Name]],EquitiesMaster[Name],EquitiesMaster[Abbr],"")</f>
        <v>APIC</v>
      </c>
      <c r="C48" s="1" t="str">
        <f>_xlfn.XLOOKUP(Equity[[#This Row],[Name]],EquitiesMaster[Name],EquitiesMaster[BalType],"")</f>
        <v>Credit</v>
      </c>
      <c r="D48" s="94">
        <v>3</v>
      </c>
    </row>
    <row r="49" spans="1:4" x14ac:dyDescent="0.2">
      <c r="A49" s="17" t="s">
        <v>200</v>
      </c>
      <c r="B49" s="1" t="str">
        <f>_xlfn.XLOOKUP(Equity[[#This Row],[Name]],EquitiesMaster[Name],EquitiesMaster[Abbr],"")</f>
        <v>RE</v>
      </c>
      <c r="C49" s="1" t="str">
        <f>_xlfn.XLOOKUP(Equity[[#This Row],[Name]],EquitiesMaster[Name],EquitiesMaster[BalType],"")</f>
        <v>Either</v>
      </c>
      <c r="D49" s="94">
        <v>4</v>
      </c>
    </row>
    <row r="50" spans="1:4" x14ac:dyDescent="0.2">
      <c r="A50" s="17" t="s">
        <v>201</v>
      </c>
      <c r="B50" s="1" t="str">
        <f>_xlfn.XLOOKUP(Equity[[#This Row],[Name]],EquitiesMaster[Name],EquitiesMaster[Abbr],"")</f>
        <v>AOCI</v>
      </c>
      <c r="C50" s="1" t="str">
        <f>_xlfn.XLOOKUP(Equity[[#This Row],[Name]],EquitiesMaster[Name],EquitiesMaster[BalType],"")</f>
        <v>Either</v>
      </c>
      <c r="D50" s="94">
        <v>5</v>
      </c>
    </row>
    <row r="51" spans="1:4" x14ac:dyDescent="0.2">
      <c r="A51" s="17" t="s">
        <v>202</v>
      </c>
      <c r="B51" s="1" t="str">
        <f>_xlfn.XLOOKUP(Equity[[#This Row],[Name]],EquitiesMaster[Name],EquitiesMaster[Abbr],"")</f>
        <v>TS</v>
      </c>
      <c r="C51" s="1" t="str">
        <f>_xlfn.XLOOKUP(Equity[[#This Row],[Name]],EquitiesMaster[Name],EquitiesMaster[BalType],"")</f>
        <v>Debit</v>
      </c>
      <c r="D51" s="94">
        <v>6</v>
      </c>
    </row>
    <row r="52" spans="1:4" ht="16" thickBot="1" x14ac:dyDescent="0.25">
      <c r="B52" s="1" t="str">
        <f>_xlfn.XLOOKUP(Equity[[#This Row],[Name]],EquitiesMaster[Name],EquitiesMaster[Abbr],"")</f>
        <v/>
      </c>
      <c r="C52" s="1" t="str">
        <f>_xlfn.XLOOKUP(Equity[[#This Row],[Name]],EquitiesMaster[Name],EquitiesMaster[BalType],"")</f>
        <v/>
      </c>
      <c r="D52" s="96">
        <v>7</v>
      </c>
    </row>
    <row r="56" spans="1:4" x14ac:dyDescent="0.2">
      <c r="A56" t="str">
        <f>"Equity[Name]"</f>
        <v>Equity[Name]</v>
      </c>
      <c r="B56" t="s">
        <v>203</v>
      </c>
      <c r="D56" t="s">
        <v>204</v>
      </c>
    </row>
    <row r="77" spans="1:5" x14ac:dyDescent="0.2">
      <c r="A77" s="3" t="s">
        <v>205</v>
      </c>
      <c r="B77" s="2"/>
    </row>
    <row r="78" spans="1:5" x14ac:dyDescent="0.2">
      <c r="A78" s="5" t="s">
        <v>206</v>
      </c>
    </row>
    <row r="79" spans="1:5" x14ac:dyDescent="0.2">
      <c r="A79" s="1" t="s">
        <v>156</v>
      </c>
      <c r="B79" s="1" t="s">
        <v>92</v>
      </c>
      <c r="C79" s="1" t="s">
        <v>157</v>
      </c>
      <c r="D79" s="1" t="s">
        <v>158</v>
      </c>
      <c r="E79" s="1" t="s">
        <v>88</v>
      </c>
    </row>
    <row r="80" spans="1:5" x14ac:dyDescent="0.2">
      <c r="A80" t="s">
        <v>159</v>
      </c>
      <c r="B80" s="1" t="s">
        <v>207</v>
      </c>
      <c r="C80" s="1" t="s">
        <v>208</v>
      </c>
      <c r="D80" s="1" t="s">
        <v>209</v>
      </c>
      <c r="E80" s="1">
        <v>1</v>
      </c>
    </row>
    <row r="81" spans="1:5" x14ac:dyDescent="0.2">
      <c r="A81" t="s">
        <v>161</v>
      </c>
      <c r="B81" s="1" t="s">
        <v>210</v>
      </c>
      <c r="C81" s="1" t="s">
        <v>208</v>
      </c>
      <c r="D81" s="1" t="s">
        <v>209</v>
      </c>
      <c r="E81" s="1">
        <v>2</v>
      </c>
    </row>
    <row r="82" spans="1:5" x14ac:dyDescent="0.2">
      <c r="A82" t="s">
        <v>162</v>
      </c>
      <c r="B82" s="1" t="s">
        <v>211</v>
      </c>
      <c r="C82" s="1" t="s">
        <v>212</v>
      </c>
      <c r="D82" s="1" t="s">
        <v>209</v>
      </c>
      <c r="E82" s="1">
        <v>3</v>
      </c>
    </row>
    <row r="83" spans="1:5" x14ac:dyDescent="0.2">
      <c r="A83" t="s">
        <v>163</v>
      </c>
      <c r="B83" s="1" t="s">
        <v>213</v>
      </c>
      <c r="C83" s="1" t="s">
        <v>208</v>
      </c>
      <c r="D83" s="1" t="s">
        <v>209</v>
      </c>
      <c r="E83" s="1">
        <v>4</v>
      </c>
    </row>
    <row r="84" spans="1:5" x14ac:dyDescent="0.2">
      <c r="A84" t="s">
        <v>164</v>
      </c>
      <c r="B84" s="1" t="s">
        <v>214</v>
      </c>
      <c r="C84" s="1" t="s">
        <v>208</v>
      </c>
      <c r="D84" s="1" t="s">
        <v>209</v>
      </c>
      <c r="E84" s="1">
        <v>5</v>
      </c>
    </row>
    <row r="85" spans="1:5" x14ac:dyDescent="0.2">
      <c r="A85" t="s">
        <v>165</v>
      </c>
      <c r="B85" s="1" t="s">
        <v>215</v>
      </c>
      <c r="C85" s="1" t="s">
        <v>208</v>
      </c>
      <c r="D85" s="1" t="s">
        <v>209</v>
      </c>
      <c r="E85" s="1">
        <v>6</v>
      </c>
    </row>
    <row r="86" spans="1:5" x14ac:dyDescent="0.2">
      <c r="A86" t="s">
        <v>166</v>
      </c>
      <c r="B86" s="1" t="s">
        <v>216</v>
      </c>
      <c r="C86" s="1" t="s">
        <v>208</v>
      </c>
      <c r="D86" s="1" t="s">
        <v>209</v>
      </c>
      <c r="E86" s="1">
        <v>7</v>
      </c>
    </row>
    <row r="87" spans="1:5" x14ac:dyDescent="0.2">
      <c r="A87" t="s">
        <v>167</v>
      </c>
      <c r="B87" s="1" t="s">
        <v>217</v>
      </c>
      <c r="C87" s="1" t="s">
        <v>208</v>
      </c>
      <c r="D87" s="1" t="s">
        <v>209</v>
      </c>
      <c r="E87" s="1">
        <v>8</v>
      </c>
    </row>
    <row r="88" spans="1:5" x14ac:dyDescent="0.2">
      <c r="A88" t="s">
        <v>168</v>
      </c>
      <c r="B88" s="1" t="s">
        <v>218</v>
      </c>
      <c r="C88" s="1" t="s">
        <v>208</v>
      </c>
      <c r="D88" s="1" t="s">
        <v>219</v>
      </c>
      <c r="E88" s="1">
        <v>9</v>
      </c>
    </row>
    <row r="89" spans="1:5" x14ac:dyDescent="0.2">
      <c r="A89" t="s">
        <v>170</v>
      </c>
      <c r="B89" s="1" t="s">
        <v>220</v>
      </c>
      <c r="C89" s="1" t="s">
        <v>212</v>
      </c>
      <c r="D89" s="1" t="s">
        <v>219</v>
      </c>
      <c r="E89" s="1">
        <v>10</v>
      </c>
    </row>
    <row r="90" spans="1:5" x14ac:dyDescent="0.2">
      <c r="A90" t="s">
        <v>171</v>
      </c>
      <c r="B90" s="1" t="s">
        <v>221</v>
      </c>
      <c r="C90" s="1" t="s">
        <v>208</v>
      </c>
      <c r="D90" s="1" t="s">
        <v>219</v>
      </c>
      <c r="E90" s="1">
        <v>11</v>
      </c>
    </row>
    <row r="91" spans="1:5" x14ac:dyDescent="0.2">
      <c r="A91" t="s">
        <v>173</v>
      </c>
      <c r="B91" s="1" t="s">
        <v>222</v>
      </c>
      <c r="C91" s="1" t="s">
        <v>208</v>
      </c>
      <c r="D91" s="1" t="s">
        <v>219</v>
      </c>
      <c r="E91" s="1">
        <v>12</v>
      </c>
    </row>
    <row r="92" spans="1:5" x14ac:dyDescent="0.2">
      <c r="A92" t="s">
        <v>174</v>
      </c>
      <c r="B92" s="1" t="s">
        <v>223</v>
      </c>
      <c r="C92" s="1" t="s">
        <v>208</v>
      </c>
      <c r="D92" s="1" t="s">
        <v>219</v>
      </c>
      <c r="E92" s="1">
        <v>13</v>
      </c>
    </row>
    <row r="93" spans="1:5" x14ac:dyDescent="0.2">
      <c r="A93" t="s">
        <v>175</v>
      </c>
      <c r="B93" s="1" t="s">
        <v>224</v>
      </c>
      <c r="C93" s="1" t="s">
        <v>208</v>
      </c>
      <c r="D93" s="92" t="s">
        <v>219</v>
      </c>
      <c r="E93" s="1">
        <v>14</v>
      </c>
    </row>
    <row r="94" spans="1:5" x14ac:dyDescent="0.2">
      <c r="A94" t="s">
        <v>176</v>
      </c>
      <c r="B94" s="1" t="s">
        <v>225</v>
      </c>
      <c r="C94" s="1" t="s">
        <v>212</v>
      </c>
      <c r="D94" s="1" t="s">
        <v>219</v>
      </c>
      <c r="E94" s="1">
        <v>15</v>
      </c>
    </row>
    <row r="95" spans="1:5" x14ac:dyDescent="0.2">
      <c r="A95" t="str">
        <f>"AssetsMaster[Name]"</f>
        <v>AssetsMaster[Name]</v>
      </c>
      <c r="B95" t="str">
        <f>"AssetsMaster[Abbr]"</f>
        <v>AssetsMaster[Abbr]</v>
      </c>
      <c r="C95" t="str">
        <f>"AssetsMaster[BalType]"</f>
        <v>AssetsMaster[BalType]</v>
      </c>
      <c r="D95" t="str">
        <f>"AssetsMaster[C/NC]"</f>
        <v>AssetsMaster[C/NC]</v>
      </c>
      <c r="E95" t="str">
        <f>"AssetsMaster[Num]"</f>
        <v>AssetsMaster[Num]</v>
      </c>
    </row>
    <row r="97" spans="1:5" x14ac:dyDescent="0.2">
      <c r="A97" s="5" t="s">
        <v>226</v>
      </c>
    </row>
    <row r="98" spans="1:5" x14ac:dyDescent="0.2">
      <c r="A98" s="1" t="s">
        <v>156</v>
      </c>
      <c r="B98" s="1" t="s">
        <v>92</v>
      </c>
      <c r="C98" s="1" t="s">
        <v>157</v>
      </c>
      <c r="D98" s="1" t="s">
        <v>158</v>
      </c>
      <c r="E98" s="1" t="s">
        <v>88</v>
      </c>
    </row>
    <row r="99" spans="1:5" x14ac:dyDescent="0.2">
      <c r="A99" t="s">
        <v>180</v>
      </c>
      <c r="B99" s="1" t="s">
        <v>227</v>
      </c>
      <c r="C99" s="1" t="s">
        <v>212</v>
      </c>
      <c r="D99" s="1" t="s">
        <v>209</v>
      </c>
      <c r="E99" s="1">
        <v>1</v>
      </c>
    </row>
    <row r="100" spans="1:5" x14ac:dyDescent="0.2">
      <c r="A100" t="s">
        <v>181</v>
      </c>
      <c r="B100" s="1" t="s">
        <v>228</v>
      </c>
      <c r="C100" s="1" t="s">
        <v>212</v>
      </c>
      <c r="D100" s="1" t="s">
        <v>209</v>
      </c>
      <c r="E100" s="1">
        <v>2</v>
      </c>
    </row>
    <row r="101" spans="1:5" x14ac:dyDescent="0.2">
      <c r="A101" t="s">
        <v>183</v>
      </c>
      <c r="B101" s="1" t="s">
        <v>229</v>
      </c>
      <c r="C101" s="1" t="s">
        <v>212</v>
      </c>
      <c r="D101" s="1" t="s">
        <v>209</v>
      </c>
      <c r="E101" s="1">
        <v>3</v>
      </c>
    </row>
    <row r="102" spans="1:5" x14ac:dyDescent="0.2">
      <c r="A102" t="s">
        <v>184</v>
      </c>
      <c r="B102" s="1" t="s">
        <v>230</v>
      </c>
      <c r="C102" s="1" t="s">
        <v>212</v>
      </c>
      <c r="D102" s="1" t="s">
        <v>209</v>
      </c>
      <c r="E102" s="1">
        <v>4</v>
      </c>
    </row>
    <row r="103" spans="1:5" x14ac:dyDescent="0.2">
      <c r="A103" t="s">
        <v>185</v>
      </c>
      <c r="B103" s="1" t="s">
        <v>231</v>
      </c>
      <c r="C103" s="1" t="s">
        <v>212</v>
      </c>
      <c r="D103" s="1" t="s">
        <v>209</v>
      </c>
      <c r="E103" s="1">
        <v>5</v>
      </c>
    </row>
    <row r="104" spans="1:5" x14ac:dyDescent="0.2">
      <c r="A104" t="s">
        <v>186</v>
      </c>
      <c r="B104" s="1" t="s">
        <v>232</v>
      </c>
      <c r="C104" s="1" t="s">
        <v>212</v>
      </c>
      <c r="D104" s="1" t="s">
        <v>209</v>
      </c>
      <c r="E104" s="1">
        <v>6</v>
      </c>
    </row>
    <row r="105" spans="1:5" x14ac:dyDescent="0.2">
      <c r="A105" t="s">
        <v>187</v>
      </c>
      <c r="B105" s="1" t="s">
        <v>233</v>
      </c>
      <c r="C105" s="1" t="s">
        <v>212</v>
      </c>
      <c r="D105" s="1" t="s">
        <v>209</v>
      </c>
      <c r="E105" s="1">
        <v>7</v>
      </c>
    </row>
    <row r="106" spans="1:5" x14ac:dyDescent="0.2">
      <c r="A106" t="s">
        <v>188</v>
      </c>
      <c r="B106" s="1" t="s">
        <v>234</v>
      </c>
      <c r="C106" s="1" t="s">
        <v>212</v>
      </c>
      <c r="D106" s="1" t="s">
        <v>219</v>
      </c>
      <c r="E106" s="1">
        <v>8</v>
      </c>
    </row>
    <row r="107" spans="1:5" x14ac:dyDescent="0.2">
      <c r="A107" t="s">
        <v>189</v>
      </c>
      <c r="B107" s="1" t="s">
        <v>235</v>
      </c>
      <c r="C107" s="1" t="s">
        <v>212</v>
      </c>
      <c r="D107" s="1" t="s">
        <v>219</v>
      </c>
      <c r="E107" s="1">
        <v>9</v>
      </c>
    </row>
    <row r="108" spans="1:5" x14ac:dyDescent="0.2">
      <c r="A108" t="s">
        <v>190</v>
      </c>
      <c r="B108" s="1" t="s">
        <v>236</v>
      </c>
      <c r="C108" s="1" t="s">
        <v>212</v>
      </c>
      <c r="D108" s="1" t="s">
        <v>219</v>
      </c>
      <c r="E108" s="1">
        <v>10</v>
      </c>
    </row>
    <row r="109" spans="1:5" x14ac:dyDescent="0.2">
      <c r="A109" t="s">
        <v>192</v>
      </c>
      <c r="B109" s="1" t="s">
        <v>237</v>
      </c>
      <c r="C109" s="1" t="s">
        <v>212</v>
      </c>
      <c r="D109" s="1" t="s">
        <v>219</v>
      </c>
      <c r="E109" s="1">
        <v>11</v>
      </c>
    </row>
    <row r="110" spans="1:5" x14ac:dyDescent="0.2">
      <c r="A110" t="s">
        <v>193</v>
      </c>
      <c r="B110" s="1" t="s">
        <v>238</v>
      </c>
      <c r="C110" s="1" t="s">
        <v>212</v>
      </c>
      <c r="D110" s="1" t="s">
        <v>209</v>
      </c>
      <c r="E110" s="1">
        <v>12</v>
      </c>
    </row>
    <row r="112" spans="1:5" x14ac:dyDescent="0.2">
      <c r="A112" t="str">
        <f>"LiabilitiesMaster[Name]"</f>
        <v>LiabilitiesMaster[Name]</v>
      </c>
      <c r="B112" t="str">
        <f>"LiabilitiesMaster[Abbr]"</f>
        <v>LiabilitiesMaster[Abbr]</v>
      </c>
      <c r="C112" t="str">
        <f>"LiabilitiesMaster[BalType]"</f>
        <v>LiabilitiesMaster[BalType]</v>
      </c>
      <c r="D112" t="str">
        <f>"LiabilitiesMaster[C/NC]"</f>
        <v>LiabilitiesMaster[C/NC]</v>
      </c>
      <c r="E112" t="str">
        <f>"LiabilitiesMaster[Num]"</f>
        <v>LiabilitiesMaster[Num]</v>
      </c>
    </row>
    <row r="114" spans="1:4" x14ac:dyDescent="0.2">
      <c r="A114" s="5" t="s">
        <v>239</v>
      </c>
    </row>
    <row r="115" spans="1:4" x14ac:dyDescent="0.2">
      <c r="A115" s="1" t="s">
        <v>156</v>
      </c>
      <c r="B115" s="1" t="s">
        <v>92</v>
      </c>
      <c r="C115" s="1" t="s">
        <v>157</v>
      </c>
      <c r="D115" s="1" t="s">
        <v>88</v>
      </c>
    </row>
    <row r="116" spans="1:4" x14ac:dyDescent="0.2">
      <c r="A116" t="s">
        <v>197</v>
      </c>
      <c r="B116" s="1" t="s">
        <v>240</v>
      </c>
      <c r="C116" s="1" t="s">
        <v>212</v>
      </c>
      <c r="D116">
        <v>1</v>
      </c>
    </row>
    <row r="117" spans="1:4" x14ac:dyDescent="0.2">
      <c r="A117" t="s">
        <v>198</v>
      </c>
      <c r="B117" s="1" t="s">
        <v>241</v>
      </c>
      <c r="C117" s="1" t="s">
        <v>212</v>
      </c>
      <c r="D117">
        <v>2</v>
      </c>
    </row>
    <row r="118" spans="1:4" x14ac:dyDescent="0.2">
      <c r="A118" t="s">
        <v>199</v>
      </c>
      <c r="B118" s="1" t="s">
        <v>242</v>
      </c>
      <c r="C118" s="1" t="s">
        <v>212</v>
      </c>
      <c r="D118">
        <v>3</v>
      </c>
    </row>
    <row r="119" spans="1:4" x14ac:dyDescent="0.2">
      <c r="A119" t="s">
        <v>201</v>
      </c>
      <c r="B119" s="1" t="s">
        <v>243</v>
      </c>
      <c r="C119" s="1" t="s">
        <v>244</v>
      </c>
      <c r="D119">
        <v>4</v>
      </c>
    </row>
    <row r="120" spans="1:4" x14ac:dyDescent="0.2">
      <c r="A120" t="s">
        <v>200</v>
      </c>
      <c r="B120" s="1" t="s">
        <v>245</v>
      </c>
      <c r="C120" s="1" t="s">
        <v>244</v>
      </c>
      <c r="D120">
        <v>5</v>
      </c>
    </row>
    <row r="121" spans="1:4" x14ac:dyDescent="0.2">
      <c r="A121" t="s">
        <v>202</v>
      </c>
      <c r="B121" s="1" t="s">
        <v>246</v>
      </c>
      <c r="C121" s="1" t="s">
        <v>208</v>
      </c>
      <c r="D121">
        <v>6</v>
      </c>
    </row>
    <row r="122" spans="1:4" x14ac:dyDescent="0.2">
      <c r="A122" t="s">
        <v>247</v>
      </c>
      <c r="B122" s="1" t="s">
        <v>248</v>
      </c>
      <c r="C122" s="1" t="s">
        <v>208</v>
      </c>
      <c r="D122">
        <v>7</v>
      </c>
    </row>
    <row r="123" spans="1:4" x14ac:dyDescent="0.2">
      <c r="A123" t="str">
        <f>"EquitiesMaster[Name]"</f>
        <v>EquitiesMaster[Name]</v>
      </c>
      <c r="B123" t="str">
        <f>"EquitiesMaster[Abbr]"</f>
        <v>EquitiesMaster[Abbr]</v>
      </c>
      <c r="C123" t="str">
        <f>"EquitiesMaster[BalType]"</f>
        <v>EquitiesMaster[BalType]</v>
      </c>
      <c r="D123" t="str">
        <f>"EquitiesMaster[Num]"</f>
        <v>EquitiesMaster[Num]</v>
      </c>
    </row>
    <row r="125" spans="1:4" x14ac:dyDescent="0.2">
      <c r="A125" t="s">
        <v>249</v>
      </c>
    </row>
    <row r="126" spans="1:4" x14ac:dyDescent="0.2">
      <c r="A126" s="1" t="s">
        <v>156</v>
      </c>
      <c r="B126" s="1" t="s">
        <v>92</v>
      </c>
    </row>
    <row r="127" spans="1:4" x14ac:dyDescent="0.2">
      <c r="A127" t="s">
        <v>160</v>
      </c>
      <c r="B127" s="1" t="s">
        <v>250</v>
      </c>
    </row>
    <row r="128" spans="1:4" x14ac:dyDescent="0.2">
      <c r="A128" t="s">
        <v>251</v>
      </c>
      <c r="B128" s="1" t="s">
        <v>252</v>
      </c>
    </row>
    <row r="129" spans="1:2" x14ac:dyDescent="0.2">
      <c r="A129" t="s">
        <v>253</v>
      </c>
      <c r="B129" s="1" t="s">
        <v>254</v>
      </c>
    </row>
    <row r="130" spans="1:2" x14ac:dyDescent="0.2">
      <c r="A130" t="s">
        <v>255</v>
      </c>
      <c r="B130" s="1" t="s">
        <v>256</v>
      </c>
    </row>
    <row r="132" spans="1:2" x14ac:dyDescent="0.2">
      <c r="A132" t="str">
        <f>"_RevenuesMaster[Name]"</f>
        <v>_RevenuesMaster[Name]</v>
      </c>
      <c r="B132" t="str">
        <f>"_RevenuesMaster[Abbr]"</f>
        <v>_RevenuesMaster[Abbr]</v>
      </c>
    </row>
    <row r="134" spans="1:2" x14ac:dyDescent="0.2">
      <c r="A134" s="5" t="s">
        <v>257</v>
      </c>
    </row>
    <row r="135" spans="1:2" x14ac:dyDescent="0.2">
      <c r="A135" s="1" t="s">
        <v>156</v>
      </c>
      <c r="B135" s="1" t="s">
        <v>92</v>
      </c>
    </row>
    <row r="136" spans="1:2" x14ac:dyDescent="0.2">
      <c r="A136" t="s">
        <v>172</v>
      </c>
      <c r="B136" s="1" t="s">
        <v>258</v>
      </c>
    </row>
    <row r="137" spans="1:2" x14ac:dyDescent="0.2">
      <c r="A137" t="s">
        <v>259</v>
      </c>
      <c r="B137" s="1" t="s">
        <v>260</v>
      </c>
    </row>
    <row r="138" spans="1:2" x14ac:dyDescent="0.2">
      <c r="A138" t="s">
        <v>261</v>
      </c>
      <c r="B138" s="1" t="s">
        <v>262</v>
      </c>
    </row>
    <row r="139" spans="1:2" x14ac:dyDescent="0.2">
      <c r="A139" t="s">
        <v>263</v>
      </c>
      <c r="B139" s="1" t="s">
        <v>264</v>
      </c>
    </row>
    <row r="140" spans="1:2" x14ac:dyDescent="0.2">
      <c r="A140" t="s">
        <v>265</v>
      </c>
      <c r="B140" s="1" t="s">
        <v>266</v>
      </c>
    </row>
    <row r="141" spans="1:2" x14ac:dyDescent="0.2">
      <c r="A141" t="s">
        <v>267</v>
      </c>
      <c r="B141" s="1" t="s">
        <v>268</v>
      </c>
    </row>
    <row r="142" spans="1:2" x14ac:dyDescent="0.2">
      <c r="A142" t="s">
        <v>269</v>
      </c>
      <c r="B142" s="1" t="s">
        <v>270</v>
      </c>
    </row>
    <row r="143" spans="1:2" x14ac:dyDescent="0.2">
      <c r="A143" t="s">
        <v>271</v>
      </c>
      <c r="B143" s="1" t="s">
        <v>272</v>
      </c>
    </row>
    <row r="144" spans="1:2" x14ac:dyDescent="0.2">
      <c r="A144" t="s">
        <v>273</v>
      </c>
      <c r="B144" s="1" t="s">
        <v>274</v>
      </c>
    </row>
    <row r="145" spans="1:2" x14ac:dyDescent="0.2">
      <c r="B145" s="1"/>
    </row>
    <row r="146" spans="1:2" x14ac:dyDescent="0.2">
      <c r="A146" t="str">
        <f>"_ExpensesMaster[Name]"</f>
        <v>_ExpensesMaster[Name]</v>
      </c>
      <c r="B146" t="str">
        <f>"_ExpensesMaster[Abbr]"</f>
        <v>_ExpensesMaster[Abbr]</v>
      </c>
    </row>
    <row r="148" spans="1:2" x14ac:dyDescent="0.2">
      <c r="A148" s="5" t="s">
        <v>275</v>
      </c>
    </row>
    <row r="149" spans="1:2" x14ac:dyDescent="0.2">
      <c r="A149" s="1" t="s">
        <v>156</v>
      </c>
      <c r="B149" s="1" t="s">
        <v>92</v>
      </c>
    </row>
    <row r="150" spans="1:2" x14ac:dyDescent="0.2">
      <c r="A150" t="s">
        <v>276</v>
      </c>
      <c r="B150" s="1" t="s">
        <v>277</v>
      </c>
    </row>
    <row r="151" spans="1:2" x14ac:dyDescent="0.2">
      <c r="A151" t="s">
        <v>182</v>
      </c>
      <c r="B151" s="1" t="s">
        <v>278</v>
      </c>
    </row>
    <row r="152" spans="1:2" x14ac:dyDescent="0.2">
      <c r="A152" t="s">
        <v>279</v>
      </c>
      <c r="B152" s="1" t="s">
        <v>280</v>
      </c>
    </row>
    <row r="153" spans="1:2" x14ac:dyDescent="0.2">
      <c r="A153" t="s">
        <v>281</v>
      </c>
      <c r="B153" s="1" t="s">
        <v>282</v>
      </c>
    </row>
    <row r="154" spans="1:2" x14ac:dyDescent="0.2">
      <c r="A154" t="s">
        <v>283</v>
      </c>
      <c r="B154" s="1" t="s">
        <v>284</v>
      </c>
    </row>
    <row r="158" spans="1:2" x14ac:dyDescent="0.2">
      <c r="A158" t="str">
        <f>"_GainsMaster[Name]"</f>
        <v>_GainsMaster[Name]</v>
      </c>
      <c r="B158" t="str">
        <f>"_Gains[Abbr]"</f>
        <v>_Gains[Abbr]</v>
      </c>
    </row>
    <row r="160" spans="1:2" x14ac:dyDescent="0.2">
      <c r="A160" s="5" t="s">
        <v>285</v>
      </c>
    </row>
    <row r="161" spans="1:2" x14ac:dyDescent="0.2">
      <c r="A161" s="1" t="s">
        <v>156</v>
      </c>
      <c r="B161" s="1" t="s">
        <v>92</v>
      </c>
    </row>
    <row r="162" spans="1:2" x14ac:dyDescent="0.2">
      <c r="A162" t="s">
        <v>286</v>
      </c>
      <c r="B162" s="1" t="s">
        <v>287</v>
      </c>
    </row>
    <row r="163" spans="1:2" x14ac:dyDescent="0.2">
      <c r="A163" t="s">
        <v>194</v>
      </c>
      <c r="B163" s="1" t="s">
        <v>288</v>
      </c>
    </row>
    <row r="164" spans="1:2" x14ac:dyDescent="0.2">
      <c r="A164" t="s">
        <v>289</v>
      </c>
      <c r="B164" s="1" t="s">
        <v>290</v>
      </c>
    </row>
    <row r="165" spans="1:2" x14ac:dyDescent="0.2">
      <c r="A165" t="s">
        <v>291</v>
      </c>
      <c r="B165" s="1" t="s">
        <v>292</v>
      </c>
    </row>
    <row r="166" spans="1:2" x14ac:dyDescent="0.2">
      <c r="A166" t="s">
        <v>293</v>
      </c>
      <c r="B166" s="1" t="s">
        <v>282</v>
      </c>
    </row>
    <row r="169" spans="1:2" x14ac:dyDescent="0.2">
      <c r="A169" t="str">
        <f>"_LossesMaster[Name]"</f>
        <v>_LossesMaster[Name]</v>
      </c>
      <c r="B169" t="str">
        <f>"_LossesMaster[Abbr"</f>
        <v>_LossesMaster[Abbr</v>
      </c>
    </row>
  </sheetData>
  <dataValidations count="8">
    <dataValidation type="list" allowBlank="1" showInputMessage="1" showErrorMessage="1" sqref="D80:D94" xr:uid="{83B93152-14FB-44B7-90FF-7B0E2069C1D4}">
      <formula1>"C,NC"</formula1>
    </dataValidation>
    <dataValidation type="list" allowBlank="1" showInputMessage="1" showErrorMessage="1" sqref="A3:A17" xr:uid="{9D982A2B-2795-4F7C-9DAA-FBC5920957DB}">
      <formula1>INDIRECT($A$95)</formula1>
    </dataValidation>
    <dataValidation type="list" allowBlank="1" showInputMessage="1" showErrorMessage="1" sqref="A26:A37" xr:uid="{84851326-621B-4773-B9C8-6ED2FABA6208}">
      <formula1>INDIRECT($A$112)</formula1>
    </dataValidation>
    <dataValidation type="list" allowBlank="1" showInputMessage="1" showErrorMessage="1" sqref="A46:A52" xr:uid="{9F01CBB1-B928-4473-A2DF-CACD6E7E2358}">
      <formula1>INDIRECT($A$123)</formula1>
    </dataValidation>
    <dataValidation type="list" allowBlank="1" showInputMessage="1" showErrorMessage="1" sqref="H3:H6" xr:uid="{A8EED183-78C0-4907-A5F0-4E89D7EA7BBD}">
      <formula1>INDIRECT($A$132)</formula1>
    </dataValidation>
    <dataValidation type="list" allowBlank="1" showInputMessage="1" showErrorMessage="1" sqref="H37:H41" xr:uid="{5C7B7DEF-3094-4B41-AB21-15BF74D3C27B}">
      <formula1>INDIRECT($A$169)</formula1>
    </dataValidation>
    <dataValidation type="list" allowBlank="1" showInputMessage="1" showErrorMessage="1" sqref="H27:H31" xr:uid="{AD5F0145-C390-4281-B405-780253B283B9}">
      <formula1>INDIRECT($A$158)</formula1>
    </dataValidation>
    <dataValidation type="list" allowBlank="1" showInputMessage="1" showErrorMessage="1" sqref="H13:H22" xr:uid="{8E287E0C-F9F4-4ED0-BADD-1582EF9CC897}">
      <formula1>INDIRECT($A$146)</formula1>
    </dataValidation>
  </dataValidations>
  <pageMargins left="0.7" right="0.7" top="0.75" bottom="0.75" header="0.3" footer="0.3"/>
  <legacyDrawing r:id="rId1"/>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93935-921D-4AA1-95E4-01505BAA23BC}">
  <dimension ref="A1:D45"/>
  <sheetViews>
    <sheetView zoomScale="145" zoomScaleNormal="145" workbookViewId="0">
      <selection activeCell="F21" sqref="F20:F21"/>
    </sheetView>
  </sheetViews>
  <sheetFormatPr baseColWidth="10" defaultColWidth="8.83203125" defaultRowHeight="15" x14ac:dyDescent="0.2"/>
  <cols>
    <col min="1" max="1" width="37.6640625" customWidth="1"/>
  </cols>
  <sheetData>
    <row r="1" spans="1:4" x14ac:dyDescent="0.2">
      <c r="A1" s="1" t="s">
        <v>294</v>
      </c>
      <c r="B1" s="1" t="s">
        <v>295</v>
      </c>
      <c r="C1" s="1" t="s">
        <v>157</v>
      </c>
      <c r="D1" s="1" t="s">
        <v>88</v>
      </c>
    </row>
    <row r="2" spans="1:4" x14ac:dyDescent="0.2">
      <c r="A2" s="5" t="s">
        <v>206</v>
      </c>
      <c r="C2" s="1"/>
    </row>
    <row r="3" spans="1:4" x14ac:dyDescent="0.2">
      <c r="A3" t="str">
        <f>IFERROR(_xlfn.XLOOKUP(BegBalSht[[#This Row],[Num]],Asset[Num],Asset[Name]),"")</f>
        <v>Cash</v>
      </c>
      <c r="B3" s="42"/>
      <c r="C3" s="1" t="str">
        <f>_xlfn.XLOOKUP(BegBalSht[[#This Row],[Account]],Asset[Name],Asset[BalType],"")</f>
        <v>Debit</v>
      </c>
      <c r="D3">
        <v>1</v>
      </c>
    </row>
    <row r="4" spans="1:4" x14ac:dyDescent="0.2">
      <c r="A4" t="str">
        <f>IFERROR(_xlfn.XLOOKUP(BegBalSht[[#This Row],[Num]],Asset[Num],Asset[Name]),"")</f>
        <v>Accounts Receivable</v>
      </c>
      <c r="B4" s="42"/>
      <c r="C4" s="1" t="str">
        <f>_xlfn.XLOOKUP(BegBalSht[[#This Row],[Account]],Asset[Name],Asset[BalType],"")</f>
        <v>Debit</v>
      </c>
      <c r="D4">
        <v>2</v>
      </c>
    </row>
    <row r="5" spans="1:4" x14ac:dyDescent="0.2">
      <c r="A5" t="str">
        <f>IFERROR(_xlfn.XLOOKUP(BegBalSht[[#This Row],[Num]],Asset[Num],Asset[Name]),"")</f>
        <v>Allowance for Doubtful Accounts</v>
      </c>
      <c r="B5" s="42"/>
      <c r="C5" s="1" t="str">
        <f>_xlfn.XLOOKUP(BegBalSht[[#This Row],[Account]],Asset[Name],Asset[BalType],"")</f>
        <v>Credit</v>
      </c>
      <c r="D5">
        <v>3</v>
      </c>
    </row>
    <row r="6" spans="1:4" x14ac:dyDescent="0.2">
      <c r="A6" t="str">
        <f>IFERROR(_xlfn.XLOOKUP(BegBalSht[[#This Row],[Num]],Asset[Num],Asset[Name]),"")</f>
        <v>Marketable Securities</v>
      </c>
      <c r="B6" s="42"/>
      <c r="C6" s="1" t="str">
        <f>_xlfn.XLOOKUP(BegBalSht[[#This Row],[Account]],Asset[Name],Asset[BalType],"")</f>
        <v>Debit</v>
      </c>
      <c r="D6">
        <v>4</v>
      </c>
    </row>
    <row r="7" spans="1:4" x14ac:dyDescent="0.2">
      <c r="A7" t="str">
        <f>IFERROR(_xlfn.XLOOKUP(BegBalSht[[#This Row],[Num]],Asset[Num],Asset[Name]),"")</f>
        <v>Inventories</v>
      </c>
      <c r="B7" s="42"/>
      <c r="C7" s="1" t="str">
        <f>_xlfn.XLOOKUP(BegBalSht[[#This Row],[Account]],Asset[Name],Asset[BalType],"")</f>
        <v>Debit</v>
      </c>
      <c r="D7">
        <v>5</v>
      </c>
    </row>
    <row r="8" spans="1:4" x14ac:dyDescent="0.2">
      <c r="A8" t="str">
        <f>IFERROR(_xlfn.XLOOKUP(BegBalSht[[#This Row],[Num]],Asset[Num],Asset[Name]),"")</f>
        <v>Prepaid Expenses</v>
      </c>
      <c r="B8" s="42"/>
      <c r="C8" s="1" t="str">
        <f>_xlfn.XLOOKUP(BegBalSht[[#This Row],[Account]],Asset[Name],Asset[BalType],"")</f>
        <v>Debit</v>
      </c>
      <c r="D8">
        <v>6</v>
      </c>
    </row>
    <row r="9" spans="1:4" x14ac:dyDescent="0.2">
      <c r="A9" t="str">
        <f>IFERROR(_xlfn.XLOOKUP(BegBalSht[[#This Row],[Num]],Asset[Num],Asset[Name]),"")</f>
        <v>Prepaid Rent</v>
      </c>
      <c r="B9" s="42"/>
      <c r="C9" s="1" t="str">
        <f>_xlfn.XLOOKUP(BegBalSht[[#This Row],[Account]],Asset[Name],Asset[BalType],"")</f>
        <v>Debit</v>
      </c>
      <c r="D9">
        <v>7</v>
      </c>
    </row>
    <row r="10" spans="1:4" x14ac:dyDescent="0.2">
      <c r="A10" t="str">
        <f>IFERROR(_xlfn.XLOOKUP(BegBalSht[[#This Row],[Num]],Asset[Num],Asset[Name]),"")</f>
        <v>Other Current Assets</v>
      </c>
      <c r="B10" s="42"/>
      <c r="C10" s="1" t="str">
        <f>_xlfn.XLOOKUP(BegBalSht[[#This Row],[Account]],Asset[Name],Asset[BalType],"")</f>
        <v>Debit</v>
      </c>
      <c r="D10">
        <v>8</v>
      </c>
    </row>
    <row r="11" spans="1:4" x14ac:dyDescent="0.2">
      <c r="A11" t="str">
        <f>IFERROR(_xlfn.XLOOKUP(BegBalSht[[#This Row],[Num]],Asset[Num],Asset[Name]),"")</f>
        <v>Property, Plant &amp; Equipment</v>
      </c>
      <c r="B11" s="42"/>
      <c r="C11" s="1" t="str">
        <f>_xlfn.XLOOKUP(BegBalSht[[#This Row],[Account]],Asset[Name],Asset[BalType],"")</f>
        <v>Debit</v>
      </c>
      <c r="D11">
        <v>9</v>
      </c>
    </row>
    <row r="12" spans="1:4" x14ac:dyDescent="0.2">
      <c r="A12" t="str">
        <f>IFERROR(_xlfn.XLOOKUP(BegBalSht[[#This Row],[Num]],Asset[Num],Asset[Name]),"")</f>
        <v>Accumulated Depreciation</v>
      </c>
      <c r="B12" s="42"/>
      <c r="C12" s="1" t="str">
        <f>_xlfn.XLOOKUP(BegBalSht[[#This Row],[Account]],Asset[Name],Asset[BalType],"")</f>
        <v>Credit</v>
      </c>
      <c r="D12">
        <v>10</v>
      </c>
    </row>
    <row r="13" spans="1:4" x14ac:dyDescent="0.2">
      <c r="A13" t="str">
        <f>IFERROR(_xlfn.XLOOKUP(BegBalSht[[#This Row],[Num]],Asset[Num],Asset[Name]),"")</f>
        <v>Intangibles</v>
      </c>
      <c r="C13" s="1" t="str">
        <f>_xlfn.XLOOKUP(BegBalSht[[#This Row],[Account]],Asset[Name],Asset[BalType],"")</f>
        <v>Debit</v>
      </c>
      <c r="D13">
        <v>11</v>
      </c>
    </row>
    <row r="14" spans="1:4" x14ac:dyDescent="0.2">
      <c r="A14" t="str">
        <f>IFERROR(_xlfn.XLOOKUP(BegBalSht[[#This Row],[Num]],Asset[Num],Asset[Name]),"")</f>
        <v>Goodwill</v>
      </c>
      <c r="C14" s="1" t="str">
        <f>_xlfn.XLOOKUP(BegBalSht[[#This Row],[Account]],Asset[Name],Asset[BalType],"")</f>
        <v>Debit</v>
      </c>
      <c r="D14">
        <v>12</v>
      </c>
    </row>
    <row r="15" spans="1:4" x14ac:dyDescent="0.2">
      <c r="A15" t="str">
        <f>IFERROR(_xlfn.XLOOKUP(BegBalSht[[#This Row],[Num]],Asset[Num],Asset[Name]),"")</f>
        <v>Other Noncurrent Assets</v>
      </c>
      <c r="C15" s="1" t="str">
        <f>_xlfn.XLOOKUP(BegBalSht[[#This Row],[Account]],Asset[Name],Asset[BalType],"")</f>
        <v>Debit</v>
      </c>
      <c r="D15">
        <v>13</v>
      </c>
    </row>
    <row r="16" spans="1:4" x14ac:dyDescent="0.2">
      <c r="A16" t="str">
        <f>IFERROR(_xlfn.XLOOKUP(BegBalSht[[#This Row],[Num]],Asset[Num],Asset[Name]),"")</f>
        <v>Deferred Tax Assets</v>
      </c>
      <c r="C16" s="1" t="str">
        <f>_xlfn.XLOOKUP(BegBalSht[[#This Row],[Account]],Asset[Name],Asset[BalType],"")</f>
        <v>Debit</v>
      </c>
      <c r="D16">
        <v>14</v>
      </c>
    </row>
    <row r="17" spans="1:4" x14ac:dyDescent="0.2">
      <c r="A17" t="str">
        <f>IFERROR(_xlfn.XLOOKUP(BegBalSht[[#This Row],[Num]],Asset[Num],Asset[Name]),"")</f>
        <v>Accumulated Amortization</v>
      </c>
      <c r="C17" s="1" t="str">
        <f>_xlfn.XLOOKUP(BegBalSht[[#This Row],[Account]],Asset[Name],Asset[BalType],"")</f>
        <v>Credit</v>
      </c>
      <c r="D17">
        <v>15</v>
      </c>
    </row>
    <row r="18" spans="1:4" x14ac:dyDescent="0.2">
      <c r="A18" s="5" t="s">
        <v>226</v>
      </c>
      <c r="B18" s="42"/>
      <c r="C18" s="1"/>
    </row>
    <row r="19" spans="1:4" x14ac:dyDescent="0.2">
      <c r="A19" t="str">
        <f>IFERROR(_xlfn.XLOOKUP(BegBalSht[[#This Row],[Num]],Liability[Num],Liability[Name]),"")</f>
        <v>Accounts Payable</v>
      </c>
      <c r="B19" s="42"/>
      <c r="C19" s="1" t="str">
        <f>_xlfn.XLOOKUP(BegBalSht[[#This Row],[Account]],Liability[Name],Liability[BalType],"")</f>
        <v>Credit</v>
      </c>
      <c r="D19">
        <v>1</v>
      </c>
    </row>
    <row r="20" spans="1:4" x14ac:dyDescent="0.2">
      <c r="A20" t="str">
        <f>IFERROR(_xlfn.XLOOKUP(BegBalSht[[#This Row],[Num]],Liability[Num],Liability[Name]),"")</f>
        <v>Accrued Expenses</v>
      </c>
      <c r="B20" s="42"/>
      <c r="C20" s="1" t="str">
        <f>_xlfn.XLOOKUP(BegBalSht[[#This Row],[Account]],Liability[Name],Liability[BalType],"")</f>
        <v>Credit</v>
      </c>
      <c r="D20">
        <v>2</v>
      </c>
    </row>
    <row r="21" spans="1:4" x14ac:dyDescent="0.2">
      <c r="A21" t="str">
        <f>IFERROR(_xlfn.XLOOKUP(BegBalSht[[#This Row],[Num]],Liability[Num],Liability[Name]),"")</f>
        <v>Interest Payable</v>
      </c>
      <c r="B21" s="42"/>
      <c r="C21" s="1" t="str">
        <f>_xlfn.XLOOKUP(BegBalSht[[#This Row],[Account]],Liability[Name],Liability[BalType],"")</f>
        <v>Credit</v>
      </c>
      <c r="D21">
        <v>3</v>
      </c>
    </row>
    <row r="22" spans="1:4" x14ac:dyDescent="0.2">
      <c r="A22" t="str">
        <f>IFERROR(_xlfn.XLOOKUP(BegBalSht[[#This Row],[Num]],Liability[Num],Liability[Name]),"")</f>
        <v>Dividends Payable</v>
      </c>
      <c r="B22" s="42"/>
      <c r="C22" s="1" t="str">
        <f>_xlfn.XLOOKUP(BegBalSht[[#This Row],[Account]],Liability[Name],Liability[BalType],"")</f>
        <v>Credit</v>
      </c>
      <c r="D22">
        <v>4</v>
      </c>
    </row>
    <row r="23" spans="1:4" x14ac:dyDescent="0.2">
      <c r="A23" t="str">
        <f>IFERROR(_xlfn.XLOOKUP(BegBalSht[[#This Row],[Num]],Liability[Num],Liability[Name]),"")</f>
        <v>Taxes Payable</v>
      </c>
      <c r="B23" s="42"/>
      <c r="C23" s="1" t="str">
        <f>_xlfn.XLOOKUP(BegBalSht[[#This Row],[Account]],Liability[Name],Liability[BalType],"")</f>
        <v>Credit</v>
      </c>
      <c r="D23">
        <v>5</v>
      </c>
    </row>
    <row r="24" spans="1:4" x14ac:dyDescent="0.2">
      <c r="A24" t="str">
        <f>IFERROR(_xlfn.XLOOKUP(BegBalSht[[#This Row],[Num]],Liability[Num],Liability[Name]),"")</f>
        <v>Deferred Tax Liabilities</v>
      </c>
      <c r="B24" s="42"/>
      <c r="C24" s="1" t="str">
        <f>_xlfn.XLOOKUP(BegBalSht[[#This Row],[Account]],Liability[Name],Liability[BalType],"")</f>
        <v>Credit</v>
      </c>
      <c r="D24">
        <v>6</v>
      </c>
    </row>
    <row r="25" spans="1:4" x14ac:dyDescent="0.2">
      <c r="A25" t="str">
        <f>IFERROR(_xlfn.XLOOKUP(BegBalSht[[#This Row],[Num]],Liability[Num],Liability[Name]),"")</f>
        <v>Unearned Revenue</v>
      </c>
      <c r="B25" s="42"/>
      <c r="C25" s="1" t="str">
        <f>_xlfn.XLOOKUP(BegBalSht[[#This Row],[Account]],Liability[Name],Liability[BalType],"")</f>
        <v>Credit</v>
      </c>
      <c r="D25">
        <v>7</v>
      </c>
    </row>
    <row r="26" spans="1:4" x14ac:dyDescent="0.2">
      <c r="A26" t="str">
        <f>IFERROR(_xlfn.XLOOKUP(BegBalSht[[#This Row],[Num]],Liability[Num],Liability[Name]),"")</f>
        <v>Bonds Payable</v>
      </c>
      <c r="C26" s="1" t="str">
        <f>_xlfn.XLOOKUP(BegBalSht[[#This Row],[Account]],Liability[Name],Liability[BalType],"")</f>
        <v>Credit</v>
      </c>
      <c r="D26">
        <v>8</v>
      </c>
    </row>
    <row r="27" spans="1:4" x14ac:dyDescent="0.2">
      <c r="A27" t="str">
        <f>IFERROR(_xlfn.XLOOKUP(BegBalSht[[#This Row],[Num]],Liability[Num],Liability[Name]),"")</f>
        <v>Notes Payable</v>
      </c>
      <c r="C27" s="1" t="str">
        <f>_xlfn.XLOOKUP(BegBalSht[[#This Row],[Account]],Liability[Name],Liability[BalType],"")</f>
        <v>Credit</v>
      </c>
      <c r="D27">
        <v>9</v>
      </c>
    </row>
    <row r="28" spans="1:4" x14ac:dyDescent="0.2">
      <c r="A28" t="str">
        <f>IFERROR(_xlfn.XLOOKUP(BegBalSht[[#This Row],[Num]],Liability[Num],Liability[Name]),"")</f>
        <v>Senior Debt</v>
      </c>
      <c r="C28" s="1" t="str">
        <f>_xlfn.XLOOKUP(BegBalSht[[#This Row],[Account]],Liability[Name],Liability[BalType],"")</f>
        <v>Credit</v>
      </c>
      <c r="D28">
        <v>10</v>
      </c>
    </row>
    <row r="29" spans="1:4" x14ac:dyDescent="0.2">
      <c r="A29" t="str">
        <f>IFERROR(_xlfn.XLOOKUP(BegBalSht[[#This Row],[Num]],Liability[Num],Liability[Name]),"")</f>
        <v>Subordinated Debt</v>
      </c>
      <c r="C29" s="1" t="str">
        <f>_xlfn.XLOOKUP(BegBalSht[[#This Row],[Account]],Liability[Name],Liability[BalType],"")</f>
        <v>Credit</v>
      </c>
      <c r="D29">
        <v>11</v>
      </c>
    </row>
    <row r="30" spans="1:4" x14ac:dyDescent="0.2">
      <c r="A30" t="str">
        <f>IFERROR(_xlfn.XLOOKUP(BegBalSht[[#This Row],[Num]],Liability[Num],Liability[Name]),"")</f>
        <v>Salaries &amp; Wages Payable</v>
      </c>
      <c r="C30" s="1" t="str">
        <f>_xlfn.XLOOKUP(BegBalSht[[#This Row],[Account]],Liability[Name],Liability[BalType],"")</f>
        <v>Credit</v>
      </c>
      <c r="D30">
        <v>12</v>
      </c>
    </row>
    <row r="31" spans="1:4" x14ac:dyDescent="0.2">
      <c r="A31" s="5" t="s">
        <v>239</v>
      </c>
      <c r="B31" s="42"/>
      <c r="C31" s="1"/>
    </row>
    <row r="32" spans="1:4" x14ac:dyDescent="0.2">
      <c r="A32" t="str">
        <f>IFERROR(_xlfn.XLOOKUP(BegBalSht[[#This Row],[Num]],Equity[Num],Equity[Name]),"")</f>
        <v>Preferred Stock</v>
      </c>
      <c r="B32" s="42"/>
      <c r="C32" s="1" t="str">
        <f>_xlfn.XLOOKUP(BegBalSht[[#This Row],[Account]],Equity[Name],Equity[BalType],"")</f>
        <v>Credit</v>
      </c>
      <c r="D32">
        <v>1</v>
      </c>
    </row>
    <row r="33" spans="1:4" x14ac:dyDescent="0.2">
      <c r="A33" t="str">
        <f>IFERROR(_xlfn.XLOOKUP(BegBalSht[[#This Row],[Num]],Equity[Num],Equity[Name]),"")</f>
        <v>Common Stock</v>
      </c>
      <c r="B33" s="42"/>
      <c r="C33" s="1" t="str">
        <f>_xlfn.XLOOKUP(BegBalSht[[#This Row],[Account]],Equity[Name],Equity[BalType],"")</f>
        <v>Credit</v>
      </c>
      <c r="D33">
        <v>2</v>
      </c>
    </row>
    <row r="34" spans="1:4" x14ac:dyDescent="0.2">
      <c r="A34" t="str">
        <f>IFERROR(_xlfn.XLOOKUP(BegBalSht[[#This Row],[Num]],Equity[Num],Equity[Name]),"")</f>
        <v>Additional Paid-in Capital</v>
      </c>
      <c r="B34" s="42"/>
      <c r="C34" s="1" t="str">
        <f>_xlfn.XLOOKUP(BegBalSht[[#This Row],[Account]],Equity[Name],Equity[BalType],"")</f>
        <v>Credit</v>
      </c>
      <c r="D34">
        <v>3</v>
      </c>
    </row>
    <row r="35" spans="1:4" x14ac:dyDescent="0.2">
      <c r="A35" t="str">
        <f>IFERROR(_xlfn.XLOOKUP(BegBalSht[[#This Row],[Num]],Equity[Num],Equity[Name]),"")</f>
        <v>Retained Earnings</v>
      </c>
      <c r="B35" s="42"/>
      <c r="C35" s="1" t="str">
        <f>_xlfn.XLOOKUP(BegBalSht[[#This Row],[Account]],Equity[Name],Equity[BalType],"")</f>
        <v>Either</v>
      </c>
      <c r="D35">
        <v>4</v>
      </c>
    </row>
    <row r="36" spans="1:4" x14ac:dyDescent="0.2">
      <c r="A36" t="str">
        <f>IFERROR(_xlfn.XLOOKUP(BegBalSht[[#This Row],[Num]],Equity[Num],Equity[Name]),"")</f>
        <v>Accumulated Other Comprehensive Income</v>
      </c>
      <c r="B36" s="42"/>
      <c r="C36" s="1" t="str">
        <f>_xlfn.XLOOKUP(BegBalSht[[#This Row],[Account]],Equity[Name],Equity[BalType],"")</f>
        <v>Either</v>
      </c>
      <c r="D36">
        <v>5</v>
      </c>
    </row>
    <row r="37" spans="1:4" x14ac:dyDescent="0.2">
      <c r="A37" t="str">
        <f>IFERROR(_xlfn.XLOOKUP(BegBalSht[[#This Row],[Num]],Equity[Num],Equity[Name]),"")</f>
        <v>Treasury Stock</v>
      </c>
      <c r="B37" s="42"/>
      <c r="C37" s="1" t="str">
        <f>_xlfn.XLOOKUP(BegBalSht[[#This Row],[Account]],Equity[Name],Equity[BalType],"")</f>
        <v>Debit</v>
      </c>
      <c r="D37">
        <v>6</v>
      </c>
    </row>
    <row r="38" spans="1:4" x14ac:dyDescent="0.2">
      <c r="A38">
        <f>IFERROR(_xlfn.XLOOKUP(BegBalSht[[#This Row],[Num]],Equity[Num],Equity[Name]),"")</f>
        <v>0</v>
      </c>
      <c r="C38" s="1" t="str">
        <f>_xlfn.XLOOKUP(BegBalSht[[#This Row],[Account]],Equity[Name],Equity[BalType],"")</f>
        <v/>
      </c>
      <c r="D38">
        <v>7</v>
      </c>
    </row>
    <row r="41" spans="1:4" x14ac:dyDescent="0.2">
      <c r="A41" t="s">
        <v>296</v>
      </c>
      <c r="B41" s="6">
        <f>SUM(B3:B12)</f>
        <v>0</v>
      </c>
    </row>
    <row r="42" spans="1:4" x14ac:dyDescent="0.2">
      <c r="A42" t="s">
        <v>297</v>
      </c>
      <c r="B42" s="6">
        <f>SUM(B19:B25)</f>
        <v>0</v>
      </c>
    </row>
    <row r="43" spans="1:4" x14ac:dyDescent="0.2">
      <c r="A43" t="s">
        <v>298</v>
      </c>
      <c r="B43" s="6">
        <f>SUM(B32:B36)</f>
        <v>0</v>
      </c>
    </row>
    <row r="44" spans="1:4" ht="16" thickBot="1" x14ac:dyDescent="0.25">
      <c r="A44" t="s">
        <v>299</v>
      </c>
      <c r="B44" s="7">
        <f>ROUND(B41-B42-B43,3)</f>
        <v>0</v>
      </c>
    </row>
    <row r="45" spans="1:4" ht="16" thickTop="1" x14ac:dyDescent="0.2"/>
  </sheetData>
  <conditionalFormatting sqref="B44">
    <cfRule type="cellIs" dxfId="512" priority="1" operator="notEqual">
      <formula>0</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E22FF-32C4-4195-8C93-D2778E38B0D1}">
  <dimension ref="A1:I198"/>
  <sheetViews>
    <sheetView workbookViewId="0">
      <selection activeCell="C19" sqref="C19"/>
    </sheetView>
  </sheetViews>
  <sheetFormatPr baseColWidth="10" defaultColWidth="8.83203125" defaultRowHeight="15" x14ac:dyDescent="0.2"/>
  <cols>
    <col min="2" max="2" width="11.6640625" customWidth="1"/>
    <col min="3" max="4" width="40.1640625" bestFit="1" customWidth="1"/>
    <col min="8" max="8" width="8.83203125" customWidth="1"/>
    <col min="9" max="9" width="15.33203125" bestFit="1" customWidth="1"/>
  </cols>
  <sheetData>
    <row r="1" spans="1:9" ht="16" thickBot="1" x14ac:dyDescent="0.25">
      <c r="B1" s="30">
        <v>1</v>
      </c>
    </row>
    <row r="2" spans="1:9" x14ac:dyDescent="0.2">
      <c r="C2" s="34" t="str">
        <f>IFERROR(Line1,"")</f>
        <v>Sold BU for XXXXX</v>
      </c>
      <c r="D2" s="35"/>
      <c r="E2" s="35"/>
      <c r="F2" s="35"/>
      <c r="G2" s="36"/>
    </row>
    <row r="3" spans="1:9" x14ac:dyDescent="0.2">
      <c r="C3" s="37" t="str">
        <f>Line2</f>
        <v/>
      </c>
      <c r="D3" s="31"/>
      <c r="E3" s="31"/>
      <c r="F3" s="31"/>
      <c r="G3" s="38"/>
      <c r="I3" s="5"/>
    </row>
    <row r="4" spans="1:9" x14ac:dyDescent="0.2">
      <c r="C4" s="37" t="str">
        <f>Line3</f>
        <v/>
      </c>
      <c r="D4" s="31"/>
      <c r="E4" s="31"/>
      <c r="F4" s="31"/>
      <c r="G4" s="38"/>
      <c r="I4" s="1"/>
    </row>
    <row r="5" spans="1:9" x14ac:dyDescent="0.2">
      <c r="B5" t="str">
        <f>Line4</f>
        <v/>
      </c>
      <c r="C5" s="37"/>
      <c r="D5" s="31"/>
      <c r="E5" s="31"/>
      <c r="F5" s="31"/>
      <c r="G5" s="38"/>
      <c r="I5" s="1"/>
    </row>
    <row r="6" spans="1:9" ht="16" thickBot="1" x14ac:dyDescent="0.25">
      <c r="B6" t="str">
        <f>Line5</f>
        <v/>
      </c>
      <c r="C6" s="39"/>
      <c r="D6" s="40"/>
      <c r="E6" s="40"/>
      <c r="F6" s="40"/>
      <c r="G6" s="41"/>
      <c r="I6" s="1"/>
    </row>
    <row r="7" spans="1:9" x14ac:dyDescent="0.2">
      <c r="C7" s="207" t="str">
        <f>_xlfn.XLOOKUP(B1,TransInfo[Num],TransInfo[ref],"Reference Not Found")</f>
        <v>SBU</v>
      </c>
      <c r="D7" s="31" t="s">
        <v>300</v>
      </c>
      <c r="E7" s="92" t="s">
        <v>301</v>
      </c>
      <c r="F7" s="92" t="s">
        <v>302</v>
      </c>
      <c r="G7" s="92" t="s">
        <v>303</v>
      </c>
      <c r="H7" s="1"/>
      <c r="I7" s="1"/>
    </row>
    <row r="8" spans="1:9" x14ac:dyDescent="0.2">
      <c r="E8" s="42">
        <f>SUMIF(Answers[ref2],$C$7,Answers[DrAmt])</f>
        <v>130</v>
      </c>
      <c r="F8" s="42">
        <f>SUMIF(Answers[ref2],$C$7,Answers[CrAmt])</f>
        <v>130</v>
      </c>
      <c r="G8" s="42">
        <f>ROUND(E8-F8,2)</f>
        <v>0</v>
      </c>
      <c r="H8" s="42"/>
      <c r="I8" s="1"/>
    </row>
    <row r="9" spans="1:9" x14ac:dyDescent="0.2">
      <c r="I9" s="1"/>
    </row>
    <row r="10" spans="1:9" x14ac:dyDescent="0.2">
      <c r="A10" s="3" t="s">
        <v>304</v>
      </c>
      <c r="B10" s="3"/>
      <c r="C10" s="3"/>
      <c r="D10" s="3"/>
      <c r="E10" s="3"/>
      <c r="F10" s="3"/>
      <c r="G10" s="3"/>
      <c r="H10" s="3"/>
      <c r="I10" s="1"/>
    </row>
    <row r="11" spans="1:9" x14ac:dyDescent="0.2">
      <c r="A11" s="1" t="s">
        <v>89</v>
      </c>
      <c r="B11" s="1" t="s">
        <v>305</v>
      </c>
      <c r="C11" s="1" t="s">
        <v>306</v>
      </c>
      <c r="D11" s="1" t="s">
        <v>307</v>
      </c>
      <c r="E11" s="1" t="s">
        <v>308</v>
      </c>
      <c r="F11" s="1" t="s">
        <v>309</v>
      </c>
      <c r="G11" s="1" t="s">
        <v>310</v>
      </c>
      <c r="H11" s="1" t="s">
        <v>311</v>
      </c>
      <c r="I11" s="1"/>
    </row>
    <row r="12" spans="1:9" x14ac:dyDescent="0.2">
      <c r="A12" s="392">
        <v>1</v>
      </c>
      <c r="B12" s="208" t="s">
        <v>154</v>
      </c>
      <c r="C12" t="s">
        <v>159</v>
      </c>
      <c r="E12" s="42">
        <v>100</v>
      </c>
      <c r="F12" s="85"/>
      <c r="G12" s="206" t="s">
        <v>312</v>
      </c>
      <c r="H12" s="205" t="str">
        <f>_xlfn.XLOOKUP(Answers[[#This Row],[ref]],TransInfo[Num],TransInfo[ref],"")</f>
        <v>SBU</v>
      </c>
      <c r="I12" s="1" t="str">
        <f>Answers[[#This Row],[AccntType]]&amp;"[Name]"</f>
        <v>Asset[Name]</v>
      </c>
    </row>
    <row r="13" spans="1:9" x14ac:dyDescent="0.2">
      <c r="A13" s="392">
        <v>1</v>
      </c>
      <c r="B13" s="208" t="s">
        <v>178</v>
      </c>
      <c r="C13" t="s">
        <v>180</v>
      </c>
      <c r="E13" s="42">
        <v>20</v>
      </c>
      <c r="F13" s="85"/>
      <c r="G13" s="206"/>
      <c r="H13" s="205" t="str">
        <f>_xlfn.XLOOKUP(Answers[[#This Row],[ref]],TransInfo[Num],TransInfo[ref],"")</f>
        <v>SBU</v>
      </c>
      <c r="I13" s="1" t="str">
        <f>Answers[[#This Row],[AccntType]]&amp;"[Name]"</f>
        <v>Liability[Name]</v>
      </c>
    </row>
    <row r="14" spans="1:9" x14ac:dyDescent="0.2">
      <c r="A14" s="392">
        <v>1</v>
      </c>
      <c r="B14" s="208" t="s">
        <v>154</v>
      </c>
      <c r="C14" t="s">
        <v>170</v>
      </c>
      <c r="E14" s="42">
        <v>10</v>
      </c>
      <c r="F14" s="85"/>
      <c r="G14" s="206"/>
      <c r="H14" s="205" t="str">
        <f>_xlfn.XLOOKUP(Answers[[#This Row],[ref]],TransInfo[Num],TransInfo[ref],"")</f>
        <v>SBU</v>
      </c>
      <c r="I14" s="1" t="str">
        <f>Answers[[#This Row],[AccntType]]&amp;"[Name]"</f>
        <v>Asset[Name]</v>
      </c>
    </row>
    <row r="15" spans="1:9" x14ac:dyDescent="0.2">
      <c r="A15" s="392">
        <v>1</v>
      </c>
      <c r="B15" s="208" t="s">
        <v>154</v>
      </c>
      <c r="D15" t="s">
        <v>161</v>
      </c>
      <c r="E15" s="42"/>
      <c r="F15" s="85">
        <v>75</v>
      </c>
      <c r="G15" s="206"/>
      <c r="H15" s="205" t="str">
        <f>_xlfn.XLOOKUP(Answers[[#This Row],[ref]],TransInfo[Num],TransInfo[ref],"")</f>
        <v>SBU</v>
      </c>
      <c r="I15" s="1" t="str">
        <f>Answers[[#This Row],[AccntType]]&amp;"[Name]"</f>
        <v>Asset[Name]</v>
      </c>
    </row>
    <row r="16" spans="1:9" x14ac:dyDescent="0.2">
      <c r="A16" s="392">
        <v>1</v>
      </c>
      <c r="B16" s="208" t="s">
        <v>154</v>
      </c>
      <c r="D16" t="s">
        <v>168</v>
      </c>
      <c r="E16" s="42"/>
      <c r="F16" s="85">
        <v>50</v>
      </c>
      <c r="G16" s="206"/>
      <c r="H16" s="205" t="str">
        <f>_xlfn.XLOOKUP(Answers[[#This Row],[ref]],TransInfo[Num],TransInfo[ref],"")</f>
        <v>SBU</v>
      </c>
      <c r="I16" s="1" t="str">
        <f>Answers[[#This Row],[AccntType]]&amp;"[Name]"</f>
        <v>Asset[Name]</v>
      </c>
    </row>
    <row r="17" spans="1:9" x14ac:dyDescent="0.2">
      <c r="A17" s="392">
        <v>1</v>
      </c>
      <c r="B17" s="208" t="s">
        <v>179</v>
      </c>
      <c r="D17" t="s">
        <v>182</v>
      </c>
      <c r="E17" s="42"/>
      <c r="F17" s="85">
        <v>5</v>
      </c>
      <c r="G17" s="206"/>
      <c r="H17" s="205" t="str">
        <f>_xlfn.XLOOKUP(Answers[[#This Row],[ref]],TransInfo[Num],TransInfo[ref],"")</f>
        <v>SBU</v>
      </c>
      <c r="I17" s="1" t="str">
        <f>Answers[[#This Row],[AccntType]]&amp;"[Name]"</f>
        <v>_Gain[Name]</v>
      </c>
    </row>
    <row r="18" spans="1:9" x14ac:dyDescent="0.2">
      <c r="A18" s="392"/>
      <c r="B18" s="208"/>
      <c r="E18" s="42"/>
      <c r="F18" s="85"/>
      <c r="G18" s="206"/>
      <c r="H18" s="205" t="str">
        <f>_xlfn.XLOOKUP(Answers[[#This Row],[ref]],TransInfo[Num],TransInfo[ref],"")</f>
        <v/>
      </c>
      <c r="I18" s="1" t="str">
        <f>Answers[[#This Row],[AccntType]]&amp;"[Name]"</f>
        <v>[Name]</v>
      </c>
    </row>
    <row r="19" spans="1:9" x14ac:dyDescent="0.2">
      <c r="A19" s="392">
        <v>12</v>
      </c>
      <c r="B19" s="208" t="s">
        <v>178</v>
      </c>
      <c r="C19" t="s">
        <v>181</v>
      </c>
      <c r="E19" s="42"/>
      <c r="F19" s="85"/>
      <c r="G19" s="206"/>
      <c r="H19" s="205">
        <f>_xlfn.XLOOKUP(Answers[[#This Row],[ref]],TransInfo[Num],TransInfo[ref],"")</f>
        <v>0</v>
      </c>
      <c r="I19" s="1" t="str">
        <f>Answers[[#This Row],[AccntType]]&amp;"[Name]"</f>
        <v>Liability[Name]</v>
      </c>
    </row>
    <row r="20" spans="1:9" x14ac:dyDescent="0.2">
      <c r="A20" s="392"/>
      <c r="B20" s="208"/>
      <c r="E20" s="42"/>
      <c r="F20" s="85"/>
      <c r="G20" s="206"/>
      <c r="H20" s="205" t="str">
        <f>_xlfn.XLOOKUP(Answers[[#This Row],[ref]],TransInfo[Num],TransInfo[ref],"")</f>
        <v/>
      </c>
      <c r="I20" s="1" t="str">
        <f>Answers[[#This Row],[AccntType]]&amp;"[Name]"</f>
        <v>[Name]</v>
      </c>
    </row>
    <row r="21" spans="1:9" x14ac:dyDescent="0.2">
      <c r="A21" s="392"/>
      <c r="B21" s="208"/>
      <c r="E21" s="42"/>
      <c r="F21" s="85"/>
      <c r="G21" s="206"/>
      <c r="H21" s="205" t="str">
        <f>_xlfn.XLOOKUP(Answers[[#This Row],[ref]],TransInfo[Num],TransInfo[ref],"")</f>
        <v/>
      </c>
      <c r="I21" s="1" t="str">
        <f>Answers[[#This Row],[AccntType]]&amp;"[Name]"</f>
        <v>[Name]</v>
      </c>
    </row>
    <row r="22" spans="1:9" x14ac:dyDescent="0.2">
      <c r="A22" s="392"/>
      <c r="B22" s="208"/>
      <c r="E22" s="42"/>
      <c r="F22" s="85"/>
      <c r="G22" s="206"/>
      <c r="H22" s="205" t="str">
        <f>_xlfn.XLOOKUP(Answers[[#This Row],[ref]],TransInfo[Num],TransInfo[ref],"")</f>
        <v/>
      </c>
      <c r="I22" s="1" t="str">
        <f>Answers[[#This Row],[AccntType]]&amp;"[Name]"</f>
        <v>[Name]</v>
      </c>
    </row>
    <row r="23" spans="1:9" x14ac:dyDescent="0.2">
      <c r="A23" s="392"/>
      <c r="B23" s="208"/>
      <c r="E23" s="42"/>
      <c r="F23" s="85"/>
      <c r="G23" s="206"/>
      <c r="H23" s="205" t="str">
        <f>_xlfn.XLOOKUP(Answers[[#This Row],[ref]],TransInfo[Num],TransInfo[ref],"")</f>
        <v/>
      </c>
      <c r="I23" s="1" t="str">
        <f>Answers[[#This Row],[AccntType]]&amp;"[Name]"</f>
        <v>[Name]</v>
      </c>
    </row>
    <row r="24" spans="1:9" x14ac:dyDescent="0.2">
      <c r="A24" s="392"/>
      <c r="B24" s="208"/>
      <c r="E24" s="42"/>
      <c r="F24" s="85"/>
      <c r="G24" s="206"/>
      <c r="H24" s="205" t="str">
        <f>_xlfn.XLOOKUP(Answers[[#This Row],[ref]],TransInfo[Num],TransInfo[ref],"")</f>
        <v/>
      </c>
      <c r="I24" s="1" t="str">
        <f>Answers[[#This Row],[AccntType]]&amp;"[Name]"</f>
        <v>[Name]</v>
      </c>
    </row>
    <row r="25" spans="1:9" x14ac:dyDescent="0.2">
      <c r="A25" s="392"/>
      <c r="B25" s="208"/>
      <c r="E25" s="42"/>
      <c r="F25" s="85"/>
      <c r="G25" s="206"/>
      <c r="H25" s="205" t="str">
        <f>_xlfn.XLOOKUP(Answers[[#This Row],[ref]],TransInfo[Num],TransInfo[ref],"")</f>
        <v/>
      </c>
      <c r="I25" s="1" t="str">
        <f>Answers[[#This Row],[AccntType]]&amp;"[Name]"</f>
        <v>[Name]</v>
      </c>
    </row>
    <row r="26" spans="1:9" x14ac:dyDescent="0.2">
      <c r="A26" s="392"/>
      <c r="B26" s="208"/>
      <c r="E26" s="42"/>
      <c r="F26" s="85"/>
      <c r="G26" s="206"/>
      <c r="H26" s="205" t="str">
        <f>_xlfn.XLOOKUP(Answers[[#This Row],[ref]],TransInfo[Num],TransInfo[ref],"")</f>
        <v/>
      </c>
      <c r="I26" s="1" t="str">
        <f>Answers[[#This Row],[AccntType]]&amp;"[Name]"</f>
        <v>[Name]</v>
      </c>
    </row>
    <row r="27" spans="1:9" x14ac:dyDescent="0.2">
      <c r="A27" s="392"/>
      <c r="B27" s="208"/>
      <c r="E27" s="42"/>
      <c r="F27" s="85"/>
      <c r="G27" s="206"/>
      <c r="H27" s="205" t="str">
        <f>_xlfn.XLOOKUP(Answers[[#This Row],[ref]],TransInfo[Num],TransInfo[ref],"")</f>
        <v/>
      </c>
      <c r="I27" s="1" t="str">
        <f>Answers[[#This Row],[AccntType]]&amp;"[Name]"</f>
        <v>[Name]</v>
      </c>
    </row>
    <row r="28" spans="1:9" x14ac:dyDescent="0.2">
      <c r="A28" s="392"/>
      <c r="B28" s="208"/>
      <c r="E28" s="42"/>
      <c r="F28" s="85"/>
      <c r="G28" s="206"/>
      <c r="H28" s="205" t="str">
        <f>_xlfn.XLOOKUP(Answers[[#This Row],[ref]],TransInfo[Num],TransInfo[ref],"")</f>
        <v/>
      </c>
      <c r="I28" s="1" t="str">
        <f>Answers[[#This Row],[AccntType]]&amp;"[Name]"</f>
        <v>[Name]</v>
      </c>
    </row>
    <row r="29" spans="1:9" x14ac:dyDescent="0.2">
      <c r="A29" s="392"/>
      <c r="B29" s="208"/>
      <c r="E29" s="42"/>
      <c r="F29" s="85"/>
      <c r="G29" s="206"/>
      <c r="H29" s="205" t="str">
        <f>_xlfn.XLOOKUP(Answers[[#This Row],[ref]],TransInfo[Num],TransInfo[ref],"")</f>
        <v/>
      </c>
      <c r="I29" s="1" t="str">
        <f>Answers[[#This Row],[AccntType]]&amp;"[Name]"</f>
        <v>[Name]</v>
      </c>
    </row>
    <row r="30" spans="1:9" x14ac:dyDescent="0.2">
      <c r="A30" s="392"/>
      <c r="B30" s="208"/>
      <c r="E30" s="42"/>
      <c r="F30" s="85"/>
      <c r="G30" s="206"/>
      <c r="H30" s="205" t="str">
        <f>_xlfn.XLOOKUP(Answers[[#This Row],[ref]],TransInfo[Num],TransInfo[ref],"")</f>
        <v/>
      </c>
      <c r="I30" s="1" t="str">
        <f>Answers[[#This Row],[AccntType]]&amp;"[Name]"</f>
        <v>[Name]</v>
      </c>
    </row>
    <row r="31" spans="1:9" x14ac:dyDescent="0.2">
      <c r="A31" s="392"/>
      <c r="B31" s="208"/>
      <c r="E31" s="42"/>
      <c r="F31" s="85"/>
      <c r="G31" s="206"/>
      <c r="H31" s="205" t="str">
        <f>_xlfn.XLOOKUP(Answers[[#This Row],[ref]],TransInfo[Num],TransInfo[ref],"")</f>
        <v/>
      </c>
      <c r="I31" s="1" t="str">
        <f>Answers[[#This Row],[AccntType]]&amp;"[Name]"</f>
        <v>[Name]</v>
      </c>
    </row>
    <row r="32" spans="1:9" x14ac:dyDescent="0.2">
      <c r="A32" s="392"/>
      <c r="B32" s="208"/>
      <c r="E32" s="42"/>
      <c r="F32" s="85"/>
      <c r="G32" s="206"/>
      <c r="H32" s="205" t="str">
        <f>_xlfn.XLOOKUP(Answers[[#This Row],[ref]],TransInfo[Num],TransInfo[ref],"")</f>
        <v/>
      </c>
      <c r="I32" s="1" t="str">
        <f>Answers[[#This Row],[AccntType]]&amp;"[Name]"</f>
        <v>[Name]</v>
      </c>
    </row>
    <row r="33" spans="1:9" x14ac:dyDescent="0.2">
      <c r="A33" s="392"/>
      <c r="B33" s="208"/>
      <c r="E33" s="42"/>
      <c r="F33" s="85"/>
      <c r="G33" s="206"/>
      <c r="H33" s="205" t="str">
        <f>_xlfn.XLOOKUP(Answers[[#This Row],[ref]],TransInfo[Num],TransInfo[ref],"")</f>
        <v/>
      </c>
      <c r="I33" s="1" t="str">
        <f>Answers[[#This Row],[AccntType]]&amp;"[Name]"</f>
        <v>[Name]</v>
      </c>
    </row>
    <row r="34" spans="1:9" x14ac:dyDescent="0.2">
      <c r="A34" s="392"/>
      <c r="B34" s="208"/>
      <c r="E34" s="42"/>
      <c r="F34" s="85"/>
      <c r="G34" s="206"/>
      <c r="H34" s="205" t="str">
        <f>_xlfn.XLOOKUP(Answers[[#This Row],[ref]],TransInfo[Num],TransInfo[ref],"")</f>
        <v/>
      </c>
      <c r="I34" s="1" t="str">
        <f>Answers[[#This Row],[AccntType]]&amp;"[Name]"</f>
        <v>[Name]</v>
      </c>
    </row>
    <row r="35" spans="1:9" x14ac:dyDescent="0.2">
      <c r="A35" s="392"/>
      <c r="B35" s="208"/>
      <c r="E35" s="42"/>
      <c r="F35" s="85"/>
      <c r="G35" s="206"/>
      <c r="H35" s="205" t="str">
        <f>_xlfn.XLOOKUP(Answers[[#This Row],[ref]],TransInfo[Num],TransInfo[ref],"")</f>
        <v/>
      </c>
      <c r="I35" s="1" t="str">
        <f>Answers[[#This Row],[AccntType]]&amp;"[Name]"</f>
        <v>[Name]</v>
      </c>
    </row>
    <row r="36" spans="1:9" x14ac:dyDescent="0.2">
      <c r="A36" s="392"/>
      <c r="B36" s="208"/>
      <c r="E36" s="42"/>
      <c r="F36" s="85"/>
      <c r="G36" s="206"/>
      <c r="H36" s="205" t="str">
        <f>_xlfn.XLOOKUP(Answers[[#This Row],[ref]],TransInfo[Num],TransInfo[ref],"")</f>
        <v/>
      </c>
      <c r="I36" s="1" t="str">
        <f>Answers[[#This Row],[AccntType]]&amp;"[Name]"</f>
        <v>[Name]</v>
      </c>
    </row>
    <row r="37" spans="1:9" x14ac:dyDescent="0.2">
      <c r="A37" s="392"/>
      <c r="B37" s="208"/>
      <c r="E37" s="42"/>
      <c r="F37" s="85"/>
      <c r="G37" s="206"/>
      <c r="H37" s="205" t="str">
        <f>_xlfn.XLOOKUP(Answers[[#This Row],[ref]],TransInfo[Num],TransInfo[ref],"")</f>
        <v/>
      </c>
      <c r="I37" s="1" t="str">
        <f>Answers[[#This Row],[AccntType]]&amp;"[Name]"</f>
        <v>[Name]</v>
      </c>
    </row>
    <row r="38" spans="1:9" x14ac:dyDescent="0.2">
      <c r="A38" s="392"/>
      <c r="B38" s="208"/>
      <c r="E38" s="42"/>
      <c r="F38" s="85"/>
      <c r="G38" s="206"/>
      <c r="H38" s="205" t="str">
        <f>_xlfn.XLOOKUP(Answers[[#This Row],[ref]],TransInfo[Num],TransInfo[ref],"")</f>
        <v/>
      </c>
      <c r="I38" s="1" t="str">
        <f>Answers[[#This Row],[AccntType]]&amp;"[Name]"</f>
        <v>[Name]</v>
      </c>
    </row>
    <row r="39" spans="1:9" x14ac:dyDescent="0.2">
      <c r="A39" s="392"/>
      <c r="B39" s="208"/>
      <c r="E39" s="42"/>
      <c r="F39" s="85"/>
      <c r="G39" s="206"/>
      <c r="H39" s="205" t="str">
        <f>_xlfn.XLOOKUP(Answers[[#This Row],[ref]],TransInfo[Num],TransInfo[ref],"")</f>
        <v/>
      </c>
      <c r="I39" s="1" t="str">
        <f>Answers[[#This Row],[AccntType]]&amp;"[Name]"</f>
        <v>[Name]</v>
      </c>
    </row>
    <row r="40" spans="1:9" x14ac:dyDescent="0.2">
      <c r="A40" s="392"/>
      <c r="B40" s="208"/>
      <c r="E40" s="42"/>
      <c r="F40" s="85"/>
      <c r="G40" s="206"/>
      <c r="H40" s="205" t="str">
        <f>_xlfn.XLOOKUP(Answers[[#This Row],[ref]],TransInfo[Num],TransInfo[ref],"")</f>
        <v/>
      </c>
      <c r="I40" s="1" t="str">
        <f>Answers[[#This Row],[AccntType]]&amp;"[Name]"</f>
        <v>[Name]</v>
      </c>
    </row>
    <row r="41" spans="1:9" x14ac:dyDescent="0.2">
      <c r="A41" s="392"/>
      <c r="B41" s="208"/>
      <c r="E41" s="42"/>
      <c r="F41" s="85"/>
      <c r="G41" s="206"/>
      <c r="H41" s="205" t="str">
        <f>_xlfn.XLOOKUP(Answers[[#This Row],[ref]],TransInfo[Num],TransInfo[ref],"")</f>
        <v/>
      </c>
      <c r="I41" s="1" t="str">
        <f>Answers[[#This Row],[AccntType]]&amp;"[Name]"</f>
        <v>[Name]</v>
      </c>
    </row>
    <row r="42" spans="1:9" x14ac:dyDescent="0.2">
      <c r="A42" s="392"/>
      <c r="B42" s="208"/>
      <c r="E42" s="42"/>
      <c r="F42" s="85"/>
      <c r="G42" s="206"/>
      <c r="H42" s="205" t="str">
        <f>_xlfn.XLOOKUP(Answers[[#This Row],[ref]],TransInfo[Num],TransInfo[ref],"")</f>
        <v/>
      </c>
      <c r="I42" s="1" t="str">
        <f>Answers[[#This Row],[AccntType]]&amp;"[Name]"</f>
        <v>[Name]</v>
      </c>
    </row>
    <row r="43" spans="1:9" x14ac:dyDescent="0.2">
      <c r="A43" s="392"/>
      <c r="B43" s="208"/>
      <c r="E43" s="42"/>
      <c r="F43" s="85"/>
      <c r="G43" s="206"/>
      <c r="H43" s="205" t="str">
        <f>_xlfn.XLOOKUP(Answers[[#This Row],[ref]],TransInfo[Num],TransInfo[ref],"")</f>
        <v/>
      </c>
      <c r="I43" s="1" t="str">
        <f>Answers[[#This Row],[AccntType]]&amp;"[Name]"</f>
        <v>[Name]</v>
      </c>
    </row>
    <row r="44" spans="1:9" x14ac:dyDescent="0.2">
      <c r="A44" s="392"/>
      <c r="B44" s="208"/>
      <c r="E44" s="42"/>
      <c r="F44" s="85"/>
      <c r="G44" s="206"/>
      <c r="H44" s="205" t="str">
        <f>_xlfn.XLOOKUP(Answers[[#This Row],[ref]],TransInfo[Num],TransInfo[ref],"")</f>
        <v/>
      </c>
      <c r="I44" s="1" t="str">
        <f>Answers[[#This Row],[AccntType]]&amp;"[Name]"</f>
        <v>[Name]</v>
      </c>
    </row>
    <row r="45" spans="1:9" x14ac:dyDescent="0.2">
      <c r="A45" s="392"/>
      <c r="B45" s="208"/>
      <c r="E45" s="42"/>
      <c r="F45" s="85"/>
      <c r="G45" s="206"/>
      <c r="H45" s="205" t="str">
        <f>_xlfn.XLOOKUP(Answers[[#This Row],[ref]],TransInfo[Num],TransInfo[ref],"")</f>
        <v/>
      </c>
      <c r="I45" s="1" t="str">
        <f>Answers[[#This Row],[AccntType]]&amp;"[Name]"</f>
        <v>[Name]</v>
      </c>
    </row>
    <row r="46" spans="1:9" x14ac:dyDescent="0.2">
      <c r="A46" s="392"/>
      <c r="B46" s="208"/>
      <c r="E46" s="42"/>
      <c r="F46" s="85"/>
      <c r="G46" s="206"/>
      <c r="H46" s="205" t="str">
        <f>_xlfn.XLOOKUP(Answers[[#This Row],[ref]],TransInfo[Num],TransInfo[ref],"")</f>
        <v/>
      </c>
      <c r="I46" s="1" t="str">
        <f>Answers[[#This Row],[AccntType]]&amp;"[Name]"</f>
        <v>[Name]</v>
      </c>
    </row>
    <row r="47" spans="1:9" x14ac:dyDescent="0.2">
      <c r="A47" s="392"/>
      <c r="B47" s="208"/>
      <c r="E47" s="42"/>
      <c r="F47" s="85"/>
      <c r="G47" s="206"/>
      <c r="H47" s="205" t="str">
        <f>_xlfn.XLOOKUP(Answers[[#This Row],[ref]],TransInfo[Num],TransInfo[ref],"")</f>
        <v/>
      </c>
      <c r="I47" s="1" t="str">
        <f>Answers[[#This Row],[AccntType]]&amp;"[Name]"</f>
        <v>[Name]</v>
      </c>
    </row>
    <row r="48" spans="1:9" x14ac:dyDescent="0.2">
      <c r="A48" s="392"/>
      <c r="B48" s="208"/>
      <c r="E48" s="42"/>
      <c r="F48" s="85"/>
      <c r="G48" s="206"/>
      <c r="H48" s="205" t="str">
        <f>_xlfn.XLOOKUP(Answers[[#This Row],[ref]],TransInfo[Num],TransInfo[ref],"")</f>
        <v/>
      </c>
      <c r="I48" s="1" t="str">
        <f>Answers[[#This Row],[AccntType]]&amp;"[Name]"</f>
        <v>[Name]</v>
      </c>
    </row>
    <row r="49" spans="1:9" x14ac:dyDescent="0.2">
      <c r="A49" s="392"/>
      <c r="B49" s="208"/>
      <c r="E49" s="42"/>
      <c r="F49" s="85"/>
      <c r="G49" s="206"/>
      <c r="H49" s="205" t="str">
        <f>_xlfn.XLOOKUP(Answers[[#This Row],[ref]],TransInfo[Num],TransInfo[ref],"")</f>
        <v/>
      </c>
      <c r="I49" s="1" t="str">
        <f>Answers[[#This Row],[AccntType]]&amp;"[Name]"</f>
        <v>[Name]</v>
      </c>
    </row>
    <row r="50" spans="1:9" x14ac:dyDescent="0.2">
      <c r="A50" s="392"/>
      <c r="B50" s="208"/>
      <c r="E50" s="42"/>
      <c r="F50" s="85"/>
      <c r="G50" s="206"/>
      <c r="H50" s="205" t="str">
        <f>_xlfn.XLOOKUP(Answers[[#This Row],[ref]],TransInfo[Num],TransInfo[ref],"")</f>
        <v/>
      </c>
      <c r="I50" s="1" t="str">
        <f>Answers[[#This Row],[AccntType]]&amp;"[Name]"</f>
        <v>[Name]</v>
      </c>
    </row>
    <row r="51" spans="1:9" x14ac:dyDescent="0.2">
      <c r="A51" s="392"/>
      <c r="B51" s="208"/>
      <c r="E51" s="42"/>
      <c r="F51" s="85"/>
      <c r="G51" s="206"/>
      <c r="H51" s="205" t="str">
        <f>_xlfn.XLOOKUP(Answers[[#This Row],[ref]],TransInfo[Num],TransInfo[ref],"")</f>
        <v/>
      </c>
      <c r="I51" s="1" t="str">
        <f>Answers[[#This Row],[AccntType]]&amp;"[Name]"</f>
        <v>[Name]</v>
      </c>
    </row>
    <row r="52" spans="1:9" x14ac:dyDescent="0.2">
      <c r="A52" s="392"/>
      <c r="B52" s="208"/>
      <c r="E52" s="42"/>
      <c r="F52" s="85"/>
      <c r="G52" s="206"/>
      <c r="H52" s="205" t="str">
        <f>_xlfn.XLOOKUP(Answers[[#This Row],[ref]],TransInfo[Num],TransInfo[ref],"")</f>
        <v/>
      </c>
      <c r="I52" s="1" t="str">
        <f>Answers[[#This Row],[AccntType]]&amp;"[Name]"</f>
        <v>[Name]</v>
      </c>
    </row>
    <row r="53" spans="1:9" x14ac:dyDescent="0.2">
      <c r="A53" s="392"/>
      <c r="B53" s="208"/>
      <c r="E53" s="42"/>
      <c r="F53" s="85"/>
      <c r="G53" s="206"/>
      <c r="H53" s="205" t="str">
        <f>_xlfn.XLOOKUP(Answers[[#This Row],[ref]],TransInfo[Num],TransInfo[ref],"")</f>
        <v/>
      </c>
      <c r="I53" s="1" t="str">
        <f>Answers[[#This Row],[AccntType]]&amp;"[Name]"</f>
        <v>[Name]</v>
      </c>
    </row>
    <row r="54" spans="1:9" x14ac:dyDescent="0.2">
      <c r="A54" s="392"/>
      <c r="B54" s="208"/>
      <c r="E54" s="42"/>
      <c r="F54" s="85"/>
      <c r="G54" s="206"/>
      <c r="H54" s="205" t="str">
        <f>_xlfn.XLOOKUP(Answers[[#This Row],[ref]],TransInfo[Num],TransInfo[ref],"")</f>
        <v/>
      </c>
      <c r="I54" s="1" t="str">
        <f>Answers[[#This Row],[AccntType]]&amp;"[Name]"</f>
        <v>[Name]</v>
      </c>
    </row>
    <row r="55" spans="1:9" x14ac:dyDescent="0.2">
      <c r="A55" s="392"/>
      <c r="B55" s="208"/>
      <c r="E55" s="42"/>
      <c r="F55" s="85"/>
      <c r="G55" s="206"/>
      <c r="H55" s="205" t="str">
        <f>_xlfn.XLOOKUP(Answers[[#This Row],[ref]],TransInfo[Num],TransInfo[ref],"")</f>
        <v/>
      </c>
      <c r="I55" s="1" t="str">
        <f>Answers[[#This Row],[AccntType]]&amp;"[Name]"</f>
        <v>[Name]</v>
      </c>
    </row>
    <row r="56" spans="1:9" x14ac:dyDescent="0.2">
      <c r="A56" s="392"/>
      <c r="B56" s="208"/>
      <c r="E56" s="42"/>
      <c r="F56" s="85"/>
      <c r="G56" s="206"/>
      <c r="H56" s="205" t="str">
        <f>_xlfn.XLOOKUP(Answers[[#This Row],[ref]],TransInfo[Num],TransInfo[ref],"")</f>
        <v/>
      </c>
      <c r="I56" s="1" t="str">
        <f>Answers[[#This Row],[AccntType]]&amp;"[Name]"</f>
        <v>[Name]</v>
      </c>
    </row>
    <row r="57" spans="1:9" x14ac:dyDescent="0.2">
      <c r="A57" s="392"/>
      <c r="B57" s="208"/>
      <c r="E57" s="42"/>
      <c r="F57" s="85"/>
      <c r="G57" s="206"/>
      <c r="H57" s="205" t="str">
        <f>_xlfn.XLOOKUP(Answers[[#This Row],[ref]],TransInfo[Num],TransInfo[ref],"")</f>
        <v/>
      </c>
      <c r="I57" s="1" t="str">
        <f>Answers[[#This Row],[AccntType]]&amp;"[Name]"</f>
        <v>[Name]</v>
      </c>
    </row>
    <row r="58" spans="1:9" x14ac:dyDescent="0.2">
      <c r="A58" s="392"/>
      <c r="B58" s="208"/>
      <c r="E58" s="42"/>
      <c r="F58" s="85"/>
      <c r="G58" s="206"/>
      <c r="H58" s="205" t="str">
        <f>_xlfn.XLOOKUP(Answers[[#This Row],[ref]],TransInfo[Num],TransInfo[ref],"")</f>
        <v/>
      </c>
      <c r="I58" s="1" t="str">
        <f>Answers[[#This Row],[AccntType]]&amp;"[Name]"</f>
        <v>[Name]</v>
      </c>
    </row>
    <row r="59" spans="1:9" x14ac:dyDescent="0.2">
      <c r="A59" s="392"/>
      <c r="B59" s="208"/>
      <c r="E59" s="42"/>
      <c r="F59" s="85"/>
      <c r="G59" s="206"/>
      <c r="H59" s="205" t="str">
        <f>_xlfn.XLOOKUP(Answers[[#This Row],[ref]],TransInfo[Num],TransInfo[ref],"")</f>
        <v/>
      </c>
      <c r="I59" s="1" t="str">
        <f>Answers[[#This Row],[AccntType]]&amp;"[Name]"</f>
        <v>[Name]</v>
      </c>
    </row>
    <row r="60" spans="1:9" x14ac:dyDescent="0.2">
      <c r="A60" s="392"/>
      <c r="B60" s="208"/>
      <c r="E60" s="42"/>
      <c r="F60" s="85"/>
      <c r="G60" s="206"/>
      <c r="H60" s="205" t="str">
        <f>_xlfn.XLOOKUP(Answers[[#This Row],[ref]],TransInfo[Num],TransInfo[ref],"")</f>
        <v/>
      </c>
      <c r="I60" s="1" t="str">
        <f>Answers[[#This Row],[AccntType]]&amp;"[Name]"</f>
        <v>[Name]</v>
      </c>
    </row>
    <row r="61" spans="1:9" x14ac:dyDescent="0.2">
      <c r="A61" s="392"/>
      <c r="B61" s="208"/>
      <c r="E61" s="42"/>
      <c r="F61" s="85"/>
      <c r="G61" s="206"/>
      <c r="H61" s="205" t="str">
        <f>_xlfn.XLOOKUP(Answers[[#This Row],[ref]],TransInfo[Num],TransInfo[ref],"")</f>
        <v/>
      </c>
      <c r="I61" s="1" t="str">
        <f>Answers[[#This Row],[AccntType]]&amp;"[Name]"</f>
        <v>[Name]</v>
      </c>
    </row>
    <row r="62" spans="1:9" x14ac:dyDescent="0.2">
      <c r="A62" s="392"/>
      <c r="B62" s="208"/>
      <c r="E62" s="42"/>
      <c r="F62" s="85"/>
      <c r="G62" s="206"/>
      <c r="H62" s="205" t="str">
        <f>_xlfn.XLOOKUP(Answers[[#This Row],[ref]],TransInfo[Num],TransInfo[ref],"")</f>
        <v/>
      </c>
      <c r="I62" s="1" t="str">
        <f>Answers[[#This Row],[AccntType]]&amp;"[Name]"</f>
        <v>[Name]</v>
      </c>
    </row>
    <row r="63" spans="1:9" x14ac:dyDescent="0.2">
      <c r="A63" s="392"/>
      <c r="B63" s="208"/>
      <c r="E63" s="42"/>
      <c r="F63" s="85"/>
      <c r="G63" s="206"/>
      <c r="H63" s="205" t="str">
        <f>_xlfn.XLOOKUP(Answers[[#This Row],[ref]],TransInfo[Num],TransInfo[ref],"")</f>
        <v/>
      </c>
      <c r="I63" s="1" t="str">
        <f>Answers[[#This Row],[AccntType]]&amp;"[Name]"</f>
        <v>[Name]</v>
      </c>
    </row>
    <row r="64" spans="1:9" x14ac:dyDescent="0.2">
      <c r="A64" s="392"/>
      <c r="B64" s="208"/>
      <c r="E64" s="42"/>
      <c r="F64" s="85"/>
      <c r="G64" s="206"/>
      <c r="H64" s="205" t="str">
        <f>_xlfn.XLOOKUP(Answers[[#This Row],[ref]],TransInfo[Num],TransInfo[ref],"")</f>
        <v/>
      </c>
      <c r="I64" s="1" t="str">
        <f>Answers[[#This Row],[AccntType]]&amp;"[Name]"</f>
        <v>[Name]</v>
      </c>
    </row>
    <row r="65" spans="1:9" x14ac:dyDescent="0.2">
      <c r="A65" s="392"/>
      <c r="B65" s="208"/>
      <c r="E65" s="42"/>
      <c r="F65" s="85"/>
      <c r="G65" s="206"/>
      <c r="H65" s="205" t="str">
        <f>_xlfn.XLOOKUP(Answers[[#This Row],[ref]],TransInfo[Num],TransInfo[ref],"")</f>
        <v/>
      </c>
      <c r="I65" s="1" t="str">
        <f>Answers[[#This Row],[AccntType]]&amp;"[Name]"</f>
        <v>[Name]</v>
      </c>
    </row>
    <row r="66" spans="1:9" x14ac:dyDescent="0.2">
      <c r="A66" s="392"/>
      <c r="B66" s="208"/>
      <c r="E66" s="42"/>
      <c r="F66" s="85"/>
      <c r="G66" s="206"/>
      <c r="H66" s="205" t="str">
        <f>_xlfn.XLOOKUP(Answers[[#This Row],[ref]],TransInfo[Num],TransInfo[ref],"")</f>
        <v/>
      </c>
      <c r="I66" s="1" t="str">
        <f>Answers[[#This Row],[AccntType]]&amp;"[Name]"</f>
        <v>[Name]</v>
      </c>
    </row>
    <row r="67" spans="1:9" x14ac:dyDescent="0.2">
      <c r="A67" s="392"/>
      <c r="B67" s="208"/>
      <c r="E67" s="42"/>
      <c r="F67" s="85"/>
      <c r="G67" s="206"/>
      <c r="H67" s="205" t="str">
        <f>_xlfn.XLOOKUP(Answers[[#This Row],[ref]],TransInfo[Num],TransInfo[ref],"")</f>
        <v/>
      </c>
      <c r="I67" s="1" t="str">
        <f>Answers[[#This Row],[AccntType]]&amp;"[Name]"</f>
        <v>[Name]</v>
      </c>
    </row>
    <row r="68" spans="1:9" x14ac:dyDescent="0.2">
      <c r="A68" s="392"/>
      <c r="B68" s="208"/>
      <c r="E68" s="42"/>
      <c r="F68" s="85"/>
      <c r="G68" s="206"/>
      <c r="H68" s="205" t="str">
        <f>_xlfn.XLOOKUP(Answers[[#This Row],[ref]],TransInfo[Num],TransInfo[ref],"")</f>
        <v/>
      </c>
      <c r="I68" s="1" t="str">
        <f>Answers[[#This Row],[AccntType]]&amp;"[Name]"</f>
        <v>[Name]</v>
      </c>
    </row>
    <row r="69" spans="1:9" x14ac:dyDescent="0.2">
      <c r="A69" s="392"/>
      <c r="B69" s="208"/>
      <c r="E69" s="42"/>
      <c r="F69" s="85"/>
      <c r="G69" s="206"/>
      <c r="H69" s="205" t="str">
        <f>_xlfn.XLOOKUP(Answers[[#This Row],[ref]],TransInfo[Num],TransInfo[ref],"")</f>
        <v/>
      </c>
      <c r="I69" s="1" t="str">
        <f>Answers[[#This Row],[AccntType]]&amp;"[Name]"</f>
        <v>[Name]</v>
      </c>
    </row>
    <row r="70" spans="1:9" x14ac:dyDescent="0.2">
      <c r="A70" s="392"/>
      <c r="B70" s="208"/>
      <c r="E70" s="42"/>
      <c r="F70" s="85"/>
      <c r="G70" s="206"/>
      <c r="H70" s="205" t="str">
        <f>_xlfn.XLOOKUP(Answers[[#This Row],[ref]],TransInfo[Num],TransInfo[ref],"")</f>
        <v/>
      </c>
      <c r="I70" s="1" t="str">
        <f>Answers[[#This Row],[AccntType]]&amp;"[Name]"</f>
        <v>[Name]</v>
      </c>
    </row>
    <row r="71" spans="1:9" x14ac:dyDescent="0.2">
      <c r="A71" s="392"/>
      <c r="B71" s="208"/>
      <c r="E71" s="42"/>
      <c r="F71" s="85"/>
      <c r="G71" s="206"/>
      <c r="H71" s="205" t="str">
        <f>_xlfn.XLOOKUP(Answers[[#This Row],[ref]],TransInfo[Num],TransInfo[ref],"")</f>
        <v/>
      </c>
      <c r="I71" s="1" t="str">
        <f>Answers[[#This Row],[AccntType]]&amp;"[Name]"</f>
        <v>[Name]</v>
      </c>
    </row>
    <row r="72" spans="1:9" x14ac:dyDescent="0.2">
      <c r="A72" s="392"/>
      <c r="B72" s="208"/>
      <c r="E72" s="42"/>
      <c r="F72" s="85"/>
      <c r="G72" s="206"/>
      <c r="H72" s="205" t="str">
        <f>_xlfn.XLOOKUP(Answers[[#This Row],[ref]],TransInfo[Num],TransInfo[ref],"")</f>
        <v/>
      </c>
      <c r="I72" s="1" t="str">
        <f>Answers[[#This Row],[AccntType]]&amp;"[Name]"</f>
        <v>[Name]</v>
      </c>
    </row>
    <row r="73" spans="1:9" x14ac:dyDescent="0.2">
      <c r="A73" s="392"/>
      <c r="B73" s="208"/>
      <c r="E73" s="42"/>
      <c r="F73" s="85"/>
      <c r="G73" s="206"/>
      <c r="H73" s="205" t="str">
        <f>_xlfn.XLOOKUP(Answers[[#This Row],[ref]],TransInfo[Num],TransInfo[ref],"")</f>
        <v/>
      </c>
      <c r="I73" s="1" t="str">
        <f>Answers[[#This Row],[AccntType]]&amp;"[Name]"</f>
        <v>[Name]</v>
      </c>
    </row>
    <row r="74" spans="1:9" x14ac:dyDescent="0.2">
      <c r="A74" s="392"/>
      <c r="B74" s="208"/>
      <c r="E74" s="42"/>
      <c r="F74" s="85"/>
      <c r="G74" s="206"/>
      <c r="H74" s="205" t="str">
        <f>_xlfn.XLOOKUP(Answers[[#This Row],[ref]],TransInfo[Num],TransInfo[ref],"")</f>
        <v/>
      </c>
      <c r="I74" s="1" t="str">
        <f>Answers[[#This Row],[AccntType]]&amp;"[Name]"</f>
        <v>[Name]</v>
      </c>
    </row>
    <row r="75" spans="1:9" x14ac:dyDescent="0.2">
      <c r="A75" s="392"/>
      <c r="B75" s="208"/>
      <c r="E75" s="42"/>
      <c r="F75" s="85"/>
      <c r="G75" s="206"/>
      <c r="H75" s="205" t="str">
        <f>_xlfn.XLOOKUP(Answers[[#This Row],[ref]],TransInfo[Num],TransInfo[ref],"")</f>
        <v/>
      </c>
      <c r="I75" s="1" t="str">
        <f>Answers[[#This Row],[AccntType]]&amp;"[Name]"</f>
        <v>[Name]</v>
      </c>
    </row>
    <row r="76" spans="1:9" x14ac:dyDescent="0.2">
      <c r="A76" s="392"/>
      <c r="B76" s="208"/>
      <c r="E76" s="42"/>
      <c r="F76" s="85"/>
      <c r="G76" s="206"/>
      <c r="H76" s="205" t="str">
        <f>_xlfn.XLOOKUP(Answers[[#This Row],[ref]],TransInfo[Num],TransInfo[ref],"")</f>
        <v/>
      </c>
      <c r="I76" s="1" t="str">
        <f>Answers[[#This Row],[AccntType]]&amp;"[Name]"</f>
        <v>[Name]</v>
      </c>
    </row>
    <row r="77" spans="1:9" x14ac:dyDescent="0.2">
      <c r="A77" s="392"/>
      <c r="B77" s="208"/>
      <c r="E77" s="42"/>
      <c r="F77" s="85"/>
      <c r="G77" s="206"/>
      <c r="H77" s="205" t="str">
        <f>_xlfn.XLOOKUP(Answers[[#This Row],[ref]],TransInfo[Num],TransInfo[ref],"")</f>
        <v/>
      </c>
      <c r="I77" s="1" t="str">
        <f>Answers[[#This Row],[AccntType]]&amp;"[Name]"</f>
        <v>[Name]</v>
      </c>
    </row>
    <row r="78" spans="1:9" x14ac:dyDescent="0.2">
      <c r="A78" s="392"/>
      <c r="B78" s="208"/>
      <c r="E78" s="42"/>
      <c r="F78" s="85"/>
      <c r="G78" s="206"/>
      <c r="H78" s="205" t="str">
        <f>_xlfn.XLOOKUP(Answers[[#This Row],[ref]],TransInfo[Num],TransInfo[ref],"")</f>
        <v/>
      </c>
      <c r="I78" s="1" t="str">
        <f>Answers[[#This Row],[AccntType]]&amp;"[Name]"</f>
        <v>[Name]</v>
      </c>
    </row>
    <row r="79" spans="1:9" x14ac:dyDescent="0.2">
      <c r="A79" s="392"/>
      <c r="B79" s="208"/>
      <c r="E79" s="42"/>
      <c r="F79" s="85"/>
      <c r="G79" s="206"/>
      <c r="H79" s="205" t="str">
        <f>_xlfn.XLOOKUP(Answers[[#This Row],[ref]],TransInfo[Num],TransInfo[ref],"")</f>
        <v/>
      </c>
      <c r="I79" s="1" t="str">
        <f>Answers[[#This Row],[AccntType]]&amp;"[Name]"</f>
        <v>[Name]</v>
      </c>
    </row>
    <row r="80" spans="1:9" x14ac:dyDescent="0.2">
      <c r="A80" s="392"/>
      <c r="B80" s="208"/>
      <c r="E80" s="42"/>
      <c r="F80" s="85"/>
      <c r="G80" s="206"/>
      <c r="H80" s="205" t="str">
        <f>_xlfn.XLOOKUP(Answers[[#This Row],[ref]],TransInfo[Num],TransInfo[ref],"")</f>
        <v/>
      </c>
      <c r="I80" s="1" t="str">
        <f>Answers[[#This Row],[AccntType]]&amp;"[Name]"</f>
        <v>[Name]</v>
      </c>
    </row>
    <row r="81" spans="1:9" x14ac:dyDescent="0.2">
      <c r="A81" s="392"/>
      <c r="B81" s="208"/>
      <c r="E81" s="42"/>
      <c r="F81" s="85"/>
      <c r="G81" s="206"/>
      <c r="H81" s="205" t="str">
        <f>_xlfn.XLOOKUP(Answers[[#This Row],[ref]],TransInfo[Num],TransInfo[ref],"")</f>
        <v/>
      </c>
      <c r="I81" s="1" t="str">
        <f>Answers[[#This Row],[AccntType]]&amp;"[Name]"</f>
        <v>[Name]</v>
      </c>
    </row>
    <row r="82" spans="1:9" x14ac:dyDescent="0.2">
      <c r="A82" s="392"/>
      <c r="B82" s="208"/>
      <c r="E82" s="42"/>
      <c r="F82" s="85"/>
      <c r="G82" s="206"/>
      <c r="H82" s="205" t="str">
        <f>_xlfn.XLOOKUP(Answers[[#This Row],[ref]],TransInfo[Num],TransInfo[ref],"")</f>
        <v/>
      </c>
      <c r="I82" s="1" t="str">
        <f>Answers[[#This Row],[AccntType]]&amp;"[Name]"</f>
        <v>[Name]</v>
      </c>
    </row>
    <row r="83" spans="1:9" x14ac:dyDescent="0.2">
      <c r="A83" s="392"/>
      <c r="B83" s="208"/>
      <c r="E83" s="42"/>
      <c r="F83" s="85"/>
      <c r="G83" s="206"/>
      <c r="H83" s="205" t="str">
        <f>_xlfn.XLOOKUP(Answers[[#This Row],[ref]],TransInfo[Num],TransInfo[ref],"")</f>
        <v/>
      </c>
      <c r="I83" s="1" t="str">
        <f>Answers[[#This Row],[AccntType]]&amp;"[Name]"</f>
        <v>[Name]</v>
      </c>
    </row>
    <row r="84" spans="1:9" x14ac:dyDescent="0.2">
      <c r="A84" s="392"/>
      <c r="B84" s="208"/>
      <c r="E84" s="42"/>
      <c r="F84" s="85"/>
      <c r="G84" s="206"/>
      <c r="H84" s="205" t="str">
        <f>_xlfn.XLOOKUP(Answers[[#This Row],[ref]],TransInfo[Num],TransInfo[ref],"")</f>
        <v/>
      </c>
      <c r="I84" s="1" t="str">
        <f>Answers[[#This Row],[AccntType]]&amp;"[Name]"</f>
        <v>[Name]</v>
      </c>
    </row>
    <row r="85" spans="1:9" x14ac:dyDescent="0.2">
      <c r="A85" s="392"/>
      <c r="B85" s="208"/>
      <c r="E85" s="42"/>
      <c r="F85" s="85"/>
      <c r="G85" s="206"/>
      <c r="H85" s="205" t="str">
        <f>_xlfn.XLOOKUP(Answers[[#This Row],[ref]],TransInfo[Num],TransInfo[ref],"")</f>
        <v/>
      </c>
      <c r="I85" s="1" t="str">
        <f>Answers[[#This Row],[AccntType]]&amp;"[Name]"</f>
        <v>[Name]</v>
      </c>
    </row>
    <row r="86" spans="1:9" x14ac:dyDescent="0.2">
      <c r="A86" s="392"/>
      <c r="B86" s="208"/>
      <c r="E86" s="42"/>
      <c r="F86" s="85"/>
      <c r="G86" s="206"/>
      <c r="H86" s="205" t="str">
        <f>_xlfn.XLOOKUP(Answers[[#This Row],[ref]],TransInfo[Num],TransInfo[ref],"")</f>
        <v/>
      </c>
      <c r="I86" s="1" t="str">
        <f>Answers[[#This Row],[AccntType]]&amp;"[Name]"</f>
        <v>[Name]</v>
      </c>
    </row>
    <row r="87" spans="1:9" x14ac:dyDescent="0.2">
      <c r="A87" s="392"/>
      <c r="B87" s="208"/>
      <c r="E87" s="42"/>
      <c r="F87" s="85"/>
      <c r="G87" s="206"/>
      <c r="H87" s="205" t="str">
        <f>_xlfn.XLOOKUP(Answers[[#This Row],[ref]],TransInfo[Num],TransInfo[ref],"")</f>
        <v/>
      </c>
      <c r="I87" s="1" t="str">
        <f>Answers[[#This Row],[AccntType]]&amp;"[Name]"</f>
        <v>[Name]</v>
      </c>
    </row>
    <row r="88" spans="1:9" x14ac:dyDescent="0.2">
      <c r="A88" s="392"/>
      <c r="B88" s="208"/>
      <c r="E88" s="42"/>
      <c r="F88" s="85"/>
      <c r="G88" s="206"/>
      <c r="H88" s="205" t="str">
        <f>_xlfn.XLOOKUP(Answers[[#This Row],[ref]],TransInfo[Num],TransInfo[ref],"")</f>
        <v/>
      </c>
      <c r="I88" s="1" t="str">
        <f>Answers[[#This Row],[AccntType]]&amp;"[Name]"</f>
        <v>[Name]</v>
      </c>
    </row>
    <row r="89" spans="1:9" x14ac:dyDescent="0.2">
      <c r="A89" s="392"/>
      <c r="B89" s="208"/>
      <c r="E89" s="42"/>
      <c r="F89" s="85"/>
      <c r="G89" s="206"/>
      <c r="H89" s="205" t="str">
        <f>_xlfn.XLOOKUP(Answers[[#This Row],[ref]],TransInfo[Num],TransInfo[ref],"")</f>
        <v/>
      </c>
      <c r="I89" s="1" t="str">
        <f>Answers[[#This Row],[AccntType]]&amp;"[Name]"</f>
        <v>[Name]</v>
      </c>
    </row>
    <row r="90" spans="1:9" x14ac:dyDescent="0.2">
      <c r="A90" s="392"/>
      <c r="B90" s="208"/>
      <c r="E90" s="42"/>
      <c r="F90" s="85"/>
      <c r="G90" s="206"/>
      <c r="H90" s="205" t="str">
        <f>_xlfn.XLOOKUP(Answers[[#This Row],[ref]],TransInfo[Num],TransInfo[ref],"")</f>
        <v/>
      </c>
      <c r="I90" s="1" t="str">
        <f>Answers[[#This Row],[AccntType]]&amp;"[Name]"</f>
        <v>[Name]</v>
      </c>
    </row>
    <row r="91" spans="1:9" x14ac:dyDescent="0.2">
      <c r="A91" s="392"/>
      <c r="B91" s="208"/>
      <c r="E91" s="42"/>
      <c r="F91" s="85"/>
      <c r="G91" s="206"/>
      <c r="H91" s="205" t="str">
        <f>_xlfn.XLOOKUP(Answers[[#This Row],[ref]],TransInfo[Num],TransInfo[ref],"")</f>
        <v/>
      </c>
      <c r="I91" s="1" t="str">
        <f>Answers[[#This Row],[AccntType]]&amp;"[Name]"</f>
        <v>[Name]</v>
      </c>
    </row>
    <row r="92" spans="1:9" x14ac:dyDescent="0.2">
      <c r="A92" s="392"/>
      <c r="B92" s="208"/>
      <c r="E92" s="42"/>
      <c r="F92" s="85"/>
      <c r="G92" s="206"/>
      <c r="H92" s="205" t="str">
        <f>_xlfn.XLOOKUP(Answers[[#This Row],[ref]],TransInfo[Num],TransInfo[ref],"")</f>
        <v/>
      </c>
      <c r="I92" s="1" t="str">
        <f>Answers[[#This Row],[AccntType]]&amp;"[Name]"</f>
        <v>[Name]</v>
      </c>
    </row>
    <row r="93" spans="1:9" x14ac:dyDescent="0.2">
      <c r="A93" s="392"/>
      <c r="B93" s="208"/>
      <c r="E93" s="42"/>
      <c r="F93" s="85"/>
      <c r="G93" s="206"/>
      <c r="H93" s="205" t="str">
        <f>_xlfn.XLOOKUP(Answers[[#This Row],[ref]],TransInfo[Num],TransInfo[ref],"")</f>
        <v/>
      </c>
      <c r="I93" s="1" t="str">
        <f>Answers[[#This Row],[AccntType]]&amp;"[Name]"</f>
        <v>[Name]</v>
      </c>
    </row>
    <row r="94" spans="1:9" x14ac:dyDescent="0.2">
      <c r="A94" s="392"/>
      <c r="B94" s="208"/>
      <c r="E94" s="42"/>
      <c r="F94" s="85"/>
      <c r="G94" s="206"/>
      <c r="H94" s="205" t="str">
        <f>_xlfn.XLOOKUP(Answers[[#This Row],[ref]],TransInfo[Num],TransInfo[ref],"")</f>
        <v/>
      </c>
      <c r="I94" s="1" t="str">
        <f>Answers[[#This Row],[AccntType]]&amp;"[Name]"</f>
        <v>[Name]</v>
      </c>
    </row>
    <row r="95" spans="1:9" x14ac:dyDescent="0.2">
      <c r="A95" s="392"/>
      <c r="B95" s="208"/>
      <c r="E95" s="42"/>
      <c r="F95" s="85"/>
      <c r="G95" s="206"/>
      <c r="H95" s="205" t="str">
        <f>_xlfn.XLOOKUP(Answers[[#This Row],[ref]],TransInfo[Num],TransInfo[ref],"")</f>
        <v/>
      </c>
      <c r="I95" s="1" t="str">
        <f>Answers[[#This Row],[AccntType]]&amp;"[Name]"</f>
        <v>[Name]</v>
      </c>
    </row>
    <row r="96" spans="1:9" x14ac:dyDescent="0.2">
      <c r="A96" s="392"/>
      <c r="B96" s="208"/>
      <c r="E96" s="42"/>
      <c r="F96" s="85"/>
      <c r="G96" s="206"/>
      <c r="H96" s="205" t="str">
        <f>_xlfn.XLOOKUP(Answers[[#This Row],[ref]],TransInfo[Num],TransInfo[ref],"")</f>
        <v/>
      </c>
      <c r="I96" s="1" t="str">
        <f>Answers[[#This Row],[AccntType]]&amp;"[Name]"</f>
        <v>[Name]</v>
      </c>
    </row>
    <row r="97" spans="1:9" x14ac:dyDescent="0.2">
      <c r="A97" s="392"/>
      <c r="B97" s="208"/>
      <c r="E97" s="42"/>
      <c r="F97" s="85"/>
      <c r="G97" s="206"/>
      <c r="H97" s="205" t="str">
        <f>_xlfn.XLOOKUP(Answers[[#This Row],[ref]],TransInfo[Num],TransInfo[ref],"")</f>
        <v/>
      </c>
      <c r="I97" s="1" t="str">
        <f>Answers[[#This Row],[AccntType]]&amp;"[Name]"</f>
        <v>[Name]</v>
      </c>
    </row>
    <row r="98" spans="1:9" x14ac:dyDescent="0.2">
      <c r="A98" s="392"/>
      <c r="B98" s="208"/>
      <c r="E98" s="42"/>
      <c r="F98" s="85"/>
      <c r="G98" s="206"/>
      <c r="H98" s="205" t="str">
        <f>_xlfn.XLOOKUP(Answers[[#This Row],[ref]],TransInfo[Num],TransInfo[ref],"")</f>
        <v/>
      </c>
      <c r="I98" s="1" t="str">
        <f>Answers[[#This Row],[AccntType]]&amp;"[Name]"</f>
        <v>[Name]</v>
      </c>
    </row>
    <row r="99" spans="1:9" x14ac:dyDescent="0.2">
      <c r="A99" s="392"/>
      <c r="B99" s="208"/>
      <c r="E99" s="42"/>
      <c r="F99" s="85"/>
      <c r="G99" s="206"/>
      <c r="H99" s="205" t="str">
        <f>_xlfn.XLOOKUP(Answers[[#This Row],[ref]],TransInfo[Num],TransInfo[ref],"")</f>
        <v/>
      </c>
      <c r="I99" s="1" t="str">
        <f>Answers[[#This Row],[AccntType]]&amp;"[Name]"</f>
        <v>[Name]</v>
      </c>
    </row>
    <row r="100" spans="1:9" x14ac:dyDescent="0.2">
      <c r="A100" s="392"/>
      <c r="B100" s="208"/>
      <c r="E100" s="42"/>
      <c r="F100" s="85"/>
      <c r="G100" s="206"/>
      <c r="H100" s="205" t="str">
        <f>_xlfn.XLOOKUP(Answers[[#This Row],[ref]],TransInfo[Num],TransInfo[ref],"")</f>
        <v/>
      </c>
      <c r="I100" s="1" t="str">
        <f>Answers[[#This Row],[AccntType]]&amp;"[Name]"</f>
        <v>[Name]</v>
      </c>
    </row>
    <row r="101" spans="1:9" x14ac:dyDescent="0.2">
      <c r="A101" s="392"/>
      <c r="B101" s="208"/>
      <c r="E101" s="42"/>
      <c r="F101" s="85"/>
      <c r="G101" s="206"/>
      <c r="H101" s="205" t="str">
        <f>_xlfn.XLOOKUP(Answers[[#This Row],[ref]],TransInfo[Num],TransInfo[ref],"")</f>
        <v/>
      </c>
      <c r="I101" s="1" t="str">
        <f>Answers[[#This Row],[AccntType]]&amp;"[Name]"</f>
        <v>[Name]</v>
      </c>
    </row>
    <row r="102" spans="1:9" x14ac:dyDescent="0.2">
      <c r="A102" s="392"/>
      <c r="B102" s="208"/>
      <c r="E102" s="42"/>
      <c r="F102" s="85"/>
      <c r="G102" s="206"/>
      <c r="H102" s="205" t="str">
        <f>_xlfn.XLOOKUP(Answers[[#This Row],[ref]],TransInfo[Num],TransInfo[ref],"")</f>
        <v/>
      </c>
      <c r="I102" s="1" t="str">
        <f>Answers[[#This Row],[AccntType]]&amp;"[Name]"</f>
        <v>[Name]</v>
      </c>
    </row>
    <row r="103" spans="1:9" x14ac:dyDescent="0.2">
      <c r="A103" s="392"/>
      <c r="B103" s="208"/>
      <c r="E103" s="42"/>
      <c r="F103" s="85"/>
      <c r="G103" s="206"/>
      <c r="H103" s="205" t="str">
        <f>_xlfn.XLOOKUP(Answers[[#This Row],[ref]],TransInfo[Num],TransInfo[ref],"")</f>
        <v/>
      </c>
      <c r="I103" s="1" t="str">
        <f>Answers[[#This Row],[AccntType]]&amp;"[Name]"</f>
        <v>[Name]</v>
      </c>
    </row>
    <row r="104" spans="1:9" x14ac:dyDescent="0.2">
      <c r="A104" s="392"/>
      <c r="B104" s="208"/>
      <c r="E104" s="42"/>
      <c r="F104" s="85"/>
      <c r="G104" s="206"/>
      <c r="H104" s="205" t="str">
        <f>_xlfn.XLOOKUP(Answers[[#This Row],[ref]],TransInfo[Num],TransInfo[ref],"")</f>
        <v/>
      </c>
      <c r="I104" s="1" t="str">
        <f>Answers[[#This Row],[AccntType]]&amp;"[Name]"</f>
        <v>[Name]</v>
      </c>
    </row>
    <row r="105" spans="1:9" x14ac:dyDescent="0.2">
      <c r="A105" s="392"/>
      <c r="B105" s="208"/>
      <c r="E105" s="42"/>
      <c r="F105" s="85"/>
      <c r="G105" s="206"/>
      <c r="H105" s="205" t="str">
        <f>_xlfn.XLOOKUP(Answers[[#This Row],[ref]],TransInfo[Num],TransInfo[ref],"")</f>
        <v/>
      </c>
      <c r="I105" s="1" t="str">
        <f>Answers[[#This Row],[AccntType]]&amp;"[Name]"</f>
        <v>[Name]</v>
      </c>
    </row>
    <row r="106" spans="1:9" x14ac:dyDescent="0.2">
      <c r="A106" s="392"/>
      <c r="B106" s="208"/>
      <c r="E106" s="42"/>
      <c r="F106" s="85"/>
      <c r="G106" s="206"/>
      <c r="H106" s="205" t="str">
        <f>_xlfn.XLOOKUP(Answers[[#This Row],[ref]],TransInfo[Num],TransInfo[ref],"")</f>
        <v/>
      </c>
      <c r="I106" s="1" t="str">
        <f>Answers[[#This Row],[AccntType]]&amp;"[Name]"</f>
        <v>[Name]</v>
      </c>
    </row>
    <row r="107" spans="1:9" x14ac:dyDescent="0.2">
      <c r="A107" s="392"/>
      <c r="B107" s="208"/>
      <c r="E107" s="42"/>
      <c r="F107" s="85"/>
      <c r="G107" s="206"/>
      <c r="H107" s="205" t="str">
        <f>_xlfn.XLOOKUP(Answers[[#This Row],[ref]],TransInfo[Num],TransInfo[ref],"")</f>
        <v/>
      </c>
      <c r="I107" s="1" t="str">
        <f>Answers[[#This Row],[AccntType]]&amp;"[Name]"</f>
        <v>[Name]</v>
      </c>
    </row>
    <row r="108" spans="1:9" x14ac:dyDescent="0.2">
      <c r="A108" s="392"/>
      <c r="B108" s="208"/>
      <c r="E108" s="42"/>
      <c r="F108" s="85"/>
      <c r="G108" s="206"/>
      <c r="H108" s="205" t="str">
        <f>_xlfn.XLOOKUP(Answers[[#This Row],[ref]],TransInfo[Num],TransInfo[ref],"")</f>
        <v/>
      </c>
      <c r="I108" s="1" t="str">
        <f>Answers[[#This Row],[AccntType]]&amp;"[Name]"</f>
        <v>[Name]</v>
      </c>
    </row>
    <row r="109" spans="1:9" x14ac:dyDescent="0.2">
      <c r="A109" s="392"/>
      <c r="B109" s="208"/>
      <c r="E109" s="42"/>
      <c r="F109" s="85"/>
      <c r="G109" s="206"/>
      <c r="H109" s="205" t="str">
        <f>_xlfn.XLOOKUP(Answers[[#This Row],[ref]],TransInfo[Num],TransInfo[ref],"")</f>
        <v/>
      </c>
      <c r="I109" s="1" t="str">
        <f>Answers[[#This Row],[AccntType]]&amp;"[Name]"</f>
        <v>[Name]</v>
      </c>
    </row>
    <row r="110" spans="1:9" x14ac:dyDescent="0.2">
      <c r="A110" s="392"/>
      <c r="B110" s="208"/>
      <c r="E110" s="42"/>
      <c r="F110" s="85"/>
      <c r="G110" s="206"/>
      <c r="H110" s="205" t="str">
        <f>_xlfn.XLOOKUP(Answers[[#This Row],[ref]],TransInfo[Num],TransInfo[ref],"")</f>
        <v/>
      </c>
      <c r="I110" s="1" t="str">
        <f>Answers[[#This Row],[AccntType]]&amp;"[Name]"</f>
        <v>[Name]</v>
      </c>
    </row>
    <row r="111" spans="1:9" x14ac:dyDescent="0.2">
      <c r="A111" s="392"/>
      <c r="B111" s="208"/>
      <c r="E111" s="42"/>
      <c r="F111" s="85"/>
      <c r="G111" s="206"/>
      <c r="H111" s="205" t="str">
        <f>_xlfn.XLOOKUP(Answers[[#This Row],[ref]],TransInfo[Num],TransInfo[ref],"")</f>
        <v/>
      </c>
      <c r="I111" s="1" t="str">
        <f>Answers[[#This Row],[AccntType]]&amp;"[Name]"</f>
        <v>[Name]</v>
      </c>
    </row>
    <row r="112" spans="1:9" x14ac:dyDescent="0.2">
      <c r="A112" s="392"/>
      <c r="B112" s="208"/>
      <c r="E112" s="42"/>
      <c r="F112" s="85"/>
      <c r="G112" s="206"/>
      <c r="H112" s="205" t="str">
        <f>_xlfn.XLOOKUP(Answers[[#This Row],[ref]],TransInfo[Num],TransInfo[ref],"")</f>
        <v/>
      </c>
      <c r="I112" s="1" t="str">
        <f>Answers[[#This Row],[AccntType]]&amp;"[Name]"</f>
        <v>[Name]</v>
      </c>
    </row>
    <row r="113" spans="1:9" x14ac:dyDescent="0.2">
      <c r="A113" s="392"/>
      <c r="B113" s="208"/>
      <c r="E113" s="42"/>
      <c r="F113" s="85"/>
      <c r="G113" s="206"/>
      <c r="H113" s="205" t="str">
        <f>_xlfn.XLOOKUP(Answers[[#This Row],[ref]],TransInfo[Num],TransInfo[ref],"")</f>
        <v/>
      </c>
      <c r="I113" s="1" t="str">
        <f>Answers[[#This Row],[AccntType]]&amp;"[Name]"</f>
        <v>[Name]</v>
      </c>
    </row>
    <row r="114" spans="1:9" x14ac:dyDescent="0.2">
      <c r="A114" s="392"/>
      <c r="B114" s="208"/>
      <c r="E114" s="42"/>
      <c r="F114" s="85"/>
      <c r="G114" s="206"/>
      <c r="H114" s="205" t="str">
        <f>_xlfn.XLOOKUP(Answers[[#This Row],[ref]],TransInfo[Num],TransInfo[ref],"")</f>
        <v/>
      </c>
      <c r="I114" s="1" t="str">
        <f>Answers[[#This Row],[AccntType]]&amp;"[Name]"</f>
        <v>[Name]</v>
      </c>
    </row>
    <row r="115" spans="1:9" x14ac:dyDescent="0.2">
      <c r="A115" s="392"/>
      <c r="B115" s="208"/>
      <c r="E115" s="42"/>
      <c r="F115" s="85"/>
      <c r="G115" s="206"/>
      <c r="H115" s="205" t="str">
        <f>_xlfn.XLOOKUP(Answers[[#This Row],[ref]],TransInfo[Num],TransInfo[ref],"")</f>
        <v/>
      </c>
      <c r="I115" s="1" t="str">
        <f>Answers[[#This Row],[AccntType]]&amp;"[Name]"</f>
        <v>[Name]</v>
      </c>
    </row>
    <row r="116" spans="1:9" x14ac:dyDescent="0.2">
      <c r="A116" s="392"/>
      <c r="B116" s="208"/>
      <c r="E116" s="42"/>
      <c r="F116" s="85"/>
      <c r="G116" s="206"/>
      <c r="H116" s="205" t="str">
        <f>_xlfn.XLOOKUP(Answers[[#This Row],[ref]],TransInfo[Num],TransInfo[ref],"")</f>
        <v/>
      </c>
      <c r="I116" s="1" t="str">
        <f>Answers[[#This Row],[AccntType]]&amp;"[Name]"</f>
        <v>[Name]</v>
      </c>
    </row>
    <row r="117" spans="1:9" x14ac:dyDescent="0.2">
      <c r="A117" s="392"/>
      <c r="B117" s="208"/>
      <c r="E117" s="42"/>
      <c r="F117" s="85"/>
      <c r="G117" s="206"/>
      <c r="H117" s="205" t="str">
        <f>_xlfn.XLOOKUP(Answers[[#This Row],[ref]],TransInfo[Num],TransInfo[ref],"")</f>
        <v/>
      </c>
      <c r="I117" s="1" t="str">
        <f>Answers[[#This Row],[AccntType]]&amp;"[Name]"</f>
        <v>[Name]</v>
      </c>
    </row>
    <row r="118" spans="1:9" x14ac:dyDescent="0.2">
      <c r="A118" s="392"/>
      <c r="B118" s="208"/>
      <c r="E118" s="42"/>
      <c r="F118" s="85"/>
      <c r="G118" s="206"/>
      <c r="H118" s="205" t="str">
        <f>_xlfn.XLOOKUP(Answers[[#This Row],[ref]],TransInfo[Num],TransInfo[ref],"")</f>
        <v/>
      </c>
      <c r="I118" s="1" t="str">
        <f>Answers[[#This Row],[AccntType]]&amp;"[Name]"</f>
        <v>[Name]</v>
      </c>
    </row>
    <row r="119" spans="1:9" x14ac:dyDescent="0.2">
      <c r="A119" s="392"/>
      <c r="B119" s="208"/>
      <c r="E119" s="42"/>
      <c r="F119" s="85"/>
      <c r="G119" s="206"/>
      <c r="H119" s="205" t="str">
        <f>_xlfn.XLOOKUP(Answers[[#This Row],[ref]],TransInfo[Num],TransInfo[ref],"")</f>
        <v/>
      </c>
      <c r="I119" s="1" t="str">
        <f>Answers[[#This Row],[AccntType]]&amp;"[Name]"</f>
        <v>[Name]</v>
      </c>
    </row>
    <row r="120" spans="1:9" x14ac:dyDescent="0.2">
      <c r="A120" s="392"/>
      <c r="B120" s="208"/>
      <c r="E120" s="42"/>
      <c r="F120" s="85"/>
      <c r="G120" s="206"/>
      <c r="H120" s="205" t="str">
        <f>_xlfn.XLOOKUP(Answers[[#This Row],[ref]],TransInfo[Num],TransInfo[ref],"")</f>
        <v/>
      </c>
      <c r="I120" s="1" t="str">
        <f>Answers[[#This Row],[AccntType]]&amp;"[Name]"</f>
        <v>[Name]</v>
      </c>
    </row>
    <row r="121" spans="1:9" x14ac:dyDescent="0.2">
      <c r="A121" s="392"/>
      <c r="B121" s="208"/>
      <c r="E121" s="42"/>
      <c r="F121" s="85"/>
      <c r="G121" s="206"/>
      <c r="H121" s="205" t="str">
        <f>_xlfn.XLOOKUP(Answers[[#This Row],[ref]],TransInfo[Num],TransInfo[ref],"")</f>
        <v/>
      </c>
      <c r="I121" s="1" t="str">
        <f>Answers[[#This Row],[AccntType]]&amp;"[Name]"</f>
        <v>[Name]</v>
      </c>
    </row>
    <row r="122" spans="1:9" x14ac:dyDescent="0.2">
      <c r="A122" s="392"/>
      <c r="B122" s="208"/>
      <c r="E122" s="42"/>
      <c r="F122" s="85"/>
      <c r="G122" s="206"/>
      <c r="H122" s="205" t="str">
        <f>_xlfn.XLOOKUP(Answers[[#This Row],[ref]],TransInfo[Num],TransInfo[ref],"")</f>
        <v/>
      </c>
      <c r="I122" s="1" t="str">
        <f>Answers[[#This Row],[AccntType]]&amp;"[Name]"</f>
        <v>[Name]</v>
      </c>
    </row>
    <row r="123" spans="1:9" x14ac:dyDescent="0.2">
      <c r="A123" s="392"/>
      <c r="B123" s="208"/>
      <c r="E123" s="42"/>
      <c r="F123" s="85"/>
      <c r="G123" s="206"/>
      <c r="H123" s="205" t="str">
        <f>_xlfn.XLOOKUP(Answers[[#This Row],[ref]],TransInfo[Num],TransInfo[ref],"")</f>
        <v/>
      </c>
      <c r="I123" s="1" t="str">
        <f>Answers[[#This Row],[AccntType]]&amp;"[Name]"</f>
        <v>[Name]</v>
      </c>
    </row>
    <row r="124" spans="1:9" x14ac:dyDescent="0.2">
      <c r="A124" s="392"/>
      <c r="B124" s="208"/>
      <c r="E124" s="42"/>
      <c r="F124" s="85"/>
      <c r="G124" s="206"/>
      <c r="H124" s="205" t="str">
        <f>_xlfn.XLOOKUP(Answers[[#This Row],[ref]],TransInfo[Num],TransInfo[ref],"")</f>
        <v/>
      </c>
      <c r="I124" s="1" t="str">
        <f>Answers[[#This Row],[AccntType]]&amp;"[Name]"</f>
        <v>[Name]</v>
      </c>
    </row>
    <row r="125" spans="1:9" x14ac:dyDescent="0.2">
      <c r="A125" s="392"/>
      <c r="B125" s="208"/>
      <c r="E125" s="42"/>
      <c r="F125" s="85"/>
      <c r="G125" s="206"/>
      <c r="H125" s="205" t="str">
        <f>_xlfn.XLOOKUP(Answers[[#This Row],[ref]],TransInfo[Num],TransInfo[ref],"")</f>
        <v/>
      </c>
      <c r="I125" s="1" t="str">
        <f>Answers[[#This Row],[AccntType]]&amp;"[Name]"</f>
        <v>[Name]</v>
      </c>
    </row>
    <row r="126" spans="1:9" x14ac:dyDescent="0.2">
      <c r="A126" s="392"/>
      <c r="B126" s="208"/>
      <c r="E126" s="42"/>
      <c r="F126" s="85"/>
      <c r="G126" s="206"/>
      <c r="H126" s="205" t="str">
        <f>_xlfn.XLOOKUP(Answers[[#This Row],[ref]],TransInfo[Num],TransInfo[ref],"")</f>
        <v/>
      </c>
      <c r="I126" s="1" t="str">
        <f>Answers[[#This Row],[AccntType]]&amp;"[Name]"</f>
        <v>[Name]</v>
      </c>
    </row>
    <row r="127" spans="1:9" x14ac:dyDescent="0.2">
      <c r="A127" s="392"/>
      <c r="B127" s="208"/>
      <c r="E127" s="42"/>
      <c r="F127" s="85"/>
      <c r="G127" s="206"/>
      <c r="H127" s="205" t="str">
        <f>_xlfn.XLOOKUP(Answers[[#This Row],[ref]],TransInfo[Num],TransInfo[ref],"")</f>
        <v/>
      </c>
      <c r="I127" s="1" t="str">
        <f>Answers[[#This Row],[AccntType]]&amp;"[Name]"</f>
        <v>[Name]</v>
      </c>
    </row>
    <row r="128" spans="1:9" x14ac:dyDescent="0.2">
      <c r="A128" s="392"/>
      <c r="B128" s="208"/>
      <c r="E128" s="42"/>
      <c r="F128" s="85"/>
      <c r="G128" s="206"/>
      <c r="H128" s="205" t="str">
        <f>_xlfn.XLOOKUP(Answers[[#This Row],[ref]],TransInfo[Num],TransInfo[ref],"")</f>
        <v/>
      </c>
      <c r="I128" s="1" t="str">
        <f>Answers[[#This Row],[AccntType]]&amp;"[Name]"</f>
        <v>[Name]</v>
      </c>
    </row>
    <row r="129" spans="1:9" x14ac:dyDescent="0.2">
      <c r="A129" s="392"/>
      <c r="B129" s="208"/>
      <c r="E129" s="42"/>
      <c r="F129" s="85"/>
      <c r="G129" s="206"/>
      <c r="H129" s="205" t="str">
        <f>_xlfn.XLOOKUP(Answers[[#This Row],[ref]],TransInfo[Num],TransInfo[ref],"")</f>
        <v/>
      </c>
      <c r="I129" s="1" t="str">
        <f>Answers[[#This Row],[AccntType]]&amp;"[Name]"</f>
        <v>[Name]</v>
      </c>
    </row>
    <row r="130" spans="1:9" x14ac:dyDescent="0.2">
      <c r="A130" s="392"/>
      <c r="B130" s="208"/>
      <c r="E130" s="42"/>
      <c r="F130" s="85"/>
      <c r="G130" s="206"/>
      <c r="H130" s="205" t="str">
        <f>_xlfn.XLOOKUP(Answers[[#This Row],[ref]],TransInfo[Num],TransInfo[ref],"")</f>
        <v/>
      </c>
      <c r="I130" s="1" t="str">
        <f>Answers[[#This Row],[AccntType]]&amp;"[Name]"</f>
        <v>[Name]</v>
      </c>
    </row>
    <row r="131" spans="1:9" x14ac:dyDescent="0.2">
      <c r="A131" s="392"/>
      <c r="B131" s="208"/>
      <c r="E131" s="42"/>
      <c r="F131" s="85"/>
      <c r="G131" s="206"/>
      <c r="H131" s="205" t="str">
        <f>_xlfn.XLOOKUP(Answers[[#This Row],[ref]],TransInfo[Num],TransInfo[ref],"")</f>
        <v/>
      </c>
      <c r="I131" s="1" t="str">
        <f>Answers[[#This Row],[AccntType]]&amp;"[Name]"</f>
        <v>[Name]</v>
      </c>
    </row>
    <row r="132" spans="1:9" x14ac:dyDescent="0.2">
      <c r="A132" s="392"/>
      <c r="B132" s="208"/>
      <c r="E132" s="42"/>
      <c r="F132" s="85"/>
      <c r="G132" s="206"/>
      <c r="H132" s="205" t="str">
        <f>_xlfn.XLOOKUP(Answers[[#This Row],[ref]],TransInfo[Num],TransInfo[ref],"")</f>
        <v/>
      </c>
      <c r="I132" s="1" t="str">
        <f>Answers[[#This Row],[AccntType]]&amp;"[Name]"</f>
        <v>[Name]</v>
      </c>
    </row>
    <row r="133" spans="1:9" x14ac:dyDescent="0.2">
      <c r="A133" s="392"/>
      <c r="B133" s="208"/>
      <c r="E133" s="42"/>
      <c r="F133" s="85"/>
      <c r="G133" s="206"/>
      <c r="H133" s="205" t="str">
        <f>_xlfn.XLOOKUP(Answers[[#This Row],[ref]],TransInfo[Num],TransInfo[ref],"")</f>
        <v/>
      </c>
      <c r="I133" s="1" t="str">
        <f>Answers[[#This Row],[AccntType]]&amp;"[Name]"</f>
        <v>[Name]</v>
      </c>
    </row>
    <row r="134" spans="1:9" x14ac:dyDescent="0.2">
      <c r="A134" s="392"/>
      <c r="B134" s="208"/>
      <c r="E134" s="42"/>
      <c r="F134" s="85"/>
      <c r="G134" s="206"/>
      <c r="H134" s="205" t="str">
        <f>_xlfn.XLOOKUP(Answers[[#This Row],[ref]],TransInfo[Num],TransInfo[ref],"")</f>
        <v/>
      </c>
      <c r="I134" s="1" t="str">
        <f>Answers[[#This Row],[AccntType]]&amp;"[Name]"</f>
        <v>[Name]</v>
      </c>
    </row>
    <row r="135" spans="1:9" x14ac:dyDescent="0.2">
      <c r="A135" s="392"/>
      <c r="B135" s="208"/>
      <c r="E135" s="42"/>
      <c r="F135" s="85"/>
      <c r="G135" s="206"/>
      <c r="H135" s="205" t="str">
        <f>_xlfn.XLOOKUP(Answers[[#This Row],[ref]],TransInfo[Num],TransInfo[ref],"")</f>
        <v/>
      </c>
      <c r="I135" s="1" t="str">
        <f>Answers[[#This Row],[AccntType]]&amp;"[Name]"</f>
        <v>[Name]</v>
      </c>
    </row>
    <row r="136" spans="1:9" x14ac:dyDescent="0.2">
      <c r="A136" s="392"/>
      <c r="B136" s="208"/>
      <c r="E136" s="42"/>
      <c r="F136" s="85"/>
      <c r="G136" s="206"/>
      <c r="H136" s="205" t="str">
        <f>_xlfn.XLOOKUP(Answers[[#This Row],[ref]],TransInfo[Num],TransInfo[ref],"")</f>
        <v/>
      </c>
      <c r="I136" s="1" t="str">
        <f>Answers[[#This Row],[AccntType]]&amp;"[Name]"</f>
        <v>[Name]</v>
      </c>
    </row>
    <row r="137" spans="1:9" x14ac:dyDescent="0.2">
      <c r="A137" s="392"/>
      <c r="B137" s="208"/>
      <c r="E137" s="42"/>
      <c r="F137" s="85"/>
      <c r="G137" s="206"/>
      <c r="H137" s="205" t="str">
        <f>_xlfn.XLOOKUP(Answers[[#This Row],[ref]],TransInfo[Num],TransInfo[ref],"")</f>
        <v/>
      </c>
      <c r="I137" s="1" t="str">
        <f>Answers[[#This Row],[AccntType]]&amp;"[Name]"</f>
        <v>[Name]</v>
      </c>
    </row>
    <row r="138" spans="1:9" x14ac:dyDescent="0.2">
      <c r="A138" s="392"/>
      <c r="B138" s="208"/>
      <c r="E138" s="42"/>
      <c r="F138" s="85"/>
      <c r="G138" s="206"/>
      <c r="H138" s="205" t="str">
        <f>_xlfn.XLOOKUP(Answers[[#This Row],[ref]],TransInfo[Num],TransInfo[ref],"")</f>
        <v/>
      </c>
      <c r="I138" s="1" t="str">
        <f>Answers[[#This Row],[AccntType]]&amp;"[Name]"</f>
        <v>[Name]</v>
      </c>
    </row>
    <row r="139" spans="1:9" x14ac:dyDescent="0.2">
      <c r="A139" s="392"/>
      <c r="B139" s="208"/>
      <c r="E139" s="42"/>
      <c r="F139" s="85"/>
      <c r="G139" s="206"/>
      <c r="H139" s="205" t="str">
        <f>_xlfn.XLOOKUP(Answers[[#This Row],[ref]],TransInfo[Num],TransInfo[ref],"")</f>
        <v/>
      </c>
      <c r="I139" s="1" t="str">
        <f>Answers[[#This Row],[AccntType]]&amp;"[Name]"</f>
        <v>[Name]</v>
      </c>
    </row>
    <row r="140" spans="1:9" x14ac:dyDescent="0.2">
      <c r="A140" s="392"/>
      <c r="B140" s="208"/>
      <c r="E140" s="42"/>
      <c r="F140" s="85"/>
      <c r="G140" s="206"/>
      <c r="H140" s="205" t="str">
        <f>_xlfn.XLOOKUP(Answers[[#This Row],[ref]],TransInfo[Num],TransInfo[ref],"")</f>
        <v/>
      </c>
      <c r="I140" s="1" t="str">
        <f>Answers[[#This Row],[AccntType]]&amp;"[Name]"</f>
        <v>[Name]</v>
      </c>
    </row>
    <row r="141" spans="1:9" x14ac:dyDescent="0.2">
      <c r="A141" s="392"/>
      <c r="B141" s="208"/>
      <c r="E141" s="42"/>
      <c r="F141" s="85"/>
      <c r="G141" s="206"/>
      <c r="H141" s="205" t="str">
        <f>_xlfn.XLOOKUP(Answers[[#This Row],[ref]],TransInfo[Num],TransInfo[ref],"")</f>
        <v/>
      </c>
      <c r="I141" s="1" t="str">
        <f>Answers[[#This Row],[AccntType]]&amp;"[Name]"</f>
        <v>[Name]</v>
      </c>
    </row>
    <row r="142" spans="1:9" x14ac:dyDescent="0.2">
      <c r="A142" s="392"/>
      <c r="B142" s="208"/>
      <c r="E142" s="42"/>
      <c r="F142" s="85"/>
      <c r="G142" s="206"/>
      <c r="H142" s="205" t="str">
        <f>_xlfn.XLOOKUP(Answers[[#This Row],[ref]],TransInfo[Num],TransInfo[ref],"")</f>
        <v/>
      </c>
      <c r="I142" s="1" t="str">
        <f>Answers[[#This Row],[AccntType]]&amp;"[Name]"</f>
        <v>[Name]</v>
      </c>
    </row>
    <row r="143" spans="1:9" x14ac:dyDescent="0.2">
      <c r="A143" s="392"/>
      <c r="B143" s="208"/>
      <c r="E143" s="42"/>
      <c r="F143" s="85"/>
      <c r="G143" s="206"/>
      <c r="H143" s="205" t="str">
        <f>_xlfn.XLOOKUP(Answers[[#This Row],[ref]],TransInfo[Num],TransInfo[ref],"")</f>
        <v/>
      </c>
      <c r="I143" s="1" t="str">
        <f>Answers[[#This Row],[AccntType]]&amp;"[Name]"</f>
        <v>[Name]</v>
      </c>
    </row>
    <row r="144" spans="1:9" x14ac:dyDescent="0.2">
      <c r="A144" s="392"/>
      <c r="B144" s="208"/>
      <c r="E144" s="42"/>
      <c r="F144" s="85"/>
      <c r="G144" s="206"/>
      <c r="H144" s="205" t="str">
        <f>_xlfn.XLOOKUP(Answers[[#This Row],[ref]],TransInfo[Num],TransInfo[ref],"")</f>
        <v/>
      </c>
      <c r="I144" s="1" t="str">
        <f>Answers[[#This Row],[AccntType]]&amp;"[Name]"</f>
        <v>[Name]</v>
      </c>
    </row>
    <row r="145" spans="1:9" x14ac:dyDescent="0.2">
      <c r="A145" s="392"/>
      <c r="B145" s="208"/>
      <c r="E145" s="42"/>
      <c r="F145" s="85"/>
      <c r="G145" s="206"/>
      <c r="H145" s="205" t="str">
        <f>_xlfn.XLOOKUP(Answers[[#This Row],[ref]],TransInfo[Num],TransInfo[ref],"")</f>
        <v/>
      </c>
      <c r="I145" s="1" t="str">
        <f>Answers[[#This Row],[AccntType]]&amp;"[Name]"</f>
        <v>[Name]</v>
      </c>
    </row>
    <row r="146" spans="1:9" x14ac:dyDescent="0.2">
      <c r="A146" s="392"/>
      <c r="B146" s="208"/>
      <c r="E146" s="42"/>
      <c r="F146" s="85"/>
      <c r="G146" s="206"/>
      <c r="H146" s="205" t="str">
        <f>_xlfn.XLOOKUP(Answers[[#This Row],[ref]],TransInfo[Num],TransInfo[ref],"")</f>
        <v/>
      </c>
      <c r="I146" s="1" t="str">
        <f>Answers[[#This Row],[AccntType]]&amp;"[Name]"</f>
        <v>[Name]</v>
      </c>
    </row>
    <row r="147" spans="1:9" x14ac:dyDescent="0.2">
      <c r="A147" s="392"/>
      <c r="B147" s="208"/>
      <c r="E147" s="42"/>
      <c r="F147" s="85"/>
      <c r="G147" s="206"/>
      <c r="H147" s="205" t="str">
        <f>_xlfn.XLOOKUP(Answers[[#This Row],[ref]],TransInfo[Num],TransInfo[ref],"")</f>
        <v/>
      </c>
      <c r="I147" s="1" t="str">
        <f>Answers[[#This Row],[AccntType]]&amp;"[Name]"</f>
        <v>[Name]</v>
      </c>
    </row>
    <row r="148" spans="1:9" x14ac:dyDescent="0.2">
      <c r="A148" s="392"/>
      <c r="B148" s="208"/>
      <c r="E148" s="42"/>
      <c r="F148" s="85"/>
      <c r="G148" s="206"/>
      <c r="H148" s="205" t="str">
        <f>_xlfn.XLOOKUP(Answers[[#This Row],[ref]],TransInfo[Num],TransInfo[ref],"")</f>
        <v/>
      </c>
      <c r="I148" s="1" t="str">
        <f>Answers[[#This Row],[AccntType]]&amp;"[Name]"</f>
        <v>[Name]</v>
      </c>
    </row>
    <row r="149" spans="1:9" x14ac:dyDescent="0.2">
      <c r="A149" s="392"/>
      <c r="B149" s="208"/>
      <c r="E149" s="42"/>
      <c r="F149" s="85"/>
      <c r="G149" s="206"/>
      <c r="H149" s="205" t="str">
        <f>_xlfn.XLOOKUP(Answers[[#This Row],[ref]],TransInfo[Num],TransInfo[ref],"")</f>
        <v/>
      </c>
      <c r="I149" s="1" t="str">
        <f>Answers[[#This Row],[AccntType]]&amp;"[Name]"</f>
        <v>[Name]</v>
      </c>
    </row>
    <row r="150" spans="1:9" x14ac:dyDescent="0.2">
      <c r="A150" s="392"/>
      <c r="B150" s="208"/>
      <c r="E150" s="42"/>
      <c r="F150" s="85"/>
      <c r="G150" s="206"/>
      <c r="H150" s="205" t="str">
        <f>_xlfn.XLOOKUP(Answers[[#This Row],[ref]],TransInfo[Num],TransInfo[ref],"")</f>
        <v/>
      </c>
      <c r="I150" s="1" t="str">
        <f>Answers[[#This Row],[AccntType]]&amp;"[Name]"</f>
        <v>[Name]</v>
      </c>
    </row>
    <row r="151" spans="1:9" x14ac:dyDescent="0.2">
      <c r="A151" s="392"/>
      <c r="B151" s="208"/>
      <c r="E151" s="42"/>
      <c r="F151" s="85"/>
      <c r="G151" s="206"/>
      <c r="H151" s="205" t="str">
        <f>_xlfn.XLOOKUP(Answers[[#This Row],[ref]],TransInfo[Num],TransInfo[ref],"")</f>
        <v/>
      </c>
      <c r="I151" s="1" t="str">
        <f>Answers[[#This Row],[AccntType]]&amp;"[Name]"</f>
        <v>[Name]</v>
      </c>
    </row>
    <row r="152" spans="1:9" x14ac:dyDescent="0.2">
      <c r="A152" s="392"/>
      <c r="B152" s="208"/>
      <c r="E152" s="42"/>
      <c r="F152" s="85"/>
      <c r="G152" s="206"/>
      <c r="H152" s="205" t="str">
        <f>_xlfn.XLOOKUP(Answers[[#This Row],[ref]],TransInfo[Num],TransInfo[ref],"")</f>
        <v/>
      </c>
      <c r="I152" s="1" t="str">
        <f>Answers[[#This Row],[AccntType]]&amp;"[Name]"</f>
        <v>[Name]</v>
      </c>
    </row>
    <row r="153" spans="1:9" x14ac:dyDescent="0.2">
      <c r="A153" s="392"/>
      <c r="B153" s="208"/>
      <c r="E153" s="42"/>
      <c r="F153" s="85"/>
      <c r="G153" s="206"/>
      <c r="H153" s="205" t="str">
        <f>_xlfn.XLOOKUP(Answers[[#This Row],[ref]],TransInfo[Num],TransInfo[ref],"")</f>
        <v/>
      </c>
      <c r="I153" s="1" t="str">
        <f>Answers[[#This Row],[AccntType]]&amp;"[Name]"</f>
        <v>[Name]</v>
      </c>
    </row>
    <row r="154" spans="1:9" x14ac:dyDescent="0.2">
      <c r="A154" s="392"/>
      <c r="B154" s="208"/>
      <c r="E154" s="42"/>
      <c r="F154" s="85"/>
      <c r="G154" s="206"/>
      <c r="H154" s="205" t="str">
        <f>_xlfn.XLOOKUP(Answers[[#This Row],[ref]],TransInfo[Num],TransInfo[ref],"")</f>
        <v/>
      </c>
      <c r="I154" s="1" t="str">
        <f>Answers[[#This Row],[AccntType]]&amp;"[Name]"</f>
        <v>[Name]</v>
      </c>
    </row>
    <row r="155" spans="1:9" x14ac:dyDescent="0.2">
      <c r="A155" s="392"/>
      <c r="B155" s="208"/>
      <c r="E155" s="42"/>
      <c r="F155" s="85"/>
      <c r="G155" s="206"/>
      <c r="H155" s="205" t="str">
        <f>_xlfn.XLOOKUP(Answers[[#This Row],[ref]],TransInfo[Num],TransInfo[ref],"")</f>
        <v/>
      </c>
      <c r="I155" s="1" t="str">
        <f>Answers[[#This Row],[AccntType]]&amp;"[Name]"</f>
        <v>[Name]</v>
      </c>
    </row>
    <row r="156" spans="1:9" x14ac:dyDescent="0.2">
      <c r="A156" s="392"/>
      <c r="B156" s="208"/>
      <c r="E156" s="42"/>
      <c r="F156" s="85"/>
      <c r="G156" s="206"/>
      <c r="H156" s="205" t="str">
        <f>_xlfn.XLOOKUP(Answers[[#This Row],[ref]],TransInfo[Num],TransInfo[ref],"")</f>
        <v/>
      </c>
      <c r="I156" s="1" t="str">
        <f>Answers[[#This Row],[AccntType]]&amp;"[Name]"</f>
        <v>[Name]</v>
      </c>
    </row>
    <row r="157" spans="1:9" x14ac:dyDescent="0.2">
      <c r="A157" s="392"/>
      <c r="B157" s="208"/>
      <c r="E157" s="42"/>
      <c r="F157" s="85"/>
      <c r="G157" s="206"/>
      <c r="H157" s="205" t="str">
        <f>_xlfn.XLOOKUP(Answers[[#This Row],[ref]],TransInfo[Num],TransInfo[ref],"")</f>
        <v/>
      </c>
      <c r="I157" s="1" t="str">
        <f>Answers[[#This Row],[AccntType]]&amp;"[Name]"</f>
        <v>[Name]</v>
      </c>
    </row>
    <row r="158" spans="1:9" x14ac:dyDescent="0.2">
      <c r="A158" s="392"/>
      <c r="B158" s="208"/>
      <c r="E158" s="42"/>
      <c r="F158" s="85"/>
      <c r="G158" s="206"/>
      <c r="H158" s="205" t="str">
        <f>_xlfn.XLOOKUP(Answers[[#This Row],[ref]],TransInfo[Num],TransInfo[ref],"")</f>
        <v/>
      </c>
      <c r="I158" s="1" t="str">
        <f>Answers[[#This Row],[AccntType]]&amp;"[Name]"</f>
        <v>[Name]</v>
      </c>
    </row>
    <row r="159" spans="1:9" x14ac:dyDescent="0.2">
      <c r="A159" s="392"/>
      <c r="B159" s="208"/>
      <c r="E159" s="42"/>
      <c r="F159" s="85"/>
      <c r="G159" s="206"/>
      <c r="H159" s="205" t="str">
        <f>_xlfn.XLOOKUP(Answers[[#This Row],[ref]],TransInfo[Num],TransInfo[ref],"")</f>
        <v/>
      </c>
      <c r="I159" s="1" t="str">
        <f>Answers[[#This Row],[AccntType]]&amp;"[Name]"</f>
        <v>[Name]</v>
      </c>
    </row>
    <row r="160" spans="1:9" x14ac:dyDescent="0.2">
      <c r="A160" s="392"/>
      <c r="B160" s="208"/>
      <c r="E160" s="42"/>
      <c r="F160" s="85"/>
      <c r="G160" s="206"/>
      <c r="H160" s="205" t="str">
        <f>_xlfn.XLOOKUP(Answers[[#This Row],[ref]],TransInfo[Num],TransInfo[ref],"")</f>
        <v/>
      </c>
      <c r="I160" s="1" t="str">
        <f>Answers[[#This Row],[AccntType]]&amp;"[Name]"</f>
        <v>[Name]</v>
      </c>
    </row>
    <row r="161" spans="1:9" x14ac:dyDescent="0.2">
      <c r="A161" s="392"/>
      <c r="B161" s="208"/>
      <c r="E161" s="42"/>
      <c r="F161" s="85"/>
      <c r="G161" s="206"/>
      <c r="H161" s="205" t="str">
        <f>_xlfn.XLOOKUP(Answers[[#This Row],[ref]],TransInfo[Num],TransInfo[ref],"")</f>
        <v/>
      </c>
      <c r="I161" s="1" t="str">
        <f>Answers[[#This Row],[AccntType]]&amp;"[Name]"</f>
        <v>[Name]</v>
      </c>
    </row>
    <row r="162" spans="1:9" x14ac:dyDescent="0.2">
      <c r="A162" s="392"/>
      <c r="B162" s="208"/>
      <c r="E162" s="42"/>
      <c r="F162" s="85"/>
      <c r="G162" s="206"/>
      <c r="H162" s="205" t="str">
        <f>_xlfn.XLOOKUP(Answers[[#This Row],[ref]],TransInfo[Num],TransInfo[ref],"")</f>
        <v/>
      </c>
      <c r="I162" s="1" t="str">
        <f>Answers[[#This Row],[AccntType]]&amp;"[Name]"</f>
        <v>[Name]</v>
      </c>
    </row>
    <row r="163" spans="1:9" x14ac:dyDescent="0.2">
      <c r="A163" s="392"/>
      <c r="B163" s="208"/>
      <c r="E163" s="42"/>
      <c r="F163" s="85"/>
      <c r="G163" s="206"/>
      <c r="H163" s="205" t="str">
        <f>_xlfn.XLOOKUP(Answers[[#This Row],[ref]],TransInfo[Num],TransInfo[ref],"")</f>
        <v/>
      </c>
      <c r="I163" s="1" t="str">
        <f>Answers[[#This Row],[AccntType]]&amp;"[Name]"</f>
        <v>[Name]</v>
      </c>
    </row>
    <row r="164" spans="1:9" x14ac:dyDescent="0.2">
      <c r="A164" s="392"/>
      <c r="B164" s="208"/>
      <c r="E164" s="42"/>
      <c r="F164" s="85"/>
      <c r="G164" s="206"/>
      <c r="H164" s="205" t="str">
        <f>_xlfn.XLOOKUP(Answers[[#This Row],[ref]],TransInfo[Num],TransInfo[ref],"")</f>
        <v/>
      </c>
      <c r="I164" s="1" t="str">
        <f>Answers[[#This Row],[AccntType]]&amp;"[Name]"</f>
        <v>[Name]</v>
      </c>
    </row>
    <row r="165" spans="1:9" x14ac:dyDescent="0.2">
      <c r="A165" s="392"/>
      <c r="B165" s="208"/>
      <c r="E165" s="42"/>
      <c r="F165" s="85"/>
      <c r="G165" s="206"/>
      <c r="H165" s="205" t="str">
        <f>_xlfn.XLOOKUP(Answers[[#This Row],[ref]],TransInfo[Num],TransInfo[ref],"")</f>
        <v/>
      </c>
      <c r="I165" s="1" t="str">
        <f>Answers[[#This Row],[AccntType]]&amp;"[Name]"</f>
        <v>[Name]</v>
      </c>
    </row>
    <row r="166" spans="1:9" x14ac:dyDescent="0.2">
      <c r="A166" s="392"/>
      <c r="B166" s="208"/>
      <c r="E166" s="42"/>
      <c r="F166" s="85"/>
      <c r="G166" s="206"/>
      <c r="H166" s="205" t="str">
        <f>_xlfn.XLOOKUP(Answers[[#This Row],[ref]],TransInfo[Num],TransInfo[ref],"")</f>
        <v/>
      </c>
      <c r="I166" s="1" t="str">
        <f>Answers[[#This Row],[AccntType]]&amp;"[Name]"</f>
        <v>[Name]</v>
      </c>
    </row>
    <row r="167" spans="1:9" x14ac:dyDescent="0.2">
      <c r="A167" s="392"/>
      <c r="B167" s="208"/>
      <c r="E167" s="42"/>
      <c r="F167" s="85"/>
      <c r="G167" s="206"/>
      <c r="H167" s="205" t="str">
        <f>_xlfn.XLOOKUP(Answers[[#This Row],[ref]],TransInfo[Num],TransInfo[ref],"")</f>
        <v/>
      </c>
      <c r="I167" s="1" t="str">
        <f>Answers[[#This Row],[AccntType]]&amp;"[Name]"</f>
        <v>[Name]</v>
      </c>
    </row>
    <row r="168" spans="1:9" x14ac:dyDescent="0.2">
      <c r="A168" s="392"/>
      <c r="B168" s="208"/>
      <c r="E168" s="42"/>
      <c r="F168" s="85"/>
      <c r="G168" s="206"/>
      <c r="H168" s="205" t="str">
        <f>_xlfn.XLOOKUP(Answers[[#This Row],[ref]],TransInfo[Num],TransInfo[ref],"")</f>
        <v/>
      </c>
      <c r="I168" s="1" t="str">
        <f>Answers[[#This Row],[AccntType]]&amp;"[Name]"</f>
        <v>[Name]</v>
      </c>
    </row>
    <row r="169" spans="1:9" x14ac:dyDescent="0.2">
      <c r="A169" s="392"/>
      <c r="B169" s="208"/>
      <c r="E169" s="42"/>
      <c r="F169" s="85"/>
      <c r="G169" s="206"/>
      <c r="H169" s="205" t="str">
        <f>_xlfn.XLOOKUP(Answers[[#This Row],[ref]],TransInfo[Num],TransInfo[ref],"")</f>
        <v/>
      </c>
      <c r="I169" s="1" t="str">
        <f>Answers[[#This Row],[AccntType]]&amp;"[Name]"</f>
        <v>[Name]</v>
      </c>
    </row>
    <row r="170" spans="1:9" x14ac:dyDescent="0.2">
      <c r="A170" s="392"/>
      <c r="B170" s="208"/>
      <c r="E170" s="42"/>
      <c r="F170" s="85"/>
      <c r="G170" s="206"/>
      <c r="H170" s="205" t="str">
        <f>_xlfn.XLOOKUP(Answers[[#This Row],[ref]],TransInfo[Num],TransInfo[ref],"")</f>
        <v/>
      </c>
      <c r="I170" s="1" t="str">
        <f>Answers[[#This Row],[AccntType]]&amp;"[Name]"</f>
        <v>[Name]</v>
      </c>
    </row>
    <row r="171" spans="1:9" x14ac:dyDescent="0.2">
      <c r="A171" s="392"/>
      <c r="B171" s="208"/>
      <c r="E171" s="42"/>
      <c r="F171" s="85"/>
      <c r="G171" s="206"/>
      <c r="H171" s="205" t="str">
        <f>_xlfn.XLOOKUP(Answers[[#This Row],[ref]],TransInfo[Num],TransInfo[ref],"")</f>
        <v/>
      </c>
      <c r="I171" s="1" t="str">
        <f>Answers[[#This Row],[AccntType]]&amp;"[Name]"</f>
        <v>[Name]</v>
      </c>
    </row>
    <row r="172" spans="1:9" x14ac:dyDescent="0.2">
      <c r="A172" s="392"/>
      <c r="B172" s="208"/>
      <c r="E172" s="42"/>
      <c r="F172" s="85"/>
      <c r="G172" s="206"/>
      <c r="H172" s="205" t="str">
        <f>_xlfn.XLOOKUP(Answers[[#This Row],[ref]],TransInfo[Num],TransInfo[ref],"")</f>
        <v/>
      </c>
      <c r="I172" s="1" t="str">
        <f>Answers[[#This Row],[AccntType]]&amp;"[Name]"</f>
        <v>[Name]</v>
      </c>
    </row>
    <row r="173" spans="1:9" x14ac:dyDescent="0.2">
      <c r="A173" s="392"/>
      <c r="B173" s="208"/>
      <c r="E173" s="42"/>
      <c r="F173" s="85"/>
      <c r="G173" s="206"/>
      <c r="H173" s="205" t="str">
        <f>_xlfn.XLOOKUP(Answers[[#This Row],[ref]],TransInfo[Num],TransInfo[ref],"")</f>
        <v/>
      </c>
      <c r="I173" s="1" t="str">
        <f>Answers[[#This Row],[AccntType]]&amp;"[Name]"</f>
        <v>[Name]</v>
      </c>
    </row>
    <row r="174" spans="1:9" x14ac:dyDescent="0.2">
      <c r="A174" s="392"/>
      <c r="B174" s="208"/>
      <c r="E174" s="42"/>
      <c r="F174" s="85"/>
      <c r="G174" s="206"/>
      <c r="H174" s="205" t="str">
        <f>_xlfn.XLOOKUP(Answers[[#This Row],[ref]],TransInfo[Num],TransInfo[ref],"")</f>
        <v/>
      </c>
      <c r="I174" s="1" t="str">
        <f>Answers[[#This Row],[AccntType]]&amp;"[Name]"</f>
        <v>[Name]</v>
      </c>
    </row>
    <row r="175" spans="1:9" x14ac:dyDescent="0.2">
      <c r="A175" s="392"/>
      <c r="B175" s="208"/>
      <c r="E175" s="42"/>
      <c r="F175" s="85"/>
      <c r="G175" s="206"/>
      <c r="H175" s="205" t="str">
        <f>_xlfn.XLOOKUP(Answers[[#This Row],[ref]],TransInfo[Num],TransInfo[ref],"")</f>
        <v/>
      </c>
      <c r="I175" s="1" t="str">
        <f>Answers[[#This Row],[AccntType]]&amp;"[Name]"</f>
        <v>[Name]</v>
      </c>
    </row>
    <row r="176" spans="1:9" x14ac:dyDescent="0.2">
      <c r="A176" s="392"/>
      <c r="B176" s="208"/>
      <c r="E176" s="42"/>
      <c r="F176" s="85"/>
      <c r="G176" s="206"/>
      <c r="H176" s="205" t="str">
        <f>_xlfn.XLOOKUP(Answers[[#This Row],[ref]],TransInfo[Num],TransInfo[ref],"")</f>
        <v/>
      </c>
      <c r="I176" s="1" t="str">
        <f>Answers[[#This Row],[AccntType]]&amp;"[Name]"</f>
        <v>[Name]</v>
      </c>
    </row>
    <row r="177" spans="1:9" x14ac:dyDescent="0.2">
      <c r="A177" s="392"/>
      <c r="B177" s="208"/>
      <c r="E177" s="42"/>
      <c r="F177" s="85"/>
      <c r="G177" s="206"/>
      <c r="H177" s="205" t="str">
        <f>_xlfn.XLOOKUP(Answers[[#This Row],[ref]],TransInfo[Num],TransInfo[ref],"")</f>
        <v/>
      </c>
      <c r="I177" s="1" t="str">
        <f>Answers[[#This Row],[AccntType]]&amp;"[Name]"</f>
        <v>[Name]</v>
      </c>
    </row>
    <row r="178" spans="1:9" x14ac:dyDescent="0.2">
      <c r="A178" s="392"/>
      <c r="B178" s="208"/>
      <c r="E178" s="42"/>
      <c r="F178" s="85"/>
      <c r="G178" s="206"/>
      <c r="H178" s="205" t="str">
        <f>_xlfn.XLOOKUP(Answers[[#This Row],[ref]],TransInfo[Num],TransInfo[ref],"")</f>
        <v/>
      </c>
      <c r="I178" s="1" t="str">
        <f>Answers[[#This Row],[AccntType]]&amp;"[Name]"</f>
        <v>[Name]</v>
      </c>
    </row>
    <row r="179" spans="1:9" x14ac:dyDescent="0.2">
      <c r="A179" s="392"/>
      <c r="B179" s="208"/>
      <c r="E179" s="42"/>
      <c r="F179" s="85"/>
      <c r="G179" s="206"/>
      <c r="H179" s="205" t="str">
        <f>_xlfn.XLOOKUP(Answers[[#This Row],[ref]],TransInfo[Num],TransInfo[ref],"")</f>
        <v/>
      </c>
      <c r="I179" s="1" t="str">
        <f>Answers[[#This Row],[AccntType]]&amp;"[Name]"</f>
        <v>[Name]</v>
      </c>
    </row>
    <row r="180" spans="1:9" x14ac:dyDescent="0.2">
      <c r="A180" s="392"/>
      <c r="B180" s="208"/>
      <c r="E180" s="42"/>
      <c r="F180" s="85"/>
      <c r="G180" s="206"/>
      <c r="H180" s="205" t="str">
        <f>_xlfn.XLOOKUP(Answers[[#This Row],[ref]],TransInfo[Num],TransInfo[ref],"")</f>
        <v/>
      </c>
      <c r="I180" s="1" t="str">
        <f>Answers[[#This Row],[AccntType]]&amp;"[Name]"</f>
        <v>[Name]</v>
      </c>
    </row>
    <row r="181" spans="1:9" x14ac:dyDescent="0.2">
      <c r="A181" s="392"/>
      <c r="B181" s="208"/>
      <c r="E181" s="42"/>
      <c r="F181" s="85"/>
      <c r="G181" s="206"/>
      <c r="H181" s="205" t="str">
        <f>_xlfn.XLOOKUP(Answers[[#This Row],[ref]],TransInfo[Num],TransInfo[ref],"")</f>
        <v/>
      </c>
      <c r="I181" s="1" t="str">
        <f>Answers[[#This Row],[AccntType]]&amp;"[Name]"</f>
        <v>[Name]</v>
      </c>
    </row>
    <row r="182" spans="1:9" x14ac:dyDescent="0.2">
      <c r="A182" s="392"/>
      <c r="B182" s="208"/>
      <c r="E182" s="42"/>
      <c r="F182" s="85"/>
      <c r="G182" s="206"/>
      <c r="H182" s="205" t="str">
        <f>_xlfn.XLOOKUP(Answers[[#This Row],[ref]],TransInfo[Num],TransInfo[ref],"")</f>
        <v/>
      </c>
      <c r="I182" s="1" t="str">
        <f>Answers[[#This Row],[AccntType]]&amp;"[Name]"</f>
        <v>[Name]</v>
      </c>
    </row>
    <row r="183" spans="1:9" x14ac:dyDescent="0.2">
      <c r="A183" s="392"/>
      <c r="B183" s="208"/>
      <c r="E183" s="42"/>
      <c r="F183" s="85"/>
      <c r="G183" s="206"/>
      <c r="H183" s="205" t="str">
        <f>_xlfn.XLOOKUP(Answers[[#This Row],[ref]],TransInfo[Num],TransInfo[ref],"")</f>
        <v/>
      </c>
      <c r="I183" s="1" t="str">
        <f>Answers[[#This Row],[AccntType]]&amp;"[Name]"</f>
        <v>[Name]</v>
      </c>
    </row>
    <row r="184" spans="1:9" x14ac:dyDescent="0.2">
      <c r="A184" s="392"/>
      <c r="B184" s="208"/>
      <c r="E184" s="42"/>
      <c r="F184" s="85"/>
      <c r="G184" s="206"/>
      <c r="H184" s="205" t="str">
        <f>_xlfn.XLOOKUP(Answers[[#This Row],[ref]],TransInfo[Num],TransInfo[ref],"")</f>
        <v/>
      </c>
      <c r="I184" s="1" t="str">
        <f>Answers[[#This Row],[AccntType]]&amp;"[Name]"</f>
        <v>[Name]</v>
      </c>
    </row>
    <row r="185" spans="1:9" x14ac:dyDescent="0.2">
      <c r="A185" s="392"/>
      <c r="B185" s="208"/>
      <c r="E185" s="42"/>
      <c r="F185" s="85"/>
      <c r="G185" s="206"/>
      <c r="H185" s="205" t="str">
        <f>_xlfn.XLOOKUP(Answers[[#This Row],[ref]],TransInfo[Num],TransInfo[ref],"")</f>
        <v/>
      </c>
      <c r="I185" s="1" t="str">
        <f>Answers[[#This Row],[AccntType]]&amp;"[Name]"</f>
        <v>[Name]</v>
      </c>
    </row>
    <row r="186" spans="1:9" x14ac:dyDescent="0.2">
      <c r="A186" s="392"/>
      <c r="B186" s="208"/>
      <c r="E186" s="42"/>
      <c r="F186" s="85"/>
      <c r="G186" s="206"/>
      <c r="H186" s="205" t="str">
        <f>_xlfn.XLOOKUP(Answers[[#This Row],[ref]],TransInfo[Num],TransInfo[ref],"")</f>
        <v/>
      </c>
      <c r="I186" s="1" t="str">
        <f>Answers[[#This Row],[AccntType]]&amp;"[Name]"</f>
        <v>[Name]</v>
      </c>
    </row>
    <row r="187" spans="1:9" x14ac:dyDescent="0.2">
      <c r="A187" s="392"/>
      <c r="B187" s="208"/>
      <c r="E187" s="42"/>
      <c r="F187" s="85"/>
      <c r="G187" s="206"/>
      <c r="H187" s="205" t="str">
        <f>_xlfn.XLOOKUP(Answers[[#This Row],[ref]],TransInfo[Num],TransInfo[ref],"")</f>
        <v/>
      </c>
      <c r="I187" s="1" t="str">
        <f>Answers[[#This Row],[AccntType]]&amp;"[Name]"</f>
        <v>[Name]</v>
      </c>
    </row>
    <row r="188" spans="1:9" x14ac:dyDescent="0.2">
      <c r="A188" s="392"/>
      <c r="B188" s="208"/>
      <c r="E188" s="42"/>
      <c r="F188" s="85"/>
      <c r="G188" s="206"/>
      <c r="H188" s="205" t="str">
        <f>_xlfn.XLOOKUP(Answers[[#This Row],[ref]],TransInfo[Num],TransInfo[ref],"")</f>
        <v/>
      </c>
      <c r="I188" s="1" t="str">
        <f>Answers[[#This Row],[AccntType]]&amp;"[Name]"</f>
        <v>[Name]</v>
      </c>
    </row>
    <row r="189" spans="1:9" x14ac:dyDescent="0.2">
      <c r="A189" s="392"/>
      <c r="B189" s="208"/>
      <c r="E189" s="42"/>
      <c r="F189" s="85"/>
      <c r="G189" s="206"/>
      <c r="H189" s="205" t="str">
        <f>_xlfn.XLOOKUP(Answers[[#This Row],[ref]],TransInfo[Num],TransInfo[ref],"")</f>
        <v/>
      </c>
      <c r="I189" s="1" t="str">
        <f>Answers[[#This Row],[AccntType]]&amp;"[Name]"</f>
        <v>[Name]</v>
      </c>
    </row>
    <row r="190" spans="1:9" x14ac:dyDescent="0.2">
      <c r="A190" s="392"/>
      <c r="B190" s="208"/>
      <c r="E190" s="42"/>
      <c r="F190" s="85"/>
      <c r="G190" s="206"/>
      <c r="H190" s="205" t="str">
        <f>_xlfn.XLOOKUP(Answers[[#This Row],[ref]],TransInfo[Num],TransInfo[ref],"")</f>
        <v/>
      </c>
      <c r="I190" s="1" t="str">
        <f>Answers[[#This Row],[AccntType]]&amp;"[Name]"</f>
        <v>[Name]</v>
      </c>
    </row>
    <row r="191" spans="1:9" x14ac:dyDescent="0.2">
      <c r="A191" s="392"/>
      <c r="B191" s="208"/>
      <c r="E191" s="42"/>
      <c r="F191" s="85"/>
      <c r="G191" s="206"/>
      <c r="H191" s="205" t="str">
        <f>_xlfn.XLOOKUP(Answers[[#This Row],[ref]],TransInfo[Num],TransInfo[ref],"")</f>
        <v/>
      </c>
      <c r="I191" s="1" t="str">
        <f>Answers[[#This Row],[AccntType]]&amp;"[Name]"</f>
        <v>[Name]</v>
      </c>
    </row>
    <row r="192" spans="1:9" x14ac:dyDescent="0.2">
      <c r="A192" s="392"/>
      <c r="B192" s="208"/>
      <c r="E192" s="42"/>
      <c r="F192" s="85"/>
      <c r="G192" s="206"/>
      <c r="H192" s="205" t="str">
        <f>_xlfn.XLOOKUP(Answers[[#This Row],[ref]],TransInfo[Num],TransInfo[ref],"")</f>
        <v/>
      </c>
      <c r="I192" s="1" t="str">
        <f>Answers[[#This Row],[AccntType]]&amp;"[Name]"</f>
        <v>[Name]</v>
      </c>
    </row>
    <row r="193" spans="1:9" x14ac:dyDescent="0.2">
      <c r="A193" s="392"/>
      <c r="B193" s="208"/>
      <c r="E193" s="42"/>
      <c r="F193" s="85"/>
      <c r="G193" s="206"/>
      <c r="H193" s="205" t="str">
        <f>_xlfn.XLOOKUP(Answers[[#This Row],[ref]],TransInfo[Num],TransInfo[ref],"")</f>
        <v/>
      </c>
      <c r="I193" s="1" t="str">
        <f>Answers[[#This Row],[AccntType]]&amp;"[Name]"</f>
        <v>[Name]</v>
      </c>
    </row>
    <row r="194" spans="1:9" x14ac:dyDescent="0.2">
      <c r="A194" s="392"/>
      <c r="B194" s="208"/>
      <c r="E194" s="42"/>
      <c r="F194" s="85"/>
      <c r="G194" s="206"/>
      <c r="H194" s="205" t="str">
        <f>_xlfn.XLOOKUP(Answers[[#This Row],[ref]],TransInfo[Num],TransInfo[ref],"")</f>
        <v/>
      </c>
      <c r="I194" s="1" t="str">
        <f>Answers[[#This Row],[AccntType]]&amp;"[Name]"</f>
        <v>[Name]</v>
      </c>
    </row>
    <row r="195" spans="1:9" x14ac:dyDescent="0.2">
      <c r="A195" s="392"/>
      <c r="B195" s="208"/>
      <c r="E195" s="42"/>
      <c r="F195" s="85"/>
      <c r="G195" s="206"/>
      <c r="H195" s="205" t="str">
        <f>_xlfn.XLOOKUP(Answers[[#This Row],[ref]],TransInfo[Num],TransInfo[ref],"")</f>
        <v/>
      </c>
      <c r="I195" s="1" t="str">
        <f>Answers[[#This Row],[AccntType]]&amp;"[Name]"</f>
        <v>[Name]</v>
      </c>
    </row>
    <row r="196" spans="1:9" x14ac:dyDescent="0.2">
      <c r="A196" s="392"/>
      <c r="B196" s="208"/>
      <c r="E196" s="42"/>
      <c r="F196" s="85"/>
      <c r="G196" s="206"/>
      <c r="H196" s="205" t="str">
        <f>_xlfn.XLOOKUP(Answers[[#This Row],[ref]],TransInfo[Num],TransInfo[ref],"")</f>
        <v/>
      </c>
      <c r="I196" s="1" t="str">
        <f>Answers[[#This Row],[AccntType]]&amp;"[Name]"</f>
        <v>[Name]</v>
      </c>
    </row>
    <row r="197" spans="1:9" x14ac:dyDescent="0.2">
      <c r="A197" s="392"/>
      <c r="B197" s="208"/>
      <c r="E197" s="42"/>
      <c r="F197" s="85"/>
      <c r="G197" s="206"/>
      <c r="H197" s="205" t="str">
        <f>_xlfn.XLOOKUP(Answers[[#This Row],[ref]],TransInfo[Num],TransInfo[ref],"")</f>
        <v/>
      </c>
      <c r="I197" s="1" t="str">
        <f>Answers[[#This Row],[AccntType]]&amp;"[Name]"</f>
        <v>[Name]</v>
      </c>
    </row>
    <row r="198" spans="1:9" x14ac:dyDescent="0.2">
      <c r="A198" s="1"/>
      <c r="I198" s="1"/>
    </row>
  </sheetData>
  <conditionalFormatting sqref="G8:H8">
    <cfRule type="cellIs" dxfId="511" priority="8" operator="notEqual">
      <formula>0</formula>
    </cfRule>
  </conditionalFormatting>
  <conditionalFormatting sqref="G12:G197">
    <cfRule type="containsText" dxfId="510" priority="1" operator="containsText" text="Noncash">
      <formula>NOT(ISERROR(SEARCH("Noncash",G12)))</formula>
    </cfRule>
    <cfRule type="expression" dxfId="509" priority="4">
      <formula>OR($C12="Cash",$D12="Cash")</formula>
    </cfRule>
  </conditionalFormatting>
  <conditionalFormatting sqref="C12:D197">
    <cfRule type="expression" dxfId="508" priority="5">
      <formula>NOT(ISBLANK($A12))</formula>
    </cfRule>
  </conditionalFormatting>
  <conditionalFormatting sqref="A12:A197">
    <cfRule type="expression" dxfId="507" priority="6">
      <formula>NOT(ISBLANK($A12))</formula>
    </cfRule>
  </conditionalFormatting>
  <conditionalFormatting sqref="B12:B197">
    <cfRule type="expression" dxfId="506" priority="3">
      <formula>NOT(ISBLANK($A12))</formula>
    </cfRule>
  </conditionalFormatting>
  <conditionalFormatting sqref="E12:F197">
    <cfRule type="expression" dxfId="505" priority="2">
      <formula>NOT(ISBLANK($A12))</formula>
    </cfRule>
  </conditionalFormatting>
  <dataValidations count="4">
    <dataValidation type="list" allowBlank="1" showInputMessage="1" showErrorMessage="1" sqref="D7" xr:uid="{C83ADD6B-9F76-48E5-AC03-860C7D82462C}">
      <formula1>INDIRECT("EntityInfo[InfoText]")</formula1>
    </dataValidation>
    <dataValidation type="list" allowBlank="1" showInputMessage="1" showErrorMessage="1" sqref="A12:A197" xr:uid="{22C2701E-BDBC-47C4-A3D8-166191132B1E}">
      <formula1>INDIRECT($P$69)</formula1>
    </dataValidation>
    <dataValidation type="list" allowBlank="1" showInputMessage="1" showErrorMessage="1" sqref="C12:D197" xr:uid="{3C940754-34CB-40C7-BE35-E1F4B637443C}">
      <formula1>INDIRECT($I12)</formula1>
    </dataValidation>
    <dataValidation type="list" allowBlank="1" showInputMessage="1" showErrorMessage="1" sqref="D12:D197" xr:uid="{CE5B3136-D2F9-4ED3-83FA-21E8CE711DE4}">
      <formula1>INDIRECT($O12)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3">
        <x14:dataValidation type="list" allowBlank="1" showInputMessage="1" showErrorMessage="1" xr:uid="{2FDE381A-17E4-4571-AED4-E3CF7B8DE398}">
          <x14:formula1>
            <xm:f>INDIRECT(InstructorChoices!$A$21)</xm:f>
          </x14:formula1>
          <xm:sqref>G12:G197</xm:sqref>
        </x14:dataValidation>
        <x14:dataValidation type="list" allowBlank="1" showInputMessage="1" showErrorMessage="1" xr:uid="{7D05D58D-8D6D-4DC2-86F4-A89108E181EA}">
          <x14:formula1>
            <xm:f>INDIRECT(InstructorChoices!$A$10)</xm:f>
          </x14:formula1>
          <xm:sqref>B12:B197</xm:sqref>
        </x14:dataValidation>
        <x14:dataValidation type="list" allowBlank="1" showInputMessage="1" showErrorMessage="1" xr:uid="{28333EE3-EA74-42B6-94AB-F6D4D2DC516C}">
          <x14:formula1>
            <xm:f>INDIRECT(Trans_Events_Data!$A$53)</xm:f>
          </x14:formula1>
          <xm:sqref>B1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37C59-1649-418A-B369-D200834E230E}">
  <dimension ref="A1:D43"/>
  <sheetViews>
    <sheetView workbookViewId="0">
      <selection activeCell="F21" sqref="F20:F21"/>
    </sheetView>
  </sheetViews>
  <sheetFormatPr baseColWidth="10" defaultColWidth="8.83203125" defaultRowHeight="15" x14ac:dyDescent="0.2"/>
  <cols>
    <col min="1" max="1" width="35.5" bestFit="1" customWidth="1"/>
    <col min="4" max="4" width="79.5" bestFit="1" customWidth="1"/>
  </cols>
  <sheetData>
    <row r="1" spans="1:1" x14ac:dyDescent="0.2">
      <c r="A1" s="1" t="s">
        <v>313</v>
      </c>
    </row>
    <row r="2" spans="1:1" x14ac:dyDescent="0.2">
      <c r="A2" s="1" t="s">
        <v>154</v>
      </c>
    </row>
    <row r="3" spans="1:1" x14ac:dyDescent="0.2">
      <c r="A3" s="1" t="s">
        <v>178</v>
      </c>
    </row>
    <row r="4" spans="1:1" x14ac:dyDescent="0.2">
      <c r="A4" s="1" t="s">
        <v>196</v>
      </c>
    </row>
    <row r="5" spans="1:1" x14ac:dyDescent="0.2">
      <c r="A5" s="1" t="s">
        <v>155</v>
      </c>
    </row>
    <row r="6" spans="1:1" x14ac:dyDescent="0.2">
      <c r="A6" s="1" t="s">
        <v>169</v>
      </c>
    </row>
    <row r="7" spans="1:1" x14ac:dyDescent="0.2">
      <c r="A7" s="1" t="s">
        <v>179</v>
      </c>
    </row>
    <row r="8" spans="1:1" x14ac:dyDescent="0.2">
      <c r="A8" s="1" t="s">
        <v>191</v>
      </c>
    </row>
    <row r="9" spans="1:1" x14ac:dyDescent="0.2">
      <c r="A9" s="1"/>
    </row>
    <row r="10" spans="1:1" x14ac:dyDescent="0.2">
      <c r="A10" s="1" t="str">
        <f>"AccntType[AccntTypes]"</f>
        <v>AccntType[AccntTypes]</v>
      </c>
    </row>
    <row r="13" spans="1:1" x14ac:dyDescent="0.2">
      <c r="A13" s="1" t="s">
        <v>314</v>
      </c>
    </row>
    <row r="14" spans="1:1" x14ac:dyDescent="0.2">
      <c r="A14" s="1" t="s">
        <v>315</v>
      </c>
    </row>
    <row r="15" spans="1:1" x14ac:dyDescent="0.2">
      <c r="A15" s="1" t="s">
        <v>312</v>
      </c>
    </row>
    <row r="16" spans="1:1" x14ac:dyDescent="0.2">
      <c r="A16" s="1" t="s">
        <v>316</v>
      </c>
    </row>
    <row r="17" spans="1:4" x14ac:dyDescent="0.2">
      <c r="A17" s="1" t="s">
        <v>317</v>
      </c>
    </row>
    <row r="18" spans="1:4" x14ac:dyDescent="0.2">
      <c r="A18" s="1" t="s">
        <v>318</v>
      </c>
    </row>
    <row r="19" spans="1:4" x14ac:dyDescent="0.2">
      <c r="A19" s="1" t="s">
        <v>319</v>
      </c>
    </row>
    <row r="21" spans="1:4" x14ac:dyDescent="0.2">
      <c r="A21" s="1" t="str">
        <f>"CFS[Activity]"</f>
        <v>CFS[Activity]</v>
      </c>
    </row>
    <row r="23" spans="1:4" x14ac:dyDescent="0.2">
      <c r="A23" t="s">
        <v>320</v>
      </c>
      <c r="B23" s="1" t="s">
        <v>88</v>
      </c>
      <c r="C23" s="1" t="s">
        <v>16</v>
      </c>
    </row>
    <row r="24" spans="1:4" x14ac:dyDescent="0.2">
      <c r="A24" t="s">
        <v>321</v>
      </c>
      <c r="B24" s="1">
        <v>1</v>
      </c>
      <c r="C24" s="1" t="s">
        <v>19</v>
      </c>
    </row>
    <row r="25" spans="1:4" x14ac:dyDescent="0.2">
      <c r="A25" t="s">
        <v>322</v>
      </c>
      <c r="B25" s="1">
        <v>2</v>
      </c>
      <c r="C25" s="1" t="s">
        <v>27</v>
      </c>
    </row>
    <row r="26" spans="1:4" x14ac:dyDescent="0.2">
      <c r="A26" t="s">
        <v>323</v>
      </c>
      <c r="B26" s="1">
        <v>3</v>
      </c>
      <c r="C26" s="1" t="s">
        <v>27</v>
      </c>
    </row>
    <row r="27" spans="1:4" x14ac:dyDescent="0.2">
      <c r="A27" t="s">
        <v>324</v>
      </c>
      <c r="B27" s="1">
        <v>4</v>
      </c>
      <c r="C27" s="1" t="s">
        <v>27</v>
      </c>
    </row>
    <row r="28" spans="1:4" x14ac:dyDescent="0.2">
      <c r="A28" t="s">
        <v>325</v>
      </c>
      <c r="B28" s="1">
        <v>5</v>
      </c>
      <c r="C28" s="1" t="s">
        <v>27</v>
      </c>
    </row>
    <row r="29" spans="1:4" x14ac:dyDescent="0.2">
      <c r="A29" t="s">
        <v>326</v>
      </c>
      <c r="B29" s="1">
        <v>6</v>
      </c>
      <c r="C29" s="1" t="s">
        <v>27</v>
      </c>
    </row>
    <row r="32" spans="1:4" x14ac:dyDescent="0.2">
      <c r="A32" s="1" t="s">
        <v>1</v>
      </c>
      <c r="B32" t="s">
        <v>16</v>
      </c>
      <c r="C32" t="s">
        <v>327</v>
      </c>
      <c r="D32" t="s">
        <v>328</v>
      </c>
    </row>
    <row r="33" spans="1:4" x14ac:dyDescent="0.2">
      <c r="A33" t="s">
        <v>329</v>
      </c>
      <c r="B33" s="1" t="s">
        <v>27</v>
      </c>
      <c r="C33" s="1"/>
      <c r="D33" t="s">
        <v>330</v>
      </c>
    </row>
    <row r="34" spans="1:4" x14ac:dyDescent="0.2">
      <c r="A34" t="s">
        <v>331</v>
      </c>
      <c r="B34" s="1" t="s">
        <v>27</v>
      </c>
      <c r="C34" s="1"/>
      <c r="D34" t="s">
        <v>332</v>
      </c>
    </row>
    <row r="35" spans="1:4" x14ac:dyDescent="0.2">
      <c r="A35" t="s">
        <v>333</v>
      </c>
      <c r="B35" s="1" t="s">
        <v>27</v>
      </c>
      <c r="C35" s="1"/>
      <c r="D35" t="s">
        <v>334</v>
      </c>
    </row>
    <row r="36" spans="1:4" x14ac:dyDescent="0.2">
      <c r="A36" t="s">
        <v>335</v>
      </c>
      <c r="B36" s="1" t="s">
        <v>27</v>
      </c>
      <c r="C36" s="1"/>
      <c r="D36" t="s">
        <v>336</v>
      </c>
    </row>
    <row r="37" spans="1:4" x14ac:dyDescent="0.2">
      <c r="A37" t="s">
        <v>337</v>
      </c>
      <c r="B37" s="1" t="s">
        <v>27</v>
      </c>
      <c r="C37" s="1"/>
      <c r="D37" t="s">
        <v>338</v>
      </c>
    </row>
    <row r="38" spans="1:4" x14ac:dyDescent="0.2">
      <c r="A38" t="s">
        <v>306</v>
      </c>
      <c r="B38" s="1" t="s">
        <v>27</v>
      </c>
      <c r="C38" s="1"/>
      <c r="D38" t="s">
        <v>339</v>
      </c>
    </row>
    <row r="39" spans="1:4" x14ac:dyDescent="0.2">
      <c r="A39" t="s">
        <v>307</v>
      </c>
      <c r="B39" s="1" t="s">
        <v>27</v>
      </c>
      <c r="C39" s="1"/>
      <c r="D39" t="s">
        <v>340</v>
      </c>
    </row>
    <row r="40" spans="1:4" x14ac:dyDescent="0.2">
      <c r="A40" t="s">
        <v>308</v>
      </c>
      <c r="B40" s="1" t="s">
        <v>27</v>
      </c>
      <c r="C40" s="1"/>
      <c r="D40" t="s">
        <v>341</v>
      </c>
    </row>
    <row r="41" spans="1:4" x14ac:dyDescent="0.2">
      <c r="A41" t="s">
        <v>309</v>
      </c>
      <c r="B41" s="1" t="s">
        <v>27</v>
      </c>
      <c r="C41" s="1"/>
      <c r="D41" t="s">
        <v>342</v>
      </c>
    </row>
    <row r="42" spans="1:4" x14ac:dyDescent="0.2">
      <c r="A42" t="s">
        <v>343</v>
      </c>
      <c r="B42" s="1" t="s">
        <v>27</v>
      </c>
      <c r="C42" s="1"/>
      <c r="D42" t="s">
        <v>344</v>
      </c>
    </row>
    <row r="43" spans="1:4" x14ac:dyDescent="0.2">
      <c r="A43" t="s">
        <v>345</v>
      </c>
      <c r="B43" s="1" t="s">
        <v>27</v>
      </c>
      <c r="C43" s="1"/>
      <c r="D43" t="s">
        <v>346</v>
      </c>
    </row>
  </sheetData>
  <dataValidations count="1">
    <dataValidation type="list" allowBlank="1" showInputMessage="1" showErrorMessage="1" sqref="C24:C29 B33:C43" xr:uid="{D7C1F5CE-2843-41AC-AD82-958960131C7C}">
      <formula1>"YES,NO"</formula1>
    </dataValidation>
  </dataValidations>
  <pageMargins left="0.7" right="0.7" top="0.75" bottom="0.75" header="0.3" footer="0.3"/>
  <legacyDrawing r:id="rId1"/>
  <tableParts count="4">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CB2E9-C031-46A7-A3EA-05189798922C}">
  <sheetPr>
    <tabColor theme="0" tint="-0.249977111117893"/>
  </sheetPr>
  <dimension ref="A1:G123"/>
  <sheetViews>
    <sheetView zoomScale="160" zoomScaleNormal="160" workbookViewId="0">
      <selection activeCell="C24" sqref="C24"/>
    </sheetView>
  </sheetViews>
  <sheetFormatPr baseColWidth="10" defaultColWidth="8.83203125" defaultRowHeight="15" x14ac:dyDescent="0.2"/>
  <cols>
    <col min="1" max="1" width="4.1640625" customWidth="1"/>
    <col min="3" max="3" width="27.5" customWidth="1"/>
    <col min="4" max="4" width="21.6640625" customWidth="1"/>
    <col min="5" max="5" width="22.33203125" style="1" customWidth="1"/>
    <col min="6" max="6" width="18.33203125" bestFit="1" customWidth="1"/>
    <col min="7" max="7" width="15.5" bestFit="1" customWidth="1"/>
  </cols>
  <sheetData>
    <row r="1" spans="1:7" x14ac:dyDescent="0.2">
      <c r="A1" s="5" t="s">
        <v>347</v>
      </c>
    </row>
    <row r="3" spans="1:7" x14ac:dyDescent="0.2">
      <c r="B3" s="5" t="s">
        <v>348</v>
      </c>
      <c r="C3">
        <f>Entity</f>
        <v>0</v>
      </c>
      <c r="D3" s="5" t="s">
        <v>349</v>
      </c>
      <c r="E3" s="1">
        <f>BegDate</f>
        <v>0</v>
      </c>
      <c r="F3" s="5" t="s">
        <v>350</v>
      </c>
      <c r="G3">
        <f>Units</f>
        <v>0</v>
      </c>
    </row>
    <row r="4" spans="1:7" x14ac:dyDescent="0.2">
      <c r="B4" s="5" t="s">
        <v>351</v>
      </c>
      <c r="C4">
        <f>EntityType</f>
        <v>0</v>
      </c>
      <c r="D4" s="5" t="s">
        <v>352</v>
      </c>
      <c r="E4" s="1">
        <f>EndDate</f>
        <v>0</v>
      </c>
      <c r="F4" s="5" t="s">
        <v>353</v>
      </c>
      <c r="G4" s="355">
        <f>ShrsOut</f>
        <v>0</v>
      </c>
    </row>
    <row r="5" spans="1:7" x14ac:dyDescent="0.2">
      <c r="B5" s="5" t="s">
        <v>354</v>
      </c>
      <c r="C5">
        <f>EntityActivity</f>
        <v>0</v>
      </c>
      <c r="D5" s="5" t="s">
        <v>355</v>
      </c>
      <c r="E5" s="1">
        <f>Period</f>
        <v>0</v>
      </c>
      <c r="F5" s="5" t="s">
        <v>356</v>
      </c>
      <c r="G5" s="9">
        <f>ParValue</f>
        <v>0</v>
      </c>
    </row>
    <row r="6" spans="1:7" x14ac:dyDescent="0.2">
      <c r="F6" s="5" t="s">
        <v>357</v>
      </c>
      <c r="G6" s="355">
        <f>TreasShrs</f>
        <v>0</v>
      </c>
    </row>
    <row r="7" spans="1:7" x14ac:dyDescent="0.2">
      <c r="A7" s="5" t="s">
        <v>358</v>
      </c>
      <c r="F7" s="5"/>
      <c r="G7" s="355"/>
    </row>
    <row r="9" spans="1:7" x14ac:dyDescent="0.2">
      <c r="C9" s="5" t="s">
        <v>359</v>
      </c>
      <c r="F9" s="5" t="s">
        <v>360</v>
      </c>
    </row>
    <row r="10" spans="1:7" x14ac:dyDescent="0.2">
      <c r="A10" s="103">
        <f>_xlfn.XLOOKUP("YES",Requirements[Yes/No],Requirements[Num])</f>
        <v>1</v>
      </c>
      <c r="B10" s="4">
        <v>1</v>
      </c>
      <c r="C10" t="str" cm="1">
        <f t="array" ref="C10:C15">IFERROR(_xlfn._xlws.FILTER(RequirementsMaster[Requirement],(RequirementsMaster[Key]=A10)*(RequirementsMaster[Yes/No]="YES")),"No req's chosen")</f>
        <v>Prepare a balance sheet as of the start of the period.</v>
      </c>
      <c r="F10" t="str" cm="1">
        <f t="array" ref="F10:F15">IFERROR(_xlfn._xlws.FILTER(RequirementsMaster[Tab],(RequirementsMaster[Key]=A10)*(RequirementsMaster[Yes/No]="YES")),"No req's chosen")</f>
        <v>Financial_Statements_1</v>
      </c>
    </row>
    <row r="11" spans="1:7" x14ac:dyDescent="0.2">
      <c r="B11" s="4">
        <v>2</v>
      </c>
      <c r="C11" t="str">
        <v>Enter all transactions and events of the period.</v>
      </c>
      <c r="F11" t="str">
        <v>Journal</v>
      </c>
    </row>
    <row r="12" spans="1:7" x14ac:dyDescent="0.2">
      <c r="B12" s="4">
        <v>3</v>
      </c>
      <c r="C12" t="str">
        <v>Close all temporary accounts.</v>
      </c>
      <c r="F12" t="str">
        <v>Journal</v>
      </c>
    </row>
    <row r="13" spans="1:7" x14ac:dyDescent="0.2">
      <c r="B13" s="4">
        <v>4</v>
      </c>
      <c r="C13" t="str">
        <v>Prepare an income statement for the period.</v>
      </c>
      <c r="F13" t="str">
        <v>Financial_Statements_1</v>
      </c>
    </row>
    <row r="14" spans="1:7" x14ac:dyDescent="0.2">
      <c r="B14" s="4">
        <v>5</v>
      </c>
      <c r="C14" t="str">
        <v>Prepare a statement of shareholders' equity.</v>
      </c>
      <c r="F14" t="str">
        <v>Financial_Statements_1</v>
      </c>
    </row>
    <row r="15" spans="1:7" x14ac:dyDescent="0.2">
      <c r="B15" s="4">
        <v>6</v>
      </c>
      <c r="C15" t="str">
        <v>Prepare a balance sheet as of the end of the period.</v>
      </c>
      <c r="F15" t="str">
        <v>Financial_Statements_1</v>
      </c>
    </row>
    <row r="16" spans="1:7" x14ac:dyDescent="0.2">
      <c r="B16" s="4">
        <v>7</v>
      </c>
    </row>
    <row r="17" spans="1:5" x14ac:dyDescent="0.2">
      <c r="B17" s="4">
        <v>8</v>
      </c>
    </row>
    <row r="18" spans="1:5" x14ac:dyDescent="0.2">
      <c r="B18" s="4">
        <v>9</v>
      </c>
    </row>
    <row r="20" spans="1:5" x14ac:dyDescent="0.2">
      <c r="A20" s="5" t="s">
        <v>361</v>
      </c>
    </row>
    <row r="21" spans="1:5" ht="16" thickBot="1" x14ac:dyDescent="0.25"/>
    <row r="22" spans="1:5" ht="16" thickBot="1" x14ac:dyDescent="0.25">
      <c r="C22" s="356" t="s">
        <v>362</v>
      </c>
      <c r="D22" s="357"/>
      <c r="E22" s="358"/>
    </row>
    <row r="23" spans="1:5" x14ac:dyDescent="0.2">
      <c r="C23" s="359" t="s">
        <v>363</v>
      </c>
      <c r="D23" s="360" t="s">
        <v>364</v>
      </c>
      <c r="E23" s="361" t="s">
        <v>365</v>
      </c>
    </row>
    <row r="24" spans="1:5" x14ac:dyDescent="0.2">
      <c r="C24" s="17" t="str" cm="1">
        <f t="array" ref="C24:C38">Asset[Name]</f>
        <v>Cash</v>
      </c>
      <c r="D24" s="362" t="str" cm="1">
        <f t="array" ref="D24:D35">Liability[Name]</f>
        <v>Accounts Payable</v>
      </c>
      <c r="E24" s="18" t="str" cm="1">
        <f t="array" ref="E24:E30">Equity[Name]</f>
        <v>Preferred Stock</v>
      </c>
    </row>
    <row r="25" spans="1:5" x14ac:dyDescent="0.2">
      <c r="C25" s="17" t="str">
        <v>Accounts Receivable</v>
      </c>
      <c r="D25" s="362" t="str">
        <v>Accrued Expenses</v>
      </c>
      <c r="E25" s="18" t="str">
        <v>Common Stock</v>
      </c>
    </row>
    <row r="26" spans="1:5" x14ac:dyDescent="0.2">
      <c r="C26" s="17" t="str">
        <v>Allowance for Doubtful Accounts</v>
      </c>
      <c r="D26" s="362" t="str">
        <v>Interest Payable</v>
      </c>
      <c r="E26" s="18" t="str">
        <v>Additional Paid-in Capital</v>
      </c>
    </row>
    <row r="27" spans="1:5" x14ac:dyDescent="0.2">
      <c r="C27" s="17" t="str">
        <v>Marketable Securities</v>
      </c>
      <c r="D27" s="362" t="str">
        <v>Dividends Payable</v>
      </c>
      <c r="E27" s="18" t="str">
        <v>Retained Earnings</v>
      </c>
    </row>
    <row r="28" spans="1:5" x14ac:dyDescent="0.2">
      <c r="C28" s="17" t="str">
        <v>Inventories</v>
      </c>
      <c r="D28" s="362" t="str">
        <v>Taxes Payable</v>
      </c>
      <c r="E28" s="18" t="str">
        <v>Accumulated Other Comprehensive Income</v>
      </c>
    </row>
    <row r="29" spans="1:5" x14ac:dyDescent="0.2">
      <c r="C29" s="17" t="str">
        <v>Prepaid Expenses</v>
      </c>
      <c r="D29" s="362" t="str">
        <v>Deferred Tax Liabilities</v>
      </c>
      <c r="E29" s="18" t="str">
        <v>Treasury Stock</v>
      </c>
    </row>
    <row r="30" spans="1:5" x14ac:dyDescent="0.2">
      <c r="C30" s="17" t="str">
        <v>Prepaid Rent</v>
      </c>
      <c r="D30" s="362" t="str">
        <v>Unearned Revenue</v>
      </c>
      <c r="E30" s="18">
        <v>0</v>
      </c>
    </row>
    <row r="31" spans="1:5" x14ac:dyDescent="0.2">
      <c r="C31" s="17" t="str">
        <v>Other Current Assets</v>
      </c>
      <c r="D31" s="362" t="str">
        <v>Bonds Payable</v>
      </c>
      <c r="E31" s="18"/>
    </row>
    <row r="32" spans="1:5" x14ac:dyDescent="0.2">
      <c r="C32" s="17" t="str">
        <v>Property, Plant &amp; Equipment</v>
      </c>
      <c r="D32" s="362" t="str">
        <v>Notes Payable</v>
      </c>
      <c r="E32" s="18"/>
    </row>
    <row r="33" spans="3:5" x14ac:dyDescent="0.2">
      <c r="C33" s="17" t="str">
        <v>Accumulated Depreciation</v>
      </c>
      <c r="D33" s="362" t="str">
        <v>Senior Debt</v>
      </c>
      <c r="E33" s="18"/>
    </row>
    <row r="34" spans="3:5" x14ac:dyDescent="0.2">
      <c r="C34" s="17" t="str">
        <v>Intangibles</v>
      </c>
      <c r="D34" s="362" t="str">
        <v>Subordinated Debt</v>
      </c>
      <c r="E34" s="18"/>
    </row>
    <row r="35" spans="3:5" x14ac:dyDescent="0.2">
      <c r="C35" s="17" t="str">
        <v>Goodwill</v>
      </c>
      <c r="D35" s="362" t="str">
        <v>Salaries &amp; Wages Payable</v>
      </c>
      <c r="E35" s="18"/>
    </row>
    <row r="36" spans="3:5" x14ac:dyDescent="0.2">
      <c r="C36" s="17" t="str">
        <v>Other Noncurrent Assets</v>
      </c>
      <c r="D36" s="362"/>
      <c r="E36" s="18"/>
    </row>
    <row r="37" spans="3:5" x14ac:dyDescent="0.2">
      <c r="C37" s="17" t="str">
        <v>Deferred Tax Assets</v>
      </c>
      <c r="D37" s="362"/>
      <c r="E37" s="18"/>
    </row>
    <row r="38" spans="3:5" x14ac:dyDescent="0.2">
      <c r="C38" s="17" t="str">
        <v>Accumulated Amortization</v>
      </c>
      <c r="D38" s="362"/>
      <c r="E38" s="18"/>
    </row>
    <row r="39" spans="3:5" x14ac:dyDescent="0.2">
      <c r="C39" s="17"/>
      <c r="D39" s="362"/>
      <c r="E39" s="18"/>
    </row>
    <row r="40" spans="3:5" x14ac:dyDescent="0.2">
      <c r="C40" s="17"/>
      <c r="D40" s="362"/>
      <c r="E40" s="18"/>
    </row>
    <row r="41" spans="3:5" x14ac:dyDescent="0.2">
      <c r="C41" s="17"/>
      <c r="D41" s="362"/>
      <c r="E41" s="18"/>
    </row>
    <row r="42" spans="3:5" x14ac:dyDescent="0.2">
      <c r="C42" s="17"/>
      <c r="D42" s="362"/>
      <c r="E42" s="18"/>
    </row>
    <row r="43" spans="3:5" ht="16" thickBot="1" x14ac:dyDescent="0.25">
      <c r="C43" s="24"/>
      <c r="D43" s="363"/>
      <c r="E43" s="25"/>
    </row>
    <row r="44" spans="3:5" ht="16" thickBot="1" x14ac:dyDescent="0.25"/>
    <row r="45" spans="3:5" ht="16" thickBot="1" x14ac:dyDescent="0.25">
      <c r="C45" s="364" t="s">
        <v>366</v>
      </c>
      <c r="D45" s="365"/>
      <c r="E45" s="366"/>
    </row>
    <row r="46" spans="3:5" x14ac:dyDescent="0.2">
      <c r="C46" s="367" t="s">
        <v>367</v>
      </c>
      <c r="D46" s="368" t="s">
        <v>368</v>
      </c>
      <c r="E46" s="369" t="s">
        <v>369</v>
      </c>
    </row>
    <row r="47" spans="3:5" x14ac:dyDescent="0.2">
      <c r="C47" s="17" t="str" cm="1">
        <f t="array" ref="C47:C50">_Revenue[Name]</f>
        <v>Sales</v>
      </c>
      <c r="D47" s="370" t="str" cm="1">
        <f t="array" ref="D47:D56">_Expense[Name]</f>
        <v>Cost of Goods Sold</v>
      </c>
      <c r="E47" s="18" t="str" cm="1">
        <f t="array" ref="E47:E56">_xlfn.VSTACK(_Gain[Name],_Loss[Name])</f>
        <v>Gain on Sale of Subsidiary</v>
      </c>
    </row>
    <row r="48" spans="3:5" x14ac:dyDescent="0.2">
      <c r="C48" s="17">
        <v>0</v>
      </c>
      <c r="D48" s="362">
        <v>0</v>
      </c>
      <c r="E48" s="18">
        <v>0</v>
      </c>
    </row>
    <row r="49" spans="1:5" x14ac:dyDescent="0.2">
      <c r="C49" s="17">
        <v>0</v>
      </c>
      <c r="D49" s="362">
        <v>0</v>
      </c>
      <c r="E49" s="18">
        <v>0</v>
      </c>
    </row>
    <row r="50" spans="1:5" x14ac:dyDescent="0.2">
      <c r="C50" s="17">
        <v>0</v>
      </c>
      <c r="D50" s="362">
        <v>0</v>
      </c>
      <c r="E50" s="18">
        <v>0</v>
      </c>
    </row>
    <row r="51" spans="1:5" x14ac:dyDescent="0.2">
      <c r="C51" s="17"/>
      <c r="D51" s="362">
        <v>0</v>
      </c>
      <c r="E51" s="18">
        <v>0</v>
      </c>
    </row>
    <row r="52" spans="1:5" x14ac:dyDescent="0.2">
      <c r="C52" s="17"/>
      <c r="D52" s="362">
        <v>0</v>
      </c>
      <c r="E52" s="18" t="str">
        <v>Loss on Sale of Subsidiary</v>
      </c>
    </row>
    <row r="53" spans="1:5" x14ac:dyDescent="0.2">
      <c r="C53" s="17"/>
      <c r="D53" s="362">
        <v>0</v>
      </c>
      <c r="E53" s="18">
        <v>0</v>
      </c>
    </row>
    <row r="54" spans="1:5" x14ac:dyDescent="0.2">
      <c r="C54" s="17"/>
      <c r="D54" s="362">
        <v>0</v>
      </c>
      <c r="E54" s="18">
        <v>0</v>
      </c>
    </row>
    <row r="55" spans="1:5" x14ac:dyDescent="0.2">
      <c r="C55" s="17"/>
      <c r="D55" s="362">
        <v>0</v>
      </c>
      <c r="E55" s="18">
        <v>0</v>
      </c>
    </row>
    <row r="56" spans="1:5" ht="16" thickBot="1" x14ac:dyDescent="0.25">
      <c r="C56" s="24"/>
      <c r="D56" s="363">
        <v>0</v>
      </c>
      <c r="E56" s="25">
        <v>0</v>
      </c>
    </row>
    <row r="59" spans="1:5" x14ac:dyDescent="0.2">
      <c r="A59" s="5" t="s">
        <v>370</v>
      </c>
    </row>
    <row r="60" spans="1:5" x14ac:dyDescent="0.2">
      <c r="A60" s="5"/>
    </row>
    <row r="61" spans="1:5" x14ac:dyDescent="0.2">
      <c r="B61" s="4">
        <v>1</v>
      </c>
      <c r="C61" t="e" cm="1" vm="1">
        <f t="array" ref="C61">_xlfn._xlws.FILTER(Purposes[Purpose],Purposes[YES/NO]="YES")</f>
        <v>#VALUE!</v>
      </c>
    </row>
    <row r="62" spans="1:5" x14ac:dyDescent="0.2">
      <c r="B62" s="4">
        <v>2</v>
      </c>
    </row>
    <row r="63" spans="1:5" x14ac:dyDescent="0.2">
      <c r="B63" s="4">
        <v>3</v>
      </c>
    </row>
    <row r="64" spans="1:5" x14ac:dyDescent="0.2">
      <c r="B64" s="4">
        <v>4</v>
      </c>
    </row>
    <row r="65" spans="2:2" x14ac:dyDescent="0.2">
      <c r="B65" s="4">
        <v>5</v>
      </c>
    </row>
    <row r="66" spans="2:2" x14ac:dyDescent="0.2">
      <c r="B66" s="4">
        <v>6</v>
      </c>
    </row>
    <row r="67" spans="2:2" x14ac:dyDescent="0.2">
      <c r="B67" s="4">
        <v>7</v>
      </c>
    </row>
    <row r="68" spans="2:2" x14ac:dyDescent="0.2">
      <c r="B68" s="4">
        <v>8</v>
      </c>
    </row>
    <row r="69" spans="2:2" x14ac:dyDescent="0.2">
      <c r="B69" s="4">
        <v>9</v>
      </c>
    </row>
    <row r="70" spans="2:2" x14ac:dyDescent="0.2">
      <c r="B70" s="4">
        <v>10</v>
      </c>
    </row>
    <row r="71" spans="2:2" x14ac:dyDescent="0.2">
      <c r="B71" s="4">
        <v>11</v>
      </c>
    </row>
    <row r="72" spans="2:2" x14ac:dyDescent="0.2">
      <c r="B72" s="4">
        <v>12</v>
      </c>
    </row>
    <row r="73" spans="2:2" x14ac:dyDescent="0.2">
      <c r="B73" s="4">
        <v>13</v>
      </c>
    </row>
    <row r="74" spans="2:2" x14ac:dyDescent="0.2">
      <c r="B74" s="4">
        <v>14</v>
      </c>
    </row>
    <row r="75" spans="2:2" x14ac:dyDescent="0.2">
      <c r="B75" s="4">
        <v>15</v>
      </c>
    </row>
    <row r="76" spans="2:2" x14ac:dyDescent="0.2">
      <c r="B76" s="4">
        <v>16</v>
      </c>
    </row>
    <row r="77" spans="2:2" x14ac:dyDescent="0.2">
      <c r="B77" s="4">
        <v>17</v>
      </c>
    </row>
    <row r="78" spans="2:2" x14ac:dyDescent="0.2">
      <c r="B78" s="4">
        <v>18</v>
      </c>
    </row>
    <row r="79" spans="2:2" x14ac:dyDescent="0.2">
      <c r="B79" s="4">
        <v>19</v>
      </c>
    </row>
    <row r="80" spans="2:2" x14ac:dyDescent="0.2">
      <c r="B80" s="4">
        <v>20</v>
      </c>
    </row>
    <row r="81" spans="2:2" x14ac:dyDescent="0.2">
      <c r="B81" s="4">
        <v>21</v>
      </c>
    </row>
    <row r="82" spans="2:2" x14ac:dyDescent="0.2">
      <c r="B82" s="4">
        <v>22</v>
      </c>
    </row>
    <row r="83" spans="2:2" x14ac:dyDescent="0.2">
      <c r="B83" s="4">
        <v>23</v>
      </c>
    </row>
    <row r="84" spans="2:2" x14ac:dyDescent="0.2">
      <c r="B84" s="4">
        <v>24</v>
      </c>
    </row>
    <row r="85" spans="2:2" x14ac:dyDescent="0.2">
      <c r="B85" s="4">
        <v>25</v>
      </c>
    </row>
    <row r="86" spans="2:2" x14ac:dyDescent="0.2">
      <c r="B86" s="4">
        <v>26</v>
      </c>
    </row>
    <row r="87" spans="2:2" x14ac:dyDescent="0.2">
      <c r="B87" s="4">
        <v>27</v>
      </c>
    </row>
    <row r="88" spans="2:2" x14ac:dyDescent="0.2">
      <c r="B88" s="4">
        <v>28</v>
      </c>
    </row>
    <row r="89" spans="2:2" x14ac:dyDescent="0.2">
      <c r="B89" s="4">
        <v>29</v>
      </c>
    </row>
    <row r="90" spans="2:2" x14ac:dyDescent="0.2">
      <c r="B90" s="4">
        <v>30</v>
      </c>
    </row>
    <row r="91" spans="2:2" x14ac:dyDescent="0.2">
      <c r="B91" s="4">
        <v>31</v>
      </c>
    </row>
    <row r="92" spans="2:2" x14ac:dyDescent="0.2">
      <c r="B92" s="4">
        <v>32</v>
      </c>
    </row>
    <row r="93" spans="2:2" x14ac:dyDescent="0.2">
      <c r="B93" s="4">
        <v>33</v>
      </c>
    </row>
    <row r="94" spans="2:2" x14ac:dyDescent="0.2">
      <c r="B94" s="4">
        <v>34</v>
      </c>
    </row>
    <row r="95" spans="2:2" x14ac:dyDescent="0.2">
      <c r="B95" s="4">
        <v>35</v>
      </c>
    </row>
    <row r="96" spans="2:2" x14ac:dyDescent="0.2">
      <c r="B96" s="4">
        <v>36</v>
      </c>
    </row>
    <row r="97" spans="1:2" x14ac:dyDescent="0.2">
      <c r="B97" s="4">
        <v>37</v>
      </c>
    </row>
    <row r="98" spans="1:2" x14ac:dyDescent="0.2">
      <c r="B98" s="4">
        <v>38</v>
      </c>
    </row>
    <row r="99" spans="1:2" x14ac:dyDescent="0.2">
      <c r="B99" s="4">
        <v>39</v>
      </c>
    </row>
    <row r="100" spans="1:2" x14ac:dyDescent="0.2">
      <c r="B100" s="4">
        <v>40</v>
      </c>
    </row>
    <row r="101" spans="1:2" x14ac:dyDescent="0.2">
      <c r="B101" s="4">
        <v>41</v>
      </c>
    </row>
    <row r="102" spans="1:2" x14ac:dyDescent="0.2">
      <c r="B102" s="4">
        <v>42</v>
      </c>
    </row>
    <row r="103" spans="1:2" x14ac:dyDescent="0.2">
      <c r="B103" s="4">
        <v>43</v>
      </c>
    </row>
    <row r="104" spans="1:2" x14ac:dyDescent="0.2">
      <c r="B104" s="4">
        <v>44</v>
      </c>
    </row>
    <row r="105" spans="1:2" x14ac:dyDescent="0.2">
      <c r="B105" s="4">
        <v>45</v>
      </c>
    </row>
    <row r="106" spans="1:2" x14ac:dyDescent="0.2">
      <c r="A106" s="1">
        <v>46</v>
      </c>
      <c r="B106" s="5"/>
    </row>
    <row r="107" spans="1:2" x14ac:dyDescent="0.2">
      <c r="A107" s="1">
        <v>47</v>
      </c>
      <c r="B107" s="5"/>
    </row>
    <row r="108" spans="1:2" x14ac:dyDescent="0.2">
      <c r="A108" s="1">
        <v>48</v>
      </c>
      <c r="B108" s="5"/>
    </row>
    <row r="109" spans="1:2" x14ac:dyDescent="0.2">
      <c r="A109" s="1">
        <v>49</v>
      </c>
      <c r="B109" s="5"/>
    </row>
    <row r="110" spans="1:2" x14ac:dyDescent="0.2">
      <c r="A110" s="1">
        <v>50</v>
      </c>
      <c r="B110" s="5"/>
    </row>
    <row r="111" spans="1:2" x14ac:dyDescent="0.2">
      <c r="B111" s="5"/>
    </row>
    <row r="112" spans="1:2" x14ac:dyDescent="0.2">
      <c r="B112" s="5"/>
    </row>
    <row r="113" spans="2:2" x14ac:dyDescent="0.2">
      <c r="B113" s="5"/>
    </row>
    <row r="114" spans="2:2" x14ac:dyDescent="0.2">
      <c r="B114" s="5"/>
    </row>
    <row r="115" spans="2:2" x14ac:dyDescent="0.2">
      <c r="B115" s="5"/>
    </row>
    <row r="116" spans="2:2" x14ac:dyDescent="0.2">
      <c r="B116" s="5"/>
    </row>
    <row r="117" spans="2:2" x14ac:dyDescent="0.2">
      <c r="B117" s="5"/>
    </row>
    <row r="118" spans="2:2" x14ac:dyDescent="0.2">
      <c r="B118" s="5"/>
    </row>
    <row r="119" spans="2:2" x14ac:dyDescent="0.2">
      <c r="B119" s="5"/>
    </row>
    <row r="120" spans="2:2" x14ac:dyDescent="0.2">
      <c r="B120" s="5"/>
    </row>
    <row r="121" spans="2:2" x14ac:dyDescent="0.2">
      <c r="B121" s="5"/>
    </row>
    <row r="122" spans="2:2" x14ac:dyDescent="0.2">
      <c r="B122" s="5"/>
    </row>
    <row r="123" spans="2:2" x14ac:dyDescent="0.2">
      <c r="B123" s="5"/>
    </row>
  </sheetData>
  <conditionalFormatting sqref="F6:G7">
    <cfRule type="expression" dxfId="504" priority="4">
      <formula>ROUND($G$6,2)=0</formula>
    </cfRule>
  </conditionalFormatting>
  <conditionalFormatting sqref="B61:B105">
    <cfRule type="expression" dxfId="503" priority="3">
      <formula>ISBLANK($C61)</formula>
    </cfRule>
  </conditionalFormatting>
  <conditionalFormatting sqref="A106:A110">
    <cfRule type="expression" dxfId="502" priority="2">
      <formula>ISBLANK($B106)</formula>
    </cfRule>
  </conditionalFormatting>
  <conditionalFormatting sqref="C47:E56">
    <cfRule type="cellIs" dxfId="501" priority="1" operator="between">
      <formula>-0.00001</formula>
      <formula>0.00001</formula>
    </cfRule>
  </conditionalFormatting>
  <conditionalFormatting sqref="B10:B18">
    <cfRule type="expression" dxfId="500" priority="185">
      <formula>ISBLANK($F10)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A570A-B151-40F5-8DB6-D9B5061E0B8E}">
  <sheetPr>
    <tabColor theme="4" tint="0.39997558519241921"/>
  </sheetPr>
  <dimension ref="B1:M197"/>
  <sheetViews>
    <sheetView zoomScale="160" zoomScaleNormal="160" workbookViewId="0">
      <pane xSplit="1" ySplit="9" topLeftCell="B10" activePane="bottomRight" state="frozen"/>
      <selection pane="topRight" activeCell="B1" sqref="B1"/>
      <selection pane="bottomLeft" activeCell="A10" sqref="A10"/>
      <selection pane="bottomRight" activeCell="D13" sqref="D13"/>
    </sheetView>
  </sheetViews>
  <sheetFormatPr baseColWidth="10" defaultColWidth="8.83203125" defaultRowHeight="15" x14ac:dyDescent="0.2"/>
  <cols>
    <col min="1" max="1" width="3.5" customWidth="1"/>
    <col min="2" max="2" width="9.83203125" style="1" customWidth="1"/>
    <col min="4" max="5" width="37.5" bestFit="1" customWidth="1"/>
    <col min="6" max="7" width="9.6640625" bestFit="1" customWidth="1"/>
    <col min="9" max="10" width="8.83203125" hidden="1" customWidth="1"/>
    <col min="11" max="11" width="9.6640625" hidden="1" customWidth="1"/>
    <col min="12" max="13" width="8.83203125" hidden="1" customWidth="1"/>
  </cols>
  <sheetData>
    <row r="1" spans="2:13" ht="16" thickBot="1" x14ac:dyDescent="0.25">
      <c r="B1" s="211" t="s">
        <v>81</v>
      </c>
      <c r="C1" s="212"/>
      <c r="D1" s="212"/>
      <c r="E1" s="212"/>
      <c r="F1" s="212"/>
      <c r="G1" s="212"/>
      <c r="H1" s="213"/>
      <c r="I1" s="32" t="s">
        <v>371</v>
      </c>
    </row>
    <row r="2" spans="2:13" x14ac:dyDescent="0.2">
      <c r="B2" s="214" t="str">
        <f ca="1">IFERROR(Line1J,"")</f>
        <v/>
      </c>
      <c r="C2" s="215"/>
      <c r="D2" s="215"/>
      <c r="E2" s="215"/>
      <c r="F2" s="215"/>
      <c r="G2" s="215"/>
      <c r="H2" s="216"/>
      <c r="I2" s="33" t="s">
        <v>372</v>
      </c>
    </row>
    <row r="3" spans="2:13" x14ac:dyDescent="0.2">
      <c r="B3" s="214" t="str" cm="1">
        <f t="array" ref="B3">Line2J</f>
        <v/>
      </c>
      <c r="C3" s="215"/>
      <c r="D3" s="215"/>
      <c r="E3" s="215"/>
      <c r="F3" s="215"/>
      <c r="G3" s="215"/>
      <c r="H3" s="216"/>
      <c r="I3" s="33" t="s">
        <v>372</v>
      </c>
    </row>
    <row r="4" spans="2:13" x14ac:dyDescent="0.2">
      <c r="B4" s="214" t="str" cm="1">
        <f t="array" ref="B4">Line3J</f>
        <v/>
      </c>
      <c r="C4" s="215"/>
      <c r="D4" s="215"/>
      <c r="E4" s="215"/>
      <c r="F4" s="215"/>
      <c r="G4" s="215"/>
      <c r="H4" s="216"/>
      <c r="I4" s="33" t="s">
        <v>372</v>
      </c>
    </row>
    <row r="5" spans="2:13" x14ac:dyDescent="0.2">
      <c r="B5" s="214" t="str" cm="1">
        <f t="array" ref="B5">Line4J</f>
        <v/>
      </c>
      <c r="C5" s="215"/>
      <c r="D5" s="215"/>
      <c r="E5" s="215"/>
      <c r="F5" s="215"/>
      <c r="G5" s="215"/>
      <c r="H5" s="216"/>
      <c r="I5" s="33" t="s">
        <v>372</v>
      </c>
    </row>
    <row r="6" spans="2:13" ht="16" thickBot="1" x14ac:dyDescent="0.25">
      <c r="B6" s="217" t="str" cm="1">
        <f t="array" ref="B6">Line5J</f>
        <v/>
      </c>
      <c r="C6" s="218"/>
      <c r="D6" s="218"/>
      <c r="E6" s="218"/>
      <c r="F6" s="218"/>
      <c r="G6" s="218"/>
      <c r="H6" s="219"/>
      <c r="I6" s="33" t="s">
        <v>372</v>
      </c>
    </row>
    <row r="7" spans="2:13" ht="16" thickBot="1" x14ac:dyDescent="0.25">
      <c r="B7" s="221" t="s">
        <v>89</v>
      </c>
      <c r="C7" s="220"/>
      <c r="F7" s="223" t="s">
        <v>301</v>
      </c>
      <c r="G7" s="224" t="s">
        <v>302</v>
      </c>
      <c r="H7" s="225" t="s">
        <v>303</v>
      </c>
    </row>
    <row r="8" spans="2:13" ht="16" thickBot="1" x14ac:dyDescent="0.25">
      <c r="B8" s="222" t="s">
        <v>373</v>
      </c>
      <c r="C8" s="399" t="s">
        <v>374</v>
      </c>
      <c r="D8" s="400"/>
      <c r="E8" s="113"/>
      <c r="F8" s="226">
        <f>SUMIF(Journal[ref],C7,Journal[DrAmt])</f>
        <v>0</v>
      </c>
      <c r="G8" s="227">
        <f>SUMIF(Journal[ref],C7,Journal[CrAmt])</f>
        <v>0</v>
      </c>
      <c r="H8" s="228">
        <f>ROUND(F8-G8,2)</f>
        <v>0</v>
      </c>
    </row>
    <row r="9" spans="2:13" x14ac:dyDescent="0.2">
      <c r="B9" s="210" t="s">
        <v>89</v>
      </c>
      <c r="C9" s="1" t="s">
        <v>305</v>
      </c>
      <c r="D9" s="1" t="s">
        <v>306</v>
      </c>
      <c r="E9" s="1" t="s">
        <v>307</v>
      </c>
      <c r="F9" s="1" t="s">
        <v>308</v>
      </c>
      <c r="G9" s="1" t="s">
        <v>309</v>
      </c>
      <c r="H9" s="1" t="s">
        <v>310</v>
      </c>
      <c r="I9" s="1" t="s">
        <v>311</v>
      </c>
      <c r="J9" s="1" t="s">
        <v>375</v>
      </c>
      <c r="K9" s="1" t="s">
        <v>376</v>
      </c>
      <c r="L9" s="1" t="s">
        <v>159</v>
      </c>
      <c r="M9" s="1"/>
    </row>
    <row r="10" spans="2:13" x14ac:dyDescent="0.2">
      <c r="B10" s="392"/>
      <c r="C10" s="208"/>
      <c r="F10" s="42"/>
      <c r="G10" s="85"/>
      <c r="H10" s="206"/>
      <c r="I10" s="209" t="str">
        <f>_xlfn.XLOOKUP(Journal[[#This Row],[ref]],TransInfo[Num],TransInfo[ref],"")</f>
        <v/>
      </c>
      <c r="J10" s="205" cm="1">
        <f t="array" ref="J10">_xlfn.IFS(ISBLANK(Journal[[#This Row],[ref2]]),0,NOT(ISBLANK(Journal[[#This Row],[ref2]])),1)</f>
        <v>1</v>
      </c>
      <c r="K10" s="1" t="str">
        <f>IF(NOT(ISBLANK(Journal[[#This Row],[ref2]])),Journal[[#This Row],[ref2]]&amp;Journal[[#This Row],[LineNum]],"")</f>
        <v>1</v>
      </c>
      <c r="L10" s="42" cm="1">
        <f t="array" ref="L10">IFERROR(_xlfn.IFS(Journal[[#This Row],[DrAccnt]]="Cash",Journal[[#This Row],[DrAmt]],Journal[[#This Row],[CrAccnt]]="Cash",-Journal[[#This Row],[CrAmt]]),0)</f>
        <v>0</v>
      </c>
      <c r="M10" s="1" t="str">
        <f>Journal[[#This Row],[AccntType]]&amp;"[Name]"</f>
        <v>[Name]</v>
      </c>
    </row>
    <row r="11" spans="2:13" x14ac:dyDescent="0.2">
      <c r="B11" s="392"/>
      <c r="C11" s="208"/>
      <c r="F11" s="42"/>
      <c r="G11" s="85"/>
      <c r="H11" s="206"/>
      <c r="I11" s="209" t="str">
        <f>_xlfn.XLOOKUP(Journal[[#This Row],[ref]],TransInfo[Num],TransInfo[ref],"")</f>
        <v/>
      </c>
      <c r="J11" s="205" cm="1">
        <f t="array" ref="J11">_xlfn.IFS(ISBLANK(Journal[[#This Row],[ref2]]),0,NOT(ISBLANK(Journal[[#This Row],[ref2]])),J10+1)</f>
        <v>2</v>
      </c>
      <c r="K11" s="1" t="str">
        <f>IF(NOT(ISBLANK(Journal[[#This Row],[ref2]])),Journal[[#This Row],[ref2]]&amp;Journal[[#This Row],[LineNum]],"")</f>
        <v>2</v>
      </c>
      <c r="L11" s="42" cm="1">
        <f t="array" ref="L11">IFERROR(_xlfn.IFS(Journal[[#This Row],[DrAccnt]]="Cash",Journal[[#This Row],[DrAmt]],Journal[[#This Row],[CrAccnt]]="Cash",-Journal[[#This Row],[CrAmt]]),0)</f>
        <v>0</v>
      </c>
      <c r="M11" s="1" t="str">
        <f>Journal[[#This Row],[AccntType]]&amp;"[Name]"</f>
        <v>[Name]</v>
      </c>
    </row>
    <row r="12" spans="2:13" x14ac:dyDescent="0.2">
      <c r="B12" s="392"/>
      <c r="C12" s="208"/>
      <c r="F12" s="42"/>
      <c r="G12" s="85"/>
      <c r="H12" s="206"/>
      <c r="I12" s="209" t="str">
        <f>_xlfn.XLOOKUP(Journal[[#This Row],[ref]],TransInfo[Num],TransInfo[ref],"")</f>
        <v/>
      </c>
      <c r="J12" s="205" cm="1">
        <f t="array" ref="J12">_xlfn.IFS(ISBLANK(Journal[[#This Row],[ref2]]),0,NOT(ISBLANK(Journal[[#This Row],[ref2]])),J11+1)</f>
        <v>3</v>
      </c>
      <c r="K12" s="1" t="str">
        <f>IF(NOT(ISBLANK(Journal[[#This Row],[ref2]])),Journal[[#This Row],[ref2]]&amp;Journal[[#This Row],[LineNum]],"")</f>
        <v>3</v>
      </c>
      <c r="L12" s="42" cm="1">
        <f t="array" ref="L12">IFERROR(_xlfn.IFS(Journal[[#This Row],[DrAccnt]]="Cash",Journal[[#This Row],[DrAmt]],Journal[[#This Row],[CrAccnt]]="Cash",-Journal[[#This Row],[CrAmt]]),0)</f>
        <v>0</v>
      </c>
      <c r="M12" s="1" t="str">
        <f>Journal[[#This Row],[AccntType]]&amp;"[Name]"</f>
        <v>[Name]</v>
      </c>
    </row>
    <row r="13" spans="2:13" x14ac:dyDescent="0.2">
      <c r="B13" s="392"/>
      <c r="C13" s="208"/>
      <c r="F13" s="42"/>
      <c r="G13" s="85"/>
      <c r="H13" s="206"/>
      <c r="I13" s="209" t="str">
        <f>_xlfn.XLOOKUP(Journal[[#This Row],[ref]],TransInfo[Num],TransInfo[ref],"")</f>
        <v/>
      </c>
      <c r="J13" s="205" cm="1">
        <f t="array" ref="J13">_xlfn.IFS(ISBLANK(Journal[[#This Row],[ref2]]),0,NOT(ISBLANK(Journal[[#This Row],[ref2]])),J12+1)</f>
        <v>4</v>
      </c>
      <c r="K13" s="1" t="str">
        <f>IF(NOT(ISBLANK(Journal[[#This Row],[ref2]])),Journal[[#This Row],[ref2]]&amp;Journal[[#This Row],[LineNum]],"")</f>
        <v>4</v>
      </c>
      <c r="L13" s="42" cm="1">
        <f t="array" ref="L13">IFERROR(_xlfn.IFS(Journal[[#This Row],[DrAccnt]]="Cash",Journal[[#This Row],[DrAmt]],Journal[[#This Row],[CrAccnt]]="Cash",-Journal[[#This Row],[CrAmt]]),0)</f>
        <v>0</v>
      </c>
      <c r="M13" s="1" t="str">
        <f>Journal[[#This Row],[AccntType]]&amp;"[Name]"</f>
        <v>[Name]</v>
      </c>
    </row>
    <row r="14" spans="2:13" x14ac:dyDescent="0.2">
      <c r="B14" s="392"/>
      <c r="C14" s="208"/>
      <c r="F14" s="42"/>
      <c r="G14" s="85"/>
      <c r="H14" s="206"/>
      <c r="I14" s="209" t="str">
        <f>_xlfn.XLOOKUP(Journal[[#This Row],[ref]],TransInfo[Num],TransInfo[ref],"")</f>
        <v/>
      </c>
      <c r="J14" s="205" cm="1">
        <f t="array" ref="J14">_xlfn.IFS(ISBLANK(Journal[[#This Row],[ref2]]),0,NOT(ISBLANK(Journal[[#This Row],[ref2]])),J13+1)</f>
        <v>5</v>
      </c>
      <c r="K14" s="1" t="str">
        <f>IF(NOT(ISBLANK(Journal[[#This Row],[ref2]])),Journal[[#This Row],[ref2]]&amp;Journal[[#This Row],[LineNum]],"")</f>
        <v>5</v>
      </c>
      <c r="L14" s="42" cm="1">
        <f t="array" ref="L14">IFERROR(_xlfn.IFS(Journal[[#This Row],[DrAccnt]]="Cash",Journal[[#This Row],[DrAmt]],Journal[[#This Row],[CrAccnt]]="Cash",-Journal[[#This Row],[CrAmt]]),0)</f>
        <v>0</v>
      </c>
      <c r="M14" s="1" t="str">
        <f>Journal[[#This Row],[AccntType]]&amp;"[Name]"</f>
        <v>[Name]</v>
      </c>
    </row>
    <row r="15" spans="2:13" x14ac:dyDescent="0.2">
      <c r="B15" s="392"/>
      <c r="C15" s="208"/>
      <c r="F15" s="42"/>
      <c r="G15" s="85"/>
      <c r="H15" s="206"/>
      <c r="I15" s="209" t="str">
        <f>_xlfn.XLOOKUP(Journal[[#This Row],[ref]],TransInfo[Num],TransInfo[ref],"")</f>
        <v/>
      </c>
      <c r="J15" s="205" cm="1">
        <f t="array" ref="J15">_xlfn.IFS(ISBLANK(Journal[[#This Row],[ref2]]),0,NOT(ISBLANK(Journal[[#This Row],[ref2]])),J14+1)</f>
        <v>6</v>
      </c>
      <c r="K15" s="1" t="str">
        <f>IF(NOT(ISBLANK(Journal[[#This Row],[ref2]])),Journal[[#This Row],[ref2]]&amp;Journal[[#This Row],[LineNum]],"")</f>
        <v>6</v>
      </c>
      <c r="L15" s="42" cm="1">
        <f t="array" ref="L15">IFERROR(_xlfn.IFS(Journal[[#This Row],[DrAccnt]]="Cash",Journal[[#This Row],[DrAmt]],Journal[[#This Row],[CrAccnt]]="Cash",-Journal[[#This Row],[CrAmt]]),0)</f>
        <v>0</v>
      </c>
      <c r="M15" s="1" t="str">
        <f>Journal[[#This Row],[AccntType]]&amp;"[Name]"</f>
        <v>[Name]</v>
      </c>
    </row>
    <row r="16" spans="2:13" x14ac:dyDescent="0.2">
      <c r="B16" s="392"/>
      <c r="C16" s="208"/>
      <c r="F16" s="42"/>
      <c r="G16" s="85"/>
      <c r="H16" s="206"/>
      <c r="I16" s="209" t="str">
        <f>_xlfn.XLOOKUP(Journal[[#This Row],[ref]],TransInfo[Num],TransInfo[ref],"")</f>
        <v/>
      </c>
      <c r="J16" s="205" cm="1">
        <f t="array" ref="J16">_xlfn.IFS(ISBLANK(Journal[[#This Row],[ref2]]),0,NOT(ISBLANK(Journal[[#This Row],[ref2]])),J15+1)</f>
        <v>7</v>
      </c>
      <c r="K16" s="1" t="str">
        <f>IF(NOT(ISBLANK(Journal[[#This Row],[ref2]])),Journal[[#This Row],[ref2]]&amp;Journal[[#This Row],[LineNum]],"")</f>
        <v>7</v>
      </c>
      <c r="L16" s="42" cm="1">
        <f t="array" ref="L16">IFERROR(_xlfn.IFS(Journal[[#This Row],[DrAccnt]]="Cash",Journal[[#This Row],[DrAmt]],Journal[[#This Row],[CrAccnt]]="Cash",-Journal[[#This Row],[CrAmt]]),0)</f>
        <v>0</v>
      </c>
      <c r="M16" s="1" t="str">
        <f>Journal[[#This Row],[AccntType]]&amp;"[Name]"</f>
        <v>[Name]</v>
      </c>
    </row>
    <row r="17" spans="2:13" x14ac:dyDescent="0.2">
      <c r="B17" s="392"/>
      <c r="C17" s="208"/>
      <c r="F17" s="42"/>
      <c r="G17" s="85"/>
      <c r="H17" s="206"/>
      <c r="I17" s="209" t="str">
        <f>_xlfn.XLOOKUP(Journal[[#This Row],[ref]],TransInfo[Num],TransInfo[ref],"")</f>
        <v/>
      </c>
      <c r="J17" s="205" cm="1">
        <f t="array" ref="J17">_xlfn.IFS(ISBLANK(Journal[[#This Row],[ref2]]),0,NOT(ISBLANK(Journal[[#This Row],[ref2]])),J16+1)</f>
        <v>8</v>
      </c>
      <c r="K17" s="1" t="str">
        <f>IF(NOT(ISBLANK(Journal[[#This Row],[ref2]])),Journal[[#This Row],[ref2]]&amp;Journal[[#This Row],[LineNum]],"")</f>
        <v>8</v>
      </c>
      <c r="L17" s="42" cm="1">
        <f t="array" ref="L17">IFERROR(_xlfn.IFS(Journal[[#This Row],[DrAccnt]]="Cash",Journal[[#This Row],[DrAmt]],Journal[[#This Row],[CrAccnt]]="Cash",-Journal[[#This Row],[CrAmt]]),0)</f>
        <v>0</v>
      </c>
      <c r="M17" s="1" t="str">
        <f>Journal[[#This Row],[AccntType]]&amp;"[Name]"</f>
        <v>[Name]</v>
      </c>
    </row>
    <row r="18" spans="2:13" x14ac:dyDescent="0.2">
      <c r="B18" s="392"/>
      <c r="C18" s="208"/>
      <c r="F18" s="42"/>
      <c r="G18" s="85"/>
      <c r="H18" s="206"/>
      <c r="I18" s="209" t="str">
        <f>_xlfn.XLOOKUP(Journal[[#This Row],[ref]],TransInfo[Num],TransInfo[ref],"")</f>
        <v/>
      </c>
      <c r="J18" s="205" cm="1">
        <f t="array" ref="J18">_xlfn.IFS(ISBLANK(Journal[[#This Row],[ref2]]),0,NOT(ISBLANK(Journal[[#This Row],[ref2]])),J17+1)</f>
        <v>9</v>
      </c>
      <c r="K18" s="1" t="str">
        <f>IF(NOT(ISBLANK(Journal[[#This Row],[ref2]])),Journal[[#This Row],[ref2]]&amp;Journal[[#This Row],[LineNum]],"")</f>
        <v>9</v>
      </c>
      <c r="L18" s="42" cm="1">
        <f t="array" ref="L18">IFERROR(_xlfn.IFS(Journal[[#This Row],[DrAccnt]]="Cash",Journal[[#This Row],[DrAmt]],Journal[[#This Row],[CrAccnt]]="Cash",-Journal[[#This Row],[CrAmt]]),0)</f>
        <v>0</v>
      </c>
      <c r="M18" s="1" t="str">
        <f>Journal[[#This Row],[AccntType]]&amp;"[Name]"</f>
        <v>[Name]</v>
      </c>
    </row>
    <row r="19" spans="2:13" x14ac:dyDescent="0.2">
      <c r="B19" s="392"/>
      <c r="C19" s="208"/>
      <c r="F19" s="42"/>
      <c r="G19" s="85"/>
      <c r="H19" s="206"/>
      <c r="I19" s="209" t="str">
        <f>_xlfn.XLOOKUP(Journal[[#This Row],[ref]],TransInfo[Num],TransInfo[ref],"")</f>
        <v/>
      </c>
      <c r="J19" s="205" cm="1">
        <f t="array" ref="J19">_xlfn.IFS(ISBLANK(Journal[[#This Row],[ref2]]),0,NOT(ISBLANK(Journal[[#This Row],[ref2]])),J18+1)</f>
        <v>10</v>
      </c>
      <c r="K19" s="1" t="str">
        <f>IF(NOT(ISBLANK(Journal[[#This Row],[ref2]])),Journal[[#This Row],[ref2]]&amp;Journal[[#This Row],[LineNum]],"")</f>
        <v>10</v>
      </c>
      <c r="L19" s="42" cm="1">
        <f t="array" ref="L19">IFERROR(_xlfn.IFS(Journal[[#This Row],[DrAccnt]]="Cash",Journal[[#This Row],[DrAmt]],Journal[[#This Row],[CrAccnt]]="Cash",-Journal[[#This Row],[CrAmt]]),0)</f>
        <v>0</v>
      </c>
      <c r="M19" s="1" t="str">
        <f>Journal[[#This Row],[AccntType]]&amp;"[Name]"</f>
        <v>[Name]</v>
      </c>
    </row>
    <row r="20" spans="2:13" x14ac:dyDescent="0.2">
      <c r="B20" s="392"/>
      <c r="C20" s="208"/>
      <c r="F20" s="42"/>
      <c r="G20" s="85"/>
      <c r="H20" s="206"/>
      <c r="I20" s="209" t="str">
        <f>_xlfn.XLOOKUP(Journal[[#This Row],[ref]],TransInfo[Num],TransInfo[ref],"")</f>
        <v/>
      </c>
      <c r="J20" s="205" cm="1">
        <f t="array" ref="J20">_xlfn.IFS(ISBLANK(Journal[[#This Row],[ref2]]),0,NOT(ISBLANK(Journal[[#This Row],[ref2]])),J19+1)</f>
        <v>11</v>
      </c>
      <c r="K20" s="1" t="str">
        <f>IF(NOT(ISBLANK(Journal[[#This Row],[ref2]])),Journal[[#This Row],[ref2]]&amp;Journal[[#This Row],[LineNum]],"")</f>
        <v>11</v>
      </c>
      <c r="L20" s="42" cm="1">
        <f t="array" ref="L20">IFERROR(_xlfn.IFS(Journal[[#This Row],[DrAccnt]]="Cash",Journal[[#This Row],[DrAmt]],Journal[[#This Row],[CrAccnt]]="Cash",-Journal[[#This Row],[CrAmt]]),0)</f>
        <v>0</v>
      </c>
      <c r="M20" s="1" t="str">
        <f>Journal[[#This Row],[AccntType]]&amp;"[Name]"</f>
        <v>[Name]</v>
      </c>
    </row>
    <row r="21" spans="2:13" x14ac:dyDescent="0.2">
      <c r="B21" s="392"/>
      <c r="C21" s="208"/>
      <c r="F21" s="42"/>
      <c r="G21" s="85"/>
      <c r="H21" s="206"/>
      <c r="I21" s="209" t="str">
        <f>_xlfn.XLOOKUP(Journal[[#This Row],[ref]],TransInfo[Num],TransInfo[ref],"")</f>
        <v/>
      </c>
      <c r="J21" s="205" cm="1">
        <f t="array" ref="J21">_xlfn.IFS(ISBLANK(Journal[[#This Row],[ref2]]),0,NOT(ISBLANK(Journal[[#This Row],[ref2]])),J20+1)</f>
        <v>12</v>
      </c>
      <c r="K21" s="1" t="str">
        <f>IF(NOT(ISBLANK(Journal[[#This Row],[ref2]])),Journal[[#This Row],[ref2]]&amp;Journal[[#This Row],[LineNum]],"")</f>
        <v>12</v>
      </c>
      <c r="L21" s="42" cm="1">
        <f t="array" ref="L21">IFERROR(_xlfn.IFS(Journal[[#This Row],[DrAccnt]]="Cash",Journal[[#This Row],[DrAmt]],Journal[[#This Row],[CrAccnt]]="Cash",-Journal[[#This Row],[CrAmt]]),0)</f>
        <v>0</v>
      </c>
      <c r="M21" s="1" t="str">
        <f>Journal[[#This Row],[AccntType]]&amp;"[Name]"</f>
        <v>[Name]</v>
      </c>
    </row>
    <row r="22" spans="2:13" x14ac:dyDescent="0.2">
      <c r="B22" s="392"/>
      <c r="C22" s="208"/>
      <c r="F22" s="42"/>
      <c r="G22" s="85"/>
      <c r="H22" s="206"/>
      <c r="I22" s="209" t="str">
        <f>_xlfn.XLOOKUP(Journal[[#This Row],[ref]],TransInfo[Num],TransInfo[ref],"")</f>
        <v/>
      </c>
      <c r="J22" s="205" cm="1">
        <f t="array" ref="J22">_xlfn.IFS(ISBLANK(Journal[[#This Row],[ref2]]),0,NOT(ISBLANK(Journal[[#This Row],[ref2]])),J21+1)</f>
        <v>13</v>
      </c>
      <c r="K22" s="1" t="str">
        <f>IF(NOT(ISBLANK(Journal[[#This Row],[ref2]])),Journal[[#This Row],[ref2]]&amp;Journal[[#This Row],[LineNum]],"")</f>
        <v>13</v>
      </c>
      <c r="L22" s="42" cm="1">
        <f t="array" ref="L22">IFERROR(_xlfn.IFS(Journal[[#This Row],[DrAccnt]]="Cash",Journal[[#This Row],[DrAmt]],Journal[[#This Row],[CrAccnt]]="Cash",-Journal[[#This Row],[CrAmt]]),0)</f>
        <v>0</v>
      </c>
      <c r="M22" s="1" t="str">
        <f>Journal[[#This Row],[AccntType]]&amp;"[Name]"</f>
        <v>[Name]</v>
      </c>
    </row>
    <row r="23" spans="2:13" x14ac:dyDescent="0.2">
      <c r="B23" s="392"/>
      <c r="C23" s="208"/>
      <c r="F23" s="42"/>
      <c r="G23" s="85"/>
      <c r="H23" s="206"/>
      <c r="I23" s="209" t="str">
        <f>_xlfn.XLOOKUP(Journal[[#This Row],[ref]],TransInfo[Num],TransInfo[ref],"")</f>
        <v/>
      </c>
      <c r="J23" s="205" cm="1">
        <f t="array" ref="J23">_xlfn.IFS(ISBLANK(Journal[[#This Row],[ref2]]),0,NOT(ISBLANK(Journal[[#This Row],[ref2]])),J22+1)</f>
        <v>14</v>
      </c>
      <c r="K23" s="1" t="str">
        <f>IF(NOT(ISBLANK(Journal[[#This Row],[ref2]])),Journal[[#This Row],[ref2]]&amp;Journal[[#This Row],[LineNum]],"")</f>
        <v>14</v>
      </c>
      <c r="L23" s="42" cm="1">
        <f t="array" ref="L23">IFERROR(_xlfn.IFS(Journal[[#This Row],[DrAccnt]]="Cash",Journal[[#This Row],[DrAmt]],Journal[[#This Row],[CrAccnt]]="Cash",-Journal[[#This Row],[CrAmt]]),0)</f>
        <v>0</v>
      </c>
      <c r="M23" s="1" t="str">
        <f>Journal[[#This Row],[AccntType]]&amp;"[Name]"</f>
        <v>[Name]</v>
      </c>
    </row>
    <row r="24" spans="2:13" x14ac:dyDescent="0.2">
      <c r="B24" s="392"/>
      <c r="C24" s="208"/>
      <c r="F24" s="42"/>
      <c r="G24" s="85"/>
      <c r="H24" s="206"/>
      <c r="I24" s="209" t="str">
        <f>_xlfn.XLOOKUP(Journal[[#This Row],[ref]],TransInfo[Num],TransInfo[ref],"")</f>
        <v/>
      </c>
      <c r="J24" s="205" cm="1">
        <f t="array" ref="J24">_xlfn.IFS(ISBLANK(Journal[[#This Row],[ref2]]),0,NOT(ISBLANK(Journal[[#This Row],[ref2]])),J23+1)</f>
        <v>15</v>
      </c>
      <c r="K24" s="1" t="str">
        <f>IF(NOT(ISBLANK(Journal[[#This Row],[ref2]])),Journal[[#This Row],[ref2]]&amp;Journal[[#This Row],[LineNum]],"")</f>
        <v>15</v>
      </c>
      <c r="L24" s="42" cm="1">
        <f t="array" ref="L24">IFERROR(_xlfn.IFS(Journal[[#This Row],[DrAccnt]]="Cash",Journal[[#This Row],[DrAmt]],Journal[[#This Row],[CrAccnt]]="Cash",-Journal[[#This Row],[CrAmt]]),0)</f>
        <v>0</v>
      </c>
      <c r="M24" s="1" t="str">
        <f>Journal[[#This Row],[AccntType]]&amp;"[Name]"</f>
        <v>[Name]</v>
      </c>
    </row>
    <row r="25" spans="2:13" x14ac:dyDescent="0.2">
      <c r="B25" s="392"/>
      <c r="C25" s="208"/>
      <c r="F25" s="42"/>
      <c r="G25" s="85"/>
      <c r="H25" s="206"/>
      <c r="I25" s="209" t="str">
        <f>_xlfn.XLOOKUP(Journal[[#This Row],[ref]],TransInfo[Num],TransInfo[ref],"")</f>
        <v/>
      </c>
      <c r="J25" s="205" cm="1">
        <f t="array" ref="J25">_xlfn.IFS(ISBLANK(Journal[[#This Row],[ref2]]),0,NOT(ISBLANK(Journal[[#This Row],[ref2]])),J24+1)</f>
        <v>16</v>
      </c>
      <c r="K25" s="1" t="str">
        <f>IF(NOT(ISBLANK(Journal[[#This Row],[ref2]])),Journal[[#This Row],[ref2]]&amp;Journal[[#This Row],[LineNum]],"")</f>
        <v>16</v>
      </c>
      <c r="L25" s="42" cm="1">
        <f t="array" ref="L25">IFERROR(_xlfn.IFS(Journal[[#This Row],[DrAccnt]]="Cash",Journal[[#This Row],[DrAmt]],Journal[[#This Row],[CrAccnt]]="Cash",-Journal[[#This Row],[CrAmt]]),0)</f>
        <v>0</v>
      </c>
      <c r="M25" s="1" t="str">
        <f>Journal[[#This Row],[AccntType]]&amp;"[Name]"</f>
        <v>[Name]</v>
      </c>
    </row>
    <row r="26" spans="2:13" x14ac:dyDescent="0.2">
      <c r="B26" s="392"/>
      <c r="C26" s="208"/>
      <c r="F26" s="42"/>
      <c r="G26" s="85"/>
      <c r="H26" s="206"/>
      <c r="I26" s="209" t="str">
        <f>_xlfn.XLOOKUP(Journal[[#This Row],[ref]],TransInfo[Num],TransInfo[ref],"")</f>
        <v/>
      </c>
      <c r="J26" s="205" cm="1">
        <f t="array" ref="J26">_xlfn.IFS(ISBLANK(Journal[[#This Row],[ref2]]),0,NOT(ISBLANK(Journal[[#This Row],[ref2]])),J25+1)</f>
        <v>17</v>
      </c>
      <c r="K26" s="1" t="str">
        <f>IF(NOT(ISBLANK(Journal[[#This Row],[ref2]])),Journal[[#This Row],[ref2]]&amp;Journal[[#This Row],[LineNum]],"")</f>
        <v>17</v>
      </c>
      <c r="L26" s="42" cm="1">
        <f t="array" ref="L26">IFERROR(_xlfn.IFS(Journal[[#This Row],[DrAccnt]]="Cash",Journal[[#This Row],[DrAmt]],Journal[[#This Row],[CrAccnt]]="Cash",-Journal[[#This Row],[CrAmt]]),0)</f>
        <v>0</v>
      </c>
      <c r="M26" s="1" t="str">
        <f>Journal[[#This Row],[AccntType]]&amp;"[Name]"</f>
        <v>[Name]</v>
      </c>
    </row>
    <row r="27" spans="2:13" x14ac:dyDescent="0.2">
      <c r="B27" s="392"/>
      <c r="C27" s="208"/>
      <c r="F27" s="42"/>
      <c r="G27" s="85"/>
      <c r="H27" s="206"/>
      <c r="I27" s="209" t="str">
        <f>_xlfn.XLOOKUP(Journal[[#This Row],[ref]],TransInfo[Num],TransInfo[ref],"")</f>
        <v/>
      </c>
      <c r="J27" s="205" cm="1">
        <f t="array" ref="J27">_xlfn.IFS(ISBLANK(Journal[[#This Row],[ref2]]),0,NOT(ISBLANK(Journal[[#This Row],[ref2]])),J26+1)</f>
        <v>18</v>
      </c>
      <c r="K27" s="1" t="str">
        <f>IF(NOT(ISBLANK(Journal[[#This Row],[ref2]])),Journal[[#This Row],[ref2]]&amp;Journal[[#This Row],[LineNum]],"")</f>
        <v>18</v>
      </c>
      <c r="L27" s="42" cm="1">
        <f t="array" ref="L27">IFERROR(_xlfn.IFS(Journal[[#This Row],[DrAccnt]]="Cash",Journal[[#This Row],[DrAmt]],Journal[[#This Row],[CrAccnt]]="Cash",-Journal[[#This Row],[CrAmt]]),0)</f>
        <v>0</v>
      </c>
      <c r="M27" s="1" t="str">
        <f>Journal[[#This Row],[AccntType]]&amp;"[Name]"</f>
        <v>[Name]</v>
      </c>
    </row>
    <row r="28" spans="2:13" x14ac:dyDescent="0.2">
      <c r="B28" s="392"/>
      <c r="C28" s="208"/>
      <c r="F28" s="42"/>
      <c r="G28" s="85"/>
      <c r="H28" s="206"/>
      <c r="I28" s="209" t="str">
        <f>_xlfn.XLOOKUP(Journal[[#This Row],[ref]],TransInfo[Num],TransInfo[ref],"")</f>
        <v/>
      </c>
      <c r="J28" s="205" cm="1">
        <f t="array" ref="J28">_xlfn.IFS(ISBLANK(Journal[[#This Row],[ref2]]),0,NOT(ISBLANK(Journal[[#This Row],[ref2]])),J27+1)</f>
        <v>19</v>
      </c>
      <c r="K28" s="1" t="str">
        <f>IF(NOT(ISBLANK(Journal[[#This Row],[ref2]])),Journal[[#This Row],[ref2]]&amp;Journal[[#This Row],[LineNum]],"")</f>
        <v>19</v>
      </c>
      <c r="L28" s="42" cm="1">
        <f t="array" ref="L28">IFERROR(_xlfn.IFS(Journal[[#This Row],[DrAccnt]]="Cash",Journal[[#This Row],[DrAmt]],Journal[[#This Row],[CrAccnt]]="Cash",-Journal[[#This Row],[CrAmt]]),0)</f>
        <v>0</v>
      </c>
      <c r="M28" s="1" t="str">
        <f>Journal[[#This Row],[AccntType]]&amp;"[Name]"</f>
        <v>[Name]</v>
      </c>
    </row>
    <row r="29" spans="2:13" x14ac:dyDescent="0.2">
      <c r="B29" s="392"/>
      <c r="C29" s="208"/>
      <c r="F29" s="42"/>
      <c r="G29" s="85"/>
      <c r="H29" s="206"/>
      <c r="I29" s="209" t="str">
        <f>_xlfn.XLOOKUP(Journal[[#This Row],[ref]],TransInfo[Num],TransInfo[ref],"")</f>
        <v/>
      </c>
      <c r="J29" s="205" cm="1">
        <f t="array" ref="J29">_xlfn.IFS(ISBLANK(Journal[[#This Row],[ref2]]),0,NOT(ISBLANK(Journal[[#This Row],[ref2]])),J28+1)</f>
        <v>20</v>
      </c>
      <c r="K29" s="1" t="str">
        <f>IF(NOT(ISBLANK(Journal[[#This Row],[ref2]])),Journal[[#This Row],[ref2]]&amp;Journal[[#This Row],[LineNum]],"")</f>
        <v>20</v>
      </c>
      <c r="L29" s="42" cm="1">
        <f t="array" ref="L29">IFERROR(_xlfn.IFS(Journal[[#This Row],[DrAccnt]]="Cash",Journal[[#This Row],[DrAmt]],Journal[[#This Row],[CrAccnt]]="Cash",-Journal[[#This Row],[CrAmt]]),0)</f>
        <v>0</v>
      </c>
      <c r="M29" s="1" t="str">
        <f>Journal[[#This Row],[AccntType]]&amp;"[Name]"</f>
        <v>[Name]</v>
      </c>
    </row>
    <row r="30" spans="2:13" x14ac:dyDescent="0.2">
      <c r="B30" s="392"/>
      <c r="C30" s="208"/>
      <c r="F30" s="42"/>
      <c r="G30" s="85"/>
      <c r="H30" s="206"/>
      <c r="I30" s="209" t="str">
        <f>_xlfn.XLOOKUP(Journal[[#This Row],[ref]],TransInfo[Num],TransInfo[ref],"")</f>
        <v/>
      </c>
      <c r="J30" s="205" cm="1">
        <f t="array" ref="J30">_xlfn.IFS(ISBLANK(Journal[[#This Row],[ref2]]),0,NOT(ISBLANK(Journal[[#This Row],[ref2]])),J29+1)</f>
        <v>21</v>
      </c>
      <c r="K30" s="1" t="str">
        <f>IF(NOT(ISBLANK(Journal[[#This Row],[ref2]])),Journal[[#This Row],[ref2]]&amp;Journal[[#This Row],[LineNum]],"")</f>
        <v>21</v>
      </c>
      <c r="L30" s="42" cm="1">
        <f t="array" ref="L30">IFERROR(_xlfn.IFS(Journal[[#This Row],[DrAccnt]]="Cash",Journal[[#This Row],[DrAmt]],Journal[[#This Row],[CrAccnt]]="Cash",-Journal[[#This Row],[CrAmt]]),0)</f>
        <v>0</v>
      </c>
      <c r="M30" s="1" t="str">
        <f>Journal[[#This Row],[AccntType]]&amp;"[Name]"</f>
        <v>[Name]</v>
      </c>
    </row>
    <row r="31" spans="2:13" x14ac:dyDescent="0.2">
      <c r="B31" s="392"/>
      <c r="C31" s="208"/>
      <c r="F31" s="42"/>
      <c r="G31" s="85"/>
      <c r="H31" s="206"/>
      <c r="I31" s="209" t="str">
        <f>_xlfn.XLOOKUP(Journal[[#This Row],[ref]],TransInfo[Num],TransInfo[ref],"")</f>
        <v/>
      </c>
      <c r="J31" s="205" cm="1">
        <f t="array" ref="J31">_xlfn.IFS(ISBLANK(Journal[[#This Row],[ref2]]),0,NOT(ISBLANK(Journal[[#This Row],[ref2]])),J30+1)</f>
        <v>22</v>
      </c>
      <c r="K31" s="1" t="str">
        <f>IF(NOT(ISBLANK(Journal[[#This Row],[ref2]])),Journal[[#This Row],[ref2]]&amp;Journal[[#This Row],[LineNum]],"")</f>
        <v>22</v>
      </c>
      <c r="L31" s="42" cm="1">
        <f t="array" ref="L31">IFERROR(_xlfn.IFS(Journal[[#This Row],[DrAccnt]]="Cash",Journal[[#This Row],[DrAmt]],Journal[[#This Row],[CrAccnt]]="Cash",-Journal[[#This Row],[CrAmt]]),0)</f>
        <v>0</v>
      </c>
      <c r="M31" s="1" t="str">
        <f>Journal[[#This Row],[AccntType]]&amp;"[Name]"</f>
        <v>[Name]</v>
      </c>
    </row>
    <row r="32" spans="2:13" x14ac:dyDescent="0.2">
      <c r="B32" s="392"/>
      <c r="C32" s="208"/>
      <c r="F32" s="42"/>
      <c r="G32" s="85"/>
      <c r="H32" s="206"/>
      <c r="I32" s="209" t="str">
        <f>_xlfn.XLOOKUP(Journal[[#This Row],[ref]],TransInfo[Num],TransInfo[ref],"")</f>
        <v/>
      </c>
      <c r="J32" s="205" cm="1">
        <f t="array" ref="J32">_xlfn.IFS(ISBLANK(Journal[[#This Row],[ref2]]),0,NOT(ISBLANK(Journal[[#This Row],[ref2]])),J31+1)</f>
        <v>23</v>
      </c>
      <c r="K32" s="1" t="str">
        <f>IF(NOT(ISBLANK(Journal[[#This Row],[ref2]])),Journal[[#This Row],[ref2]]&amp;Journal[[#This Row],[LineNum]],"")</f>
        <v>23</v>
      </c>
      <c r="L32" s="42" cm="1">
        <f t="array" ref="L32">IFERROR(_xlfn.IFS(Journal[[#This Row],[DrAccnt]]="Cash",Journal[[#This Row],[DrAmt]],Journal[[#This Row],[CrAccnt]]="Cash",-Journal[[#This Row],[CrAmt]]),0)</f>
        <v>0</v>
      </c>
      <c r="M32" s="1" t="str">
        <f>Journal[[#This Row],[AccntType]]&amp;"[Name]"</f>
        <v>[Name]</v>
      </c>
    </row>
    <row r="33" spans="2:13" x14ac:dyDescent="0.2">
      <c r="B33" s="392"/>
      <c r="C33" s="208"/>
      <c r="F33" s="42"/>
      <c r="G33" s="85"/>
      <c r="H33" s="206"/>
      <c r="I33" s="209" t="str">
        <f>_xlfn.XLOOKUP(Journal[[#This Row],[ref]],TransInfo[Num],TransInfo[ref],"")</f>
        <v/>
      </c>
      <c r="J33" s="205" cm="1">
        <f t="array" ref="J33">_xlfn.IFS(ISBLANK(Journal[[#This Row],[ref2]]),0,NOT(ISBLANK(Journal[[#This Row],[ref2]])),J32+1)</f>
        <v>24</v>
      </c>
      <c r="K33" s="1" t="str">
        <f>IF(NOT(ISBLANK(Journal[[#This Row],[ref2]])),Journal[[#This Row],[ref2]]&amp;Journal[[#This Row],[LineNum]],"")</f>
        <v>24</v>
      </c>
      <c r="L33" s="42" cm="1">
        <f t="array" ref="L33">IFERROR(_xlfn.IFS(Journal[[#This Row],[DrAccnt]]="Cash",Journal[[#This Row],[DrAmt]],Journal[[#This Row],[CrAccnt]]="Cash",-Journal[[#This Row],[CrAmt]]),0)</f>
        <v>0</v>
      </c>
      <c r="M33" s="1" t="str">
        <f>Journal[[#This Row],[AccntType]]&amp;"[Name]"</f>
        <v>[Name]</v>
      </c>
    </row>
    <row r="34" spans="2:13" x14ac:dyDescent="0.2">
      <c r="B34" s="392"/>
      <c r="C34" s="208"/>
      <c r="F34" s="42"/>
      <c r="G34" s="85"/>
      <c r="H34" s="206"/>
      <c r="I34" s="209" t="str">
        <f>_xlfn.XLOOKUP(Journal[[#This Row],[ref]],TransInfo[Num],TransInfo[ref],"")</f>
        <v/>
      </c>
      <c r="J34" s="205" cm="1">
        <f t="array" ref="J34">_xlfn.IFS(ISBLANK(Journal[[#This Row],[ref2]]),0,NOT(ISBLANK(Journal[[#This Row],[ref2]])),J33+1)</f>
        <v>25</v>
      </c>
      <c r="K34" s="1" t="str">
        <f>IF(NOT(ISBLANK(Journal[[#This Row],[ref2]])),Journal[[#This Row],[ref2]]&amp;Journal[[#This Row],[LineNum]],"")</f>
        <v>25</v>
      </c>
      <c r="L34" s="42" cm="1">
        <f t="array" ref="L34">IFERROR(_xlfn.IFS(Journal[[#This Row],[DrAccnt]]="Cash",Journal[[#This Row],[DrAmt]],Journal[[#This Row],[CrAccnt]]="Cash",-Journal[[#This Row],[CrAmt]]),0)</f>
        <v>0</v>
      </c>
      <c r="M34" s="1" t="str">
        <f>Journal[[#This Row],[AccntType]]&amp;"[Name]"</f>
        <v>[Name]</v>
      </c>
    </row>
    <row r="35" spans="2:13" x14ac:dyDescent="0.2">
      <c r="B35" s="392"/>
      <c r="C35" s="208"/>
      <c r="F35" s="42"/>
      <c r="G35" s="85"/>
      <c r="H35" s="206"/>
      <c r="I35" s="209" t="str">
        <f>_xlfn.XLOOKUP(Journal[[#This Row],[ref]],TransInfo[Num],TransInfo[ref],"")</f>
        <v/>
      </c>
      <c r="J35" s="205" cm="1">
        <f t="array" ref="J35">_xlfn.IFS(ISBLANK(Journal[[#This Row],[ref2]]),0,NOT(ISBLANK(Journal[[#This Row],[ref2]])),J34+1)</f>
        <v>26</v>
      </c>
      <c r="K35" s="1" t="str">
        <f>IF(NOT(ISBLANK(Journal[[#This Row],[ref2]])),Journal[[#This Row],[ref2]]&amp;Journal[[#This Row],[LineNum]],"")</f>
        <v>26</v>
      </c>
      <c r="L35" s="42" cm="1">
        <f t="array" ref="L35">IFERROR(_xlfn.IFS(Journal[[#This Row],[DrAccnt]]="Cash",Journal[[#This Row],[DrAmt]],Journal[[#This Row],[CrAccnt]]="Cash",-Journal[[#This Row],[CrAmt]]),0)</f>
        <v>0</v>
      </c>
      <c r="M35" s="1" t="str">
        <f>Journal[[#This Row],[AccntType]]&amp;"[Name]"</f>
        <v>[Name]</v>
      </c>
    </row>
    <row r="36" spans="2:13" x14ac:dyDescent="0.2">
      <c r="B36" s="392"/>
      <c r="C36" s="208"/>
      <c r="F36" s="42"/>
      <c r="G36" s="85"/>
      <c r="H36" s="206"/>
      <c r="I36" s="209" t="str">
        <f>_xlfn.XLOOKUP(Journal[[#This Row],[ref]],TransInfo[Num],TransInfo[ref],"")</f>
        <v/>
      </c>
      <c r="J36" s="205" cm="1">
        <f t="array" ref="J36">_xlfn.IFS(ISBLANK(Journal[[#This Row],[ref2]]),0,NOT(ISBLANK(Journal[[#This Row],[ref2]])),J35+1)</f>
        <v>27</v>
      </c>
      <c r="K36" s="1" t="str">
        <f>IF(NOT(ISBLANK(Journal[[#This Row],[ref2]])),Journal[[#This Row],[ref2]]&amp;Journal[[#This Row],[LineNum]],"")</f>
        <v>27</v>
      </c>
      <c r="L36" s="42" cm="1">
        <f t="array" ref="L36">IFERROR(_xlfn.IFS(Journal[[#This Row],[DrAccnt]]="Cash",Journal[[#This Row],[DrAmt]],Journal[[#This Row],[CrAccnt]]="Cash",-Journal[[#This Row],[CrAmt]]),0)</f>
        <v>0</v>
      </c>
      <c r="M36" s="1" t="str">
        <f>Journal[[#This Row],[AccntType]]&amp;"[Name]"</f>
        <v>[Name]</v>
      </c>
    </row>
    <row r="37" spans="2:13" x14ac:dyDescent="0.2">
      <c r="B37" s="392"/>
      <c r="C37" s="208"/>
      <c r="F37" s="42"/>
      <c r="G37" s="85"/>
      <c r="H37" s="206"/>
      <c r="I37" s="209" t="str">
        <f>_xlfn.XLOOKUP(Journal[[#This Row],[ref]],TransInfo[Num],TransInfo[ref],"")</f>
        <v/>
      </c>
      <c r="J37" s="205" cm="1">
        <f t="array" ref="J37">_xlfn.IFS(ISBLANK(Journal[[#This Row],[ref2]]),0,NOT(ISBLANK(Journal[[#This Row],[ref2]])),J36+1)</f>
        <v>28</v>
      </c>
      <c r="K37" s="1" t="str">
        <f>IF(NOT(ISBLANK(Journal[[#This Row],[ref2]])),Journal[[#This Row],[ref2]]&amp;Journal[[#This Row],[LineNum]],"")</f>
        <v>28</v>
      </c>
      <c r="L37" s="42" cm="1">
        <f t="array" ref="L37">IFERROR(_xlfn.IFS(Journal[[#This Row],[DrAccnt]]="Cash",Journal[[#This Row],[DrAmt]],Journal[[#This Row],[CrAccnt]]="Cash",-Journal[[#This Row],[CrAmt]]),0)</f>
        <v>0</v>
      </c>
      <c r="M37" s="1" t="str">
        <f>Journal[[#This Row],[AccntType]]&amp;"[Name]"</f>
        <v>[Name]</v>
      </c>
    </row>
    <row r="38" spans="2:13" x14ac:dyDescent="0.2">
      <c r="B38" s="392"/>
      <c r="C38" s="208"/>
      <c r="F38" s="42"/>
      <c r="G38" s="85"/>
      <c r="H38" s="206"/>
      <c r="I38" s="209" t="str">
        <f>_xlfn.XLOOKUP(Journal[[#This Row],[ref]],TransInfo[Num],TransInfo[ref],"")</f>
        <v/>
      </c>
      <c r="J38" s="205" cm="1">
        <f t="array" ref="J38">_xlfn.IFS(ISBLANK(Journal[[#This Row],[ref2]]),0,NOT(ISBLANK(Journal[[#This Row],[ref2]])),J37+1)</f>
        <v>29</v>
      </c>
      <c r="K38" s="1" t="str">
        <f>IF(NOT(ISBLANK(Journal[[#This Row],[ref2]])),Journal[[#This Row],[ref2]]&amp;Journal[[#This Row],[LineNum]],"")</f>
        <v>29</v>
      </c>
      <c r="L38" s="42" cm="1">
        <f t="array" ref="L38">IFERROR(_xlfn.IFS(Journal[[#This Row],[DrAccnt]]="Cash",Journal[[#This Row],[DrAmt]],Journal[[#This Row],[CrAccnt]]="Cash",-Journal[[#This Row],[CrAmt]]),0)</f>
        <v>0</v>
      </c>
      <c r="M38" s="1" t="str">
        <f>Journal[[#This Row],[AccntType]]&amp;"[Name]"</f>
        <v>[Name]</v>
      </c>
    </row>
    <row r="39" spans="2:13" x14ac:dyDescent="0.2">
      <c r="B39" s="392"/>
      <c r="C39" s="208"/>
      <c r="F39" s="42"/>
      <c r="G39" s="85"/>
      <c r="H39" s="206"/>
      <c r="I39" s="209" t="str">
        <f>_xlfn.XLOOKUP(Journal[[#This Row],[ref]],TransInfo[Num],TransInfo[ref],"")</f>
        <v/>
      </c>
      <c r="J39" s="205" cm="1">
        <f t="array" ref="J39">_xlfn.IFS(ISBLANK(Journal[[#This Row],[ref2]]),0,NOT(ISBLANK(Journal[[#This Row],[ref2]])),J38+1)</f>
        <v>30</v>
      </c>
      <c r="K39" s="1" t="str">
        <f>IF(NOT(ISBLANK(Journal[[#This Row],[ref2]])),Journal[[#This Row],[ref2]]&amp;Journal[[#This Row],[LineNum]],"")</f>
        <v>30</v>
      </c>
      <c r="L39" s="42" cm="1">
        <f t="array" ref="L39">IFERROR(_xlfn.IFS(Journal[[#This Row],[DrAccnt]]="Cash",Journal[[#This Row],[DrAmt]],Journal[[#This Row],[CrAccnt]]="Cash",-Journal[[#This Row],[CrAmt]]),0)</f>
        <v>0</v>
      </c>
      <c r="M39" s="1" t="str">
        <f>Journal[[#This Row],[AccntType]]&amp;"[Name]"</f>
        <v>[Name]</v>
      </c>
    </row>
    <row r="40" spans="2:13" x14ac:dyDescent="0.2">
      <c r="B40" s="392"/>
      <c r="C40" s="208"/>
      <c r="F40" s="42"/>
      <c r="G40" s="85"/>
      <c r="H40" s="206"/>
      <c r="I40" s="209" t="str">
        <f>_xlfn.XLOOKUP(Journal[[#This Row],[ref]],TransInfo[Num],TransInfo[ref],"")</f>
        <v/>
      </c>
      <c r="J40" s="205" cm="1">
        <f t="array" ref="J40">_xlfn.IFS(ISBLANK(Journal[[#This Row],[ref2]]),0,NOT(ISBLANK(Journal[[#This Row],[ref2]])),J39+1)</f>
        <v>31</v>
      </c>
      <c r="K40" s="1" t="str">
        <f>IF(NOT(ISBLANK(Journal[[#This Row],[ref2]])),Journal[[#This Row],[ref2]]&amp;Journal[[#This Row],[LineNum]],"")</f>
        <v>31</v>
      </c>
      <c r="L40" s="42" cm="1">
        <f t="array" ref="L40">IFERROR(_xlfn.IFS(Journal[[#This Row],[DrAccnt]]="Cash",Journal[[#This Row],[DrAmt]],Journal[[#This Row],[CrAccnt]]="Cash",-Journal[[#This Row],[CrAmt]]),0)</f>
        <v>0</v>
      </c>
      <c r="M40" s="1" t="str">
        <f>Journal[[#This Row],[AccntType]]&amp;"[Name]"</f>
        <v>[Name]</v>
      </c>
    </row>
    <row r="41" spans="2:13" x14ac:dyDescent="0.2">
      <c r="B41" s="392"/>
      <c r="C41" s="208"/>
      <c r="F41" s="42"/>
      <c r="G41" s="85"/>
      <c r="H41" s="206"/>
      <c r="I41" s="209" t="str">
        <f>_xlfn.XLOOKUP(Journal[[#This Row],[ref]],TransInfo[Num],TransInfo[ref],"")</f>
        <v/>
      </c>
      <c r="J41" s="205" cm="1">
        <f t="array" ref="J41">_xlfn.IFS(ISBLANK(Journal[[#This Row],[ref2]]),0,NOT(ISBLANK(Journal[[#This Row],[ref2]])),J40+1)</f>
        <v>32</v>
      </c>
      <c r="K41" s="1" t="str">
        <f>IF(NOT(ISBLANK(Journal[[#This Row],[ref2]])),Journal[[#This Row],[ref2]]&amp;Journal[[#This Row],[LineNum]],"")</f>
        <v>32</v>
      </c>
      <c r="L41" s="42" cm="1">
        <f t="array" ref="L41">IFERROR(_xlfn.IFS(Journal[[#This Row],[DrAccnt]]="Cash",Journal[[#This Row],[DrAmt]],Journal[[#This Row],[CrAccnt]]="Cash",-Journal[[#This Row],[CrAmt]]),0)</f>
        <v>0</v>
      </c>
      <c r="M41" s="1" t="str">
        <f>Journal[[#This Row],[AccntType]]&amp;"[Name]"</f>
        <v>[Name]</v>
      </c>
    </row>
    <row r="42" spans="2:13" x14ac:dyDescent="0.2">
      <c r="B42" s="392"/>
      <c r="C42" s="208"/>
      <c r="F42" s="42"/>
      <c r="G42" s="85"/>
      <c r="H42" s="206"/>
      <c r="I42" s="209" t="str">
        <f>_xlfn.XLOOKUP(Journal[[#This Row],[ref]],TransInfo[Num],TransInfo[ref],"")</f>
        <v/>
      </c>
      <c r="J42" s="205" cm="1">
        <f t="array" ref="J42">_xlfn.IFS(ISBLANK(Journal[[#This Row],[ref2]]),0,NOT(ISBLANK(Journal[[#This Row],[ref2]])),J41+1)</f>
        <v>33</v>
      </c>
      <c r="K42" s="1" t="str">
        <f>IF(NOT(ISBLANK(Journal[[#This Row],[ref2]])),Journal[[#This Row],[ref2]]&amp;Journal[[#This Row],[LineNum]],"")</f>
        <v>33</v>
      </c>
      <c r="L42" s="42" cm="1">
        <f t="array" ref="L42">IFERROR(_xlfn.IFS(Journal[[#This Row],[DrAccnt]]="Cash",Journal[[#This Row],[DrAmt]],Journal[[#This Row],[CrAccnt]]="Cash",-Journal[[#This Row],[CrAmt]]),0)</f>
        <v>0</v>
      </c>
      <c r="M42" s="1" t="str">
        <f>Journal[[#This Row],[AccntType]]&amp;"[Name]"</f>
        <v>[Name]</v>
      </c>
    </row>
    <row r="43" spans="2:13" x14ac:dyDescent="0.2">
      <c r="B43" s="392"/>
      <c r="C43" s="208"/>
      <c r="F43" s="42"/>
      <c r="G43" s="85"/>
      <c r="H43" s="206"/>
      <c r="I43" s="209" t="str">
        <f>_xlfn.XLOOKUP(Journal[[#This Row],[ref]],TransInfo[Num],TransInfo[ref],"")</f>
        <v/>
      </c>
      <c r="J43" s="205" cm="1">
        <f t="array" ref="J43">_xlfn.IFS(ISBLANK(Journal[[#This Row],[ref2]]),0,NOT(ISBLANK(Journal[[#This Row],[ref2]])),J42+1)</f>
        <v>34</v>
      </c>
      <c r="K43" s="1" t="str">
        <f>IF(NOT(ISBLANK(Journal[[#This Row],[ref2]])),Journal[[#This Row],[ref2]]&amp;Journal[[#This Row],[LineNum]],"")</f>
        <v>34</v>
      </c>
      <c r="L43" s="42" cm="1">
        <f t="array" ref="L43">IFERROR(_xlfn.IFS(Journal[[#This Row],[DrAccnt]]="Cash",Journal[[#This Row],[DrAmt]],Journal[[#This Row],[CrAccnt]]="Cash",-Journal[[#This Row],[CrAmt]]),0)</f>
        <v>0</v>
      </c>
      <c r="M43" s="1" t="str">
        <f>Journal[[#This Row],[AccntType]]&amp;"[Name]"</f>
        <v>[Name]</v>
      </c>
    </row>
    <row r="44" spans="2:13" x14ac:dyDescent="0.2">
      <c r="B44" s="392"/>
      <c r="C44" s="208"/>
      <c r="F44" s="42"/>
      <c r="G44" s="85"/>
      <c r="H44" s="206"/>
      <c r="I44" s="209" t="str">
        <f>_xlfn.XLOOKUP(Journal[[#This Row],[ref]],TransInfo[Num],TransInfo[ref],"")</f>
        <v/>
      </c>
      <c r="J44" s="205" cm="1">
        <f t="array" ref="J44">_xlfn.IFS(ISBLANK(Journal[[#This Row],[ref2]]),0,NOT(ISBLANK(Journal[[#This Row],[ref2]])),J43+1)</f>
        <v>35</v>
      </c>
      <c r="K44" s="1" t="str">
        <f>IF(NOT(ISBLANK(Journal[[#This Row],[ref2]])),Journal[[#This Row],[ref2]]&amp;Journal[[#This Row],[LineNum]],"")</f>
        <v>35</v>
      </c>
      <c r="L44" s="42" cm="1">
        <f t="array" ref="L44">IFERROR(_xlfn.IFS(Journal[[#This Row],[DrAccnt]]="Cash",Journal[[#This Row],[DrAmt]],Journal[[#This Row],[CrAccnt]]="Cash",-Journal[[#This Row],[CrAmt]]),0)</f>
        <v>0</v>
      </c>
      <c r="M44" s="1" t="str">
        <f>Journal[[#This Row],[AccntType]]&amp;"[Name]"</f>
        <v>[Name]</v>
      </c>
    </row>
    <row r="45" spans="2:13" x14ac:dyDescent="0.2">
      <c r="B45" s="392"/>
      <c r="C45" s="208"/>
      <c r="F45" s="42"/>
      <c r="G45" s="85"/>
      <c r="H45" s="206"/>
      <c r="I45" s="209" t="str">
        <f>_xlfn.XLOOKUP(Journal[[#This Row],[ref]],TransInfo[Num],TransInfo[ref],"")</f>
        <v/>
      </c>
      <c r="J45" s="205" cm="1">
        <f t="array" ref="J45">_xlfn.IFS(ISBLANK(Journal[[#This Row],[ref2]]),0,NOT(ISBLANK(Journal[[#This Row],[ref2]])),J44+1)</f>
        <v>36</v>
      </c>
      <c r="K45" s="1" t="str">
        <f>IF(NOT(ISBLANK(Journal[[#This Row],[ref2]])),Journal[[#This Row],[ref2]]&amp;Journal[[#This Row],[LineNum]],"")</f>
        <v>36</v>
      </c>
      <c r="L45" s="42" cm="1">
        <f t="array" ref="L45">IFERROR(_xlfn.IFS(Journal[[#This Row],[DrAccnt]]="Cash",Journal[[#This Row],[DrAmt]],Journal[[#This Row],[CrAccnt]]="Cash",-Journal[[#This Row],[CrAmt]]),0)</f>
        <v>0</v>
      </c>
      <c r="M45" s="1" t="str">
        <f>Journal[[#This Row],[AccntType]]&amp;"[Name]"</f>
        <v>[Name]</v>
      </c>
    </row>
    <row r="46" spans="2:13" x14ac:dyDescent="0.2">
      <c r="B46" s="392"/>
      <c r="C46" s="208"/>
      <c r="F46" s="42"/>
      <c r="G46" s="85"/>
      <c r="H46" s="206"/>
      <c r="I46" s="209" t="str">
        <f>_xlfn.XLOOKUP(Journal[[#This Row],[ref]],TransInfo[Num],TransInfo[ref],"")</f>
        <v/>
      </c>
      <c r="J46" s="205" cm="1">
        <f t="array" ref="J46">_xlfn.IFS(ISBLANK(Journal[[#This Row],[ref2]]),0,NOT(ISBLANK(Journal[[#This Row],[ref2]])),J45+1)</f>
        <v>37</v>
      </c>
      <c r="K46" s="1" t="str">
        <f>IF(NOT(ISBLANK(Journal[[#This Row],[ref2]])),Journal[[#This Row],[ref2]]&amp;Journal[[#This Row],[LineNum]],"")</f>
        <v>37</v>
      </c>
      <c r="L46" s="42" cm="1">
        <f t="array" ref="L46">IFERROR(_xlfn.IFS(Journal[[#This Row],[DrAccnt]]="Cash",Journal[[#This Row],[DrAmt]],Journal[[#This Row],[CrAccnt]]="Cash",-Journal[[#This Row],[CrAmt]]),0)</f>
        <v>0</v>
      </c>
      <c r="M46" s="1" t="str">
        <f>Journal[[#This Row],[AccntType]]&amp;"[Name]"</f>
        <v>[Name]</v>
      </c>
    </row>
    <row r="47" spans="2:13" x14ac:dyDescent="0.2">
      <c r="B47" s="392"/>
      <c r="C47" s="208"/>
      <c r="F47" s="42"/>
      <c r="G47" s="85"/>
      <c r="H47" s="206"/>
      <c r="I47" s="209" t="str">
        <f>_xlfn.XLOOKUP(Journal[[#This Row],[ref]],TransInfo[Num],TransInfo[ref],"")</f>
        <v/>
      </c>
      <c r="J47" s="205" cm="1">
        <f t="array" ref="J47">_xlfn.IFS(ISBLANK(Journal[[#This Row],[ref2]]),0,NOT(ISBLANK(Journal[[#This Row],[ref2]])),J46+1)</f>
        <v>38</v>
      </c>
      <c r="K47" s="1" t="str">
        <f>IF(NOT(ISBLANK(Journal[[#This Row],[ref2]])),Journal[[#This Row],[ref2]]&amp;Journal[[#This Row],[LineNum]],"")</f>
        <v>38</v>
      </c>
      <c r="L47" s="42" cm="1">
        <f t="array" ref="L47">IFERROR(_xlfn.IFS(Journal[[#This Row],[DrAccnt]]="Cash",Journal[[#This Row],[DrAmt]],Journal[[#This Row],[CrAccnt]]="Cash",-Journal[[#This Row],[CrAmt]]),0)</f>
        <v>0</v>
      </c>
      <c r="M47" s="1" t="str">
        <f>Journal[[#This Row],[AccntType]]&amp;"[Name]"</f>
        <v>[Name]</v>
      </c>
    </row>
    <row r="48" spans="2:13" x14ac:dyDescent="0.2">
      <c r="B48" s="392"/>
      <c r="C48" s="208"/>
      <c r="F48" s="42"/>
      <c r="G48" s="85"/>
      <c r="H48" s="206"/>
      <c r="I48" s="209" t="str">
        <f>_xlfn.XLOOKUP(Journal[[#This Row],[ref]],TransInfo[Num],TransInfo[ref],"")</f>
        <v/>
      </c>
      <c r="J48" s="205" cm="1">
        <f t="array" ref="J48">_xlfn.IFS(ISBLANK(Journal[[#This Row],[ref2]]),0,NOT(ISBLANK(Journal[[#This Row],[ref2]])),J47+1)</f>
        <v>39</v>
      </c>
      <c r="K48" s="1" t="str">
        <f>IF(NOT(ISBLANK(Journal[[#This Row],[ref2]])),Journal[[#This Row],[ref2]]&amp;Journal[[#This Row],[LineNum]],"")</f>
        <v>39</v>
      </c>
      <c r="L48" s="42" cm="1">
        <f t="array" ref="L48">IFERROR(_xlfn.IFS(Journal[[#This Row],[DrAccnt]]="Cash",Journal[[#This Row],[DrAmt]],Journal[[#This Row],[CrAccnt]]="Cash",-Journal[[#This Row],[CrAmt]]),0)</f>
        <v>0</v>
      </c>
      <c r="M48" s="1" t="str">
        <f>Journal[[#This Row],[AccntType]]&amp;"[Name]"</f>
        <v>[Name]</v>
      </c>
    </row>
    <row r="49" spans="2:13" x14ac:dyDescent="0.2">
      <c r="B49" s="392"/>
      <c r="C49" s="208"/>
      <c r="F49" s="42"/>
      <c r="G49" s="85"/>
      <c r="H49" s="206"/>
      <c r="I49" s="209" t="str">
        <f>_xlfn.XLOOKUP(Journal[[#This Row],[ref]],TransInfo[Num],TransInfo[ref],"")</f>
        <v/>
      </c>
      <c r="J49" s="205" cm="1">
        <f t="array" ref="J49">_xlfn.IFS(ISBLANK(Journal[[#This Row],[ref2]]),0,NOT(ISBLANK(Journal[[#This Row],[ref2]])),J48+1)</f>
        <v>40</v>
      </c>
      <c r="K49" s="1" t="str">
        <f>IF(NOT(ISBLANK(Journal[[#This Row],[ref2]])),Journal[[#This Row],[ref2]]&amp;Journal[[#This Row],[LineNum]],"")</f>
        <v>40</v>
      </c>
      <c r="L49" s="42" cm="1">
        <f t="array" ref="L49">IFERROR(_xlfn.IFS(Journal[[#This Row],[DrAccnt]]="Cash",Journal[[#This Row],[DrAmt]],Journal[[#This Row],[CrAccnt]]="Cash",-Journal[[#This Row],[CrAmt]]),0)</f>
        <v>0</v>
      </c>
      <c r="M49" s="1" t="str">
        <f>Journal[[#This Row],[AccntType]]&amp;"[Name]"</f>
        <v>[Name]</v>
      </c>
    </row>
    <row r="50" spans="2:13" x14ac:dyDescent="0.2">
      <c r="B50" s="392"/>
      <c r="C50" s="208"/>
      <c r="F50" s="42"/>
      <c r="G50" s="85"/>
      <c r="H50" s="206"/>
      <c r="I50" s="209" t="str">
        <f>_xlfn.XLOOKUP(Journal[[#This Row],[ref]],TransInfo[Num],TransInfo[ref],"")</f>
        <v/>
      </c>
      <c r="J50" s="205" cm="1">
        <f t="array" ref="J50">_xlfn.IFS(ISBLANK(Journal[[#This Row],[ref2]]),0,NOT(ISBLANK(Journal[[#This Row],[ref2]])),J49+1)</f>
        <v>41</v>
      </c>
      <c r="K50" s="1" t="str">
        <f>IF(NOT(ISBLANK(Journal[[#This Row],[ref2]])),Journal[[#This Row],[ref2]]&amp;Journal[[#This Row],[LineNum]],"")</f>
        <v>41</v>
      </c>
      <c r="L50" s="42" cm="1">
        <f t="array" ref="L50">IFERROR(_xlfn.IFS(Journal[[#This Row],[DrAccnt]]="Cash",Journal[[#This Row],[DrAmt]],Journal[[#This Row],[CrAccnt]]="Cash",-Journal[[#This Row],[CrAmt]]),0)</f>
        <v>0</v>
      </c>
      <c r="M50" s="1" t="str">
        <f>Journal[[#This Row],[AccntType]]&amp;"[Name]"</f>
        <v>[Name]</v>
      </c>
    </row>
    <row r="51" spans="2:13" x14ac:dyDescent="0.2">
      <c r="B51" s="392"/>
      <c r="C51" s="208"/>
      <c r="F51" s="42"/>
      <c r="G51" s="85"/>
      <c r="H51" s="206"/>
      <c r="I51" s="209" t="str">
        <f>_xlfn.XLOOKUP(Journal[[#This Row],[ref]],TransInfo[Num],TransInfo[ref],"")</f>
        <v/>
      </c>
      <c r="J51" s="205" cm="1">
        <f t="array" ref="J51">_xlfn.IFS(ISBLANK(Journal[[#This Row],[ref2]]),0,NOT(ISBLANK(Journal[[#This Row],[ref2]])),J50+1)</f>
        <v>42</v>
      </c>
      <c r="K51" s="1" t="str">
        <f>IF(NOT(ISBLANK(Journal[[#This Row],[ref2]])),Journal[[#This Row],[ref2]]&amp;Journal[[#This Row],[LineNum]],"")</f>
        <v>42</v>
      </c>
      <c r="L51" s="42" cm="1">
        <f t="array" ref="L51">IFERROR(_xlfn.IFS(Journal[[#This Row],[DrAccnt]]="Cash",Journal[[#This Row],[DrAmt]],Journal[[#This Row],[CrAccnt]]="Cash",-Journal[[#This Row],[CrAmt]]),0)</f>
        <v>0</v>
      </c>
      <c r="M51" s="1" t="str">
        <f>Journal[[#This Row],[AccntType]]&amp;"[Name]"</f>
        <v>[Name]</v>
      </c>
    </row>
    <row r="52" spans="2:13" x14ac:dyDescent="0.2">
      <c r="B52" s="392"/>
      <c r="C52" s="208"/>
      <c r="F52" s="42"/>
      <c r="G52" s="85"/>
      <c r="H52" s="206"/>
      <c r="I52" s="209" t="str">
        <f>_xlfn.XLOOKUP(Journal[[#This Row],[ref]],TransInfo[Num],TransInfo[ref],"")</f>
        <v/>
      </c>
      <c r="J52" s="205" cm="1">
        <f t="array" ref="J52">_xlfn.IFS(ISBLANK(Journal[[#This Row],[ref2]]),0,NOT(ISBLANK(Journal[[#This Row],[ref2]])),J51+1)</f>
        <v>43</v>
      </c>
      <c r="K52" s="1" t="str">
        <f>IF(NOT(ISBLANK(Journal[[#This Row],[ref2]])),Journal[[#This Row],[ref2]]&amp;Journal[[#This Row],[LineNum]],"")</f>
        <v>43</v>
      </c>
      <c r="L52" s="42" cm="1">
        <f t="array" ref="L52">IFERROR(_xlfn.IFS(Journal[[#This Row],[DrAccnt]]="Cash",Journal[[#This Row],[DrAmt]],Journal[[#This Row],[CrAccnt]]="Cash",-Journal[[#This Row],[CrAmt]]),0)</f>
        <v>0</v>
      </c>
      <c r="M52" s="1" t="str">
        <f>Journal[[#This Row],[AccntType]]&amp;"[Name]"</f>
        <v>[Name]</v>
      </c>
    </row>
    <row r="53" spans="2:13" x14ac:dyDescent="0.2">
      <c r="B53" s="392"/>
      <c r="C53" s="208"/>
      <c r="F53" s="42"/>
      <c r="G53" s="85"/>
      <c r="H53" s="206"/>
      <c r="I53" s="209" t="str">
        <f>_xlfn.XLOOKUP(Journal[[#This Row],[ref]],TransInfo[Num],TransInfo[ref],"")</f>
        <v/>
      </c>
      <c r="J53" s="205" cm="1">
        <f t="array" ref="J53">_xlfn.IFS(ISBLANK(Journal[[#This Row],[ref2]]),0,NOT(ISBLANK(Journal[[#This Row],[ref2]])),J52+1)</f>
        <v>44</v>
      </c>
      <c r="K53" s="1" t="str">
        <f>IF(NOT(ISBLANK(Journal[[#This Row],[ref2]])),Journal[[#This Row],[ref2]]&amp;Journal[[#This Row],[LineNum]],"")</f>
        <v>44</v>
      </c>
      <c r="L53" s="42" cm="1">
        <f t="array" ref="L53">IFERROR(_xlfn.IFS(Journal[[#This Row],[DrAccnt]]="Cash",Journal[[#This Row],[DrAmt]],Journal[[#This Row],[CrAccnt]]="Cash",-Journal[[#This Row],[CrAmt]]),0)</f>
        <v>0</v>
      </c>
      <c r="M53" s="1" t="str">
        <f>Journal[[#This Row],[AccntType]]&amp;"[Name]"</f>
        <v>[Name]</v>
      </c>
    </row>
    <row r="54" spans="2:13" x14ac:dyDescent="0.2">
      <c r="B54" s="392"/>
      <c r="C54" s="208"/>
      <c r="F54" s="42"/>
      <c r="G54" s="85"/>
      <c r="H54" s="206"/>
      <c r="I54" s="209" t="str">
        <f>_xlfn.XLOOKUP(Journal[[#This Row],[ref]],TransInfo[Num],TransInfo[ref],"")</f>
        <v/>
      </c>
      <c r="J54" s="205" cm="1">
        <f t="array" ref="J54">_xlfn.IFS(ISBLANK(Journal[[#This Row],[ref2]]),0,NOT(ISBLANK(Journal[[#This Row],[ref2]])),J53+1)</f>
        <v>45</v>
      </c>
      <c r="K54" s="1" t="str">
        <f>IF(NOT(ISBLANK(Journal[[#This Row],[ref2]])),Journal[[#This Row],[ref2]]&amp;Journal[[#This Row],[LineNum]],"")</f>
        <v>45</v>
      </c>
      <c r="L54" s="42" cm="1">
        <f t="array" ref="L54">IFERROR(_xlfn.IFS(Journal[[#This Row],[DrAccnt]]="Cash",Journal[[#This Row],[DrAmt]],Journal[[#This Row],[CrAccnt]]="Cash",-Journal[[#This Row],[CrAmt]]),0)</f>
        <v>0</v>
      </c>
      <c r="M54" s="1" t="str">
        <f>Journal[[#This Row],[AccntType]]&amp;"[Name]"</f>
        <v>[Name]</v>
      </c>
    </row>
    <row r="55" spans="2:13" x14ac:dyDescent="0.2">
      <c r="B55" s="392"/>
      <c r="C55" s="208"/>
      <c r="F55" s="42"/>
      <c r="G55" s="85"/>
      <c r="H55" s="206"/>
      <c r="I55" s="209" t="str">
        <f>_xlfn.XLOOKUP(Journal[[#This Row],[ref]],TransInfo[Num],TransInfo[ref],"")</f>
        <v/>
      </c>
      <c r="J55" s="205" cm="1">
        <f t="array" ref="J55">_xlfn.IFS(ISBLANK(Journal[[#This Row],[ref2]]),0,NOT(ISBLANK(Journal[[#This Row],[ref2]])),J54+1)</f>
        <v>46</v>
      </c>
      <c r="K55" s="1" t="str">
        <f>IF(NOT(ISBLANK(Journal[[#This Row],[ref2]])),Journal[[#This Row],[ref2]]&amp;Journal[[#This Row],[LineNum]],"")</f>
        <v>46</v>
      </c>
      <c r="L55" s="42" cm="1">
        <f t="array" ref="L55">IFERROR(_xlfn.IFS(Journal[[#This Row],[DrAccnt]]="Cash",Journal[[#This Row],[DrAmt]],Journal[[#This Row],[CrAccnt]]="Cash",-Journal[[#This Row],[CrAmt]]),0)</f>
        <v>0</v>
      </c>
      <c r="M55" s="1" t="str">
        <f>Journal[[#This Row],[AccntType]]&amp;"[Name]"</f>
        <v>[Name]</v>
      </c>
    </row>
    <row r="56" spans="2:13" x14ac:dyDescent="0.2">
      <c r="B56" s="392"/>
      <c r="C56" s="208"/>
      <c r="F56" s="42"/>
      <c r="G56" s="85"/>
      <c r="H56" s="206"/>
      <c r="I56" s="209" t="str">
        <f>_xlfn.XLOOKUP(Journal[[#This Row],[ref]],TransInfo[Num],TransInfo[ref],"")</f>
        <v/>
      </c>
      <c r="J56" s="205" cm="1">
        <f t="array" ref="J56">_xlfn.IFS(ISBLANK(Journal[[#This Row],[ref2]]),0,NOT(ISBLANK(Journal[[#This Row],[ref2]])),J55+1)</f>
        <v>47</v>
      </c>
      <c r="K56" s="1" t="str">
        <f>IF(NOT(ISBLANK(Journal[[#This Row],[ref2]])),Journal[[#This Row],[ref2]]&amp;Journal[[#This Row],[LineNum]],"")</f>
        <v>47</v>
      </c>
      <c r="L56" s="42" cm="1">
        <f t="array" ref="L56">IFERROR(_xlfn.IFS(Journal[[#This Row],[DrAccnt]]="Cash",Journal[[#This Row],[DrAmt]],Journal[[#This Row],[CrAccnt]]="Cash",-Journal[[#This Row],[CrAmt]]),0)</f>
        <v>0</v>
      </c>
      <c r="M56" s="1" t="str">
        <f>Journal[[#This Row],[AccntType]]&amp;"[Name]"</f>
        <v>[Name]</v>
      </c>
    </row>
    <row r="57" spans="2:13" x14ac:dyDescent="0.2">
      <c r="B57" s="392"/>
      <c r="C57" s="208"/>
      <c r="F57" s="42"/>
      <c r="G57" s="85"/>
      <c r="H57" s="206"/>
      <c r="I57" s="209" t="str">
        <f>_xlfn.XLOOKUP(Journal[[#This Row],[ref]],TransInfo[Num],TransInfo[ref],"")</f>
        <v/>
      </c>
      <c r="J57" s="205" cm="1">
        <f t="array" ref="J57">_xlfn.IFS(ISBLANK(Journal[[#This Row],[ref2]]),0,NOT(ISBLANK(Journal[[#This Row],[ref2]])),J56+1)</f>
        <v>48</v>
      </c>
      <c r="K57" s="1" t="str">
        <f>IF(NOT(ISBLANK(Journal[[#This Row],[ref2]])),Journal[[#This Row],[ref2]]&amp;Journal[[#This Row],[LineNum]],"")</f>
        <v>48</v>
      </c>
      <c r="L57" s="42" cm="1">
        <f t="array" ref="L57">IFERROR(_xlfn.IFS(Journal[[#This Row],[DrAccnt]]="Cash",Journal[[#This Row],[DrAmt]],Journal[[#This Row],[CrAccnt]]="Cash",-Journal[[#This Row],[CrAmt]]),0)</f>
        <v>0</v>
      </c>
      <c r="M57" s="1" t="str">
        <f>Journal[[#This Row],[AccntType]]&amp;"[Name]"</f>
        <v>[Name]</v>
      </c>
    </row>
    <row r="58" spans="2:13" x14ac:dyDescent="0.2">
      <c r="B58" s="392"/>
      <c r="C58" s="208"/>
      <c r="F58" s="42"/>
      <c r="G58" s="85"/>
      <c r="H58" s="206"/>
      <c r="I58" s="209" t="str">
        <f>_xlfn.XLOOKUP(Journal[[#This Row],[ref]],TransInfo[Num],TransInfo[ref],"")</f>
        <v/>
      </c>
      <c r="J58" s="205" cm="1">
        <f t="array" ref="J58">_xlfn.IFS(ISBLANK(Journal[[#This Row],[ref2]]),0,NOT(ISBLANK(Journal[[#This Row],[ref2]])),J57+1)</f>
        <v>49</v>
      </c>
      <c r="K58" s="1" t="str">
        <f>IF(NOT(ISBLANK(Journal[[#This Row],[ref2]])),Journal[[#This Row],[ref2]]&amp;Journal[[#This Row],[LineNum]],"")</f>
        <v>49</v>
      </c>
      <c r="L58" s="42" cm="1">
        <f t="array" ref="L58">IFERROR(_xlfn.IFS(Journal[[#This Row],[DrAccnt]]="Cash",Journal[[#This Row],[DrAmt]],Journal[[#This Row],[CrAccnt]]="Cash",-Journal[[#This Row],[CrAmt]]),0)</f>
        <v>0</v>
      </c>
      <c r="M58" s="1" t="str">
        <f>Journal[[#This Row],[AccntType]]&amp;"[Name]"</f>
        <v>[Name]</v>
      </c>
    </row>
    <row r="59" spans="2:13" x14ac:dyDescent="0.2">
      <c r="B59" s="392"/>
      <c r="C59" s="208"/>
      <c r="F59" s="42"/>
      <c r="G59" s="85"/>
      <c r="H59" s="206"/>
      <c r="I59" s="209" t="str">
        <f>_xlfn.XLOOKUP(Journal[[#This Row],[ref]],TransInfo[Num],TransInfo[ref],"")</f>
        <v/>
      </c>
      <c r="J59" s="205" cm="1">
        <f t="array" ref="J59">_xlfn.IFS(ISBLANK(Journal[[#This Row],[ref2]]),0,NOT(ISBLANK(Journal[[#This Row],[ref2]])),J58+1)</f>
        <v>50</v>
      </c>
      <c r="K59" s="1" t="str">
        <f>IF(NOT(ISBLANK(Journal[[#This Row],[ref2]])),Journal[[#This Row],[ref2]]&amp;Journal[[#This Row],[LineNum]],"")</f>
        <v>50</v>
      </c>
      <c r="L59" s="42" cm="1">
        <f t="array" ref="L59">IFERROR(_xlfn.IFS(Journal[[#This Row],[DrAccnt]]="Cash",Journal[[#This Row],[DrAmt]],Journal[[#This Row],[CrAccnt]]="Cash",-Journal[[#This Row],[CrAmt]]),0)</f>
        <v>0</v>
      </c>
      <c r="M59" s="1" t="str">
        <f>Journal[[#This Row],[AccntType]]&amp;"[Name]"</f>
        <v>[Name]</v>
      </c>
    </row>
    <row r="60" spans="2:13" x14ac:dyDescent="0.2">
      <c r="B60" s="392"/>
      <c r="C60" s="208"/>
      <c r="F60" s="42"/>
      <c r="G60" s="85"/>
      <c r="H60" s="206"/>
      <c r="I60" s="209" t="str">
        <f>_xlfn.XLOOKUP(Journal[[#This Row],[ref]],TransInfo[Num],TransInfo[ref],"")</f>
        <v/>
      </c>
      <c r="J60" s="205" cm="1">
        <f t="array" ref="J60">_xlfn.IFS(ISBLANK(Journal[[#This Row],[ref2]]),0,NOT(ISBLANK(Journal[[#This Row],[ref2]])),J59+1)</f>
        <v>51</v>
      </c>
      <c r="K60" s="1" t="str">
        <f>IF(NOT(ISBLANK(Journal[[#This Row],[ref2]])),Journal[[#This Row],[ref2]]&amp;Journal[[#This Row],[LineNum]],"")</f>
        <v>51</v>
      </c>
      <c r="L60" s="42" cm="1">
        <f t="array" ref="L60">IFERROR(_xlfn.IFS(Journal[[#This Row],[DrAccnt]]="Cash",Journal[[#This Row],[DrAmt]],Journal[[#This Row],[CrAccnt]]="Cash",-Journal[[#This Row],[CrAmt]]),0)</f>
        <v>0</v>
      </c>
      <c r="M60" s="1" t="str">
        <f>Journal[[#This Row],[AccntType]]&amp;"[Name]"</f>
        <v>[Name]</v>
      </c>
    </row>
    <row r="61" spans="2:13" x14ac:dyDescent="0.2">
      <c r="B61" s="392"/>
      <c r="C61" s="208"/>
      <c r="F61" s="42"/>
      <c r="G61" s="85"/>
      <c r="H61" s="206"/>
      <c r="I61" s="209" t="str">
        <f>_xlfn.XLOOKUP(Journal[[#This Row],[ref]],TransInfo[Num],TransInfo[ref],"")</f>
        <v/>
      </c>
      <c r="J61" s="205" cm="1">
        <f t="array" ref="J61">_xlfn.IFS(ISBLANK(Journal[[#This Row],[ref2]]),0,NOT(ISBLANK(Journal[[#This Row],[ref2]])),J60+1)</f>
        <v>52</v>
      </c>
      <c r="K61" s="1" t="str">
        <f>IF(NOT(ISBLANK(Journal[[#This Row],[ref2]])),Journal[[#This Row],[ref2]]&amp;Journal[[#This Row],[LineNum]],"")</f>
        <v>52</v>
      </c>
      <c r="L61" s="42" cm="1">
        <f t="array" ref="L61">IFERROR(_xlfn.IFS(Journal[[#This Row],[DrAccnt]]="Cash",Journal[[#This Row],[DrAmt]],Journal[[#This Row],[CrAccnt]]="Cash",-Journal[[#This Row],[CrAmt]]),0)</f>
        <v>0</v>
      </c>
      <c r="M61" s="1" t="str">
        <f>Journal[[#This Row],[AccntType]]&amp;"[Name]"</f>
        <v>[Name]</v>
      </c>
    </row>
    <row r="62" spans="2:13" x14ac:dyDescent="0.2">
      <c r="B62" s="392"/>
      <c r="C62" s="208"/>
      <c r="F62" s="42"/>
      <c r="G62" s="85"/>
      <c r="H62" s="206"/>
      <c r="I62" s="209" t="str">
        <f>_xlfn.XLOOKUP(Journal[[#This Row],[ref]],TransInfo[Num],TransInfo[ref],"")</f>
        <v/>
      </c>
      <c r="J62" s="205" cm="1">
        <f t="array" ref="J62">_xlfn.IFS(ISBLANK(Journal[[#This Row],[ref2]]),0,NOT(ISBLANK(Journal[[#This Row],[ref2]])),J61+1)</f>
        <v>53</v>
      </c>
      <c r="K62" s="1" t="str">
        <f>IF(NOT(ISBLANK(Journal[[#This Row],[ref2]])),Journal[[#This Row],[ref2]]&amp;Journal[[#This Row],[LineNum]],"")</f>
        <v>53</v>
      </c>
      <c r="L62" s="42" cm="1">
        <f t="array" ref="L62">IFERROR(_xlfn.IFS(Journal[[#This Row],[DrAccnt]]="Cash",Journal[[#This Row],[DrAmt]],Journal[[#This Row],[CrAccnt]]="Cash",-Journal[[#This Row],[CrAmt]]),0)</f>
        <v>0</v>
      </c>
      <c r="M62" s="1" t="str">
        <f>Journal[[#This Row],[AccntType]]&amp;"[Name]"</f>
        <v>[Name]</v>
      </c>
    </row>
    <row r="63" spans="2:13" x14ac:dyDescent="0.2">
      <c r="B63" s="392"/>
      <c r="C63" s="208"/>
      <c r="F63" s="42"/>
      <c r="G63" s="85"/>
      <c r="H63" s="206"/>
      <c r="I63" s="209" t="str">
        <f>_xlfn.XLOOKUP(Journal[[#This Row],[ref]],TransInfo[Num],TransInfo[ref],"")</f>
        <v/>
      </c>
      <c r="J63" s="205" cm="1">
        <f t="array" ref="J63">_xlfn.IFS(ISBLANK(Journal[[#This Row],[ref2]]),0,NOT(ISBLANK(Journal[[#This Row],[ref2]])),J62+1)</f>
        <v>54</v>
      </c>
      <c r="K63" s="1" t="str">
        <f>IF(NOT(ISBLANK(Journal[[#This Row],[ref2]])),Journal[[#This Row],[ref2]]&amp;Journal[[#This Row],[LineNum]],"")</f>
        <v>54</v>
      </c>
      <c r="L63" s="42" cm="1">
        <f t="array" ref="L63">IFERROR(_xlfn.IFS(Journal[[#This Row],[DrAccnt]]="Cash",Journal[[#This Row],[DrAmt]],Journal[[#This Row],[CrAccnt]]="Cash",-Journal[[#This Row],[CrAmt]]),0)</f>
        <v>0</v>
      </c>
      <c r="M63" s="1" t="str">
        <f>Journal[[#This Row],[AccntType]]&amp;"[Name]"</f>
        <v>[Name]</v>
      </c>
    </row>
    <row r="64" spans="2:13" x14ac:dyDescent="0.2">
      <c r="B64" s="392"/>
      <c r="C64" s="208"/>
      <c r="F64" s="42"/>
      <c r="G64" s="85"/>
      <c r="H64" s="206"/>
      <c r="I64" s="209" t="str">
        <f>_xlfn.XLOOKUP(Journal[[#This Row],[ref]],TransInfo[Num],TransInfo[ref],"")</f>
        <v/>
      </c>
      <c r="J64" s="205" cm="1">
        <f t="array" ref="J64">_xlfn.IFS(ISBLANK(Journal[[#This Row],[ref2]]),0,NOT(ISBLANK(Journal[[#This Row],[ref2]])),J63+1)</f>
        <v>55</v>
      </c>
      <c r="K64" s="1" t="str">
        <f>IF(NOT(ISBLANK(Journal[[#This Row],[ref2]])),Journal[[#This Row],[ref2]]&amp;Journal[[#This Row],[LineNum]],"")</f>
        <v>55</v>
      </c>
      <c r="L64" s="42" cm="1">
        <f t="array" ref="L64">IFERROR(_xlfn.IFS(Journal[[#This Row],[DrAccnt]]="Cash",Journal[[#This Row],[DrAmt]],Journal[[#This Row],[CrAccnt]]="Cash",-Journal[[#This Row],[CrAmt]]),0)</f>
        <v>0</v>
      </c>
      <c r="M64" s="1" t="str">
        <f>Journal[[#This Row],[AccntType]]&amp;"[Name]"</f>
        <v>[Name]</v>
      </c>
    </row>
    <row r="65" spans="2:13" x14ac:dyDescent="0.2">
      <c r="B65" s="392"/>
      <c r="C65" s="208"/>
      <c r="F65" s="42"/>
      <c r="G65" s="85"/>
      <c r="H65" s="206"/>
      <c r="I65" s="209" t="str">
        <f>_xlfn.XLOOKUP(Journal[[#This Row],[ref]],TransInfo[Num],TransInfo[ref],"")</f>
        <v/>
      </c>
      <c r="J65" s="205" cm="1">
        <f t="array" ref="J65">_xlfn.IFS(ISBLANK(Journal[[#This Row],[ref2]]),0,NOT(ISBLANK(Journal[[#This Row],[ref2]])),J64+1)</f>
        <v>56</v>
      </c>
      <c r="K65" s="1" t="str">
        <f>IF(NOT(ISBLANK(Journal[[#This Row],[ref2]])),Journal[[#This Row],[ref2]]&amp;Journal[[#This Row],[LineNum]],"")</f>
        <v>56</v>
      </c>
      <c r="L65" s="42" cm="1">
        <f t="array" ref="L65">IFERROR(_xlfn.IFS(Journal[[#This Row],[DrAccnt]]="Cash",Journal[[#This Row],[DrAmt]],Journal[[#This Row],[CrAccnt]]="Cash",-Journal[[#This Row],[CrAmt]]),0)</f>
        <v>0</v>
      </c>
      <c r="M65" s="1" t="str">
        <f>Journal[[#This Row],[AccntType]]&amp;"[Name]"</f>
        <v>[Name]</v>
      </c>
    </row>
    <row r="66" spans="2:13" x14ac:dyDescent="0.2">
      <c r="B66" s="392"/>
      <c r="C66" s="208"/>
      <c r="F66" s="42"/>
      <c r="G66" s="85"/>
      <c r="H66" s="206"/>
      <c r="I66" s="209" t="str">
        <f>_xlfn.XLOOKUP(Journal[[#This Row],[ref]],TransInfo[Num],TransInfo[ref],"")</f>
        <v/>
      </c>
      <c r="J66" s="205" cm="1">
        <f t="array" ref="J66">_xlfn.IFS(ISBLANK(Journal[[#This Row],[ref2]]),0,NOT(ISBLANK(Journal[[#This Row],[ref2]])),J65+1)</f>
        <v>57</v>
      </c>
      <c r="K66" s="1" t="str">
        <f>IF(NOT(ISBLANK(Journal[[#This Row],[ref2]])),Journal[[#This Row],[ref2]]&amp;Journal[[#This Row],[LineNum]],"")</f>
        <v>57</v>
      </c>
      <c r="L66" s="42" cm="1">
        <f t="array" ref="L66">IFERROR(_xlfn.IFS(Journal[[#This Row],[DrAccnt]]="Cash",Journal[[#This Row],[DrAmt]],Journal[[#This Row],[CrAccnt]]="Cash",-Journal[[#This Row],[CrAmt]]),0)</f>
        <v>0</v>
      </c>
      <c r="M66" s="1" t="str">
        <f>Journal[[#This Row],[AccntType]]&amp;"[Name]"</f>
        <v>[Name]</v>
      </c>
    </row>
    <row r="67" spans="2:13" x14ac:dyDescent="0.2">
      <c r="B67" s="392"/>
      <c r="C67" s="208"/>
      <c r="F67" s="42"/>
      <c r="G67" s="85"/>
      <c r="H67" s="206"/>
      <c r="I67" s="209" t="str">
        <f>_xlfn.XLOOKUP(Journal[[#This Row],[ref]],TransInfo[Num],TransInfo[ref],"")</f>
        <v/>
      </c>
      <c r="J67" s="205" cm="1">
        <f t="array" ref="J67">_xlfn.IFS(ISBLANK(Journal[[#This Row],[ref2]]),0,NOT(ISBLANK(Journal[[#This Row],[ref2]])),J66+1)</f>
        <v>58</v>
      </c>
      <c r="K67" s="1" t="str">
        <f>IF(NOT(ISBLANK(Journal[[#This Row],[ref2]])),Journal[[#This Row],[ref2]]&amp;Journal[[#This Row],[LineNum]],"")</f>
        <v>58</v>
      </c>
      <c r="L67" s="42" cm="1">
        <f t="array" ref="L67">IFERROR(_xlfn.IFS(Journal[[#This Row],[DrAccnt]]="Cash",Journal[[#This Row],[DrAmt]],Journal[[#This Row],[CrAccnt]]="Cash",-Journal[[#This Row],[CrAmt]]),0)</f>
        <v>0</v>
      </c>
      <c r="M67" s="1" t="str">
        <f>Journal[[#This Row],[AccntType]]&amp;"[Name]"</f>
        <v>[Name]</v>
      </c>
    </row>
    <row r="68" spans="2:13" x14ac:dyDescent="0.2">
      <c r="B68" s="392"/>
      <c r="C68" s="208"/>
      <c r="F68" s="42"/>
      <c r="G68" s="85"/>
      <c r="H68" s="206"/>
      <c r="I68" s="209" t="str">
        <f>_xlfn.XLOOKUP(Journal[[#This Row],[ref]],TransInfo[Num],TransInfo[ref],"")</f>
        <v/>
      </c>
      <c r="J68" s="205" cm="1">
        <f t="array" ref="J68">_xlfn.IFS(ISBLANK(Journal[[#This Row],[ref2]]),0,NOT(ISBLANK(Journal[[#This Row],[ref2]])),J67+1)</f>
        <v>59</v>
      </c>
      <c r="K68" s="1" t="str">
        <f>IF(NOT(ISBLANK(Journal[[#This Row],[ref2]])),Journal[[#This Row],[ref2]]&amp;Journal[[#This Row],[LineNum]],"")</f>
        <v>59</v>
      </c>
      <c r="L68" s="42" cm="1">
        <f t="array" ref="L68">IFERROR(_xlfn.IFS(Journal[[#This Row],[DrAccnt]]="Cash",Journal[[#This Row],[DrAmt]],Journal[[#This Row],[CrAccnt]]="Cash",-Journal[[#This Row],[CrAmt]]),0)</f>
        <v>0</v>
      </c>
      <c r="M68" s="1" t="str">
        <f>Journal[[#This Row],[AccntType]]&amp;"[Name]"</f>
        <v>[Name]</v>
      </c>
    </row>
    <row r="69" spans="2:13" x14ac:dyDescent="0.2">
      <c r="B69" s="392"/>
      <c r="C69" s="208"/>
      <c r="F69" s="42"/>
      <c r="G69" s="85"/>
      <c r="H69" s="206"/>
      <c r="I69" s="209" t="str">
        <f>_xlfn.XLOOKUP(Journal[[#This Row],[ref]],TransInfo[Num],TransInfo[ref],"")</f>
        <v/>
      </c>
      <c r="J69" s="205" cm="1">
        <f t="array" ref="J69">_xlfn.IFS(ISBLANK(Journal[[#This Row],[ref2]]),0,NOT(ISBLANK(Journal[[#This Row],[ref2]])),J68+1)</f>
        <v>60</v>
      </c>
      <c r="K69" s="1" t="str">
        <f>IF(NOT(ISBLANK(Journal[[#This Row],[ref2]])),Journal[[#This Row],[ref2]]&amp;Journal[[#This Row],[LineNum]],"")</f>
        <v>60</v>
      </c>
      <c r="L69" s="42" cm="1">
        <f t="array" ref="L69">IFERROR(_xlfn.IFS(Journal[[#This Row],[DrAccnt]]="Cash",Journal[[#This Row],[DrAmt]],Journal[[#This Row],[CrAccnt]]="Cash",-Journal[[#This Row],[CrAmt]]),0)</f>
        <v>0</v>
      </c>
      <c r="M69" s="1" t="str">
        <f>Journal[[#This Row],[AccntType]]&amp;"[Name]"</f>
        <v>[Name]</v>
      </c>
    </row>
    <row r="70" spans="2:13" x14ac:dyDescent="0.2">
      <c r="B70" s="392"/>
      <c r="C70" s="208"/>
      <c r="F70" s="42"/>
      <c r="G70" s="85"/>
      <c r="H70" s="206"/>
      <c r="I70" s="209" t="str">
        <f>_xlfn.XLOOKUP(Journal[[#This Row],[ref]],TransInfo[Num],TransInfo[ref],"")</f>
        <v/>
      </c>
      <c r="J70" s="205" cm="1">
        <f t="array" ref="J70">_xlfn.IFS(ISBLANK(Journal[[#This Row],[ref2]]),0,NOT(ISBLANK(Journal[[#This Row],[ref2]])),J69+1)</f>
        <v>61</v>
      </c>
      <c r="K70" s="1" t="str">
        <f>IF(NOT(ISBLANK(Journal[[#This Row],[ref2]])),Journal[[#This Row],[ref2]]&amp;Journal[[#This Row],[LineNum]],"")</f>
        <v>61</v>
      </c>
      <c r="L70" s="42" cm="1">
        <f t="array" ref="L70">IFERROR(_xlfn.IFS(Journal[[#This Row],[DrAccnt]]="Cash",Journal[[#This Row],[DrAmt]],Journal[[#This Row],[CrAccnt]]="Cash",-Journal[[#This Row],[CrAmt]]),0)</f>
        <v>0</v>
      </c>
      <c r="M70" s="1" t="str">
        <f>Journal[[#This Row],[AccntType]]&amp;"[Name]"</f>
        <v>[Name]</v>
      </c>
    </row>
    <row r="71" spans="2:13" x14ac:dyDescent="0.2">
      <c r="B71" s="392"/>
      <c r="C71" s="208"/>
      <c r="F71" s="42"/>
      <c r="G71" s="85"/>
      <c r="H71" s="206"/>
      <c r="I71" s="209" t="str">
        <f>_xlfn.XLOOKUP(Journal[[#This Row],[ref]],TransInfo[Num],TransInfo[ref],"")</f>
        <v/>
      </c>
      <c r="J71" s="205" cm="1">
        <f t="array" ref="J71">_xlfn.IFS(ISBLANK(Journal[[#This Row],[ref2]]),0,NOT(ISBLANK(Journal[[#This Row],[ref2]])),J70+1)</f>
        <v>62</v>
      </c>
      <c r="K71" s="1" t="str">
        <f>IF(NOT(ISBLANK(Journal[[#This Row],[ref2]])),Journal[[#This Row],[ref2]]&amp;Journal[[#This Row],[LineNum]],"")</f>
        <v>62</v>
      </c>
      <c r="L71" s="42" cm="1">
        <f t="array" ref="L71">IFERROR(_xlfn.IFS(Journal[[#This Row],[DrAccnt]]="Cash",Journal[[#This Row],[DrAmt]],Journal[[#This Row],[CrAccnt]]="Cash",-Journal[[#This Row],[CrAmt]]),0)</f>
        <v>0</v>
      </c>
      <c r="M71" s="1" t="str">
        <f>Journal[[#This Row],[AccntType]]&amp;"[Name]"</f>
        <v>[Name]</v>
      </c>
    </row>
    <row r="72" spans="2:13" x14ac:dyDescent="0.2">
      <c r="B72" s="392"/>
      <c r="C72" s="208"/>
      <c r="F72" s="42"/>
      <c r="G72" s="85"/>
      <c r="H72" s="206"/>
      <c r="I72" s="209" t="str">
        <f>_xlfn.XLOOKUP(Journal[[#This Row],[ref]],TransInfo[Num],TransInfo[ref],"")</f>
        <v/>
      </c>
      <c r="J72" s="205" cm="1">
        <f t="array" ref="J72">_xlfn.IFS(ISBLANK(Journal[[#This Row],[ref2]]),0,NOT(ISBLANK(Journal[[#This Row],[ref2]])),J71+1)</f>
        <v>63</v>
      </c>
      <c r="K72" s="1" t="str">
        <f>IF(NOT(ISBLANK(Journal[[#This Row],[ref2]])),Journal[[#This Row],[ref2]]&amp;Journal[[#This Row],[LineNum]],"")</f>
        <v>63</v>
      </c>
      <c r="L72" s="42" cm="1">
        <f t="array" ref="L72">IFERROR(_xlfn.IFS(Journal[[#This Row],[DrAccnt]]="Cash",Journal[[#This Row],[DrAmt]],Journal[[#This Row],[CrAccnt]]="Cash",-Journal[[#This Row],[CrAmt]]),0)</f>
        <v>0</v>
      </c>
      <c r="M72" s="1" t="str">
        <f>Journal[[#This Row],[AccntType]]&amp;"[Name]"</f>
        <v>[Name]</v>
      </c>
    </row>
    <row r="73" spans="2:13" x14ac:dyDescent="0.2">
      <c r="B73" s="392"/>
      <c r="C73" s="208"/>
      <c r="F73" s="42"/>
      <c r="G73" s="85"/>
      <c r="H73" s="206"/>
      <c r="I73" s="209" t="str">
        <f>_xlfn.XLOOKUP(Journal[[#This Row],[ref]],TransInfo[Num],TransInfo[ref],"")</f>
        <v/>
      </c>
      <c r="J73" s="205" cm="1">
        <f t="array" ref="J73">_xlfn.IFS(ISBLANK(Journal[[#This Row],[ref2]]),0,NOT(ISBLANK(Journal[[#This Row],[ref2]])),J72+1)</f>
        <v>64</v>
      </c>
      <c r="K73" s="1" t="str">
        <f>IF(NOT(ISBLANK(Journal[[#This Row],[ref2]])),Journal[[#This Row],[ref2]]&amp;Journal[[#This Row],[LineNum]],"")</f>
        <v>64</v>
      </c>
      <c r="L73" s="42" cm="1">
        <f t="array" ref="L73">IFERROR(_xlfn.IFS(Journal[[#This Row],[DrAccnt]]="Cash",Journal[[#This Row],[DrAmt]],Journal[[#This Row],[CrAccnt]]="Cash",-Journal[[#This Row],[CrAmt]]),0)</f>
        <v>0</v>
      </c>
      <c r="M73" s="1" t="str">
        <f>Journal[[#This Row],[AccntType]]&amp;"[Name]"</f>
        <v>[Name]</v>
      </c>
    </row>
    <row r="74" spans="2:13" x14ac:dyDescent="0.2">
      <c r="B74" s="392"/>
      <c r="C74" s="208"/>
      <c r="F74" s="42"/>
      <c r="G74" s="85"/>
      <c r="H74" s="206"/>
      <c r="I74" s="209" t="str">
        <f>_xlfn.XLOOKUP(Journal[[#This Row],[ref]],TransInfo[Num],TransInfo[ref],"")</f>
        <v/>
      </c>
      <c r="J74" s="205" cm="1">
        <f t="array" ref="J74">_xlfn.IFS(ISBLANK(Journal[[#This Row],[ref2]]),0,NOT(ISBLANK(Journal[[#This Row],[ref2]])),J73+1)</f>
        <v>65</v>
      </c>
      <c r="K74" s="1" t="str">
        <f>IF(NOT(ISBLANK(Journal[[#This Row],[ref2]])),Journal[[#This Row],[ref2]]&amp;Journal[[#This Row],[LineNum]],"")</f>
        <v>65</v>
      </c>
      <c r="L74" s="42" cm="1">
        <f t="array" ref="L74">IFERROR(_xlfn.IFS(Journal[[#This Row],[DrAccnt]]="Cash",Journal[[#This Row],[DrAmt]],Journal[[#This Row],[CrAccnt]]="Cash",-Journal[[#This Row],[CrAmt]]),0)</f>
        <v>0</v>
      </c>
      <c r="M74" s="1" t="str">
        <f>Journal[[#This Row],[AccntType]]&amp;"[Name]"</f>
        <v>[Name]</v>
      </c>
    </row>
    <row r="75" spans="2:13" x14ac:dyDescent="0.2">
      <c r="B75" s="392"/>
      <c r="C75" s="208"/>
      <c r="F75" s="42"/>
      <c r="G75" s="85"/>
      <c r="H75" s="206"/>
      <c r="I75" s="209" t="str">
        <f>_xlfn.XLOOKUP(Journal[[#This Row],[ref]],TransInfo[Num],TransInfo[ref],"")</f>
        <v/>
      </c>
      <c r="J75" s="205" cm="1">
        <f t="array" ref="J75">_xlfn.IFS(ISBLANK(Journal[[#This Row],[ref2]]),0,NOT(ISBLANK(Journal[[#This Row],[ref2]])),J74+1)</f>
        <v>66</v>
      </c>
      <c r="K75" s="1" t="str">
        <f>IF(NOT(ISBLANK(Journal[[#This Row],[ref2]])),Journal[[#This Row],[ref2]]&amp;Journal[[#This Row],[LineNum]],"")</f>
        <v>66</v>
      </c>
      <c r="L75" s="42" cm="1">
        <f t="array" ref="L75">IFERROR(_xlfn.IFS(Journal[[#This Row],[DrAccnt]]="Cash",Journal[[#This Row],[DrAmt]],Journal[[#This Row],[CrAccnt]]="Cash",-Journal[[#This Row],[CrAmt]]),0)</f>
        <v>0</v>
      </c>
      <c r="M75" s="1" t="str">
        <f>Journal[[#This Row],[AccntType]]&amp;"[Name]"</f>
        <v>[Name]</v>
      </c>
    </row>
    <row r="76" spans="2:13" x14ac:dyDescent="0.2">
      <c r="B76" s="392"/>
      <c r="C76" s="208"/>
      <c r="F76" s="42"/>
      <c r="G76" s="85"/>
      <c r="H76" s="206"/>
      <c r="I76" s="209" t="str">
        <f>_xlfn.XLOOKUP(Journal[[#This Row],[ref]],TransInfo[Num],TransInfo[ref],"")</f>
        <v/>
      </c>
      <c r="J76" s="205" cm="1">
        <f t="array" ref="J76">_xlfn.IFS(ISBLANK(Journal[[#This Row],[ref2]]),0,NOT(ISBLANK(Journal[[#This Row],[ref2]])),J75+1)</f>
        <v>67</v>
      </c>
      <c r="K76" s="1" t="str">
        <f>IF(NOT(ISBLANK(Journal[[#This Row],[ref2]])),Journal[[#This Row],[ref2]]&amp;Journal[[#This Row],[LineNum]],"")</f>
        <v>67</v>
      </c>
      <c r="L76" s="42" cm="1">
        <f t="array" ref="L76">IFERROR(_xlfn.IFS(Journal[[#This Row],[DrAccnt]]="Cash",Journal[[#This Row],[DrAmt]],Journal[[#This Row],[CrAccnt]]="Cash",-Journal[[#This Row],[CrAmt]]),0)</f>
        <v>0</v>
      </c>
      <c r="M76" s="1" t="str">
        <f>Journal[[#This Row],[AccntType]]&amp;"[Name]"</f>
        <v>[Name]</v>
      </c>
    </row>
    <row r="77" spans="2:13" x14ac:dyDescent="0.2">
      <c r="B77" s="392"/>
      <c r="C77" s="208"/>
      <c r="F77" s="42"/>
      <c r="G77" s="85"/>
      <c r="H77" s="206"/>
      <c r="I77" s="209" t="str">
        <f>_xlfn.XLOOKUP(Journal[[#This Row],[ref]],TransInfo[Num],TransInfo[ref],"")</f>
        <v/>
      </c>
      <c r="J77" s="205" cm="1">
        <f t="array" ref="J77">_xlfn.IFS(ISBLANK(Journal[[#This Row],[ref2]]),0,NOT(ISBLANK(Journal[[#This Row],[ref2]])),J76+1)</f>
        <v>68</v>
      </c>
      <c r="K77" s="1" t="str">
        <f>IF(NOT(ISBLANK(Journal[[#This Row],[ref2]])),Journal[[#This Row],[ref2]]&amp;Journal[[#This Row],[LineNum]],"")</f>
        <v>68</v>
      </c>
      <c r="L77" s="42" cm="1">
        <f t="array" ref="L77">IFERROR(_xlfn.IFS(Journal[[#This Row],[DrAccnt]]="Cash",Journal[[#This Row],[DrAmt]],Journal[[#This Row],[CrAccnt]]="Cash",-Journal[[#This Row],[CrAmt]]),0)</f>
        <v>0</v>
      </c>
      <c r="M77" s="1" t="str">
        <f>Journal[[#This Row],[AccntType]]&amp;"[Name]"</f>
        <v>[Name]</v>
      </c>
    </row>
    <row r="78" spans="2:13" x14ac:dyDescent="0.2">
      <c r="B78" s="392"/>
      <c r="C78" s="208"/>
      <c r="F78" s="42"/>
      <c r="G78" s="85"/>
      <c r="H78" s="206"/>
      <c r="I78" s="209" t="str">
        <f>_xlfn.XLOOKUP(Journal[[#This Row],[ref]],TransInfo[Num],TransInfo[ref],"")</f>
        <v/>
      </c>
      <c r="J78" s="205" cm="1">
        <f t="array" ref="J78">_xlfn.IFS(ISBLANK(Journal[[#This Row],[ref2]]),0,NOT(ISBLANK(Journal[[#This Row],[ref2]])),J77+1)</f>
        <v>69</v>
      </c>
      <c r="K78" s="1" t="str">
        <f>IF(NOT(ISBLANK(Journal[[#This Row],[ref2]])),Journal[[#This Row],[ref2]]&amp;Journal[[#This Row],[LineNum]],"")</f>
        <v>69</v>
      </c>
      <c r="L78" s="42" cm="1">
        <f t="array" ref="L78">IFERROR(_xlfn.IFS(Journal[[#This Row],[DrAccnt]]="Cash",Journal[[#This Row],[DrAmt]],Journal[[#This Row],[CrAccnt]]="Cash",-Journal[[#This Row],[CrAmt]]),0)</f>
        <v>0</v>
      </c>
      <c r="M78" s="1" t="str">
        <f>Journal[[#This Row],[AccntType]]&amp;"[Name]"</f>
        <v>[Name]</v>
      </c>
    </row>
    <row r="79" spans="2:13" x14ac:dyDescent="0.2">
      <c r="B79" s="392"/>
      <c r="C79" s="208"/>
      <c r="F79" s="42"/>
      <c r="G79" s="85"/>
      <c r="H79" s="206"/>
      <c r="I79" s="209" t="str">
        <f>_xlfn.XLOOKUP(Journal[[#This Row],[ref]],TransInfo[Num],TransInfo[ref],"")</f>
        <v/>
      </c>
      <c r="J79" s="205" cm="1">
        <f t="array" ref="J79">_xlfn.IFS(ISBLANK(Journal[[#This Row],[ref2]]),0,NOT(ISBLANK(Journal[[#This Row],[ref2]])),J78+1)</f>
        <v>70</v>
      </c>
      <c r="K79" s="1" t="str">
        <f>IF(NOT(ISBLANK(Journal[[#This Row],[ref2]])),Journal[[#This Row],[ref2]]&amp;Journal[[#This Row],[LineNum]],"")</f>
        <v>70</v>
      </c>
      <c r="L79" s="42" cm="1">
        <f t="array" ref="L79">IFERROR(_xlfn.IFS(Journal[[#This Row],[DrAccnt]]="Cash",Journal[[#This Row],[DrAmt]],Journal[[#This Row],[CrAccnt]]="Cash",-Journal[[#This Row],[CrAmt]]),0)</f>
        <v>0</v>
      </c>
      <c r="M79" s="1" t="str">
        <f>Journal[[#This Row],[AccntType]]&amp;"[Name]"</f>
        <v>[Name]</v>
      </c>
    </row>
    <row r="80" spans="2:13" x14ac:dyDescent="0.2">
      <c r="B80" s="392"/>
      <c r="C80" s="208"/>
      <c r="F80" s="42"/>
      <c r="G80" s="85"/>
      <c r="H80" s="206"/>
      <c r="I80" s="209" t="str">
        <f>_xlfn.XLOOKUP(Journal[[#This Row],[ref]],TransInfo[Num],TransInfo[ref],"")</f>
        <v/>
      </c>
      <c r="J80" s="205" cm="1">
        <f t="array" ref="J80">_xlfn.IFS(ISBLANK(Journal[[#This Row],[ref2]]),0,NOT(ISBLANK(Journal[[#This Row],[ref2]])),J79+1)</f>
        <v>71</v>
      </c>
      <c r="K80" s="1" t="str">
        <f>IF(NOT(ISBLANK(Journal[[#This Row],[ref2]])),Journal[[#This Row],[ref2]]&amp;Journal[[#This Row],[LineNum]],"")</f>
        <v>71</v>
      </c>
      <c r="L80" s="42" cm="1">
        <f t="array" ref="L80">IFERROR(_xlfn.IFS(Journal[[#This Row],[DrAccnt]]="Cash",Journal[[#This Row],[DrAmt]],Journal[[#This Row],[CrAccnt]]="Cash",-Journal[[#This Row],[CrAmt]]),0)</f>
        <v>0</v>
      </c>
      <c r="M80" s="1" t="str">
        <f>Journal[[#This Row],[AccntType]]&amp;"[Name]"</f>
        <v>[Name]</v>
      </c>
    </row>
    <row r="81" spans="2:13" x14ac:dyDescent="0.2">
      <c r="B81" s="392"/>
      <c r="C81" s="208"/>
      <c r="F81" s="42"/>
      <c r="G81" s="85"/>
      <c r="H81" s="206"/>
      <c r="I81" s="209" t="str">
        <f>_xlfn.XLOOKUP(Journal[[#This Row],[ref]],TransInfo[Num],TransInfo[ref],"")</f>
        <v/>
      </c>
      <c r="J81" s="205" cm="1">
        <f t="array" ref="J81">_xlfn.IFS(ISBLANK(Journal[[#This Row],[ref2]]),0,NOT(ISBLANK(Journal[[#This Row],[ref2]])),J80+1)</f>
        <v>72</v>
      </c>
      <c r="K81" s="1" t="str">
        <f>IF(NOT(ISBLANK(Journal[[#This Row],[ref2]])),Journal[[#This Row],[ref2]]&amp;Journal[[#This Row],[LineNum]],"")</f>
        <v>72</v>
      </c>
      <c r="L81" s="42" cm="1">
        <f t="array" ref="L81">IFERROR(_xlfn.IFS(Journal[[#This Row],[DrAccnt]]="Cash",Journal[[#This Row],[DrAmt]],Journal[[#This Row],[CrAccnt]]="Cash",-Journal[[#This Row],[CrAmt]]),0)</f>
        <v>0</v>
      </c>
      <c r="M81" s="1" t="str">
        <f>Journal[[#This Row],[AccntType]]&amp;"[Name]"</f>
        <v>[Name]</v>
      </c>
    </row>
    <row r="82" spans="2:13" x14ac:dyDescent="0.2">
      <c r="B82" s="392"/>
      <c r="C82" s="208"/>
      <c r="F82" s="42"/>
      <c r="G82" s="85"/>
      <c r="H82" s="206"/>
      <c r="I82" s="209" t="str">
        <f>_xlfn.XLOOKUP(Journal[[#This Row],[ref]],TransInfo[Num],TransInfo[ref],"")</f>
        <v/>
      </c>
      <c r="J82" s="205" cm="1">
        <f t="array" ref="J82">_xlfn.IFS(ISBLANK(Journal[[#This Row],[ref2]]),0,NOT(ISBLANK(Journal[[#This Row],[ref2]])),J81+1)</f>
        <v>73</v>
      </c>
      <c r="K82" s="1" t="str">
        <f>IF(NOT(ISBLANK(Journal[[#This Row],[ref2]])),Journal[[#This Row],[ref2]]&amp;Journal[[#This Row],[LineNum]],"")</f>
        <v>73</v>
      </c>
      <c r="L82" s="42" cm="1">
        <f t="array" ref="L82">IFERROR(_xlfn.IFS(Journal[[#This Row],[DrAccnt]]="Cash",Journal[[#This Row],[DrAmt]],Journal[[#This Row],[CrAccnt]]="Cash",-Journal[[#This Row],[CrAmt]]),0)</f>
        <v>0</v>
      </c>
      <c r="M82" s="1" t="str">
        <f>Journal[[#This Row],[AccntType]]&amp;"[Name]"</f>
        <v>[Name]</v>
      </c>
    </row>
    <row r="83" spans="2:13" x14ac:dyDescent="0.2">
      <c r="B83" s="392"/>
      <c r="C83" s="208"/>
      <c r="F83" s="42"/>
      <c r="G83" s="85"/>
      <c r="H83" s="206"/>
      <c r="I83" s="209" t="str">
        <f>_xlfn.XLOOKUP(Journal[[#This Row],[ref]],TransInfo[Num],TransInfo[ref],"")</f>
        <v/>
      </c>
      <c r="J83" s="205" cm="1">
        <f t="array" ref="J83">_xlfn.IFS(ISBLANK(Journal[[#This Row],[ref2]]),0,NOT(ISBLANK(Journal[[#This Row],[ref2]])),J82+1)</f>
        <v>74</v>
      </c>
      <c r="K83" s="1" t="str">
        <f>IF(NOT(ISBLANK(Journal[[#This Row],[ref2]])),Journal[[#This Row],[ref2]]&amp;Journal[[#This Row],[LineNum]],"")</f>
        <v>74</v>
      </c>
      <c r="L83" s="42" cm="1">
        <f t="array" ref="L83">IFERROR(_xlfn.IFS(Journal[[#This Row],[DrAccnt]]="Cash",Journal[[#This Row],[DrAmt]],Journal[[#This Row],[CrAccnt]]="Cash",-Journal[[#This Row],[CrAmt]]),0)</f>
        <v>0</v>
      </c>
      <c r="M83" s="1" t="str">
        <f>Journal[[#This Row],[AccntType]]&amp;"[Name]"</f>
        <v>[Name]</v>
      </c>
    </row>
    <row r="84" spans="2:13" x14ac:dyDescent="0.2">
      <c r="B84" s="392"/>
      <c r="C84" s="208"/>
      <c r="F84" s="42"/>
      <c r="G84" s="85"/>
      <c r="H84" s="206"/>
      <c r="I84" s="209" t="str">
        <f>_xlfn.XLOOKUP(Journal[[#This Row],[ref]],TransInfo[Num],TransInfo[ref],"")</f>
        <v/>
      </c>
      <c r="J84" s="205" cm="1">
        <f t="array" ref="J84">_xlfn.IFS(ISBLANK(Journal[[#This Row],[ref2]]),0,NOT(ISBLANK(Journal[[#This Row],[ref2]])),J83+1)</f>
        <v>75</v>
      </c>
      <c r="K84" s="1" t="str">
        <f>IF(NOT(ISBLANK(Journal[[#This Row],[ref2]])),Journal[[#This Row],[ref2]]&amp;Journal[[#This Row],[LineNum]],"")</f>
        <v>75</v>
      </c>
      <c r="L84" s="42" cm="1">
        <f t="array" ref="L84">IFERROR(_xlfn.IFS(Journal[[#This Row],[DrAccnt]]="Cash",Journal[[#This Row],[DrAmt]],Journal[[#This Row],[CrAccnt]]="Cash",-Journal[[#This Row],[CrAmt]]),0)</f>
        <v>0</v>
      </c>
      <c r="M84" s="1" t="str">
        <f>Journal[[#This Row],[AccntType]]&amp;"[Name]"</f>
        <v>[Name]</v>
      </c>
    </row>
    <row r="85" spans="2:13" x14ac:dyDescent="0.2">
      <c r="B85" s="392"/>
      <c r="C85" s="208"/>
      <c r="F85" s="42"/>
      <c r="G85" s="85"/>
      <c r="H85" s="206"/>
      <c r="I85" s="209" t="str">
        <f>_xlfn.XLOOKUP(Journal[[#This Row],[ref]],TransInfo[Num],TransInfo[ref],"")</f>
        <v/>
      </c>
      <c r="J85" s="205" cm="1">
        <f t="array" ref="J85">_xlfn.IFS(ISBLANK(Journal[[#This Row],[ref2]]),0,NOT(ISBLANK(Journal[[#This Row],[ref2]])),J84+1)</f>
        <v>76</v>
      </c>
      <c r="K85" s="1" t="str">
        <f>IF(NOT(ISBLANK(Journal[[#This Row],[ref2]])),Journal[[#This Row],[ref2]]&amp;Journal[[#This Row],[LineNum]],"")</f>
        <v>76</v>
      </c>
      <c r="L85" s="42" cm="1">
        <f t="array" ref="L85">IFERROR(_xlfn.IFS(Journal[[#This Row],[DrAccnt]]="Cash",Journal[[#This Row],[DrAmt]],Journal[[#This Row],[CrAccnt]]="Cash",-Journal[[#This Row],[CrAmt]]),0)</f>
        <v>0</v>
      </c>
      <c r="M85" s="1" t="str">
        <f>Journal[[#This Row],[AccntType]]&amp;"[Name]"</f>
        <v>[Name]</v>
      </c>
    </row>
    <row r="86" spans="2:13" x14ac:dyDescent="0.2">
      <c r="B86" s="392"/>
      <c r="C86" s="208"/>
      <c r="F86" s="42"/>
      <c r="G86" s="85"/>
      <c r="H86" s="206"/>
      <c r="I86" s="209" t="str">
        <f>_xlfn.XLOOKUP(Journal[[#This Row],[ref]],TransInfo[Num],TransInfo[ref],"")</f>
        <v/>
      </c>
      <c r="J86" s="205" cm="1">
        <f t="array" ref="J86">_xlfn.IFS(ISBLANK(Journal[[#This Row],[ref2]]),0,NOT(ISBLANK(Journal[[#This Row],[ref2]])),J85+1)</f>
        <v>77</v>
      </c>
      <c r="K86" s="1" t="str">
        <f>IF(NOT(ISBLANK(Journal[[#This Row],[ref2]])),Journal[[#This Row],[ref2]]&amp;Journal[[#This Row],[LineNum]],"")</f>
        <v>77</v>
      </c>
      <c r="L86" s="42" cm="1">
        <f t="array" ref="L86">IFERROR(_xlfn.IFS(Journal[[#This Row],[DrAccnt]]="Cash",Journal[[#This Row],[DrAmt]],Journal[[#This Row],[CrAccnt]]="Cash",-Journal[[#This Row],[CrAmt]]),0)</f>
        <v>0</v>
      </c>
      <c r="M86" s="1" t="str">
        <f>Journal[[#This Row],[AccntType]]&amp;"[Name]"</f>
        <v>[Name]</v>
      </c>
    </row>
    <row r="87" spans="2:13" x14ac:dyDescent="0.2">
      <c r="B87" s="392"/>
      <c r="C87" s="208"/>
      <c r="F87" s="42"/>
      <c r="G87" s="85"/>
      <c r="H87" s="206"/>
      <c r="I87" s="209" t="str">
        <f>_xlfn.XLOOKUP(Journal[[#This Row],[ref]],TransInfo[Num],TransInfo[ref],"")</f>
        <v/>
      </c>
      <c r="J87" s="205" cm="1">
        <f t="array" ref="J87">_xlfn.IFS(ISBLANK(Journal[[#This Row],[ref2]]),0,NOT(ISBLANK(Journal[[#This Row],[ref2]])),J86+1)</f>
        <v>78</v>
      </c>
      <c r="K87" s="1" t="str">
        <f>IF(NOT(ISBLANK(Journal[[#This Row],[ref2]])),Journal[[#This Row],[ref2]]&amp;Journal[[#This Row],[LineNum]],"")</f>
        <v>78</v>
      </c>
      <c r="L87" s="42" cm="1">
        <f t="array" ref="L87">IFERROR(_xlfn.IFS(Journal[[#This Row],[DrAccnt]]="Cash",Journal[[#This Row],[DrAmt]],Journal[[#This Row],[CrAccnt]]="Cash",-Journal[[#This Row],[CrAmt]]),0)</f>
        <v>0</v>
      </c>
      <c r="M87" s="1" t="str">
        <f>Journal[[#This Row],[AccntType]]&amp;"[Name]"</f>
        <v>[Name]</v>
      </c>
    </row>
    <row r="88" spans="2:13" x14ac:dyDescent="0.2">
      <c r="B88" s="392"/>
      <c r="C88" s="208"/>
      <c r="F88" s="42"/>
      <c r="G88" s="85"/>
      <c r="H88" s="206"/>
      <c r="I88" s="209" t="str">
        <f>_xlfn.XLOOKUP(Journal[[#This Row],[ref]],TransInfo[Num],TransInfo[ref],"")</f>
        <v/>
      </c>
      <c r="J88" s="205" cm="1">
        <f t="array" ref="J88">_xlfn.IFS(ISBLANK(Journal[[#This Row],[ref2]]),0,NOT(ISBLANK(Journal[[#This Row],[ref2]])),J87+1)</f>
        <v>79</v>
      </c>
      <c r="K88" s="1" t="str">
        <f>IF(NOT(ISBLANK(Journal[[#This Row],[ref2]])),Journal[[#This Row],[ref2]]&amp;Journal[[#This Row],[LineNum]],"")</f>
        <v>79</v>
      </c>
      <c r="L88" s="42" cm="1">
        <f t="array" ref="L88">IFERROR(_xlfn.IFS(Journal[[#This Row],[DrAccnt]]="Cash",Journal[[#This Row],[DrAmt]],Journal[[#This Row],[CrAccnt]]="Cash",-Journal[[#This Row],[CrAmt]]),0)</f>
        <v>0</v>
      </c>
      <c r="M88" s="1" t="str">
        <f>Journal[[#This Row],[AccntType]]&amp;"[Name]"</f>
        <v>[Name]</v>
      </c>
    </row>
    <row r="89" spans="2:13" x14ac:dyDescent="0.2">
      <c r="B89" s="392"/>
      <c r="C89" s="208"/>
      <c r="F89" s="42"/>
      <c r="G89" s="85"/>
      <c r="H89" s="206"/>
      <c r="I89" s="209" t="str">
        <f>_xlfn.XLOOKUP(Journal[[#This Row],[ref]],TransInfo[Num],TransInfo[ref],"")</f>
        <v/>
      </c>
      <c r="J89" s="205" cm="1">
        <f t="array" ref="J89">_xlfn.IFS(ISBLANK(Journal[[#This Row],[ref2]]),0,NOT(ISBLANK(Journal[[#This Row],[ref2]])),J88+1)</f>
        <v>80</v>
      </c>
      <c r="K89" s="1" t="str">
        <f>IF(NOT(ISBLANK(Journal[[#This Row],[ref2]])),Journal[[#This Row],[ref2]]&amp;Journal[[#This Row],[LineNum]],"")</f>
        <v>80</v>
      </c>
      <c r="L89" s="42" cm="1">
        <f t="array" ref="L89">IFERROR(_xlfn.IFS(Journal[[#This Row],[DrAccnt]]="Cash",Journal[[#This Row],[DrAmt]],Journal[[#This Row],[CrAccnt]]="Cash",-Journal[[#This Row],[CrAmt]]),0)</f>
        <v>0</v>
      </c>
      <c r="M89" s="1" t="str">
        <f>Journal[[#This Row],[AccntType]]&amp;"[Name]"</f>
        <v>[Name]</v>
      </c>
    </row>
    <row r="90" spans="2:13" x14ac:dyDescent="0.2">
      <c r="B90" s="392"/>
      <c r="C90" s="208"/>
      <c r="F90" s="42"/>
      <c r="G90" s="85"/>
      <c r="H90" s="206"/>
      <c r="I90" s="209" t="str">
        <f>_xlfn.XLOOKUP(Journal[[#This Row],[ref]],TransInfo[Num],TransInfo[ref],"")</f>
        <v/>
      </c>
      <c r="J90" s="205" cm="1">
        <f t="array" ref="J90">_xlfn.IFS(ISBLANK(Journal[[#This Row],[ref2]]),0,NOT(ISBLANK(Journal[[#This Row],[ref2]])),J89+1)</f>
        <v>81</v>
      </c>
      <c r="K90" s="1" t="str">
        <f>IF(NOT(ISBLANK(Journal[[#This Row],[ref2]])),Journal[[#This Row],[ref2]]&amp;Journal[[#This Row],[LineNum]],"")</f>
        <v>81</v>
      </c>
      <c r="L90" s="42" cm="1">
        <f t="array" ref="L90">IFERROR(_xlfn.IFS(Journal[[#This Row],[DrAccnt]]="Cash",Journal[[#This Row],[DrAmt]],Journal[[#This Row],[CrAccnt]]="Cash",-Journal[[#This Row],[CrAmt]]),0)</f>
        <v>0</v>
      </c>
      <c r="M90" s="1" t="str">
        <f>Journal[[#This Row],[AccntType]]&amp;"[Name]"</f>
        <v>[Name]</v>
      </c>
    </row>
    <row r="91" spans="2:13" x14ac:dyDescent="0.2">
      <c r="B91" s="392"/>
      <c r="C91" s="208"/>
      <c r="F91" s="42"/>
      <c r="G91" s="85"/>
      <c r="H91" s="206"/>
      <c r="I91" s="209" t="str">
        <f>_xlfn.XLOOKUP(Journal[[#This Row],[ref]],TransInfo[Num],TransInfo[ref],"")</f>
        <v/>
      </c>
      <c r="J91" s="205" cm="1">
        <f t="array" ref="J91">_xlfn.IFS(ISBLANK(Journal[[#This Row],[ref2]]),0,NOT(ISBLANK(Journal[[#This Row],[ref2]])),J90+1)</f>
        <v>82</v>
      </c>
      <c r="K91" s="1" t="str">
        <f>IF(NOT(ISBLANK(Journal[[#This Row],[ref2]])),Journal[[#This Row],[ref2]]&amp;Journal[[#This Row],[LineNum]],"")</f>
        <v>82</v>
      </c>
      <c r="L91" s="42" cm="1">
        <f t="array" ref="L91">IFERROR(_xlfn.IFS(Journal[[#This Row],[DrAccnt]]="Cash",Journal[[#This Row],[DrAmt]],Journal[[#This Row],[CrAccnt]]="Cash",-Journal[[#This Row],[CrAmt]]),0)</f>
        <v>0</v>
      </c>
      <c r="M91" s="1" t="str">
        <f>Journal[[#This Row],[AccntType]]&amp;"[Name]"</f>
        <v>[Name]</v>
      </c>
    </row>
    <row r="92" spans="2:13" x14ac:dyDescent="0.2">
      <c r="B92" s="392"/>
      <c r="C92" s="208"/>
      <c r="F92" s="42"/>
      <c r="G92" s="85"/>
      <c r="H92" s="206"/>
      <c r="I92" s="209" t="str">
        <f>_xlfn.XLOOKUP(Journal[[#This Row],[ref]],TransInfo[Num],TransInfo[ref],"")</f>
        <v/>
      </c>
      <c r="J92" s="205" cm="1">
        <f t="array" ref="J92">_xlfn.IFS(ISBLANK(Journal[[#This Row],[ref2]]),0,NOT(ISBLANK(Journal[[#This Row],[ref2]])),J91+1)</f>
        <v>83</v>
      </c>
      <c r="K92" s="1" t="str">
        <f>IF(NOT(ISBLANK(Journal[[#This Row],[ref2]])),Journal[[#This Row],[ref2]]&amp;Journal[[#This Row],[LineNum]],"")</f>
        <v>83</v>
      </c>
      <c r="L92" s="42" cm="1">
        <f t="array" ref="L92">IFERROR(_xlfn.IFS(Journal[[#This Row],[DrAccnt]]="Cash",Journal[[#This Row],[DrAmt]],Journal[[#This Row],[CrAccnt]]="Cash",-Journal[[#This Row],[CrAmt]]),0)</f>
        <v>0</v>
      </c>
      <c r="M92" s="1" t="str">
        <f>Journal[[#This Row],[AccntType]]&amp;"[Name]"</f>
        <v>[Name]</v>
      </c>
    </row>
    <row r="93" spans="2:13" x14ac:dyDescent="0.2">
      <c r="B93" s="392"/>
      <c r="C93" s="208"/>
      <c r="F93" s="42"/>
      <c r="G93" s="85"/>
      <c r="H93" s="206"/>
      <c r="I93" s="209" t="str">
        <f>_xlfn.XLOOKUP(Journal[[#This Row],[ref]],TransInfo[Num],TransInfo[ref],"")</f>
        <v/>
      </c>
      <c r="J93" s="205" cm="1">
        <f t="array" ref="J93">_xlfn.IFS(ISBLANK(Journal[[#This Row],[ref2]]),0,NOT(ISBLANK(Journal[[#This Row],[ref2]])),J92+1)</f>
        <v>84</v>
      </c>
      <c r="K93" s="1" t="str">
        <f>IF(NOT(ISBLANK(Journal[[#This Row],[ref2]])),Journal[[#This Row],[ref2]]&amp;Journal[[#This Row],[LineNum]],"")</f>
        <v>84</v>
      </c>
      <c r="L93" s="42" cm="1">
        <f t="array" ref="L93">IFERROR(_xlfn.IFS(Journal[[#This Row],[DrAccnt]]="Cash",Journal[[#This Row],[DrAmt]],Journal[[#This Row],[CrAccnt]]="Cash",-Journal[[#This Row],[CrAmt]]),0)</f>
        <v>0</v>
      </c>
      <c r="M93" s="1" t="str">
        <f>Journal[[#This Row],[AccntType]]&amp;"[Name]"</f>
        <v>[Name]</v>
      </c>
    </row>
    <row r="94" spans="2:13" x14ac:dyDescent="0.2">
      <c r="B94" s="392"/>
      <c r="C94" s="208"/>
      <c r="F94" s="42"/>
      <c r="G94" s="85"/>
      <c r="H94" s="206"/>
      <c r="I94" s="209" t="str">
        <f>_xlfn.XLOOKUP(Journal[[#This Row],[ref]],TransInfo[Num],TransInfo[ref],"")</f>
        <v/>
      </c>
      <c r="J94" s="205" cm="1">
        <f t="array" ref="J94">_xlfn.IFS(ISBLANK(Journal[[#This Row],[ref2]]),0,NOT(ISBLANK(Journal[[#This Row],[ref2]])),J93+1)</f>
        <v>85</v>
      </c>
      <c r="K94" s="1" t="str">
        <f>IF(NOT(ISBLANK(Journal[[#This Row],[ref2]])),Journal[[#This Row],[ref2]]&amp;Journal[[#This Row],[LineNum]],"")</f>
        <v>85</v>
      </c>
      <c r="L94" s="42" cm="1">
        <f t="array" ref="L94">IFERROR(_xlfn.IFS(Journal[[#This Row],[DrAccnt]]="Cash",Journal[[#This Row],[DrAmt]],Journal[[#This Row],[CrAccnt]]="Cash",-Journal[[#This Row],[CrAmt]]),0)</f>
        <v>0</v>
      </c>
      <c r="M94" s="1" t="str">
        <f>Journal[[#This Row],[AccntType]]&amp;"[Name]"</f>
        <v>[Name]</v>
      </c>
    </row>
    <row r="95" spans="2:13" x14ac:dyDescent="0.2">
      <c r="B95" s="392"/>
      <c r="C95" s="208"/>
      <c r="F95" s="42"/>
      <c r="G95" s="85"/>
      <c r="H95" s="206"/>
      <c r="I95" s="209" t="str">
        <f>_xlfn.XLOOKUP(Journal[[#This Row],[ref]],TransInfo[Num],TransInfo[ref],"")</f>
        <v/>
      </c>
      <c r="J95" s="205" cm="1">
        <f t="array" ref="J95">_xlfn.IFS(ISBLANK(Journal[[#This Row],[ref2]]),0,NOT(ISBLANK(Journal[[#This Row],[ref2]])),J94+1)</f>
        <v>86</v>
      </c>
      <c r="K95" s="1" t="str">
        <f>IF(NOT(ISBLANK(Journal[[#This Row],[ref2]])),Journal[[#This Row],[ref2]]&amp;Journal[[#This Row],[LineNum]],"")</f>
        <v>86</v>
      </c>
      <c r="L95" s="42" cm="1">
        <f t="array" ref="L95">IFERROR(_xlfn.IFS(Journal[[#This Row],[DrAccnt]]="Cash",Journal[[#This Row],[DrAmt]],Journal[[#This Row],[CrAccnt]]="Cash",-Journal[[#This Row],[CrAmt]]),0)</f>
        <v>0</v>
      </c>
      <c r="M95" s="1" t="str">
        <f>Journal[[#This Row],[AccntType]]&amp;"[Name]"</f>
        <v>[Name]</v>
      </c>
    </row>
    <row r="96" spans="2:13" x14ac:dyDescent="0.2">
      <c r="B96" s="392"/>
      <c r="C96" s="208"/>
      <c r="F96" s="42"/>
      <c r="G96" s="85"/>
      <c r="H96" s="206"/>
      <c r="I96" s="209" t="str">
        <f>_xlfn.XLOOKUP(Journal[[#This Row],[ref]],TransInfo[Num],TransInfo[ref],"")</f>
        <v/>
      </c>
      <c r="J96" s="205" cm="1">
        <f t="array" ref="J96">_xlfn.IFS(ISBLANK(Journal[[#This Row],[ref2]]),0,NOT(ISBLANK(Journal[[#This Row],[ref2]])),J95+1)</f>
        <v>87</v>
      </c>
      <c r="K96" s="1" t="str">
        <f>IF(NOT(ISBLANK(Journal[[#This Row],[ref2]])),Journal[[#This Row],[ref2]]&amp;Journal[[#This Row],[LineNum]],"")</f>
        <v>87</v>
      </c>
      <c r="L96" s="42" cm="1">
        <f t="array" ref="L96">IFERROR(_xlfn.IFS(Journal[[#This Row],[DrAccnt]]="Cash",Journal[[#This Row],[DrAmt]],Journal[[#This Row],[CrAccnt]]="Cash",-Journal[[#This Row],[CrAmt]]),0)</f>
        <v>0</v>
      </c>
      <c r="M96" s="1" t="str">
        <f>Journal[[#This Row],[AccntType]]&amp;"[Name]"</f>
        <v>[Name]</v>
      </c>
    </row>
    <row r="97" spans="2:13" x14ac:dyDescent="0.2">
      <c r="B97" s="392"/>
      <c r="C97" s="208"/>
      <c r="F97" s="42"/>
      <c r="G97" s="85"/>
      <c r="H97" s="206"/>
      <c r="I97" s="209" t="str">
        <f>_xlfn.XLOOKUP(Journal[[#This Row],[ref]],TransInfo[Num],TransInfo[ref],"")</f>
        <v/>
      </c>
      <c r="J97" s="205" cm="1">
        <f t="array" ref="J97">_xlfn.IFS(ISBLANK(Journal[[#This Row],[ref2]]),0,NOT(ISBLANK(Journal[[#This Row],[ref2]])),J96+1)</f>
        <v>88</v>
      </c>
      <c r="K97" s="1" t="str">
        <f>IF(NOT(ISBLANK(Journal[[#This Row],[ref2]])),Journal[[#This Row],[ref2]]&amp;Journal[[#This Row],[LineNum]],"")</f>
        <v>88</v>
      </c>
      <c r="L97" s="42" cm="1">
        <f t="array" ref="L97">IFERROR(_xlfn.IFS(Journal[[#This Row],[DrAccnt]]="Cash",Journal[[#This Row],[DrAmt]],Journal[[#This Row],[CrAccnt]]="Cash",-Journal[[#This Row],[CrAmt]]),0)</f>
        <v>0</v>
      </c>
      <c r="M97" s="1" t="str">
        <f>Journal[[#This Row],[AccntType]]&amp;"[Name]"</f>
        <v>[Name]</v>
      </c>
    </row>
    <row r="98" spans="2:13" x14ac:dyDescent="0.2">
      <c r="B98" s="392"/>
      <c r="C98" s="208"/>
      <c r="F98" s="42"/>
      <c r="G98" s="85"/>
      <c r="H98" s="206"/>
      <c r="I98" s="209" t="str">
        <f>_xlfn.XLOOKUP(Journal[[#This Row],[ref]],TransInfo[Num],TransInfo[ref],"")</f>
        <v/>
      </c>
      <c r="J98" s="205" cm="1">
        <f t="array" ref="J98">_xlfn.IFS(ISBLANK(Journal[[#This Row],[ref2]]),0,NOT(ISBLANK(Journal[[#This Row],[ref2]])),J97+1)</f>
        <v>89</v>
      </c>
      <c r="K98" s="1" t="str">
        <f>IF(NOT(ISBLANK(Journal[[#This Row],[ref2]])),Journal[[#This Row],[ref2]]&amp;Journal[[#This Row],[LineNum]],"")</f>
        <v>89</v>
      </c>
      <c r="L98" s="42" cm="1">
        <f t="array" ref="L98">IFERROR(_xlfn.IFS(Journal[[#This Row],[DrAccnt]]="Cash",Journal[[#This Row],[DrAmt]],Journal[[#This Row],[CrAccnt]]="Cash",-Journal[[#This Row],[CrAmt]]),0)</f>
        <v>0</v>
      </c>
      <c r="M98" s="1" t="str">
        <f>Journal[[#This Row],[AccntType]]&amp;"[Name]"</f>
        <v>[Name]</v>
      </c>
    </row>
    <row r="99" spans="2:13" x14ac:dyDescent="0.2">
      <c r="B99" s="392"/>
      <c r="C99" s="208"/>
      <c r="F99" s="42"/>
      <c r="G99" s="85"/>
      <c r="H99" s="206"/>
      <c r="I99" s="209" t="str">
        <f>_xlfn.XLOOKUP(Journal[[#This Row],[ref]],TransInfo[Num],TransInfo[ref],"")</f>
        <v/>
      </c>
      <c r="J99" s="205" cm="1">
        <f t="array" ref="J99">_xlfn.IFS(ISBLANK(Journal[[#This Row],[ref2]]),0,NOT(ISBLANK(Journal[[#This Row],[ref2]])),J98+1)</f>
        <v>90</v>
      </c>
      <c r="K99" s="1" t="str">
        <f>IF(NOT(ISBLANK(Journal[[#This Row],[ref2]])),Journal[[#This Row],[ref2]]&amp;Journal[[#This Row],[LineNum]],"")</f>
        <v>90</v>
      </c>
      <c r="L99" s="42" cm="1">
        <f t="array" ref="L99">IFERROR(_xlfn.IFS(Journal[[#This Row],[DrAccnt]]="Cash",Journal[[#This Row],[DrAmt]],Journal[[#This Row],[CrAccnt]]="Cash",-Journal[[#This Row],[CrAmt]]),0)</f>
        <v>0</v>
      </c>
      <c r="M99" s="1" t="str">
        <f>Journal[[#This Row],[AccntType]]&amp;"[Name]"</f>
        <v>[Name]</v>
      </c>
    </row>
    <row r="100" spans="2:13" x14ac:dyDescent="0.2">
      <c r="B100" s="392"/>
      <c r="C100" s="208"/>
      <c r="F100" s="42"/>
      <c r="G100" s="85"/>
      <c r="H100" s="206"/>
      <c r="I100" s="209" t="str">
        <f>_xlfn.XLOOKUP(Journal[[#This Row],[ref]],TransInfo[Num],TransInfo[ref],"")</f>
        <v/>
      </c>
      <c r="J100" s="205" cm="1">
        <f t="array" ref="J100">_xlfn.IFS(ISBLANK(Journal[[#This Row],[ref2]]),0,NOT(ISBLANK(Journal[[#This Row],[ref2]])),J99+1)</f>
        <v>91</v>
      </c>
      <c r="K100" s="1" t="str">
        <f>IF(NOT(ISBLANK(Journal[[#This Row],[ref2]])),Journal[[#This Row],[ref2]]&amp;Journal[[#This Row],[LineNum]],"")</f>
        <v>91</v>
      </c>
      <c r="L100" s="42" cm="1">
        <f t="array" ref="L100">IFERROR(_xlfn.IFS(Journal[[#This Row],[DrAccnt]]="Cash",Journal[[#This Row],[DrAmt]],Journal[[#This Row],[CrAccnt]]="Cash",-Journal[[#This Row],[CrAmt]]),0)</f>
        <v>0</v>
      </c>
      <c r="M100" s="1" t="str">
        <f>Journal[[#This Row],[AccntType]]&amp;"[Name]"</f>
        <v>[Name]</v>
      </c>
    </row>
    <row r="101" spans="2:13" x14ac:dyDescent="0.2">
      <c r="B101" s="392"/>
      <c r="C101" s="208"/>
      <c r="F101" s="42"/>
      <c r="G101" s="85"/>
      <c r="H101" s="206"/>
      <c r="I101" s="209" t="str">
        <f>_xlfn.XLOOKUP(Journal[[#This Row],[ref]],TransInfo[Num],TransInfo[ref],"")</f>
        <v/>
      </c>
      <c r="J101" s="205" cm="1">
        <f t="array" ref="J101">_xlfn.IFS(ISBLANK(Journal[[#This Row],[ref2]]),0,NOT(ISBLANK(Journal[[#This Row],[ref2]])),J100+1)</f>
        <v>92</v>
      </c>
      <c r="K101" s="1" t="str">
        <f>IF(NOT(ISBLANK(Journal[[#This Row],[ref2]])),Journal[[#This Row],[ref2]]&amp;Journal[[#This Row],[LineNum]],"")</f>
        <v>92</v>
      </c>
      <c r="L101" s="42" cm="1">
        <f t="array" ref="L101">IFERROR(_xlfn.IFS(Journal[[#This Row],[DrAccnt]]="Cash",Journal[[#This Row],[DrAmt]],Journal[[#This Row],[CrAccnt]]="Cash",-Journal[[#This Row],[CrAmt]]),0)</f>
        <v>0</v>
      </c>
      <c r="M101" s="1" t="str">
        <f>Journal[[#This Row],[AccntType]]&amp;"[Name]"</f>
        <v>[Name]</v>
      </c>
    </row>
    <row r="102" spans="2:13" x14ac:dyDescent="0.2">
      <c r="B102" s="392"/>
      <c r="C102" s="208"/>
      <c r="F102" s="42"/>
      <c r="G102" s="85"/>
      <c r="H102" s="206"/>
      <c r="I102" s="209" t="str">
        <f>_xlfn.XLOOKUP(Journal[[#This Row],[ref]],TransInfo[Num],TransInfo[ref],"")</f>
        <v/>
      </c>
      <c r="J102" s="205" cm="1">
        <f t="array" ref="J102">_xlfn.IFS(ISBLANK(Journal[[#This Row],[ref2]]),0,NOT(ISBLANK(Journal[[#This Row],[ref2]])),J101+1)</f>
        <v>93</v>
      </c>
      <c r="K102" s="1" t="str">
        <f>IF(NOT(ISBLANK(Journal[[#This Row],[ref2]])),Journal[[#This Row],[ref2]]&amp;Journal[[#This Row],[LineNum]],"")</f>
        <v>93</v>
      </c>
      <c r="L102" s="42" cm="1">
        <f t="array" ref="L102">IFERROR(_xlfn.IFS(Journal[[#This Row],[DrAccnt]]="Cash",Journal[[#This Row],[DrAmt]],Journal[[#This Row],[CrAccnt]]="Cash",-Journal[[#This Row],[CrAmt]]),0)</f>
        <v>0</v>
      </c>
      <c r="M102" s="1" t="str">
        <f>Journal[[#This Row],[AccntType]]&amp;"[Name]"</f>
        <v>[Name]</v>
      </c>
    </row>
    <row r="103" spans="2:13" x14ac:dyDescent="0.2">
      <c r="B103" s="392"/>
      <c r="C103" s="208"/>
      <c r="F103" s="42"/>
      <c r="G103" s="85"/>
      <c r="H103" s="206"/>
      <c r="I103" s="209" t="str">
        <f>_xlfn.XLOOKUP(Journal[[#This Row],[ref]],TransInfo[Num],TransInfo[ref],"")</f>
        <v/>
      </c>
      <c r="J103" s="205" cm="1">
        <f t="array" ref="J103">_xlfn.IFS(ISBLANK(Journal[[#This Row],[ref2]]),0,NOT(ISBLANK(Journal[[#This Row],[ref2]])),J102+1)</f>
        <v>94</v>
      </c>
      <c r="K103" s="1" t="str">
        <f>IF(NOT(ISBLANK(Journal[[#This Row],[ref2]])),Journal[[#This Row],[ref2]]&amp;Journal[[#This Row],[LineNum]],"")</f>
        <v>94</v>
      </c>
      <c r="L103" s="42" cm="1">
        <f t="array" ref="L103">IFERROR(_xlfn.IFS(Journal[[#This Row],[DrAccnt]]="Cash",Journal[[#This Row],[DrAmt]],Journal[[#This Row],[CrAccnt]]="Cash",-Journal[[#This Row],[CrAmt]]),0)</f>
        <v>0</v>
      </c>
      <c r="M103" s="1" t="str">
        <f>Journal[[#This Row],[AccntType]]&amp;"[Name]"</f>
        <v>[Name]</v>
      </c>
    </row>
    <row r="104" spans="2:13" x14ac:dyDescent="0.2">
      <c r="B104" s="392"/>
      <c r="C104" s="208"/>
      <c r="F104" s="42"/>
      <c r="G104" s="85"/>
      <c r="H104" s="206"/>
      <c r="I104" s="209" t="str">
        <f>_xlfn.XLOOKUP(Journal[[#This Row],[ref]],TransInfo[Num],TransInfo[ref],"")</f>
        <v/>
      </c>
      <c r="J104" s="205" cm="1">
        <f t="array" ref="J104">_xlfn.IFS(ISBLANK(Journal[[#This Row],[ref2]]),0,NOT(ISBLANK(Journal[[#This Row],[ref2]])),J103+1)</f>
        <v>95</v>
      </c>
      <c r="K104" s="1" t="str">
        <f>IF(NOT(ISBLANK(Journal[[#This Row],[ref2]])),Journal[[#This Row],[ref2]]&amp;Journal[[#This Row],[LineNum]],"")</f>
        <v>95</v>
      </c>
      <c r="L104" s="42" cm="1">
        <f t="array" ref="L104">IFERROR(_xlfn.IFS(Journal[[#This Row],[DrAccnt]]="Cash",Journal[[#This Row],[DrAmt]],Journal[[#This Row],[CrAccnt]]="Cash",-Journal[[#This Row],[CrAmt]]),0)</f>
        <v>0</v>
      </c>
      <c r="M104" s="1" t="str">
        <f>Journal[[#This Row],[AccntType]]&amp;"[Name]"</f>
        <v>[Name]</v>
      </c>
    </row>
    <row r="105" spans="2:13" x14ac:dyDescent="0.2">
      <c r="B105" s="392"/>
      <c r="C105" s="208"/>
      <c r="F105" s="42"/>
      <c r="G105" s="85"/>
      <c r="H105" s="206"/>
      <c r="I105" s="209" t="str">
        <f>_xlfn.XLOOKUP(Journal[[#This Row],[ref]],TransInfo[Num],TransInfo[ref],"")</f>
        <v/>
      </c>
      <c r="J105" s="205" cm="1">
        <f t="array" ref="J105">_xlfn.IFS(ISBLANK(Journal[[#This Row],[ref2]]),0,NOT(ISBLANK(Journal[[#This Row],[ref2]])),J104+1)</f>
        <v>96</v>
      </c>
      <c r="K105" s="1" t="str">
        <f>IF(NOT(ISBLANK(Journal[[#This Row],[ref2]])),Journal[[#This Row],[ref2]]&amp;Journal[[#This Row],[LineNum]],"")</f>
        <v>96</v>
      </c>
      <c r="L105" s="42" cm="1">
        <f t="array" ref="L105">IFERROR(_xlfn.IFS(Journal[[#This Row],[DrAccnt]]="Cash",Journal[[#This Row],[DrAmt]],Journal[[#This Row],[CrAccnt]]="Cash",-Journal[[#This Row],[CrAmt]]),0)</f>
        <v>0</v>
      </c>
      <c r="M105" s="1" t="str">
        <f>Journal[[#This Row],[AccntType]]&amp;"[Name]"</f>
        <v>[Name]</v>
      </c>
    </row>
    <row r="106" spans="2:13" x14ac:dyDescent="0.2">
      <c r="B106" s="392"/>
      <c r="C106" s="208"/>
      <c r="F106" s="42"/>
      <c r="G106" s="85"/>
      <c r="H106" s="206"/>
      <c r="I106" s="209" t="str">
        <f>_xlfn.XLOOKUP(Journal[[#This Row],[ref]],TransInfo[Num],TransInfo[ref],"")</f>
        <v/>
      </c>
      <c r="J106" s="205" cm="1">
        <f t="array" ref="J106">_xlfn.IFS(ISBLANK(Journal[[#This Row],[ref2]]),0,NOT(ISBLANK(Journal[[#This Row],[ref2]])),J105+1)</f>
        <v>97</v>
      </c>
      <c r="K106" s="1" t="str">
        <f>IF(NOT(ISBLANK(Journal[[#This Row],[ref2]])),Journal[[#This Row],[ref2]]&amp;Journal[[#This Row],[LineNum]],"")</f>
        <v>97</v>
      </c>
      <c r="L106" s="42" cm="1">
        <f t="array" ref="L106">IFERROR(_xlfn.IFS(Journal[[#This Row],[DrAccnt]]="Cash",Journal[[#This Row],[DrAmt]],Journal[[#This Row],[CrAccnt]]="Cash",-Journal[[#This Row],[CrAmt]]),0)</f>
        <v>0</v>
      </c>
      <c r="M106" s="1" t="str">
        <f>Journal[[#This Row],[AccntType]]&amp;"[Name]"</f>
        <v>[Name]</v>
      </c>
    </row>
    <row r="107" spans="2:13" x14ac:dyDescent="0.2">
      <c r="B107" s="392"/>
      <c r="C107" s="208"/>
      <c r="F107" s="42"/>
      <c r="G107" s="85"/>
      <c r="H107" s="206"/>
      <c r="I107" s="209" t="str">
        <f>_xlfn.XLOOKUP(Journal[[#This Row],[ref]],TransInfo[Num],TransInfo[ref],"")</f>
        <v/>
      </c>
      <c r="J107" s="205" cm="1">
        <f t="array" ref="J107">_xlfn.IFS(ISBLANK(Journal[[#This Row],[ref2]]),0,NOT(ISBLANK(Journal[[#This Row],[ref2]])),J106+1)</f>
        <v>98</v>
      </c>
      <c r="K107" s="1" t="str">
        <f>IF(NOT(ISBLANK(Journal[[#This Row],[ref2]])),Journal[[#This Row],[ref2]]&amp;Journal[[#This Row],[LineNum]],"")</f>
        <v>98</v>
      </c>
      <c r="L107" s="42" cm="1">
        <f t="array" ref="L107">IFERROR(_xlfn.IFS(Journal[[#This Row],[DrAccnt]]="Cash",Journal[[#This Row],[DrAmt]],Journal[[#This Row],[CrAccnt]]="Cash",-Journal[[#This Row],[CrAmt]]),0)</f>
        <v>0</v>
      </c>
      <c r="M107" s="1" t="str">
        <f>Journal[[#This Row],[AccntType]]&amp;"[Name]"</f>
        <v>[Name]</v>
      </c>
    </row>
    <row r="108" spans="2:13" x14ac:dyDescent="0.2">
      <c r="B108" s="392"/>
      <c r="C108" s="208"/>
      <c r="F108" s="42"/>
      <c r="G108" s="85"/>
      <c r="H108" s="206"/>
      <c r="I108" s="209" t="str">
        <f>_xlfn.XLOOKUP(Journal[[#This Row],[ref]],TransInfo[Num],TransInfo[ref],"")</f>
        <v/>
      </c>
      <c r="J108" s="205" cm="1">
        <f t="array" ref="J108">_xlfn.IFS(ISBLANK(Journal[[#This Row],[ref2]]),0,NOT(ISBLANK(Journal[[#This Row],[ref2]])),J107+1)</f>
        <v>99</v>
      </c>
      <c r="K108" s="1" t="str">
        <f>IF(NOT(ISBLANK(Journal[[#This Row],[ref2]])),Journal[[#This Row],[ref2]]&amp;Journal[[#This Row],[LineNum]],"")</f>
        <v>99</v>
      </c>
      <c r="L108" s="42" cm="1">
        <f t="array" ref="L108">IFERROR(_xlfn.IFS(Journal[[#This Row],[DrAccnt]]="Cash",Journal[[#This Row],[DrAmt]],Journal[[#This Row],[CrAccnt]]="Cash",-Journal[[#This Row],[CrAmt]]),0)</f>
        <v>0</v>
      </c>
      <c r="M108" s="1" t="str">
        <f>Journal[[#This Row],[AccntType]]&amp;"[Name]"</f>
        <v>[Name]</v>
      </c>
    </row>
    <row r="109" spans="2:13" x14ac:dyDescent="0.2">
      <c r="B109" s="392"/>
      <c r="C109" s="208"/>
      <c r="F109" s="42"/>
      <c r="G109" s="85"/>
      <c r="H109" s="206"/>
      <c r="I109" s="209" t="str">
        <f>_xlfn.XLOOKUP(Journal[[#This Row],[ref]],TransInfo[Num],TransInfo[ref],"")</f>
        <v/>
      </c>
      <c r="J109" s="205" cm="1">
        <f t="array" ref="J109">_xlfn.IFS(ISBLANK(Journal[[#This Row],[ref2]]),0,NOT(ISBLANK(Journal[[#This Row],[ref2]])),J108+1)</f>
        <v>100</v>
      </c>
      <c r="K109" s="1" t="str">
        <f>IF(NOT(ISBLANK(Journal[[#This Row],[ref2]])),Journal[[#This Row],[ref2]]&amp;Journal[[#This Row],[LineNum]],"")</f>
        <v>100</v>
      </c>
      <c r="L109" s="42" cm="1">
        <f t="array" ref="L109">IFERROR(_xlfn.IFS(Journal[[#This Row],[DrAccnt]]="Cash",Journal[[#This Row],[DrAmt]],Journal[[#This Row],[CrAccnt]]="Cash",-Journal[[#This Row],[CrAmt]]),0)</f>
        <v>0</v>
      </c>
      <c r="M109" s="1" t="str">
        <f>Journal[[#This Row],[AccntType]]&amp;"[Name]"</f>
        <v>[Name]</v>
      </c>
    </row>
    <row r="110" spans="2:13" x14ac:dyDescent="0.2">
      <c r="B110" s="392"/>
      <c r="C110" s="208"/>
      <c r="F110" s="42"/>
      <c r="G110" s="85"/>
      <c r="H110" s="206"/>
      <c r="I110" s="209" t="str">
        <f>_xlfn.XLOOKUP(Journal[[#This Row],[ref]],TransInfo[Num],TransInfo[ref],"")</f>
        <v/>
      </c>
      <c r="J110" s="205" cm="1">
        <f t="array" ref="J110">_xlfn.IFS(ISBLANK(Journal[[#This Row],[ref2]]),0,NOT(ISBLANK(Journal[[#This Row],[ref2]])),J109+1)</f>
        <v>101</v>
      </c>
      <c r="K110" s="1" t="str">
        <f>IF(NOT(ISBLANK(Journal[[#This Row],[ref2]])),Journal[[#This Row],[ref2]]&amp;Journal[[#This Row],[LineNum]],"")</f>
        <v>101</v>
      </c>
      <c r="L110" s="42" cm="1">
        <f t="array" ref="L110">IFERROR(_xlfn.IFS(Journal[[#This Row],[DrAccnt]]="Cash",Journal[[#This Row],[DrAmt]],Journal[[#This Row],[CrAccnt]]="Cash",-Journal[[#This Row],[CrAmt]]),0)</f>
        <v>0</v>
      </c>
      <c r="M110" s="1" t="str">
        <f>Journal[[#This Row],[AccntType]]&amp;"[Name]"</f>
        <v>[Name]</v>
      </c>
    </row>
    <row r="111" spans="2:13" x14ac:dyDescent="0.2">
      <c r="B111" s="392"/>
      <c r="C111" s="208"/>
      <c r="F111" s="42"/>
      <c r="G111" s="85"/>
      <c r="H111" s="206"/>
      <c r="I111" s="209" t="str">
        <f>_xlfn.XLOOKUP(Journal[[#This Row],[ref]],TransInfo[Num],TransInfo[ref],"")</f>
        <v/>
      </c>
      <c r="J111" s="205" cm="1">
        <f t="array" ref="J111">_xlfn.IFS(ISBLANK(Journal[[#This Row],[ref2]]),0,NOT(ISBLANK(Journal[[#This Row],[ref2]])),J110+1)</f>
        <v>102</v>
      </c>
      <c r="K111" s="1" t="str">
        <f>IF(NOT(ISBLANK(Journal[[#This Row],[ref2]])),Journal[[#This Row],[ref2]]&amp;Journal[[#This Row],[LineNum]],"")</f>
        <v>102</v>
      </c>
      <c r="L111" s="42" cm="1">
        <f t="array" ref="L111">IFERROR(_xlfn.IFS(Journal[[#This Row],[DrAccnt]]="Cash",Journal[[#This Row],[DrAmt]],Journal[[#This Row],[CrAccnt]]="Cash",-Journal[[#This Row],[CrAmt]]),0)</f>
        <v>0</v>
      </c>
      <c r="M111" s="1" t="str">
        <f>Journal[[#This Row],[AccntType]]&amp;"[Name]"</f>
        <v>[Name]</v>
      </c>
    </row>
    <row r="112" spans="2:13" x14ac:dyDescent="0.2">
      <c r="B112" s="392"/>
      <c r="C112" s="208"/>
      <c r="F112" s="42"/>
      <c r="G112" s="85"/>
      <c r="H112" s="206"/>
      <c r="I112" s="209" t="str">
        <f>_xlfn.XLOOKUP(Journal[[#This Row],[ref]],TransInfo[Num],TransInfo[ref],"")</f>
        <v/>
      </c>
      <c r="J112" s="205" cm="1">
        <f t="array" ref="J112">_xlfn.IFS(ISBLANK(Journal[[#This Row],[ref2]]),0,NOT(ISBLANK(Journal[[#This Row],[ref2]])),J111+1)</f>
        <v>103</v>
      </c>
      <c r="K112" s="1" t="str">
        <f>IF(NOT(ISBLANK(Journal[[#This Row],[ref2]])),Journal[[#This Row],[ref2]]&amp;Journal[[#This Row],[LineNum]],"")</f>
        <v>103</v>
      </c>
      <c r="L112" s="42" cm="1">
        <f t="array" ref="L112">IFERROR(_xlfn.IFS(Journal[[#This Row],[DrAccnt]]="Cash",Journal[[#This Row],[DrAmt]],Journal[[#This Row],[CrAccnt]]="Cash",-Journal[[#This Row],[CrAmt]]),0)</f>
        <v>0</v>
      </c>
      <c r="M112" s="1" t="str">
        <f>Journal[[#This Row],[AccntType]]&amp;"[Name]"</f>
        <v>[Name]</v>
      </c>
    </row>
    <row r="113" spans="2:13" x14ac:dyDescent="0.2">
      <c r="B113" s="392"/>
      <c r="C113" s="208"/>
      <c r="F113" s="42"/>
      <c r="G113" s="85"/>
      <c r="H113" s="206"/>
      <c r="I113" s="209" t="str">
        <f>_xlfn.XLOOKUP(Journal[[#This Row],[ref]],TransInfo[Num],TransInfo[ref],"")</f>
        <v/>
      </c>
      <c r="J113" s="205" cm="1">
        <f t="array" ref="J113">_xlfn.IFS(ISBLANK(Journal[[#This Row],[ref2]]),0,NOT(ISBLANK(Journal[[#This Row],[ref2]])),J112+1)</f>
        <v>104</v>
      </c>
      <c r="K113" s="1" t="str">
        <f>IF(NOT(ISBLANK(Journal[[#This Row],[ref2]])),Journal[[#This Row],[ref2]]&amp;Journal[[#This Row],[LineNum]],"")</f>
        <v>104</v>
      </c>
      <c r="L113" s="42" cm="1">
        <f t="array" ref="L113">IFERROR(_xlfn.IFS(Journal[[#This Row],[DrAccnt]]="Cash",Journal[[#This Row],[DrAmt]],Journal[[#This Row],[CrAccnt]]="Cash",-Journal[[#This Row],[CrAmt]]),0)</f>
        <v>0</v>
      </c>
      <c r="M113" s="1" t="str">
        <f>Journal[[#This Row],[AccntType]]&amp;"[Name]"</f>
        <v>[Name]</v>
      </c>
    </row>
    <row r="114" spans="2:13" x14ac:dyDescent="0.2">
      <c r="B114" s="392"/>
      <c r="C114" s="208"/>
      <c r="F114" s="42"/>
      <c r="G114" s="85"/>
      <c r="H114" s="206"/>
      <c r="I114" s="209" t="str">
        <f>_xlfn.XLOOKUP(Journal[[#This Row],[ref]],TransInfo[Num],TransInfo[ref],"")</f>
        <v/>
      </c>
      <c r="J114" s="205" cm="1">
        <f t="array" ref="J114">_xlfn.IFS(ISBLANK(Journal[[#This Row],[ref2]]),0,NOT(ISBLANK(Journal[[#This Row],[ref2]])),J113+1)</f>
        <v>105</v>
      </c>
      <c r="K114" s="1" t="str">
        <f>IF(NOT(ISBLANK(Journal[[#This Row],[ref2]])),Journal[[#This Row],[ref2]]&amp;Journal[[#This Row],[LineNum]],"")</f>
        <v>105</v>
      </c>
      <c r="L114" s="42" cm="1">
        <f t="array" ref="L114">IFERROR(_xlfn.IFS(Journal[[#This Row],[DrAccnt]]="Cash",Journal[[#This Row],[DrAmt]],Journal[[#This Row],[CrAccnt]]="Cash",-Journal[[#This Row],[CrAmt]]),0)</f>
        <v>0</v>
      </c>
      <c r="M114" s="1" t="str">
        <f>Journal[[#This Row],[AccntType]]&amp;"[Name]"</f>
        <v>[Name]</v>
      </c>
    </row>
    <row r="115" spans="2:13" x14ac:dyDescent="0.2">
      <c r="B115" s="392"/>
      <c r="C115" s="208"/>
      <c r="F115" s="42"/>
      <c r="G115" s="85"/>
      <c r="H115" s="206"/>
      <c r="I115" s="209" t="str">
        <f>_xlfn.XLOOKUP(Journal[[#This Row],[ref]],TransInfo[Num],TransInfo[ref],"")</f>
        <v/>
      </c>
      <c r="J115" s="205" cm="1">
        <f t="array" ref="J115">_xlfn.IFS(ISBLANK(Journal[[#This Row],[ref2]]),0,NOT(ISBLANK(Journal[[#This Row],[ref2]])),J114+1)</f>
        <v>106</v>
      </c>
      <c r="K115" s="1" t="str">
        <f>IF(NOT(ISBLANK(Journal[[#This Row],[ref2]])),Journal[[#This Row],[ref2]]&amp;Journal[[#This Row],[LineNum]],"")</f>
        <v>106</v>
      </c>
      <c r="L115" s="42" cm="1">
        <f t="array" ref="L115">IFERROR(_xlfn.IFS(Journal[[#This Row],[DrAccnt]]="Cash",Journal[[#This Row],[DrAmt]],Journal[[#This Row],[CrAccnt]]="Cash",-Journal[[#This Row],[CrAmt]]),0)</f>
        <v>0</v>
      </c>
      <c r="M115" s="1" t="str">
        <f>Journal[[#This Row],[AccntType]]&amp;"[Name]"</f>
        <v>[Name]</v>
      </c>
    </row>
    <row r="116" spans="2:13" x14ac:dyDescent="0.2">
      <c r="B116" s="392"/>
      <c r="C116" s="208"/>
      <c r="F116" s="42"/>
      <c r="G116" s="85"/>
      <c r="H116" s="206"/>
      <c r="I116" s="209" t="str">
        <f>_xlfn.XLOOKUP(Journal[[#This Row],[ref]],TransInfo[Num],TransInfo[ref],"")</f>
        <v/>
      </c>
      <c r="J116" s="205" cm="1">
        <f t="array" ref="J116">_xlfn.IFS(ISBLANK(Journal[[#This Row],[ref2]]),0,NOT(ISBLANK(Journal[[#This Row],[ref2]])),J115+1)</f>
        <v>107</v>
      </c>
      <c r="K116" s="1" t="str">
        <f>IF(NOT(ISBLANK(Journal[[#This Row],[ref2]])),Journal[[#This Row],[ref2]]&amp;Journal[[#This Row],[LineNum]],"")</f>
        <v>107</v>
      </c>
      <c r="L116" s="42" cm="1">
        <f t="array" ref="L116">IFERROR(_xlfn.IFS(Journal[[#This Row],[DrAccnt]]="Cash",Journal[[#This Row],[DrAmt]],Journal[[#This Row],[CrAccnt]]="Cash",-Journal[[#This Row],[CrAmt]]),0)</f>
        <v>0</v>
      </c>
      <c r="M116" s="1" t="str">
        <f>Journal[[#This Row],[AccntType]]&amp;"[Name]"</f>
        <v>[Name]</v>
      </c>
    </row>
    <row r="117" spans="2:13" x14ac:dyDescent="0.2">
      <c r="B117" s="392"/>
      <c r="C117" s="208"/>
      <c r="F117" s="42"/>
      <c r="G117" s="85"/>
      <c r="H117" s="206"/>
      <c r="I117" s="209" t="str">
        <f>_xlfn.XLOOKUP(Journal[[#This Row],[ref]],TransInfo[Num],TransInfo[ref],"")</f>
        <v/>
      </c>
      <c r="J117" s="205" cm="1">
        <f t="array" ref="J117">_xlfn.IFS(ISBLANK(Journal[[#This Row],[ref2]]),0,NOT(ISBLANK(Journal[[#This Row],[ref2]])),J116+1)</f>
        <v>108</v>
      </c>
      <c r="K117" s="1" t="str">
        <f>IF(NOT(ISBLANK(Journal[[#This Row],[ref2]])),Journal[[#This Row],[ref2]]&amp;Journal[[#This Row],[LineNum]],"")</f>
        <v>108</v>
      </c>
      <c r="L117" s="42" cm="1">
        <f t="array" ref="L117">IFERROR(_xlfn.IFS(Journal[[#This Row],[DrAccnt]]="Cash",Journal[[#This Row],[DrAmt]],Journal[[#This Row],[CrAccnt]]="Cash",-Journal[[#This Row],[CrAmt]]),0)</f>
        <v>0</v>
      </c>
      <c r="M117" s="1" t="str">
        <f>Journal[[#This Row],[AccntType]]&amp;"[Name]"</f>
        <v>[Name]</v>
      </c>
    </row>
    <row r="118" spans="2:13" x14ac:dyDescent="0.2">
      <c r="B118" s="392"/>
      <c r="C118" s="208"/>
      <c r="F118" s="42"/>
      <c r="G118" s="85"/>
      <c r="H118" s="206"/>
      <c r="I118" s="209" t="str">
        <f>_xlfn.XLOOKUP(Journal[[#This Row],[ref]],TransInfo[Num],TransInfo[ref],"")</f>
        <v/>
      </c>
      <c r="J118" s="205" cm="1">
        <f t="array" ref="J118">_xlfn.IFS(ISBLANK(Journal[[#This Row],[ref2]]),0,NOT(ISBLANK(Journal[[#This Row],[ref2]])),J117+1)</f>
        <v>109</v>
      </c>
      <c r="K118" s="1" t="str">
        <f>IF(NOT(ISBLANK(Journal[[#This Row],[ref2]])),Journal[[#This Row],[ref2]]&amp;Journal[[#This Row],[LineNum]],"")</f>
        <v>109</v>
      </c>
      <c r="L118" s="42" cm="1">
        <f t="array" ref="L118">IFERROR(_xlfn.IFS(Journal[[#This Row],[DrAccnt]]="Cash",Journal[[#This Row],[DrAmt]],Journal[[#This Row],[CrAccnt]]="Cash",-Journal[[#This Row],[CrAmt]]),0)</f>
        <v>0</v>
      </c>
      <c r="M118" s="1" t="str">
        <f>Journal[[#This Row],[AccntType]]&amp;"[Name]"</f>
        <v>[Name]</v>
      </c>
    </row>
    <row r="119" spans="2:13" x14ac:dyDescent="0.2">
      <c r="B119" s="392"/>
      <c r="C119" s="208"/>
      <c r="F119" s="42"/>
      <c r="G119" s="85"/>
      <c r="H119" s="206"/>
      <c r="I119" s="209" t="str">
        <f>_xlfn.XLOOKUP(Journal[[#This Row],[ref]],TransInfo[Num],TransInfo[ref],"")</f>
        <v/>
      </c>
      <c r="J119" s="205" cm="1">
        <f t="array" ref="J119">_xlfn.IFS(ISBLANK(Journal[[#This Row],[ref2]]),0,NOT(ISBLANK(Journal[[#This Row],[ref2]])),J118+1)</f>
        <v>110</v>
      </c>
      <c r="K119" s="1" t="str">
        <f>IF(NOT(ISBLANK(Journal[[#This Row],[ref2]])),Journal[[#This Row],[ref2]]&amp;Journal[[#This Row],[LineNum]],"")</f>
        <v>110</v>
      </c>
      <c r="L119" s="42" cm="1">
        <f t="array" ref="L119">IFERROR(_xlfn.IFS(Journal[[#This Row],[DrAccnt]]="Cash",Journal[[#This Row],[DrAmt]],Journal[[#This Row],[CrAccnt]]="Cash",-Journal[[#This Row],[CrAmt]]),0)</f>
        <v>0</v>
      </c>
      <c r="M119" s="1" t="str">
        <f>Journal[[#This Row],[AccntType]]&amp;"[Name]"</f>
        <v>[Name]</v>
      </c>
    </row>
    <row r="120" spans="2:13" x14ac:dyDescent="0.2">
      <c r="B120" s="392"/>
      <c r="C120" s="208"/>
      <c r="F120" s="42"/>
      <c r="G120" s="85"/>
      <c r="H120" s="206"/>
      <c r="I120" s="209" t="str">
        <f>_xlfn.XLOOKUP(Journal[[#This Row],[ref]],TransInfo[Num],TransInfo[ref],"")</f>
        <v/>
      </c>
      <c r="J120" s="205" cm="1">
        <f t="array" ref="J120">_xlfn.IFS(ISBLANK(Journal[[#This Row],[ref2]]),0,NOT(ISBLANK(Journal[[#This Row],[ref2]])),J119+1)</f>
        <v>111</v>
      </c>
      <c r="K120" s="1" t="str">
        <f>IF(NOT(ISBLANK(Journal[[#This Row],[ref2]])),Journal[[#This Row],[ref2]]&amp;Journal[[#This Row],[LineNum]],"")</f>
        <v>111</v>
      </c>
      <c r="L120" s="42" cm="1">
        <f t="array" ref="L120">IFERROR(_xlfn.IFS(Journal[[#This Row],[DrAccnt]]="Cash",Journal[[#This Row],[DrAmt]],Journal[[#This Row],[CrAccnt]]="Cash",-Journal[[#This Row],[CrAmt]]),0)</f>
        <v>0</v>
      </c>
      <c r="M120" s="1" t="str">
        <f>Journal[[#This Row],[AccntType]]&amp;"[Name]"</f>
        <v>[Name]</v>
      </c>
    </row>
    <row r="121" spans="2:13" x14ac:dyDescent="0.2">
      <c r="B121" s="392"/>
      <c r="C121" s="208"/>
      <c r="F121" s="42"/>
      <c r="G121" s="85"/>
      <c r="H121" s="206"/>
      <c r="I121" s="209" t="str">
        <f>_xlfn.XLOOKUP(Journal[[#This Row],[ref]],TransInfo[Num],TransInfo[ref],"")</f>
        <v/>
      </c>
      <c r="J121" s="205" cm="1">
        <f t="array" ref="J121">_xlfn.IFS(ISBLANK(Journal[[#This Row],[ref2]]),0,NOT(ISBLANK(Journal[[#This Row],[ref2]])),J120+1)</f>
        <v>112</v>
      </c>
      <c r="K121" s="1" t="str">
        <f>IF(NOT(ISBLANK(Journal[[#This Row],[ref2]])),Journal[[#This Row],[ref2]]&amp;Journal[[#This Row],[LineNum]],"")</f>
        <v>112</v>
      </c>
      <c r="L121" s="42" cm="1">
        <f t="array" ref="L121">IFERROR(_xlfn.IFS(Journal[[#This Row],[DrAccnt]]="Cash",Journal[[#This Row],[DrAmt]],Journal[[#This Row],[CrAccnt]]="Cash",-Journal[[#This Row],[CrAmt]]),0)</f>
        <v>0</v>
      </c>
      <c r="M121" s="1" t="str">
        <f>Journal[[#This Row],[AccntType]]&amp;"[Name]"</f>
        <v>[Name]</v>
      </c>
    </row>
    <row r="122" spans="2:13" x14ac:dyDescent="0.2">
      <c r="B122" s="392"/>
      <c r="C122" s="208"/>
      <c r="F122" s="42"/>
      <c r="G122" s="85"/>
      <c r="H122" s="206"/>
      <c r="I122" s="209" t="str">
        <f>_xlfn.XLOOKUP(Journal[[#This Row],[ref]],TransInfo[Num],TransInfo[ref],"")</f>
        <v/>
      </c>
      <c r="J122" s="205" cm="1">
        <f t="array" ref="J122">_xlfn.IFS(ISBLANK(Journal[[#This Row],[ref2]]),0,NOT(ISBLANK(Journal[[#This Row],[ref2]])),J121+1)</f>
        <v>113</v>
      </c>
      <c r="K122" s="1" t="str">
        <f>IF(NOT(ISBLANK(Journal[[#This Row],[ref2]])),Journal[[#This Row],[ref2]]&amp;Journal[[#This Row],[LineNum]],"")</f>
        <v>113</v>
      </c>
      <c r="L122" s="42" cm="1">
        <f t="array" ref="L122">IFERROR(_xlfn.IFS(Journal[[#This Row],[DrAccnt]]="Cash",Journal[[#This Row],[DrAmt]],Journal[[#This Row],[CrAccnt]]="Cash",-Journal[[#This Row],[CrAmt]]),0)</f>
        <v>0</v>
      </c>
      <c r="M122" s="1" t="str">
        <f>Journal[[#This Row],[AccntType]]&amp;"[Name]"</f>
        <v>[Name]</v>
      </c>
    </row>
    <row r="123" spans="2:13" x14ac:dyDescent="0.2">
      <c r="B123" s="392"/>
      <c r="C123" s="208"/>
      <c r="F123" s="42"/>
      <c r="G123" s="85"/>
      <c r="H123" s="206"/>
      <c r="I123" s="209" t="str">
        <f>_xlfn.XLOOKUP(Journal[[#This Row],[ref]],TransInfo[Num],TransInfo[ref],"")</f>
        <v/>
      </c>
      <c r="J123" s="205" cm="1">
        <f t="array" ref="J123">_xlfn.IFS(ISBLANK(Journal[[#This Row],[ref2]]),0,NOT(ISBLANK(Journal[[#This Row],[ref2]])),J122+1)</f>
        <v>114</v>
      </c>
      <c r="K123" s="1" t="str">
        <f>IF(NOT(ISBLANK(Journal[[#This Row],[ref2]])),Journal[[#This Row],[ref2]]&amp;Journal[[#This Row],[LineNum]],"")</f>
        <v>114</v>
      </c>
      <c r="L123" s="42" cm="1">
        <f t="array" ref="L123">IFERROR(_xlfn.IFS(Journal[[#This Row],[DrAccnt]]="Cash",Journal[[#This Row],[DrAmt]],Journal[[#This Row],[CrAccnt]]="Cash",-Journal[[#This Row],[CrAmt]]),0)</f>
        <v>0</v>
      </c>
      <c r="M123" s="1" t="str">
        <f>Journal[[#This Row],[AccntType]]&amp;"[Name]"</f>
        <v>[Name]</v>
      </c>
    </row>
    <row r="124" spans="2:13" x14ac:dyDescent="0.2">
      <c r="B124" s="392"/>
      <c r="C124" s="208"/>
      <c r="F124" s="42"/>
      <c r="G124" s="85"/>
      <c r="H124" s="206"/>
      <c r="I124" s="209" t="str">
        <f>_xlfn.XLOOKUP(Journal[[#This Row],[ref]],TransInfo[Num],TransInfo[ref],"")</f>
        <v/>
      </c>
      <c r="J124" s="205" cm="1">
        <f t="array" ref="J124">_xlfn.IFS(ISBLANK(Journal[[#This Row],[ref2]]),0,NOT(ISBLANK(Journal[[#This Row],[ref2]])),J123+1)</f>
        <v>115</v>
      </c>
      <c r="K124" s="1" t="str">
        <f>IF(NOT(ISBLANK(Journal[[#This Row],[ref2]])),Journal[[#This Row],[ref2]]&amp;Journal[[#This Row],[LineNum]],"")</f>
        <v>115</v>
      </c>
      <c r="L124" s="42" cm="1">
        <f t="array" ref="L124">IFERROR(_xlfn.IFS(Journal[[#This Row],[DrAccnt]]="Cash",Journal[[#This Row],[DrAmt]],Journal[[#This Row],[CrAccnt]]="Cash",-Journal[[#This Row],[CrAmt]]),0)</f>
        <v>0</v>
      </c>
      <c r="M124" s="1" t="str">
        <f>Journal[[#This Row],[AccntType]]&amp;"[Name]"</f>
        <v>[Name]</v>
      </c>
    </row>
    <row r="125" spans="2:13" x14ac:dyDescent="0.2">
      <c r="B125" s="392"/>
      <c r="C125" s="208"/>
      <c r="F125" s="42"/>
      <c r="G125" s="85"/>
      <c r="H125" s="206"/>
      <c r="I125" s="209" t="str">
        <f>_xlfn.XLOOKUP(Journal[[#This Row],[ref]],TransInfo[Num],TransInfo[ref],"")</f>
        <v/>
      </c>
      <c r="J125" s="205" cm="1">
        <f t="array" ref="J125">_xlfn.IFS(ISBLANK(Journal[[#This Row],[ref2]]),0,NOT(ISBLANK(Journal[[#This Row],[ref2]])),J124+1)</f>
        <v>116</v>
      </c>
      <c r="K125" s="1" t="str">
        <f>IF(NOT(ISBLANK(Journal[[#This Row],[ref2]])),Journal[[#This Row],[ref2]]&amp;Journal[[#This Row],[LineNum]],"")</f>
        <v>116</v>
      </c>
      <c r="L125" s="42" cm="1">
        <f t="array" ref="L125">IFERROR(_xlfn.IFS(Journal[[#This Row],[DrAccnt]]="Cash",Journal[[#This Row],[DrAmt]],Journal[[#This Row],[CrAccnt]]="Cash",-Journal[[#This Row],[CrAmt]]),0)</f>
        <v>0</v>
      </c>
      <c r="M125" s="1" t="str">
        <f>Journal[[#This Row],[AccntType]]&amp;"[Name]"</f>
        <v>[Name]</v>
      </c>
    </row>
    <row r="126" spans="2:13" x14ac:dyDescent="0.2">
      <c r="B126" s="392"/>
      <c r="C126" s="208"/>
      <c r="F126" s="42"/>
      <c r="G126" s="85"/>
      <c r="H126" s="206"/>
      <c r="I126" s="209" t="str">
        <f>_xlfn.XLOOKUP(Journal[[#This Row],[ref]],TransInfo[Num],TransInfo[ref],"")</f>
        <v/>
      </c>
      <c r="J126" s="205" cm="1">
        <f t="array" ref="J126">_xlfn.IFS(ISBLANK(Journal[[#This Row],[ref2]]),0,NOT(ISBLANK(Journal[[#This Row],[ref2]])),J125+1)</f>
        <v>117</v>
      </c>
      <c r="K126" s="1" t="str">
        <f>IF(NOT(ISBLANK(Journal[[#This Row],[ref2]])),Journal[[#This Row],[ref2]]&amp;Journal[[#This Row],[LineNum]],"")</f>
        <v>117</v>
      </c>
      <c r="L126" s="42" cm="1">
        <f t="array" ref="L126">IFERROR(_xlfn.IFS(Journal[[#This Row],[DrAccnt]]="Cash",Journal[[#This Row],[DrAmt]],Journal[[#This Row],[CrAccnt]]="Cash",-Journal[[#This Row],[CrAmt]]),0)</f>
        <v>0</v>
      </c>
      <c r="M126" s="1" t="str">
        <f>Journal[[#This Row],[AccntType]]&amp;"[Name]"</f>
        <v>[Name]</v>
      </c>
    </row>
    <row r="127" spans="2:13" x14ac:dyDescent="0.2">
      <c r="B127" s="392"/>
      <c r="C127" s="208"/>
      <c r="F127" s="42"/>
      <c r="G127" s="85"/>
      <c r="H127" s="206"/>
      <c r="I127" s="209" t="str">
        <f>_xlfn.XLOOKUP(Journal[[#This Row],[ref]],TransInfo[Num],TransInfo[ref],"")</f>
        <v/>
      </c>
      <c r="J127" s="205" cm="1">
        <f t="array" ref="J127">_xlfn.IFS(ISBLANK(Journal[[#This Row],[ref2]]),0,NOT(ISBLANK(Journal[[#This Row],[ref2]])),J126+1)</f>
        <v>118</v>
      </c>
      <c r="K127" s="1" t="str">
        <f>IF(NOT(ISBLANK(Journal[[#This Row],[ref2]])),Journal[[#This Row],[ref2]]&amp;Journal[[#This Row],[LineNum]],"")</f>
        <v>118</v>
      </c>
      <c r="L127" s="42" cm="1">
        <f t="array" ref="L127">IFERROR(_xlfn.IFS(Journal[[#This Row],[DrAccnt]]="Cash",Journal[[#This Row],[DrAmt]],Journal[[#This Row],[CrAccnt]]="Cash",-Journal[[#This Row],[CrAmt]]),0)</f>
        <v>0</v>
      </c>
      <c r="M127" s="1" t="str">
        <f>Journal[[#This Row],[AccntType]]&amp;"[Name]"</f>
        <v>[Name]</v>
      </c>
    </row>
    <row r="128" spans="2:13" x14ac:dyDescent="0.2">
      <c r="B128" s="392"/>
      <c r="C128" s="208"/>
      <c r="F128" s="42"/>
      <c r="G128" s="85"/>
      <c r="H128" s="206"/>
      <c r="I128" s="209" t="str">
        <f>_xlfn.XLOOKUP(Journal[[#This Row],[ref]],TransInfo[Num],TransInfo[ref],"")</f>
        <v/>
      </c>
      <c r="J128" s="205" cm="1">
        <f t="array" ref="J128">_xlfn.IFS(ISBLANK(Journal[[#This Row],[ref2]]),0,NOT(ISBLANK(Journal[[#This Row],[ref2]])),J127+1)</f>
        <v>119</v>
      </c>
      <c r="K128" s="1" t="str">
        <f>IF(NOT(ISBLANK(Journal[[#This Row],[ref2]])),Journal[[#This Row],[ref2]]&amp;Journal[[#This Row],[LineNum]],"")</f>
        <v>119</v>
      </c>
      <c r="L128" s="42" cm="1">
        <f t="array" ref="L128">IFERROR(_xlfn.IFS(Journal[[#This Row],[DrAccnt]]="Cash",Journal[[#This Row],[DrAmt]],Journal[[#This Row],[CrAccnt]]="Cash",-Journal[[#This Row],[CrAmt]]),0)</f>
        <v>0</v>
      </c>
      <c r="M128" s="1" t="str">
        <f>Journal[[#This Row],[AccntType]]&amp;"[Name]"</f>
        <v>[Name]</v>
      </c>
    </row>
    <row r="129" spans="2:13" x14ac:dyDescent="0.2">
      <c r="B129" s="392"/>
      <c r="C129" s="208"/>
      <c r="F129" s="42"/>
      <c r="G129" s="85"/>
      <c r="H129" s="206"/>
      <c r="I129" s="209" t="str">
        <f>_xlfn.XLOOKUP(Journal[[#This Row],[ref]],TransInfo[Num],TransInfo[ref],"")</f>
        <v/>
      </c>
      <c r="J129" s="205" cm="1">
        <f t="array" ref="J129">_xlfn.IFS(ISBLANK(Journal[[#This Row],[ref2]]),0,NOT(ISBLANK(Journal[[#This Row],[ref2]])),J128+1)</f>
        <v>120</v>
      </c>
      <c r="K129" s="1" t="str">
        <f>IF(NOT(ISBLANK(Journal[[#This Row],[ref2]])),Journal[[#This Row],[ref2]]&amp;Journal[[#This Row],[LineNum]],"")</f>
        <v>120</v>
      </c>
      <c r="L129" s="42" cm="1">
        <f t="array" ref="L129">IFERROR(_xlfn.IFS(Journal[[#This Row],[DrAccnt]]="Cash",Journal[[#This Row],[DrAmt]],Journal[[#This Row],[CrAccnt]]="Cash",-Journal[[#This Row],[CrAmt]]),0)</f>
        <v>0</v>
      </c>
      <c r="M129" s="1" t="str">
        <f>Journal[[#This Row],[AccntType]]&amp;"[Name]"</f>
        <v>[Name]</v>
      </c>
    </row>
    <row r="130" spans="2:13" x14ac:dyDescent="0.2">
      <c r="B130" s="392"/>
      <c r="C130" s="208"/>
      <c r="F130" s="42"/>
      <c r="G130" s="85"/>
      <c r="H130" s="206"/>
      <c r="I130" s="209" t="str">
        <f>_xlfn.XLOOKUP(Journal[[#This Row],[ref]],TransInfo[Num],TransInfo[ref],"")</f>
        <v/>
      </c>
      <c r="J130" s="205" cm="1">
        <f t="array" ref="J130">_xlfn.IFS(ISBLANK(Journal[[#This Row],[ref2]]),0,NOT(ISBLANK(Journal[[#This Row],[ref2]])),J129+1)</f>
        <v>121</v>
      </c>
      <c r="K130" s="1" t="str">
        <f>IF(NOT(ISBLANK(Journal[[#This Row],[ref2]])),Journal[[#This Row],[ref2]]&amp;Journal[[#This Row],[LineNum]],"")</f>
        <v>121</v>
      </c>
      <c r="L130" s="42" cm="1">
        <f t="array" ref="L130">IFERROR(_xlfn.IFS(Journal[[#This Row],[DrAccnt]]="Cash",Journal[[#This Row],[DrAmt]],Journal[[#This Row],[CrAccnt]]="Cash",-Journal[[#This Row],[CrAmt]]),0)</f>
        <v>0</v>
      </c>
      <c r="M130" s="1" t="str">
        <f>Journal[[#This Row],[AccntType]]&amp;"[Name]"</f>
        <v>[Name]</v>
      </c>
    </row>
    <row r="131" spans="2:13" x14ac:dyDescent="0.2">
      <c r="B131" s="392"/>
      <c r="C131" s="208"/>
      <c r="F131" s="42"/>
      <c r="G131" s="85"/>
      <c r="H131" s="206"/>
      <c r="I131" s="209" t="str">
        <f>_xlfn.XLOOKUP(Journal[[#This Row],[ref]],TransInfo[Num],TransInfo[ref],"")</f>
        <v/>
      </c>
      <c r="J131" s="205" cm="1">
        <f t="array" ref="J131">_xlfn.IFS(ISBLANK(Journal[[#This Row],[ref2]]),0,NOT(ISBLANK(Journal[[#This Row],[ref2]])),J130+1)</f>
        <v>122</v>
      </c>
      <c r="K131" s="1" t="str">
        <f>IF(NOT(ISBLANK(Journal[[#This Row],[ref2]])),Journal[[#This Row],[ref2]]&amp;Journal[[#This Row],[LineNum]],"")</f>
        <v>122</v>
      </c>
      <c r="L131" s="42" cm="1">
        <f t="array" ref="L131">IFERROR(_xlfn.IFS(Journal[[#This Row],[DrAccnt]]="Cash",Journal[[#This Row],[DrAmt]],Journal[[#This Row],[CrAccnt]]="Cash",-Journal[[#This Row],[CrAmt]]),0)</f>
        <v>0</v>
      </c>
      <c r="M131" s="1" t="str">
        <f>Journal[[#This Row],[AccntType]]&amp;"[Name]"</f>
        <v>[Name]</v>
      </c>
    </row>
    <row r="132" spans="2:13" x14ac:dyDescent="0.2">
      <c r="B132" s="392"/>
      <c r="C132" s="208"/>
      <c r="F132" s="42"/>
      <c r="G132" s="85"/>
      <c r="H132" s="206"/>
      <c r="I132" s="209" t="str">
        <f>_xlfn.XLOOKUP(Journal[[#This Row],[ref]],TransInfo[Num],TransInfo[ref],"")</f>
        <v/>
      </c>
      <c r="J132" s="205" cm="1">
        <f t="array" ref="J132">_xlfn.IFS(ISBLANK(Journal[[#This Row],[ref2]]),0,NOT(ISBLANK(Journal[[#This Row],[ref2]])),J131+1)</f>
        <v>123</v>
      </c>
      <c r="K132" s="1" t="str">
        <f>IF(NOT(ISBLANK(Journal[[#This Row],[ref2]])),Journal[[#This Row],[ref2]]&amp;Journal[[#This Row],[LineNum]],"")</f>
        <v>123</v>
      </c>
      <c r="L132" s="42" cm="1">
        <f t="array" ref="L132">IFERROR(_xlfn.IFS(Journal[[#This Row],[DrAccnt]]="Cash",Journal[[#This Row],[DrAmt]],Journal[[#This Row],[CrAccnt]]="Cash",-Journal[[#This Row],[CrAmt]]),0)</f>
        <v>0</v>
      </c>
      <c r="M132" s="1" t="str">
        <f>Journal[[#This Row],[AccntType]]&amp;"[Name]"</f>
        <v>[Name]</v>
      </c>
    </row>
    <row r="133" spans="2:13" x14ac:dyDescent="0.2">
      <c r="B133" s="392"/>
      <c r="C133" s="208"/>
      <c r="F133" s="42"/>
      <c r="G133" s="85"/>
      <c r="H133" s="206"/>
      <c r="I133" s="209" t="str">
        <f>_xlfn.XLOOKUP(Journal[[#This Row],[ref]],TransInfo[Num],TransInfo[ref],"")</f>
        <v/>
      </c>
      <c r="J133" s="205" cm="1">
        <f t="array" ref="J133">_xlfn.IFS(ISBLANK(Journal[[#This Row],[ref2]]),0,NOT(ISBLANK(Journal[[#This Row],[ref2]])),J132+1)</f>
        <v>124</v>
      </c>
      <c r="K133" s="1" t="str">
        <f>IF(NOT(ISBLANK(Journal[[#This Row],[ref2]])),Journal[[#This Row],[ref2]]&amp;Journal[[#This Row],[LineNum]],"")</f>
        <v>124</v>
      </c>
      <c r="L133" s="42" cm="1">
        <f t="array" ref="L133">IFERROR(_xlfn.IFS(Journal[[#This Row],[DrAccnt]]="Cash",Journal[[#This Row],[DrAmt]],Journal[[#This Row],[CrAccnt]]="Cash",-Journal[[#This Row],[CrAmt]]),0)</f>
        <v>0</v>
      </c>
      <c r="M133" s="1" t="str">
        <f>Journal[[#This Row],[AccntType]]&amp;"[Name]"</f>
        <v>[Name]</v>
      </c>
    </row>
    <row r="134" spans="2:13" x14ac:dyDescent="0.2">
      <c r="B134" s="392"/>
      <c r="C134" s="208"/>
      <c r="F134" s="42"/>
      <c r="G134" s="85"/>
      <c r="H134" s="206"/>
      <c r="I134" s="209" t="str">
        <f>_xlfn.XLOOKUP(Journal[[#This Row],[ref]],TransInfo[Num],TransInfo[ref],"")</f>
        <v/>
      </c>
      <c r="J134" s="205" cm="1">
        <f t="array" ref="J134">_xlfn.IFS(ISBLANK(Journal[[#This Row],[ref2]]),0,NOT(ISBLANK(Journal[[#This Row],[ref2]])),J133+1)</f>
        <v>125</v>
      </c>
      <c r="K134" s="1" t="str">
        <f>IF(NOT(ISBLANK(Journal[[#This Row],[ref2]])),Journal[[#This Row],[ref2]]&amp;Journal[[#This Row],[LineNum]],"")</f>
        <v>125</v>
      </c>
      <c r="L134" s="42" cm="1">
        <f t="array" ref="L134">IFERROR(_xlfn.IFS(Journal[[#This Row],[DrAccnt]]="Cash",Journal[[#This Row],[DrAmt]],Journal[[#This Row],[CrAccnt]]="Cash",-Journal[[#This Row],[CrAmt]]),0)</f>
        <v>0</v>
      </c>
      <c r="M134" s="1" t="str">
        <f>Journal[[#This Row],[AccntType]]&amp;"[Name]"</f>
        <v>[Name]</v>
      </c>
    </row>
    <row r="135" spans="2:13" x14ac:dyDescent="0.2">
      <c r="B135" s="392"/>
      <c r="C135" s="208"/>
      <c r="F135" s="42"/>
      <c r="G135" s="85"/>
      <c r="H135" s="206"/>
      <c r="I135" s="209" t="str">
        <f>_xlfn.XLOOKUP(Journal[[#This Row],[ref]],TransInfo[Num],TransInfo[ref],"")</f>
        <v/>
      </c>
      <c r="J135" s="205" cm="1">
        <f t="array" ref="J135">_xlfn.IFS(ISBLANK(Journal[[#This Row],[ref2]]),0,NOT(ISBLANK(Journal[[#This Row],[ref2]])),J134+1)</f>
        <v>126</v>
      </c>
      <c r="K135" s="1" t="str">
        <f>IF(NOT(ISBLANK(Journal[[#This Row],[ref2]])),Journal[[#This Row],[ref2]]&amp;Journal[[#This Row],[LineNum]],"")</f>
        <v>126</v>
      </c>
      <c r="L135" s="42" cm="1">
        <f t="array" ref="L135">IFERROR(_xlfn.IFS(Journal[[#This Row],[DrAccnt]]="Cash",Journal[[#This Row],[DrAmt]],Journal[[#This Row],[CrAccnt]]="Cash",-Journal[[#This Row],[CrAmt]]),0)</f>
        <v>0</v>
      </c>
      <c r="M135" s="1" t="str">
        <f>Journal[[#This Row],[AccntType]]&amp;"[Name]"</f>
        <v>[Name]</v>
      </c>
    </row>
    <row r="136" spans="2:13" x14ac:dyDescent="0.2">
      <c r="B136" s="392"/>
      <c r="C136" s="208"/>
      <c r="F136" s="42"/>
      <c r="G136" s="85"/>
      <c r="H136" s="206"/>
      <c r="I136" s="209" t="str">
        <f>_xlfn.XLOOKUP(Journal[[#This Row],[ref]],TransInfo[Num],TransInfo[ref],"")</f>
        <v/>
      </c>
      <c r="J136" s="205" cm="1">
        <f t="array" ref="J136">_xlfn.IFS(ISBLANK(Journal[[#This Row],[ref2]]),0,NOT(ISBLANK(Journal[[#This Row],[ref2]])),J135+1)</f>
        <v>127</v>
      </c>
      <c r="K136" s="1" t="str">
        <f>IF(NOT(ISBLANK(Journal[[#This Row],[ref2]])),Journal[[#This Row],[ref2]]&amp;Journal[[#This Row],[LineNum]],"")</f>
        <v>127</v>
      </c>
      <c r="L136" s="42" cm="1">
        <f t="array" ref="L136">IFERROR(_xlfn.IFS(Journal[[#This Row],[DrAccnt]]="Cash",Journal[[#This Row],[DrAmt]],Journal[[#This Row],[CrAccnt]]="Cash",-Journal[[#This Row],[CrAmt]]),0)</f>
        <v>0</v>
      </c>
      <c r="M136" s="1" t="str">
        <f>Journal[[#This Row],[AccntType]]&amp;"[Name]"</f>
        <v>[Name]</v>
      </c>
    </row>
    <row r="137" spans="2:13" x14ac:dyDescent="0.2">
      <c r="B137" s="392"/>
      <c r="C137" s="208"/>
      <c r="F137" s="42"/>
      <c r="G137" s="85"/>
      <c r="H137" s="206"/>
      <c r="I137" s="209" t="str">
        <f>_xlfn.XLOOKUP(Journal[[#This Row],[ref]],TransInfo[Num],TransInfo[ref],"")</f>
        <v/>
      </c>
      <c r="J137" s="205" cm="1">
        <f t="array" ref="J137">_xlfn.IFS(ISBLANK(Journal[[#This Row],[ref2]]),0,NOT(ISBLANK(Journal[[#This Row],[ref2]])),J136+1)</f>
        <v>128</v>
      </c>
      <c r="K137" s="1" t="str">
        <f>IF(NOT(ISBLANK(Journal[[#This Row],[ref2]])),Journal[[#This Row],[ref2]]&amp;Journal[[#This Row],[LineNum]],"")</f>
        <v>128</v>
      </c>
      <c r="L137" s="42" cm="1">
        <f t="array" ref="L137">IFERROR(_xlfn.IFS(Journal[[#This Row],[DrAccnt]]="Cash",Journal[[#This Row],[DrAmt]],Journal[[#This Row],[CrAccnt]]="Cash",-Journal[[#This Row],[CrAmt]]),0)</f>
        <v>0</v>
      </c>
      <c r="M137" s="1" t="str">
        <f>Journal[[#This Row],[AccntType]]&amp;"[Name]"</f>
        <v>[Name]</v>
      </c>
    </row>
    <row r="138" spans="2:13" x14ac:dyDescent="0.2">
      <c r="B138" s="392"/>
      <c r="C138" s="208"/>
      <c r="F138" s="42"/>
      <c r="G138" s="85"/>
      <c r="H138" s="206"/>
      <c r="I138" s="209" t="str">
        <f>_xlfn.XLOOKUP(Journal[[#This Row],[ref]],TransInfo[Num],TransInfo[ref],"")</f>
        <v/>
      </c>
      <c r="J138" s="205" cm="1">
        <f t="array" ref="J138">_xlfn.IFS(ISBLANK(Journal[[#This Row],[ref2]]),0,NOT(ISBLANK(Journal[[#This Row],[ref2]])),J137+1)</f>
        <v>129</v>
      </c>
      <c r="K138" s="1" t="str">
        <f>IF(NOT(ISBLANK(Journal[[#This Row],[ref2]])),Journal[[#This Row],[ref2]]&amp;Journal[[#This Row],[LineNum]],"")</f>
        <v>129</v>
      </c>
      <c r="L138" s="42" cm="1">
        <f t="array" ref="L138">IFERROR(_xlfn.IFS(Journal[[#This Row],[DrAccnt]]="Cash",Journal[[#This Row],[DrAmt]],Journal[[#This Row],[CrAccnt]]="Cash",-Journal[[#This Row],[CrAmt]]),0)</f>
        <v>0</v>
      </c>
      <c r="M138" s="1" t="str">
        <f>Journal[[#This Row],[AccntType]]&amp;"[Name]"</f>
        <v>[Name]</v>
      </c>
    </row>
    <row r="139" spans="2:13" x14ac:dyDescent="0.2">
      <c r="B139" s="392"/>
      <c r="C139" s="208"/>
      <c r="F139" s="42"/>
      <c r="G139" s="85"/>
      <c r="H139" s="206"/>
      <c r="I139" s="209" t="str">
        <f>_xlfn.XLOOKUP(Journal[[#This Row],[ref]],TransInfo[Num],TransInfo[ref],"")</f>
        <v/>
      </c>
      <c r="J139" s="205" cm="1">
        <f t="array" ref="J139">_xlfn.IFS(ISBLANK(Journal[[#This Row],[ref2]]),0,NOT(ISBLANK(Journal[[#This Row],[ref2]])),J138+1)</f>
        <v>130</v>
      </c>
      <c r="K139" s="1" t="str">
        <f>IF(NOT(ISBLANK(Journal[[#This Row],[ref2]])),Journal[[#This Row],[ref2]]&amp;Journal[[#This Row],[LineNum]],"")</f>
        <v>130</v>
      </c>
      <c r="L139" s="42" cm="1">
        <f t="array" ref="L139">IFERROR(_xlfn.IFS(Journal[[#This Row],[DrAccnt]]="Cash",Journal[[#This Row],[DrAmt]],Journal[[#This Row],[CrAccnt]]="Cash",-Journal[[#This Row],[CrAmt]]),0)</f>
        <v>0</v>
      </c>
      <c r="M139" s="1" t="str">
        <f>Journal[[#This Row],[AccntType]]&amp;"[Name]"</f>
        <v>[Name]</v>
      </c>
    </row>
    <row r="140" spans="2:13" x14ac:dyDescent="0.2">
      <c r="B140" s="392"/>
      <c r="C140" s="208"/>
      <c r="F140" s="42"/>
      <c r="G140" s="85"/>
      <c r="H140" s="206"/>
      <c r="I140" s="209" t="str">
        <f>_xlfn.XLOOKUP(Journal[[#This Row],[ref]],TransInfo[Num],TransInfo[ref],"")</f>
        <v/>
      </c>
      <c r="J140" s="205" cm="1">
        <f t="array" ref="J140">_xlfn.IFS(ISBLANK(Journal[[#This Row],[ref2]]),0,NOT(ISBLANK(Journal[[#This Row],[ref2]])),J139+1)</f>
        <v>131</v>
      </c>
      <c r="K140" s="1" t="str">
        <f>IF(NOT(ISBLANK(Journal[[#This Row],[ref2]])),Journal[[#This Row],[ref2]]&amp;Journal[[#This Row],[LineNum]],"")</f>
        <v>131</v>
      </c>
      <c r="L140" s="42" cm="1">
        <f t="array" ref="L140">IFERROR(_xlfn.IFS(Journal[[#This Row],[DrAccnt]]="Cash",Journal[[#This Row],[DrAmt]],Journal[[#This Row],[CrAccnt]]="Cash",-Journal[[#This Row],[CrAmt]]),0)</f>
        <v>0</v>
      </c>
      <c r="M140" s="1" t="str">
        <f>Journal[[#This Row],[AccntType]]&amp;"[Name]"</f>
        <v>[Name]</v>
      </c>
    </row>
    <row r="141" spans="2:13" x14ac:dyDescent="0.2">
      <c r="B141" s="392"/>
      <c r="C141" s="208"/>
      <c r="F141" s="42"/>
      <c r="G141" s="85"/>
      <c r="H141" s="206"/>
      <c r="I141" s="209" t="str">
        <f>_xlfn.XLOOKUP(Journal[[#This Row],[ref]],TransInfo[Num],TransInfo[ref],"")</f>
        <v/>
      </c>
      <c r="J141" s="205" cm="1">
        <f t="array" ref="J141">_xlfn.IFS(ISBLANK(Journal[[#This Row],[ref2]]),0,NOT(ISBLANK(Journal[[#This Row],[ref2]])),J140+1)</f>
        <v>132</v>
      </c>
      <c r="K141" s="1" t="str">
        <f>IF(NOT(ISBLANK(Journal[[#This Row],[ref2]])),Journal[[#This Row],[ref2]]&amp;Journal[[#This Row],[LineNum]],"")</f>
        <v>132</v>
      </c>
      <c r="L141" s="42" cm="1">
        <f t="array" ref="L141">IFERROR(_xlfn.IFS(Journal[[#This Row],[DrAccnt]]="Cash",Journal[[#This Row],[DrAmt]],Journal[[#This Row],[CrAccnt]]="Cash",-Journal[[#This Row],[CrAmt]]),0)</f>
        <v>0</v>
      </c>
      <c r="M141" s="1" t="str">
        <f>Journal[[#This Row],[AccntType]]&amp;"[Name]"</f>
        <v>[Name]</v>
      </c>
    </row>
    <row r="142" spans="2:13" x14ac:dyDescent="0.2">
      <c r="B142" s="392"/>
      <c r="C142" s="208"/>
      <c r="F142" s="42"/>
      <c r="G142" s="85"/>
      <c r="H142" s="206"/>
      <c r="I142" s="209" t="str">
        <f>_xlfn.XLOOKUP(Journal[[#This Row],[ref]],TransInfo[Num],TransInfo[ref],"")</f>
        <v/>
      </c>
      <c r="J142" s="205" cm="1">
        <f t="array" ref="J142">_xlfn.IFS(ISBLANK(Journal[[#This Row],[ref2]]),0,NOT(ISBLANK(Journal[[#This Row],[ref2]])),J141+1)</f>
        <v>133</v>
      </c>
      <c r="K142" s="1" t="str">
        <f>IF(NOT(ISBLANK(Journal[[#This Row],[ref2]])),Journal[[#This Row],[ref2]]&amp;Journal[[#This Row],[LineNum]],"")</f>
        <v>133</v>
      </c>
      <c r="L142" s="42" cm="1">
        <f t="array" ref="L142">IFERROR(_xlfn.IFS(Journal[[#This Row],[DrAccnt]]="Cash",Journal[[#This Row],[DrAmt]],Journal[[#This Row],[CrAccnt]]="Cash",-Journal[[#This Row],[CrAmt]]),0)</f>
        <v>0</v>
      </c>
      <c r="M142" s="1" t="str">
        <f>Journal[[#This Row],[AccntType]]&amp;"[Name]"</f>
        <v>[Name]</v>
      </c>
    </row>
    <row r="143" spans="2:13" x14ac:dyDescent="0.2">
      <c r="B143" s="392"/>
      <c r="C143" s="208"/>
      <c r="F143" s="42"/>
      <c r="G143" s="85"/>
      <c r="H143" s="206"/>
      <c r="I143" s="209" t="str">
        <f>_xlfn.XLOOKUP(Journal[[#This Row],[ref]],TransInfo[Num],TransInfo[ref],"")</f>
        <v/>
      </c>
      <c r="J143" s="205" cm="1">
        <f t="array" ref="J143">_xlfn.IFS(ISBLANK(Journal[[#This Row],[ref2]]),0,NOT(ISBLANK(Journal[[#This Row],[ref2]])),J142+1)</f>
        <v>134</v>
      </c>
      <c r="K143" s="1" t="str">
        <f>IF(NOT(ISBLANK(Journal[[#This Row],[ref2]])),Journal[[#This Row],[ref2]]&amp;Journal[[#This Row],[LineNum]],"")</f>
        <v>134</v>
      </c>
      <c r="L143" s="42" cm="1">
        <f t="array" ref="L143">IFERROR(_xlfn.IFS(Journal[[#This Row],[DrAccnt]]="Cash",Journal[[#This Row],[DrAmt]],Journal[[#This Row],[CrAccnt]]="Cash",-Journal[[#This Row],[CrAmt]]),0)</f>
        <v>0</v>
      </c>
      <c r="M143" s="1" t="str">
        <f>Journal[[#This Row],[AccntType]]&amp;"[Name]"</f>
        <v>[Name]</v>
      </c>
    </row>
    <row r="144" spans="2:13" x14ac:dyDescent="0.2">
      <c r="B144" s="392"/>
      <c r="C144" s="208"/>
      <c r="F144" s="42"/>
      <c r="G144" s="85"/>
      <c r="H144" s="206"/>
      <c r="I144" s="209" t="str">
        <f>_xlfn.XLOOKUP(Journal[[#This Row],[ref]],TransInfo[Num],TransInfo[ref],"")</f>
        <v/>
      </c>
      <c r="J144" s="205" cm="1">
        <f t="array" ref="J144">_xlfn.IFS(ISBLANK(Journal[[#This Row],[ref2]]),0,NOT(ISBLANK(Journal[[#This Row],[ref2]])),J143+1)</f>
        <v>135</v>
      </c>
      <c r="K144" s="1" t="str">
        <f>IF(NOT(ISBLANK(Journal[[#This Row],[ref2]])),Journal[[#This Row],[ref2]]&amp;Journal[[#This Row],[LineNum]],"")</f>
        <v>135</v>
      </c>
      <c r="L144" s="42" cm="1">
        <f t="array" ref="L144">IFERROR(_xlfn.IFS(Journal[[#This Row],[DrAccnt]]="Cash",Journal[[#This Row],[DrAmt]],Journal[[#This Row],[CrAccnt]]="Cash",-Journal[[#This Row],[CrAmt]]),0)</f>
        <v>0</v>
      </c>
      <c r="M144" s="1" t="str">
        <f>Journal[[#This Row],[AccntType]]&amp;"[Name]"</f>
        <v>[Name]</v>
      </c>
    </row>
    <row r="145" spans="2:13" x14ac:dyDescent="0.2">
      <c r="B145" s="392"/>
      <c r="C145" s="208"/>
      <c r="F145" s="42"/>
      <c r="G145" s="85"/>
      <c r="H145" s="206"/>
      <c r="I145" s="209" t="str">
        <f>_xlfn.XLOOKUP(Journal[[#This Row],[ref]],TransInfo[Num],TransInfo[ref],"")</f>
        <v/>
      </c>
      <c r="J145" s="205" cm="1">
        <f t="array" ref="J145">_xlfn.IFS(ISBLANK(Journal[[#This Row],[ref2]]),0,NOT(ISBLANK(Journal[[#This Row],[ref2]])),J144+1)</f>
        <v>136</v>
      </c>
      <c r="K145" s="1" t="str">
        <f>IF(NOT(ISBLANK(Journal[[#This Row],[ref2]])),Journal[[#This Row],[ref2]]&amp;Journal[[#This Row],[LineNum]],"")</f>
        <v>136</v>
      </c>
      <c r="L145" s="42" cm="1">
        <f t="array" ref="L145">IFERROR(_xlfn.IFS(Journal[[#This Row],[DrAccnt]]="Cash",Journal[[#This Row],[DrAmt]],Journal[[#This Row],[CrAccnt]]="Cash",-Journal[[#This Row],[CrAmt]]),0)</f>
        <v>0</v>
      </c>
      <c r="M145" s="1" t="str">
        <f>Journal[[#This Row],[AccntType]]&amp;"[Name]"</f>
        <v>[Name]</v>
      </c>
    </row>
    <row r="146" spans="2:13" x14ac:dyDescent="0.2">
      <c r="B146" s="392"/>
      <c r="C146" s="208"/>
      <c r="F146" s="42"/>
      <c r="G146" s="85"/>
      <c r="H146" s="206"/>
      <c r="I146" s="209" t="str">
        <f>_xlfn.XLOOKUP(Journal[[#This Row],[ref]],TransInfo[Num],TransInfo[ref],"")</f>
        <v/>
      </c>
      <c r="J146" s="205" cm="1">
        <f t="array" ref="J146">_xlfn.IFS(ISBLANK(Journal[[#This Row],[ref2]]),0,NOT(ISBLANK(Journal[[#This Row],[ref2]])),J145+1)</f>
        <v>137</v>
      </c>
      <c r="K146" s="1" t="str">
        <f>IF(NOT(ISBLANK(Journal[[#This Row],[ref2]])),Journal[[#This Row],[ref2]]&amp;Journal[[#This Row],[LineNum]],"")</f>
        <v>137</v>
      </c>
      <c r="L146" s="42" cm="1">
        <f t="array" ref="L146">IFERROR(_xlfn.IFS(Journal[[#This Row],[DrAccnt]]="Cash",Journal[[#This Row],[DrAmt]],Journal[[#This Row],[CrAccnt]]="Cash",-Journal[[#This Row],[CrAmt]]),0)</f>
        <v>0</v>
      </c>
      <c r="M146" s="1" t="str">
        <f>Journal[[#This Row],[AccntType]]&amp;"[Name]"</f>
        <v>[Name]</v>
      </c>
    </row>
    <row r="147" spans="2:13" x14ac:dyDescent="0.2">
      <c r="B147" s="392"/>
      <c r="C147" s="208"/>
      <c r="F147" s="42"/>
      <c r="G147" s="85"/>
      <c r="H147" s="206"/>
      <c r="I147" s="209" t="str">
        <f>_xlfn.XLOOKUP(Journal[[#This Row],[ref]],TransInfo[Num],TransInfo[ref],"")</f>
        <v/>
      </c>
      <c r="J147" s="205" cm="1">
        <f t="array" ref="J147">_xlfn.IFS(ISBLANK(Journal[[#This Row],[ref2]]),0,NOT(ISBLANK(Journal[[#This Row],[ref2]])),J146+1)</f>
        <v>138</v>
      </c>
      <c r="K147" s="1" t="str">
        <f>IF(NOT(ISBLANK(Journal[[#This Row],[ref2]])),Journal[[#This Row],[ref2]]&amp;Journal[[#This Row],[LineNum]],"")</f>
        <v>138</v>
      </c>
      <c r="L147" s="42" cm="1">
        <f t="array" ref="L147">IFERROR(_xlfn.IFS(Journal[[#This Row],[DrAccnt]]="Cash",Journal[[#This Row],[DrAmt]],Journal[[#This Row],[CrAccnt]]="Cash",-Journal[[#This Row],[CrAmt]]),0)</f>
        <v>0</v>
      </c>
      <c r="M147" s="1" t="str">
        <f>Journal[[#This Row],[AccntType]]&amp;"[Name]"</f>
        <v>[Name]</v>
      </c>
    </row>
    <row r="148" spans="2:13" x14ac:dyDescent="0.2">
      <c r="B148" s="392"/>
      <c r="C148" s="208"/>
      <c r="F148" s="42"/>
      <c r="G148" s="85"/>
      <c r="H148" s="206"/>
      <c r="I148" s="209" t="str">
        <f>_xlfn.XLOOKUP(Journal[[#This Row],[ref]],TransInfo[Num],TransInfo[ref],"")</f>
        <v/>
      </c>
      <c r="J148" s="205" cm="1">
        <f t="array" ref="J148">_xlfn.IFS(ISBLANK(Journal[[#This Row],[ref2]]),0,NOT(ISBLANK(Journal[[#This Row],[ref2]])),J147+1)</f>
        <v>139</v>
      </c>
      <c r="K148" s="1" t="str">
        <f>IF(NOT(ISBLANK(Journal[[#This Row],[ref2]])),Journal[[#This Row],[ref2]]&amp;Journal[[#This Row],[LineNum]],"")</f>
        <v>139</v>
      </c>
      <c r="L148" s="42" cm="1">
        <f t="array" ref="L148">IFERROR(_xlfn.IFS(Journal[[#This Row],[DrAccnt]]="Cash",Journal[[#This Row],[DrAmt]],Journal[[#This Row],[CrAccnt]]="Cash",-Journal[[#This Row],[CrAmt]]),0)</f>
        <v>0</v>
      </c>
      <c r="M148" s="1" t="str">
        <f>Journal[[#This Row],[AccntType]]&amp;"[Name]"</f>
        <v>[Name]</v>
      </c>
    </row>
    <row r="149" spans="2:13" x14ac:dyDescent="0.2">
      <c r="B149" s="392"/>
      <c r="C149" s="208"/>
      <c r="F149" s="42"/>
      <c r="G149" s="85"/>
      <c r="H149" s="206"/>
      <c r="I149" s="209" t="str">
        <f>_xlfn.XLOOKUP(Journal[[#This Row],[ref]],TransInfo[Num],TransInfo[ref],"")</f>
        <v/>
      </c>
      <c r="J149" s="205" cm="1">
        <f t="array" ref="J149">_xlfn.IFS(ISBLANK(Journal[[#This Row],[ref2]]),0,NOT(ISBLANK(Journal[[#This Row],[ref2]])),J148+1)</f>
        <v>140</v>
      </c>
      <c r="K149" s="1" t="str">
        <f>IF(NOT(ISBLANK(Journal[[#This Row],[ref2]])),Journal[[#This Row],[ref2]]&amp;Journal[[#This Row],[LineNum]],"")</f>
        <v>140</v>
      </c>
      <c r="L149" s="42" cm="1">
        <f t="array" ref="L149">IFERROR(_xlfn.IFS(Journal[[#This Row],[DrAccnt]]="Cash",Journal[[#This Row],[DrAmt]],Journal[[#This Row],[CrAccnt]]="Cash",-Journal[[#This Row],[CrAmt]]),0)</f>
        <v>0</v>
      </c>
      <c r="M149" s="1" t="str">
        <f>Journal[[#This Row],[AccntType]]&amp;"[Name]"</f>
        <v>[Name]</v>
      </c>
    </row>
    <row r="150" spans="2:13" x14ac:dyDescent="0.2">
      <c r="B150" s="392"/>
      <c r="C150" s="208"/>
      <c r="F150" s="42"/>
      <c r="G150" s="85"/>
      <c r="H150" s="206"/>
      <c r="I150" s="209" t="str">
        <f>_xlfn.XLOOKUP(Journal[[#This Row],[ref]],TransInfo[Num],TransInfo[ref],"")</f>
        <v/>
      </c>
      <c r="J150" s="205" cm="1">
        <f t="array" ref="J150">_xlfn.IFS(ISBLANK(Journal[[#This Row],[ref2]]),0,NOT(ISBLANK(Journal[[#This Row],[ref2]])),J149+1)</f>
        <v>141</v>
      </c>
      <c r="K150" s="1" t="str">
        <f>IF(NOT(ISBLANK(Journal[[#This Row],[ref2]])),Journal[[#This Row],[ref2]]&amp;Journal[[#This Row],[LineNum]],"")</f>
        <v>141</v>
      </c>
      <c r="L150" s="42" cm="1">
        <f t="array" ref="L150">IFERROR(_xlfn.IFS(Journal[[#This Row],[DrAccnt]]="Cash",Journal[[#This Row],[DrAmt]],Journal[[#This Row],[CrAccnt]]="Cash",-Journal[[#This Row],[CrAmt]]),0)</f>
        <v>0</v>
      </c>
      <c r="M150" s="1" t="str">
        <f>Journal[[#This Row],[AccntType]]&amp;"[Name]"</f>
        <v>[Name]</v>
      </c>
    </row>
    <row r="151" spans="2:13" x14ac:dyDescent="0.2">
      <c r="B151" s="392"/>
      <c r="C151" s="208"/>
      <c r="F151" s="42"/>
      <c r="G151" s="85"/>
      <c r="H151" s="206"/>
      <c r="I151" s="209" t="str">
        <f>_xlfn.XLOOKUP(Journal[[#This Row],[ref]],TransInfo[Num],TransInfo[ref],"")</f>
        <v/>
      </c>
      <c r="J151" s="205" cm="1">
        <f t="array" ref="J151">_xlfn.IFS(ISBLANK(Journal[[#This Row],[ref2]]),0,NOT(ISBLANK(Journal[[#This Row],[ref2]])),J150+1)</f>
        <v>142</v>
      </c>
      <c r="K151" s="1" t="str">
        <f>IF(NOT(ISBLANK(Journal[[#This Row],[ref2]])),Journal[[#This Row],[ref2]]&amp;Journal[[#This Row],[LineNum]],"")</f>
        <v>142</v>
      </c>
      <c r="L151" s="42" cm="1">
        <f t="array" ref="L151">IFERROR(_xlfn.IFS(Journal[[#This Row],[DrAccnt]]="Cash",Journal[[#This Row],[DrAmt]],Journal[[#This Row],[CrAccnt]]="Cash",-Journal[[#This Row],[CrAmt]]),0)</f>
        <v>0</v>
      </c>
      <c r="M151" s="1" t="str">
        <f>Journal[[#This Row],[AccntType]]&amp;"[Name]"</f>
        <v>[Name]</v>
      </c>
    </row>
    <row r="152" spans="2:13" x14ac:dyDescent="0.2">
      <c r="B152" s="392"/>
      <c r="C152" s="208"/>
      <c r="F152" s="42"/>
      <c r="G152" s="85"/>
      <c r="H152" s="206"/>
      <c r="I152" s="209" t="str">
        <f>_xlfn.XLOOKUP(Journal[[#This Row],[ref]],TransInfo[Num],TransInfo[ref],"")</f>
        <v/>
      </c>
      <c r="J152" s="205" cm="1">
        <f t="array" ref="J152">_xlfn.IFS(ISBLANK(Journal[[#This Row],[ref2]]),0,NOT(ISBLANK(Journal[[#This Row],[ref2]])),J151+1)</f>
        <v>143</v>
      </c>
      <c r="K152" s="1" t="str">
        <f>IF(NOT(ISBLANK(Journal[[#This Row],[ref2]])),Journal[[#This Row],[ref2]]&amp;Journal[[#This Row],[LineNum]],"")</f>
        <v>143</v>
      </c>
      <c r="L152" s="42" cm="1">
        <f t="array" ref="L152">IFERROR(_xlfn.IFS(Journal[[#This Row],[DrAccnt]]="Cash",Journal[[#This Row],[DrAmt]],Journal[[#This Row],[CrAccnt]]="Cash",-Journal[[#This Row],[CrAmt]]),0)</f>
        <v>0</v>
      </c>
      <c r="M152" s="1" t="str">
        <f>Journal[[#This Row],[AccntType]]&amp;"[Name]"</f>
        <v>[Name]</v>
      </c>
    </row>
    <row r="153" spans="2:13" x14ac:dyDescent="0.2">
      <c r="B153" s="392"/>
      <c r="C153" s="208"/>
      <c r="F153" s="42"/>
      <c r="G153" s="85"/>
      <c r="H153" s="206"/>
      <c r="I153" s="209" t="str">
        <f>_xlfn.XLOOKUP(Journal[[#This Row],[ref]],TransInfo[Num],TransInfo[ref],"")</f>
        <v/>
      </c>
      <c r="J153" s="205" cm="1">
        <f t="array" ref="J153">_xlfn.IFS(ISBLANK(Journal[[#This Row],[ref2]]),0,NOT(ISBLANK(Journal[[#This Row],[ref2]])),J152+1)</f>
        <v>144</v>
      </c>
      <c r="K153" s="1" t="str">
        <f>IF(NOT(ISBLANK(Journal[[#This Row],[ref2]])),Journal[[#This Row],[ref2]]&amp;Journal[[#This Row],[LineNum]],"")</f>
        <v>144</v>
      </c>
      <c r="L153" s="42" cm="1">
        <f t="array" ref="L153">IFERROR(_xlfn.IFS(Journal[[#This Row],[DrAccnt]]="Cash",Journal[[#This Row],[DrAmt]],Journal[[#This Row],[CrAccnt]]="Cash",-Journal[[#This Row],[CrAmt]]),0)</f>
        <v>0</v>
      </c>
      <c r="M153" s="1" t="str">
        <f>Journal[[#This Row],[AccntType]]&amp;"[Name]"</f>
        <v>[Name]</v>
      </c>
    </row>
    <row r="154" spans="2:13" x14ac:dyDescent="0.2">
      <c r="B154" s="392"/>
      <c r="C154" s="208"/>
      <c r="F154" s="42"/>
      <c r="G154" s="85"/>
      <c r="H154" s="206"/>
      <c r="I154" s="209" t="str">
        <f>_xlfn.XLOOKUP(Journal[[#This Row],[ref]],TransInfo[Num],TransInfo[ref],"")</f>
        <v/>
      </c>
      <c r="J154" s="205" cm="1">
        <f t="array" ref="J154">_xlfn.IFS(ISBLANK(Journal[[#This Row],[ref2]]),0,NOT(ISBLANK(Journal[[#This Row],[ref2]])),J153+1)</f>
        <v>145</v>
      </c>
      <c r="K154" s="1" t="str">
        <f>IF(NOT(ISBLANK(Journal[[#This Row],[ref2]])),Journal[[#This Row],[ref2]]&amp;Journal[[#This Row],[LineNum]],"")</f>
        <v>145</v>
      </c>
      <c r="L154" s="42" cm="1">
        <f t="array" ref="L154">IFERROR(_xlfn.IFS(Journal[[#This Row],[DrAccnt]]="Cash",Journal[[#This Row],[DrAmt]],Journal[[#This Row],[CrAccnt]]="Cash",-Journal[[#This Row],[CrAmt]]),0)</f>
        <v>0</v>
      </c>
      <c r="M154" s="1" t="str">
        <f>Journal[[#This Row],[AccntType]]&amp;"[Name]"</f>
        <v>[Name]</v>
      </c>
    </row>
    <row r="155" spans="2:13" x14ac:dyDescent="0.2">
      <c r="B155" s="392"/>
      <c r="C155" s="208"/>
      <c r="F155" s="42"/>
      <c r="G155" s="85"/>
      <c r="H155" s="206"/>
      <c r="I155" s="209" t="str">
        <f>_xlfn.XLOOKUP(Journal[[#This Row],[ref]],TransInfo[Num],TransInfo[ref],"")</f>
        <v/>
      </c>
      <c r="J155" s="205" cm="1">
        <f t="array" ref="J155">_xlfn.IFS(ISBLANK(Journal[[#This Row],[ref2]]),0,NOT(ISBLANK(Journal[[#This Row],[ref2]])),J154+1)</f>
        <v>146</v>
      </c>
      <c r="K155" s="1" t="str">
        <f>IF(NOT(ISBLANK(Journal[[#This Row],[ref2]])),Journal[[#This Row],[ref2]]&amp;Journal[[#This Row],[LineNum]],"")</f>
        <v>146</v>
      </c>
      <c r="L155" s="42" cm="1">
        <f t="array" ref="L155">IFERROR(_xlfn.IFS(Journal[[#This Row],[DrAccnt]]="Cash",Journal[[#This Row],[DrAmt]],Journal[[#This Row],[CrAccnt]]="Cash",-Journal[[#This Row],[CrAmt]]),0)</f>
        <v>0</v>
      </c>
      <c r="M155" s="1" t="str">
        <f>Journal[[#This Row],[AccntType]]&amp;"[Name]"</f>
        <v>[Name]</v>
      </c>
    </row>
    <row r="156" spans="2:13" x14ac:dyDescent="0.2">
      <c r="B156" s="392"/>
      <c r="C156" s="208"/>
      <c r="F156" s="42"/>
      <c r="G156" s="85"/>
      <c r="H156" s="206"/>
      <c r="I156" s="209" t="str">
        <f>_xlfn.XLOOKUP(Journal[[#This Row],[ref]],TransInfo[Num],TransInfo[ref],"")</f>
        <v/>
      </c>
      <c r="J156" s="205" cm="1">
        <f t="array" ref="J156">_xlfn.IFS(ISBLANK(Journal[[#This Row],[ref2]]),0,NOT(ISBLANK(Journal[[#This Row],[ref2]])),J155+1)</f>
        <v>147</v>
      </c>
      <c r="K156" s="1" t="str">
        <f>IF(NOT(ISBLANK(Journal[[#This Row],[ref2]])),Journal[[#This Row],[ref2]]&amp;Journal[[#This Row],[LineNum]],"")</f>
        <v>147</v>
      </c>
      <c r="L156" s="42" cm="1">
        <f t="array" ref="L156">IFERROR(_xlfn.IFS(Journal[[#This Row],[DrAccnt]]="Cash",Journal[[#This Row],[DrAmt]],Journal[[#This Row],[CrAccnt]]="Cash",-Journal[[#This Row],[CrAmt]]),0)</f>
        <v>0</v>
      </c>
      <c r="M156" s="1" t="str">
        <f>Journal[[#This Row],[AccntType]]&amp;"[Name]"</f>
        <v>[Name]</v>
      </c>
    </row>
    <row r="157" spans="2:13" x14ac:dyDescent="0.2">
      <c r="B157" s="392"/>
      <c r="C157" s="208"/>
      <c r="F157" s="42"/>
      <c r="G157" s="85"/>
      <c r="H157" s="206"/>
      <c r="I157" s="209" t="str">
        <f>_xlfn.XLOOKUP(Journal[[#This Row],[ref]],TransInfo[Num],TransInfo[ref],"")</f>
        <v/>
      </c>
      <c r="J157" s="205" cm="1">
        <f t="array" ref="J157">_xlfn.IFS(ISBLANK(Journal[[#This Row],[ref2]]),0,NOT(ISBLANK(Journal[[#This Row],[ref2]])),J156+1)</f>
        <v>148</v>
      </c>
      <c r="K157" s="1" t="str">
        <f>IF(NOT(ISBLANK(Journal[[#This Row],[ref2]])),Journal[[#This Row],[ref2]]&amp;Journal[[#This Row],[LineNum]],"")</f>
        <v>148</v>
      </c>
      <c r="L157" s="42" cm="1">
        <f t="array" ref="L157">IFERROR(_xlfn.IFS(Journal[[#This Row],[DrAccnt]]="Cash",Journal[[#This Row],[DrAmt]],Journal[[#This Row],[CrAccnt]]="Cash",-Journal[[#This Row],[CrAmt]]),0)</f>
        <v>0</v>
      </c>
      <c r="M157" s="1" t="str">
        <f>Journal[[#This Row],[AccntType]]&amp;"[Name]"</f>
        <v>[Name]</v>
      </c>
    </row>
    <row r="158" spans="2:13" x14ac:dyDescent="0.2">
      <c r="B158" s="392"/>
      <c r="C158" s="208"/>
      <c r="F158" s="42"/>
      <c r="G158" s="85"/>
      <c r="H158" s="206"/>
      <c r="I158" s="209" t="str">
        <f>_xlfn.XLOOKUP(Journal[[#This Row],[ref]],TransInfo[Num],TransInfo[ref],"")</f>
        <v/>
      </c>
      <c r="J158" s="205" cm="1">
        <f t="array" ref="J158">_xlfn.IFS(ISBLANK(Journal[[#This Row],[ref2]]),0,NOT(ISBLANK(Journal[[#This Row],[ref2]])),J157+1)</f>
        <v>149</v>
      </c>
      <c r="K158" s="1" t="str">
        <f>IF(NOT(ISBLANK(Journal[[#This Row],[ref2]])),Journal[[#This Row],[ref2]]&amp;Journal[[#This Row],[LineNum]],"")</f>
        <v>149</v>
      </c>
      <c r="L158" s="42" cm="1">
        <f t="array" ref="L158">IFERROR(_xlfn.IFS(Journal[[#This Row],[DrAccnt]]="Cash",Journal[[#This Row],[DrAmt]],Journal[[#This Row],[CrAccnt]]="Cash",-Journal[[#This Row],[CrAmt]]),0)</f>
        <v>0</v>
      </c>
      <c r="M158" s="1" t="str">
        <f>Journal[[#This Row],[AccntType]]&amp;"[Name]"</f>
        <v>[Name]</v>
      </c>
    </row>
    <row r="159" spans="2:13" x14ac:dyDescent="0.2">
      <c r="B159" s="392"/>
      <c r="C159" s="208"/>
      <c r="F159" s="42"/>
      <c r="G159" s="85"/>
      <c r="H159" s="206"/>
      <c r="I159" s="209" t="str">
        <f>_xlfn.XLOOKUP(Journal[[#This Row],[ref]],TransInfo[Num],TransInfo[ref],"")</f>
        <v/>
      </c>
      <c r="J159" s="205" cm="1">
        <f t="array" ref="J159">_xlfn.IFS(ISBLANK(Journal[[#This Row],[ref2]]),0,NOT(ISBLANK(Journal[[#This Row],[ref2]])),J158+1)</f>
        <v>150</v>
      </c>
      <c r="K159" s="1" t="str">
        <f>IF(NOT(ISBLANK(Journal[[#This Row],[ref2]])),Journal[[#This Row],[ref2]]&amp;Journal[[#This Row],[LineNum]],"")</f>
        <v>150</v>
      </c>
      <c r="L159" s="42" cm="1">
        <f t="array" ref="L159">IFERROR(_xlfn.IFS(Journal[[#This Row],[DrAccnt]]="Cash",Journal[[#This Row],[DrAmt]],Journal[[#This Row],[CrAccnt]]="Cash",-Journal[[#This Row],[CrAmt]]),0)</f>
        <v>0</v>
      </c>
      <c r="M159" s="1" t="str">
        <f>Journal[[#This Row],[AccntType]]&amp;"[Name]"</f>
        <v>[Name]</v>
      </c>
    </row>
    <row r="160" spans="2:13" x14ac:dyDescent="0.2">
      <c r="B160" s="392"/>
      <c r="C160" s="208"/>
      <c r="F160" s="42"/>
      <c r="G160" s="85"/>
      <c r="H160" s="206"/>
      <c r="I160" s="209" t="str">
        <f>_xlfn.XLOOKUP(Journal[[#This Row],[ref]],TransInfo[Num],TransInfo[ref],"")</f>
        <v/>
      </c>
      <c r="J160" s="205" cm="1">
        <f t="array" ref="J160">_xlfn.IFS(ISBLANK(Journal[[#This Row],[ref2]]),0,NOT(ISBLANK(Journal[[#This Row],[ref2]])),J159+1)</f>
        <v>151</v>
      </c>
      <c r="K160" s="1" t="str">
        <f>IF(NOT(ISBLANK(Journal[[#This Row],[ref2]])),Journal[[#This Row],[ref2]]&amp;Journal[[#This Row],[LineNum]],"")</f>
        <v>151</v>
      </c>
      <c r="L160" s="42" cm="1">
        <f t="array" ref="L160">IFERROR(_xlfn.IFS(Journal[[#This Row],[DrAccnt]]="Cash",Journal[[#This Row],[DrAmt]],Journal[[#This Row],[CrAccnt]]="Cash",-Journal[[#This Row],[CrAmt]]),0)</f>
        <v>0</v>
      </c>
      <c r="M160" s="1" t="str">
        <f>Journal[[#This Row],[AccntType]]&amp;"[Name]"</f>
        <v>[Name]</v>
      </c>
    </row>
    <row r="161" spans="2:13" x14ac:dyDescent="0.2">
      <c r="B161" s="392"/>
      <c r="C161" s="208"/>
      <c r="F161" s="42"/>
      <c r="G161" s="85"/>
      <c r="H161" s="206"/>
      <c r="I161" s="209" t="str">
        <f>_xlfn.XLOOKUP(Journal[[#This Row],[ref]],TransInfo[Num],TransInfo[ref],"")</f>
        <v/>
      </c>
      <c r="J161" s="205" cm="1">
        <f t="array" ref="J161">_xlfn.IFS(ISBLANK(Journal[[#This Row],[ref2]]),0,NOT(ISBLANK(Journal[[#This Row],[ref2]])),J160+1)</f>
        <v>152</v>
      </c>
      <c r="K161" s="1" t="str">
        <f>IF(NOT(ISBLANK(Journal[[#This Row],[ref2]])),Journal[[#This Row],[ref2]]&amp;Journal[[#This Row],[LineNum]],"")</f>
        <v>152</v>
      </c>
      <c r="L161" s="42" cm="1">
        <f t="array" ref="L161">IFERROR(_xlfn.IFS(Journal[[#This Row],[DrAccnt]]="Cash",Journal[[#This Row],[DrAmt]],Journal[[#This Row],[CrAccnt]]="Cash",-Journal[[#This Row],[CrAmt]]),0)</f>
        <v>0</v>
      </c>
      <c r="M161" s="1" t="str">
        <f>Journal[[#This Row],[AccntType]]&amp;"[Name]"</f>
        <v>[Name]</v>
      </c>
    </row>
    <row r="162" spans="2:13" x14ac:dyDescent="0.2">
      <c r="B162" s="392"/>
      <c r="C162" s="208"/>
      <c r="F162" s="42"/>
      <c r="G162" s="85"/>
      <c r="H162" s="206"/>
      <c r="I162" s="209" t="str">
        <f>_xlfn.XLOOKUP(Journal[[#This Row],[ref]],TransInfo[Num],TransInfo[ref],"")</f>
        <v/>
      </c>
      <c r="J162" s="205" cm="1">
        <f t="array" ref="J162">_xlfn.IFS(ISBLANK(Journal[[#This Row],[ref2]]),0,NOT(ISBLANK(Journal[[#This Row],[ref2]])),J161+1)</f>
        <v>153</v>
      </c>
      <c r="K162" s="1" t="str">
        <f>IF(NOT(ISBLANK(Journal[[#This Row],[ref2]])),Journal[[#This Row],[ref2]]&amp;Journal[[#This Row],[LineNum]],"")</f>
        <v>153</v>
      </c>
      <c r="L162" s="42" cm="1">
        <f t="array" ref="L162">IFERROR(_xlfn.IFS(Journal[[#This Row],[DrAccnt]]="Cash",Journal[[#This Row],[DrAmt]],Journal[[#This Row],[CrAccnt]]="Cash",-Journal[[#This Row],[CrAmt]]),0)</f>
        <v>0</v>
      </c>
      <c r="M162" s="1" t="str">
        <f>Journal[[#This Row],[AccntType]]&amp;"[Name]"</f>
        <v>[Name]</v>
      </c>
    </row>
    <row r="163" spans="2:13" x14ac:dyDescent="0.2">
      <c r="B163" s="392"/>
      <c r="C163" s="208"/>
      <c r="F163" s="42"/>
      <c r="G163" s="85"/>
      <c r="H163" s="206"/>
      <c r="I163" s="209" t="str">
        <f>_xlfn.XLOOKUP(Journal[[#This Row],[ref]],TransInfo[Num],TransInfo[ref],"")</f>
        <v/>
      </c>
      <c r="J163" s="205" cm="1">
        <f t="array" ref="J163">_xlfn.IFS(ISBLANK(Journal[[#This Row],[ref2]]),0,NOT(ISBLANK(Journal[[#This Row],[ref2]])),J162+1)</f>
        <v>154</v>
      </c>
      <c r="K163" s="1" t="str">
        <f>IF(NOT(ISBLANK(Journal[[#This Row],[ref2]])),Journal[[#This Row],[ref2]]&amp;Journal[[#This Row],[LineNum]],"")</f>
        <v>154</v>
      </c>
      <c r="L163" s="42" cm="1">
        <f t="array" ref="L163">IFERROR(_xlfn.IFS(Journal[[#This Row],[DrAccnt]]="Cash",Journal[[#This Row],[DrAmt]],Journal[[#This Row],[CrAccnt]]="Cash",-Journal[[#This Row],[CrAmt]]),0)</f>
        <v>0</v>
      </c>
      <c r="M163" s="1" t="str">
        <f>Journal[[#This Row],[AccntType]]&amp;"[Name]"</f>
        <v>[Name]</v>
      </c>
    </row>
    <row r="164" spans="2:13" x14ac:dyDescent="0.2">
      <c r="B164" s="392"/>
      <c r="C164" s="208"/>
      <c r="F164" s="42"/>
      <c r="G164" s="85"/>
      <c r="H164" s="206"/>
      <c r="I164" s="209" t="str">
        <f>_xlfn.XLOOKUP(Journal[[#This Row],[ref]],TransInfo[Num],TransInfo[ref],"")</f>
        <v/>
      </c>
      <c r="J164" s="205" cm="1">
        <f t="array" ref="J164">_xlfn.IFS(ISBLANK(Journal[[#This Row],[ref2]]),0,NOT(ISBLANK(Journal[[#This Row],[ref2]])),J163+1)</f>
        <v>155</v>
      </c>
      <c r="K164" s="1" t="str">
        <f>IF(NOT(ISBLANK(Journal[[#This Row],[ref2]])),Journal[[#This Row],[ref2]]&amp;Journal[[#This Row],[LineNum]],"")</f>
        <v>155</v>
      </c>
      <c r="L164" s="42" cm="1">
        <f t="array" ref="L164">IFERROR(_xlfn.IFS(Journal[[#This Row],[DrAccnt]]="Cash",Journal[[#This Row],[DrAmt]],Journal[[#This Row],[CrAccnt]]="Cash",-Journal[[#This Row],[CrAmt]]),0)</f>
        <v>0</v>
      </c>
      <c r="M164" s="1" t="str">
        <f>Journal[[#This Row],[AccntType]]&amp;"[Name]"</f>
        <v>[Name]</v>
      </c>
    </row>
    <row r="165" spans="2:13" x14ac:dyDescent="0.2">
      <c r="B165" s="392"/>
      <c r="C165" s="208"/>
      <c r="F165" s="42"/>
      <c r="G165" s="85"/>
      <c r="H165" s="206"/>
      <c r="I165" s="209" t="str">
        <f>_xlfn.XLOOKUP(Journal[[#This Row],[ref]],TransInfo[Num],TransInfo[ref],"")</f>
        <v/>
      </c>
      <c r="J165" s="205" cm="1">
        <f t="array" ref="J165">_xlfn.IFS(ISBLANK(Journal[[#This Row],[ref2]]),0,NOT(ISBLANK(Journal[[#This Row],[ref2]])),J164+1)</f>
        <v>156</v>
      </c>
      <c r="K165" s="1" t="str">
        <f>IF(NOT(ISBLANK(Journal[[#This Row],[ref2]])),Journal[[#This Row],[ref2]]&amp;Journal[[#This Row],[LineNum]],"")</f>
        <v>156</v>
      </c>
      <c r="L165" s="42" cm="1">
        <f t="array" ref="L165">IFERROR(_xlfn.IFS(Journal[[#This Row],[DrAccnt]]="Cash",Journal[[#This Row],[DrAmt]],Journal[[#This Row],[CrAccnt]]="Cash",-Journal[[#This Row],[CrAmt]]),0)</f>
        <v>0</v>
      </c>
      <c r="M165" s="1" t="str">
        <f>Journal[[#This Row],[AccntType]]&amp;"[Name]"</f>
        <v>[Name]</v>
      </c>
    </row>
    <row r="166" spans="2:13" x14ac:dyDescent="0.2">
      <c r="B166" s="392"/>
      <c r="C166" s="208"/>
      <c r="F166" s="42"/>
      <c r="G166" s="85"/>
      <c r="H166" s="206"/>
      <c r="I166" s="209" t="str">
        <f>_xlfn.XLOOKUP(Journal[[#This Row],[ref]],TransInfo[Num],TransInfo[ref],"")</f>
        <v/>
      </c>
      <c r="J166" s="205" cm="1">
        <f t="array" ref="J166">_xlfn.IFS(ISBLANK(Journal[[#This Row],[ref2]]),0,NOT(ISBLANK(Journal[[#This Row],[ref2]])),J165+1)</f>
        <v>157</v>
      </c>
      <c r="K166" s="1" t="str">
        <f>IF(NOT(ISBLANK(Journal[[#This Row],[ref2]])),Journal[[#This Row],[ref2]]&amp;Journal[[#This Row],[LineNum]],"")</f>
        <v>157</v>
      </c>
      <c r="L166" s="42" cm="1">
        <f t="array" ref="L166">IFERROR(_xlfn.IFS(Journal[[#This Row],[DrAccnt]]="Cash",Journal[[#This Row],[DrAmt]],Journal[[#This Row],[CrAccnt]]="Cash",-Journal[[#This Row],[CrAmt]]),0)</f>
        <v>0</v>
      </c>
      <c r="M166" s="1" t="str">
        <f>Journal[[#This Row],[AccntType]]&amp;"[Name]"</f>
        <v>[Name]</v>
      </c>
    </row>
    <row r="167" spans="2:13" x14ac:dyDescent="0.2">
      <c r="B167" s="392"/>
      <c r="C167" s="208"/>
      <c r="F167" s="42"/>
      <c r="G167" s="85"/>
      <c r="H167" s="206"/>
      <c r="I167" s="209" t="str">
        <f>_xlfn.XLOOKUP(Journal[[#This Row],[ref]],TransInfo[Num],TransInfo[ref],"")</f>
        <v/>
      </c>
      <c r="J167" s="205" cm="1">
        <f t="array" ref="J167">_xlfn.IFS(ISBLANK(Journal[[#This Row],[ref2]]),0,NOT(ISBLANK(Journal[[#This Row],[ref2]])),J166+1)</f>
        <v>158</v>
      </c>
      <c r="K167" s="1" t="str">
        <f>IF(NOT(ISBLANK(Journal[[#This Row],[ref2]])),Journal[[#This Row],[ref2]]&amp;Journal[[#This Row],[LineNum]],"")</f>
        <v>158</v>
      </c>
      <c r="L167" s="42" cm="1">
        <f t="array" ref="L167">IFERROR(_xlfn.IFS(Journal[[#This Row],[DrAccnt]]="Cash",Journal[[#This Row],[DrAmt]],Journal[[#This Row],[CrAccnt]]="Cash",-Journal[[#This Row],[CrAmt]]),0)</f>
        <v>0</v>
      </c>
      <c r="M167" s="1" t="str">
        <f>Journal[[#This Row],[AccntType]]&amp;"[Name]"</f>
        <v>[Name]</v>
      </c>
    </row>
    <row r="168" spans="2:13" x14ac:dyDescent="0.2">
      <c r="B168" s="392"/>
      <c r="C168" s="208"/>
      <c r="F168" s="42"/>
      <c r="G168" s="85"/>
      <c r="H168" s="206"/>
      <c r="I168" s="209" t="str">
        <f>_xlfn.XLOOKUP(Journal[[#This Row],[ref]],TransInfo[Num],TransInfo[ref],"")</f>
        <v/>
      </c>
      <c r="J168" s="205" cm="1">
        <f t="array" ref="J168">_xlfn.IFS(ISBLANK(Journal[[#This Row],[ref2]]),0,NOT(ISBLANK(Journal[[#This Row],[ref2]])),J167+1)</f>
        <v>159</v>
      </c>
      <c r="K168" s="1" t="str">
        <f>IF(NOT(ISBLANK(Journal[[#This Row],[ref2]])),Journal[[#This Row],[ref2]]&amp;Journal[[#This Row],[LineNum]],"")</f>
        <v>159</v>
      </c>
      <c r="L168" s="42" cm="1">
        <f t="array" ref="L168">IFERROR(_xlfn.IFS(Journal[[#This Row],[DrAccnt]]="Cash",Journal[[#This Row],[DrAmt]],Journal[[#This Row],[CrAccnt]]="Cash",-Journal[[#This Row],[CrAmt]]),0)</f>
        <v>0</v>
      </c>
      <c r="M168" s="1" t="str">
        <f>Journal[[#This Row],[AccntType]]&amp;"[Name]"</f>
        <v>[Name]</v>
      </c>
    </row>
    <row r="169" spans="2:13" x14ac:dyDescent="0.2">
      <c r="B169" s="392"/>
      <c r="C169" s="208"/>
      <c r="F169" s="42"/>
      <c r="G169" s="85"/>
      <c r="H169" s="206"/>
      <c r="I169" s="209" t="str">
        <f>_xlfn.XLOOKUP(Journal[[#This Row],[ref]],TransInfo[Num],TransInfo[ref],"")</f>
        <v/>
      </c>
      <c r="J169" s="205" cm="1">
        <f t="array" ref="J169">_xlfn.IFS(ISBLANK(Journal[[#This Row],[ref2]]),0,NOT(ISBLANK(Journal[[#This Row],[ref2]])),J168+1)</f>
        <v>160</v>
      </c>
      <c r="K169" s="1" t="str">
        <f>IF(NOT(ISBLANK(Journal[[#This Row],[ref2]])),Journal[[#This Row],[ref2]]&amp;Journal[[#This Row],[LineNum]],"")</f>
        <v>160</v>
      </c>
      <c r="L169" s="42" cm="1">
        <f t="array" ref="L169">IFERROR(_xlfn.IFS(Journal[[#This Row],[DrAccnt]]="Cash",Journal[[#This Row],[DrAmt]],Journal[[#This Row],[CrAccnt]]="Cash",-Journal[[#This Row],[CrAmt]]),0)</f>
        <v>0</v>
      </c>
      <c r="M169" s="1" t="str">
        <f>Journal[[#This Row],[AccntType]]&amp;"[Name]"</f>
        <v>[Name]</v>
      </c>
    </row>
    <row r="170" spans="2:13" x14ac:dyDescent="0.2">
      <c r="B170" s="392"/>
      <c r="C170" s="208"/>
      <c r="F170" s="42"/>
      <c r="G170" s="85"/>
      <c r="H170" s="206"/>
      <c r="I170" s="209" t="str">
        <f>_xlfn.XLOOKUP(Journal[[#This Row],[ref]],TransInfo[Num],TransInfo[ref],"")</f>
        <v/>
      </c>
      <c r="J170" s="205" cm="1">
        <f t="array" ref="J170">_xlfn.IFS(ISBLANK(Journal[[#This Row],[ref2]]),0,NOT(ISBLANK(Journal[[#This Row],[ref2]])),J169+1)</f>
        <v>161</v>
      </c>
      <c r="K170" s="1" t="str">
        <f>IF(NOT(ISBLANK(Journal[[#This Row],[ref2]])),Journal[[#This Row],[ref2]]&amp;Journal[[#This Row],[LineNum]],"")</f>
        <v>161</v>
      </c>
      <c r="L170" s="42" cm="1">
        <f t="array" ref="L170">IFERROR(_xlfn.IFS(Journal[[#This Row],[DrAccnt]]="Cash",Journal[[#This Row],[DrAmt]],Journal[[#This Row],[CrAccnt]]="Cash",-Journal[[#This Row],[CrAmt]]),0)</f>
        <v>0</v>
      </c>
      <c r="M170" s="1" t="str">
        <f>Journal[[#This Row],[AccntType]]&amp;"[Name]"</f>
        <v>[Name]</v>
      </c>
    </row>
    <row r="171" spans="2:13" x14ac:dyDescent="0.2">
      <c r="B171" s="392"/>
      <c r="C171" s="208"/>
      <c r="F171" s="42"/>
      <c r="G171" s="85"/>
      <c r="H171" s="206"/>
      <c r="I171" s="209" t="str">
        <f>_xlfn.XLOOKUP(Journal[[#This Row],[ref]],TransInfo[Num],TransInfo[ref],"")</f>
        <v/>
      </c>
      <c r="J171" s="205" cm="1">
        <f t="array" ref="J171">_xlfn.IFS(ISBLANK(Journal[[#This Row],[ref2]]),0,NOT(ISBLANK(Journal[[#This Row],[ref2]])),J170+1)</f>
        <v>162</v>
      </c>
      <c r="K171" s="1" t="str">
        <f>IF(NOT(ISBLANK(Journal[[#This Row],[ref2]])),Journal[[#This Row],[ref2]]&amp;Journal[[#This Row],[LineNum]],"")</f>
        <v>162</v>
      </c>
      <c r="L171" s="42" cm="1">
        <f t="array" ref="L171">IFERROR(_xlfn.IFS(Journal[[#This Row],[DrAccnt]]="Cash",Journal[[#This Row],[DrAmt]],Journal[[#This Row],[CrAccnt]]="Cash",-Journal[[#This Row],[CrAmt]]),0)</f>
        <v>0</v>
      </c>
      <c r="M171" s="1" t="str">
        <f>Journal[[#This Row],[AccntType]]&amp;"[Name]"</f>
        <v>[Name]</v>
      </c>
    </row>
    <row r="172" spans="2:13" x14ac:dyDescent="0.2">
      <c r="B172" s="392"/>
      <c r="C172" s="208"/>
      <c r="F172" s="42"/>
      <c r="G172" s="85"/>
      <c r="H172" s="206"/>
      <c r="I172" s="209" t="str">
        <f>_xlfn.XLOOKUP(Journal[[#This Row],[ref]],TransInfo[Num],TransInfo[ref],"")</f>
        <v/>
      </c>
      <c r="J172" s="205" cm="1">
        <f t="array" ref="J172">_xlfn.IFS(ISBLANK(Journal[[#This Row],[ref2]]),0,NOT(ISBLANK(Journal[[#This Row],[ref2]])),J171+1)</f>
        <v>163</v>
      </c>
      <c r="K172" s="1" t="str">
        <f>IF(NOT(ISBLANK(Journal[[#This Row],[ref2]])),Journal[[#This Row],[ref2]]&amp;Journal[[#This Row],[LineNum]],"")</f>
        <v>163</v>
      </c>
      <c r="L172" s="42" cm="1">
        <f t="array" ref="L172">IFERROR(_xlfn.IFS(Journal[[#This Row],[DrAccnt]]="Cash",Journal[[#This Row],[DrAmt]],Journal[[#This Row],[CrAccnt]]="Cash",-Journal[[#This Row],[CrAmt]]),0)</f>
        <v>0</v>
      </c>
      <c r="M172" s="1" t="str">
        <f>Journal[[#This Row],[AccntType]]&amp;"[Name]"</f>
        <v>[Name]</v>
      </c>
    </row>
    <row r="173" spans="2:13" x14ac:dyDescent="0.2">
      <c r="B173" s="392"/>
      <c r="C173" s="208"/>
      <c r="F173" s="42"/>
      <c r="G173" s="85"/>
      <c r="H173" s="206"/>
      <c r="I173" s="209" t="str">
        <f>_xlfn.XLOOKUP(Journal[[#This Row],[ref]],TransInfo[Num],TransInfo[ref],"")</f>
        <v/>
      </c>
      <c r="J173" s="205" cm="1">
        <f t="array" ref="J173">_xlfn.IFS(ISBLANK(Journal[[#This Row],[ref2]]),0,NOT(ISBLANK(Journal[[#This Row],[ref2]])),J172+1)</f>
        <v>164</v>
      </c>
      <c r="K173" s="1" t="str">
        <f>IF(NOT(ISBLANK(Journal[[#This Row],[ref2]])),Journal[[#This Row],[ref2]]&amp;Journal[[#This Row],[LineNum]],"")</f>
        <v>164</v>
      </c>
      <c r="L173" s="42" cm="1">
        <f t="array" ref="L173">IFERROR(_xlfn.IFS(Journal[[#This Row],[DrAccnt]]="Cash",Journal[[#This Row],[DrAmt]],Journal[[#This Row],[CrAccnt]]="Cash",-Journal[[#This Row],[CrAmt]]),0)</f>
        <v>0</v>
      </c>
      <c r="M173" s="1" t="str">
        <f>Journal[[#This Row],[AccntType]]&amp;"[Name]"</f>
        <v>[Name]</v>
      </c>
    </row>
    <row r="174" spans="2:13" x14ac:dyDescent="0.2">
      <c r="B174" s="392"/>
      <c r="C174" s="208"/>
      <c r="F174" s="42"/>
      <c r="G174" s="85"/>
      <c r="H174" s="206"/>
      <c r="I174" s="209" t="str">
        <f>_xlfn.XLOOKUP(Journal[[#This Row],[ref]],TransInfo[Num],TransInfo[ref],"")</f>
        <v/>
      </c>
      <c r="J174" s="205" cm="1">
        <f t="array" ref="J174">_xlfn.IFS(ISBLANK(Journal[[#This Row],[ref2]]),0,NOT(ISBLANK(Journal[[#This Row],[ref2]])),J173+1)</f>
        <v>165</v>
      </c>
      <c r="K174" s="1" t="str">
        <f>IF(NOT(ISBLANK(Journal[[#This Row],[ref2]])),Journal[[#This Row],[ref2]]&amp;Journal[[#This Row],[LineNum]],"")</f>
        <v>165</v>
      </c>
      <c r="L174" s="42" cm="1">
        <f t="array" ref="L174">IFERROR(_xlfn.IFS(Journal[[#This Row],[DrAccnt]]="Cash",Journal[[#This Row],[DrAmt]],Journal[[#This Row],[CrAccnt]]="Cash",-Journal[[#This Row],[CrAmt]]),0)</f>
        <v>0</v>
      </c>
      <c r="M174" s="1" t="str">
        <f>Journal[[#This Row],[AccntType]]&amp;"[Name]"</f>
        <v>[Name]</v>
      </c>
    </row>
    <row r="175" spans="2:13" x14ac:dyDescent="0.2">
      <c r="B175" s="392"/>
      <c r="C175" s="208"/>
      <c r="F175" s="42"/>
      <c r="G175" s="85"/>
      <c r="H175" s="206"/>
      <c r="I175" s="209" t="str">
        <f>_xlfn.XLOOKUP(Journal[[#This Row],[ref]],TransInfo[Num],TransInfo[ref],"")</f>
        <v/>
      </c>
      <c r="J175" s="205" cm="1">
        <f t="array" ref="J175">_xlfn.IFS(ISBLANK(Journal[[#This Row],[ref2]]),0,NOT(ISBLANK(Journal[[#This Row],[ref2]])),J174+1)</f>
        <v>166</v>
      </c>
      <c r="K175" s="1" t="str">
        <f>IF(NOT(ISBLANK(Journal[[#This Row],[ref2]])),Journal[[#This Row],[ref2]]&amp;Journal[[#This Row],[LineNum]],"")</f>
        <v>166</v>
      </c>
      <c r="L175" s="42" cm="1">
        <f t="array" ref="L175">IFERROR(_xlfn.IFS(Journal[[#This Row],[DrAccnt]]="Cash",Journal[[#This Row],[DrAmt]],Journal[[#This Row],[CrAccnt]]="Cash",-Journal[[#This Row],[CrAmt]]),0)</f>
        <v>0</v>
      </c>
      <c r="M175" s="1" t="str">
        <f>Journal[[#This Row],[AccntType]]&amp;"[Name]"</f>
        <v>[Name]</v>
      </c>
    </row>
    <row r="176" spans="2:13" x14ac:dyDescent="0.2">
      <c r="B176" s="392"/>
      <c r="C176" s="208"/>
      <c r="F176" s="42"/>
      <c r="G176" s="85"/>
      <c r="H176" s="206"/>
      <c r="I176" s="209" t="str">
        <f>_xlfn.XLOOKUP(Journal[[#This Row],[ref]],TransInfo[Num],TransInfo[ref],"")</f>
        <v/>
      </c>
      <c r="J176" s="205" cm="1">
        <f t="array" ref="J176">_xlfn.IFS(ISBLANK(Journal[[#This Row],[ref2]]),0,NOT(ISBLANK(Journal[[#This Row],[ref2]])),J175+1)</f>
        <v>167</v>
      </c>
      <c r="K176" s="1" t="str">
        <f>IF(NOT(ISBLANK(Journal[[#This Row],[ref2]])),Journal[[#This Row],[ref2]]&amp;Journal[[#This Row],[LineNum]],"")</f>
        <v>167</v>
      </c>
      <c r="L176" s="42" cm="1">
        <f t="array" ref="L176">IFERROR(_xlfn.IFS(Journal[[#This Row],[DrAccnt]]="Cash",Journal[[#This Row],[DrAmt]],Journal[[#This Row],[CrAccnt]]="Cash",-Journal[[#This Row],[CrAmt]]),0)</f>
        <v>0</v>
      </c>
      <c r="M176" s="1" t="str">
        <f>Journal[[#This Row],[AccntType]]&amp;"[Name]"</f>
        <v>[Name]</v>
      </c>
    </row>
    <row r="177" spans="2:13" x14ac:dyDescent="0.2">
      <c r="B177" s="392"/>
      <c r="C177" s="208"/>
      <c r="F177" s="42"/>
      <c r="G177" s="85"/>
      <c r="H177" s="206"/>
      <c r="I177" s="209" t="str">
        <f>_xlfn.XLOOKUP(Journal[[#This Row],[ref]],TransInfo[Num],TransInfo[ref],"")</f>
        <v/>
      </c>
      <c r="J177" s="205" cm="1">
        <f t="array" ref="J177">_xlfn.IFS(ISBLANK(Journal[[#This Row],[ref2]]),0,NOT(ISBLANK(Journal[[#This Row],[ref2]])),J176+1)</f>
        <v>168</v>
      </c>
      <c r="K177" s="1" t="str">
        <f>IF(NOT(ISBLANK(Journal[[#This Row],[ref2]])),Journal[[#This Row],[ref2]]&amp;Journal[[#This Row],[LineNum]],"")</f>
        <v>168</v>
      </c>
      <c r="L177" s="42" cm="1">
        <f t="array" ref="L177">IFERROR(_xlfn.IFS(Journal[[#This Row],[DrAccnt]]="Cash",Journal[[#This Row],[DrAmt]],Journal[[#This Row],[CrAccnt]]="Cash",-Journal[[#This Row],[CrAmt]]),0)</f>
        <v>0</v>
      </c>
      <c r="M177" s="1" t="str">
        <f>Journal[[#This Row],[AccntType]]&amp;"[Name]"</f>
        <v>[Name]</v>
      </c>
    </row>
    <row r="178" spans="2:13" x14ac:dyDescent="0.2">
      <c r="B178" s="392"/>
      <c r="C178" s="208"/>
      <c r="F178" s="42"/>
      <c r="G178" s="85"/>
      <c r="H178" s="206"/>
      <c r="I178" s="209" t="str">
        <f>_xlfn.XLOOKUP(Journal[[#This Row],[ref]],TransInfo[Num],TransInfo[ref],"")</f>
        <v/>
      </c>
      <c r="J178" s="205" cm="1">
        <f t="array" ref="J178">_xlfn.IFS(ISBLANK(Journal[[#This Row],[ref2]]),0,NOT(ISBLANK(Journal[[#This Row],[ref2]])),J177+1)</f>
        <v>169</v>
      </c>
      <c r="K178" s="1" t="str">
        <f>IF(NOT(ISBLANK(Journal[[#This Row],[ref2]])),Journal[[#This Row],[ref2]]&amp;Journal[[#This Row],[LineNum]],"")</f>
        <v>169</v>
      </c>
      <c r="L178" s="42" cm="1">
        <f t="array" ref="L178">IFERROR(_xlfn.IFS(Journal[[#This Row],[DrAccnt]]="Cash",Journal[[#This Row],[DrAmt]],Journal[[#This Row],[CrAccnt]]="Cash",-Journal[[#This Row],[CrAmt]]),0)</f>
        <v>0</v>
      </c>
      <c r="M178" s="1" t="str">
        <f>Journal[[#This Row],[AccntType]]&amp;"[Name]"</f>
        <v>[Name]</v>
      </c>
    </row>
    <row r="179" spans="2:13" x14ac:dyDescent="0.2">
      <c r="B179" s="392"/>
      <c r="C179" s="208"/>
      <c r="F179" s="42"/>
      <c r="G179" s="85"/>
      <c r="H179" s="206"/>
      <c r="I179" s="209" t="str">
        <f>_xlfn.XLOOKUP(Journal[[#This Row],[ref]],TransInfo[Num],TransInfo[ref],"")</f>
        <v/>
      </c>
      <c r="J179" s="205" cm="1">
        <f t="array" ref="J179">_xlfn.IFS(ISBLANK(Journal[[#This Row],[ref2]]),0,NOT(ISBLANK(Journal[[#This Row],[ref2]])),J178+1)</f>
        <v>170</v>
      </c>
      <c r="K179" s="1" t="str">
        <f>IF(NOT(ISBLANK(Journal[[#This Row],[ref2]])),Journal[[#This Row],[ref2]]&amp;Journal[[#This Row],[LineNum]],"")</f>
        <v>170</v>
      </c>
      <c r="L179" s="42" cm="1">
        <f t="array" ref="L179">IFERROR(_xlfn.IFS(Journal[[#This Row],[DrAccnt]]="Cash",Journal[[#This Row],[DrAmt]],Journal[[#This Row],[CrAccnt]]="Cash",-Journal[[#This Row],[CrAmt]]),0)</f>
        <v>0</v>
      </c>
      <c r="M179" s="1" t="str">
        <f>Journal[[#This Row],[AccntType]]&amp;"[Name]"</f>
        <v>[Name]</v>
      </c>
    </row>
    <row r="180" spans="2:13" x14ac:dyDescent="0.2">
      <c r="B180" s="392"/>
      <c r="C180" s="208"/>
      <c r="F180" s="42"/>
      <c r="G180" s="85"/>
      <c r="H180" s="206"/>
      <c r="I180" s="209" t="str">
        <f>_xlfn.XLOOKUP(Journal[[#This Row],[ref]],TransInfo[Num],TransInfo[ref],"")</f>
        <v/>
      </c>
      <c r="J180" s="205" cm="1">
        <f t="array" ref="J180">_xlfn.IFS(ISBLANK(Journal[[#This Row],[ref2]]),0,NOT(ISBLANK(Journal[[#This Row],[ref2]])),J179+1)</f>
        <v>171</v>
      </c>
      <c r="K180" s="1" t="str">
        <f>IF(NOT(ISBLANK(Journal[[#This Row],[ref2]])),Journal[[#This Row],[ref2]]&amp;Journal[[#This Row],[LineNum]],"")</f>
        <v>171</v>
      </c>
      <c r="L180" s="42" cm="1">
        <f t="array" ref="L180">IFERROR(_xlfn.IFS(Journal[[#This Row],[DrAccnt]]="Cash",Journal[[#This Row],[DrAmt]],Journal[[#This Row],[CrAccnt]]="Cash",-Journal[[#This Row],[CrAmt]]),0)</f>
        <v>0</v>
      </c>
      <c r="M180" s="1" t="str">
        <f>Journal[[#This Row],[AccntType]]&amp;"[Name]"</f>
        <v>[Name]</v>
      </c>
    </row>
    <row r="181" spans="2:13" x14ac:dyDescent="0.2">
      <c r="B181" s="392"/>
      <c r="C181" s="208"/>
      <c r="F181" s="42"/>
      <c r="G181" s="85"/>
      <c r="H181" s="206"/>
      <c r="I181" s="209" t="str">
        <f>_xlfn.XLOOKUP(Journal[[#This Row],[ref]],TransInfo[Num],TransInfo[ref],"")</f>
        <v/>
      </c>
      <c r="J181" s="205" cm="1">
        <f t="array" ref="J181">_xlfn.IFS(ISBLANK(Journal[[#This Row],[ref2]]),0,NOT(ISBLANK(Journal[[#This Row],[ref2]])),J180+1)</f>
        <v>172</v>
      </c>
      <c r="K181" s="1" t="str">
        <f>IF(NOT(ISBLANK(Journal[[#This Row],[ref2]])),Journal[[#This Row],[ref2]]&amp;Journal[[#This Row],[LineNum]],"")</f>
        <v>172</v>
      </c>
      <c r="L181" s="42" cm="1">
        <f t="array" ref="L181">IFERROR(_xlfn.IFS(Journal[[#This Row],[DrAccnt]]="Cash",Journal[[#This Row],[DrAmt]],Journal[[#This Row],[CrAccnt]]="Cash",-Journal[[#This Row],[CrAmt]]),0)</f>
        <v>0</v>
      </c>
      <c r="M181" s="1" t="str">
        <f>Journal[[#This Row],[AccntType]]&amp;"[Name]"</f>
        <v>[Name]</v>
      </c>
    </row>
    <row r="182" spans="2:13" x14ac:dyDescent="0.2">
      <c r="B182" s="392"/>
      <c r="C182" s="208"/>
      <c r="F182" s="42"/>
      <c r="G182" s="85"/>
      <c r="H182" s="206"/>
      <c r="I182" s="209" t="str">
        <f>_xlfn.XLOOKUP(Journal[[#This Row],[ref]],TransInfo[Num],TransInfo[ref],"")</f>
        <v/>
      </c>
      <c r="J182" s="205" cm="1">
        <f t="array" ref="J182">_xlfn.IFS(ISBLANK(Journal[[#This Row],[ref2]]),0,NOT(ISBLANK(Journal[[#This Row],[ref2]])),J181+1)</f>
        <v>173</v>
      </c>
      <c r="K182" s="1" t="str">
        <f>IF(NOT(ISBLANK(Journal[[#This Row],[ref2]])),Journal[[#This Row],[ref2]]&amp;Journal[[#This Row],[LineNum]],"")</f>
        <v>173</v>
      </c>
      <c r="L182" s="42" cm="1">
        <f t="array" ref="L182">IFERROR(_xlfn.IFS(Journal[[#This Row],[DrAccnt]]="Cash",Journal[[#This Row],[DrAmt]],Journal[[#This Row],[CrAccnt]]="Cash",-Journal[[#This Row],[CrAmt]]),0)</f>
        <v>0</v>
      </c>
      <c r="M182" s="1" t="str">
        <f>Journal[[#This Row],[AccntType]]&amp;"[Name]"</f>
        <v>[Name]</v>
      </c>
    </row>
    <row r="183" spans="2:13" x14ac:dyDescent="0.2">
      <c r="B183" s="392"/>
      <c r="C183" s="208"/>
      <c r="F183" s="42"/>
      <c r="G183" s="85"/>
      <c r="H183" s="206"/>
      <c r="I183" s="209" t="str">
        <f>_xlfn.XLOOKUP(Journal[[#This Row],[ref]],TransInfo[Num],TransInfo[ref],"")</f>
        <v/>
      </c>
      <c r="J183" s="205" cm="1">
        <f t="array" ref="J183">_xlfn.IFS(ISBLANK(Journal[[#This Row],[ref2]]),0,NOT(ISBLANK(Journal[[#This Row],[ref2]])),J182+1)</f>
        <v>174</v>
      </c>
      <c r="K183" s="1" t="str">
        <f>IF(NOT(ISBLANK(Journal[[#This Row],[ref2]])),Journal[[#This Row],[ref2]]&amp;Journal[[#This Row],[LineNum]],"")</f>
        <v>174</v>
      </c>
      <c r="L183" s="42" cm="1">
        <f t="array" ref="L183">IFERROR(_xlfn.IFS(Journal[[#This Row],[DrAccnt]]="Cash",Journal[[#This Row],[DrAmt]],Journal[[#This Row],[CrAccnt]]="Cash",-Journal[[#This Row],[CrAmt]]),0)</f>
        <v>0</v>
      </c>
      <c r="M183" s="1" t="str">
        <f>Journal[[#This Row],[AccntType]]&amp;"[Name]"</f>
        <v>[Name]</v>
      </c>
    </row>
    <row r="184" spans="2:13" x14ac:dyDescent="0.2">
      <c r="B184" s="392"/>
      <c r="C184" s="208"/>
      <c r="F184" s="42"/>
      <c r="G184" s="85"/>
      <c r="H184" s="206"/>
      <c r="I184" s="209" t="str">
        <f>_xlfn.XLOOKUP(Journal[[#This Row],[ref]],TransInfo[Num],TransInfo[ref],"")</f>
        <v/>
      </c>
      <c r="J184" s="205" cm="1">
        <f t="array" ref="J184">_xlfn.IFS(ISBLANK(Journal[[#This Row],[ref2]]),0,NOT(ISBLANK(Journal[[#This Row],[ref2]])),J183+1)</f>
        <v>175</v>
      </c>
      <c r="K184" s="1" t="str">
        <f>IF(NOT(ISBLANK(Journal[[#This Row],[ref2]])),Journal[[#This Row],[ref2]]&amp;Journal[[#This Row],[LineNum]],"")</f>
        <v>175</v>
      </c>
      <c r="L184" s="42" cm="1">
        <f t="array" ref="L184">IFERROR(_xlfn.IFS(Journal[[#This Row],[DrAccnt]]="Cash",Journal[[#This Row],[DrAmt]],Journal[[#This Row],[CrAccnt]]="Cash",-Journal[[#This Row],[CrAmt]]),0)</f>
        <v>0</v>
      </c>
      <c r="M184" s="1" t="str">
        <f>Journal[[#This Row],[AccntType]]&amp;"[Name]"</f>
        <v>[Name]</v>
      </c>
    </row>
    <row r="185" spans="2:13" x14ac:dyDescent="0.2">
      <c r="B185" s="392"/>
      <c r="C185" s="208"/>
      <c r="F185" s="42"/>
      <c r="G185" s="85"/>
      <c r="H185" s="206"/>
      <c r="I185" s="209" t="str">
        <f>_xlfn.XLOOKUP(Journal[[#This Row],[ref]],TransInfo[Num],TransInfo[ref],"")</f>
        <v/>
      </c>
      <c r="J185" s="205" cm="1">
        <f t="array" ref="J185">_xlfn.IFS(ISBLANK(Journal[[#This Row],[ref2]]),0,NOT(ISBLANK(Journal[[#This Row],[ref2]])),J184+1)</f>
        <v>176</v>
      </c>
      <c r="K185" s="1" t="str">
        <f>IF(NOT(ISBLANK(Journal[[#This Row],[ref2]])),Journal[[#This Row],[ref2]]&amp;Journal[[#This Row],[LineNum]],"")</f>
        <v>176</v>
      </c>
      <c r="L185" s="42" cm="1">
        <f t="array" ref="L185">IFERROR(_xlfn.IFS(Journal[[#This Row],[DrAccnt]]="Cash",Journal[[#This Row],[DrAmt]],Journal[[#This Row],[CrAccnt]]="Cash",-Journal[[#This Row],[CrAmt]]),0)</f>
        <v>0</v>
      </c>
      <c r="M185" s="1" t="str">
        <f>Journal[[#This Row],[AccntType]]&amp;"[Name]"</f>
        <v>[Name]</v>
      </c>
    </row>
    <row r="186" spans="2:13" x14ac:dyDescent="0.2">
      <c r="B186" s="392"/>
      <c r="C186" s="208"/>
      <c r="F186" s="42"/>
      <c r="G186" s="85"/>
      <c r="H186" s="206"/>
      <c r="I186" s="209" t="str">
        <f>_xlfn.XLOOKUP(Journal[[#This Row],[ref]],TransInfo[Num],TransInfo[ref],"")</f>
        <v/>
      </c>
      <c r="J186" s="205" cm="1">
        <f t="array" ref="J186">_xlfn.IFS(ISBLANK(Journal[[#This Row],[ref2]]),0,NOT(ISBLANK(Journal[[#This Row],[ref2]])),J185+1)</f>
        <v>177</v>
      </c>
      <c r="K186" s="1" t="str">
        <f>IF(NOT(ISBLANK(Journal[[#This Row],[ref2]])),Journal[[#This Row],[ref2]]&amp;Journal[[#This Row],[LineNum]],"")</f>
        <v>177</v>
      </c>
      <c r="L186" s="42" cm="1">
        <f t="array" ref="L186">IFERROR(_xlfn.IFS(Journal[[#This Row],[DrAccnt]]="Cash",Journal[[#This Row],[DrAmt]],Journal[[#This Row],[CrAccnt]]="Cash",-Journal[[#This Row],[CrAmt]]),0)</f>
        <v>0</v>
      </c>
      <c r="M186" s="1" t="str">
        <f>Journal[[#This Row],[AccntType]]&amp;"[Name]"</f>
        <v>[Name]</v>
      </c>
    </row>
    <row r="187" spans="2:13" x14ac:dyDescent="0.2">
      <c r="B187" s="392"/>
      <c r="C187" s="208"/>
      <c r="F187" s="42"/>
      <c r="G187" s="85"/>
      <c r="H187" s="206"/>
      <c r="I187" s="209" t="str">
        <f>_xlfn.XLOOKUP(Journal[[#This Row],[ref]],TransInfo[Num],TransInfo[ref],"")</f>
        <v/>
      </c>
      <c r="J187" s="205" cm="1">
        <f t="array" ref="J187">_xlfn.IFS(ISBLANK(Journal[[#This Row],[ref2]]),0,NOT(ISBLANK(Journal[[#This Row],[ref2]])),J186+1)</f>
        <v>178</v>
      </c>
      <c r="K187" s="1" t="str">
        <f>IF(NOT(ISBLANK(Journal[[#This Row],[ref2]])),Journal[[#This Row],[ref2]]&amp;Journal[[#This Row],[LineNum]],"")</f>
        <v>178</v>
      </c>
      <c r="L187" s="42" cm="1">
        <f t="array" ref="L187">IFERROR(_xlfn.IFS(Journal[[#This Row],[DrAccnt]]="Cash",Journal[[#This Row],[DrAmt]],Journal[[#This Row],[CrAccnt]]="Cash",-Journal[[#This Row],[CrAmt]]),0)</f>
        <v>0</v>
      </c>
      <c r="M187" s="1" t="str">
        <f>Journal[[#This Row],[AccntType]]&amp;"[Name]"</f>
        <v>[Name]</v>
      </c>
    </row>
    <row r="188" spans="2:13" x14ac:dyDescent="0.2">
      <c r="B188" s="392"/>
      <c r="C188" s="208"/>
      <c r="F188" s="42"/>
      <c r="G188" s="85"/>
      <c r="H188" s="206"/>
      <c r="I188" s="209" t="str">
        <f>_xlfn.XLOOKUP(Journal[[#This Row],[ref]],TransInfo[Num],TransInfo[ref],"")</f>
        <v/>
      </c>
      <c r="J188" s="205" cm="1">
        <f t="array" ref="J188">_xlfn.IFS(ISBLANK(Journal[[#This Row],[ref2]]),0,NOT(ISBLANK(Journal[[#This Row],[ref2]])),J187+1)</f>
        <v>179</v>
      </c>
      <c r="K188" s="1" t="str">
        <f>IF(NOT(ISBLANK(Journal[[#This Row],[ref2]])),Journal[[#This Row],[ref2]]&amp;Journal[[#This Row],[LineNum]],"")</f>
        <v>179</v>
      </c>
      <c r="L188" s="42" cm="1">
        <f t="array" ref="L188">IFERROR(_xlfn.IFS(Journal[[#This Row],[DrAccnt]]="Cash",Journal[[#This Row],[DrAmt]],Journal[[#This Row],[CrAccnt]]="Cash",-Journal[[#This Row],[CrAmt]]),0)</f>
        <v>0</v>
      </c>
      <c r="M188" s="1" t="str">
        <f>Journal[[#This Row],[AccntType]]&amp;"[Name]"</f>
        <v>[Name]</v>
      </c>
    </row>
    <row r="189" spans="2:13" x14ac:dyDescent="0.2">
      <c r="B189" s="392"/>
      <c r="C189" s="208"/>
      <c r="F189" s="42"/>
      <c r="G189" s="85"/>
      <c r="H189" s="206"/>
      <c r="I189" s="209" t="str">
        <f>_xlfn.XLOOKUP(Journal[[#This Row],[ref]],TransInfo[Num],TransInfo[ref],"")</f>
        <v/>
      </c>
      <c r="J189" s="205" cm="1">
        <f t="array" ref="J189">_xlfn.IFS(ISBLANK(Journal[[#This Row],[ref2]]),0,NOT(ISBLANK(Journal[[#This Row],[ref2]])),J188+1)</f>
        <v>180</v>
      </c>
      <c r="K189" s="1" t="str">
        <f>IF(NOT(ISBLANK(Journal[[#This Row],[ref2]])),Journal[[#This Row],[ref2]]&amp;Journal[[#This Row],[LineNum]],"")</f>
        <v>180</v>
      </c>
      <c r="L189" s="42" cm="1">
        <f t="array" ref="L189">IFERROR(_xlfn.IFS(Journal[[#This Row],[DrAccnt]]="Cash",Journal[[#This Row],[DrAmt]],Journal[[#This Row],[CrAccnt]]="Cash",-Journal[[#This Row],[CrAmt]]),0)</f>
        <v>0</v>
      </c>
      <c r="M189" s="1" t="str">
        <f>Journal[[#This Row],[AccntType]]&amp;"[Name]"</f>
        <v>[Name]</v>
      </c>
    </row>
    <row r="190" spans="2:13" x14ac:dyDescent="0.2">
      <c r="B190" s="392"/>
      <c r="C190" s="208"/>
      <c r="F190" s="42"/>
      <c r="G190" s="85"/>
      <c r="H190" s="206"/>
      <c r="I190" s="209" t="str">
        <f>_xlfn.XLOOKUP(Journal[[#This Row],[ref]],TransInfo[Num],TransInfo[ref],"")</f>
        <v/>
      </c>
      <c r="J190" s="205" cm="1">
        <f t="array" ref="J190">_xlfn.IFS(ISBLANK(Journal[[#This Row],[ref2]]),0,NOT(ISBLANK(Journal[[#This Row],[ref2]])),J189+1)</f>
        <v>181</v>
      </c>
      <c r="K190" s="1" t="str">
        <f>IF(NOT(ISBLANK(Journal[[#This Row],[ref2]])),Journal[[#This Row],[ref2]]&amp;Journal[[#This Row],[LineNum]],"")</f>
        <v>181</v>
      </c>
      <c r="L190" s="42" cm="1">
        <f t="array" ref="L190">IFERROR(_xlfn.IFS(Journal[[#This Row],[DrAccnt]]="Cash",Journal[[#This Row],[DrAmt]],Journal[[#This Row],[CrAccnt]]="Cash",-Journal[[#This Row],[CrAmt]]),0)</f>
        <v>0</v>
      </c>
      <c r="M190" s="1" t="str">
        <f>Journal[[#This Row],[AccntType]]&amp;"[Name]"</f>
        <v>[Name]</v>
      </c>
    </row>
    <row r="191" spans="2:13" x14ac:dyDescent="0.2">
      <c r="B191" s="392"/>
      <c r="C191" s="208"/>
      <c r="F191" s="42"/>
      <c r="G191" s="85"/>
      <c r="H191" s="206"/>
      <c r="I191" s="209" t="str">
        <f>_xlfn.XLOOKUP(Journal[[#This Row],[ref]],TransInfo[Num],TransInfo[ref],"")</f>
        <v/>
      </c>
      <c r="J191" s="205" cm="1">
        <f t="array" ref="J191">_xlfn.IFS(ISBLANK(Journal[[#This Row],[ref2]]),0,NOT(ISBLANK(Journal[[#This Row],[ref2]])),J190+1)</f>
        <v>182</v>
      </c>
      <c r="K191" s="1" t="str">
        <f>IF(NOT(ISBLANK(Journal[[#This Row],[ref2]])),Journal[[#This Row],[ref2]]&amp;Journal[[#This Row],[LineNum]],"")</f>
        <v>182</v>
      </c>
      <c r="L191" s="42" cm="1">
        <f t="array" ref="L191">IFERROR(_xlfn.IFS(Journal[[#This Row],[DrAccnt]]="Cash",Journal[[#This Row],[DrAmt]],Journal[[#This Row],[CrAccnt]]="Cash",-Journal[[#This Row],[CrAmt]]),0)</f>
        <v>0</v>
      </c>
      <c r="M191" s="1" t="str">
        <f>Journal[[#This Row],[AccntType]]&amp;"[Name]"</f>
        <v>[Name]</v>
      </c>
    </row>
    <row r="192" spans="2:13" x14ac:dyDescent="0.2">
      <c r="B192" s="392"/>
      <c r="C192" s="208"/>
      <c r="F192" s="42"/>
      <c r="G192" s="85"/>
      <c r="H192" s="206"/>
      <c r="I192" s="209" t="str">
        <f>_xlfn.XLOOKUP(Journal[[#This Row],[ref]],TransInfo[Num],TransInfo[ref],"")</f>
        <v/>
      </c>
      <c r="J192" s="205" cm="1">
        <f t="array" ref="J192">_xlfn.IFS(ISBLANK(Journal[[#This Row],[ref2]]),0,NOT(ISBLANK(Journal[[#This Row],[ref2]])),J191+1)</f>
        <v>183</v>
      </c>
      <c r="K192" s="1" t="str">
        <f>IF(NOT(ISBLANK(Journal[[#This Row],[ref2]])),Journal[[#This Row],[ref2]]&amp;Journal[[#This Row],[LineNum]],"")</f>
        <v>183</v>
      </c>
      <c r="L192" s="42" cm="1">
        <f t="array" ref="L192">IFERROR(_xlfn.IFS(Journal[[#This Row],[DrAccnt]]="Cash",Journal[[#This Row],[DrAmt]],Journal[[#This Row],[CrAccnt]]="Cash",-Journal[[#This Row],[CrAmt]]),0)</f>
        <v>0</v>
      </c>
      <c r="M192" s="1" t="str">
        <f>Journal[[#This Row],[AccntType]]&amp;"[Name]"</f>
        <v>[Name]</v>
      </c>
    </row>
    <row r="193" spans="2:13" x14ac:dyDescent="0.2">
      <c r="B193" s="392"/>
      <c r="C193" s="208"/>
      <c r="F193" s="42"/>
      <c r="G193" s="85"/>
      <c r="H193" s="206"/>
      <c r="I193" s="209" t="str">
        <f>_xlfn.XLOOKUP(Journal[[#This Row],[ref]],TransInfo[Num],TransInfo[ref],"")</f>
        <v/>
      </c>
      <c r="J193" s="205" cm="1">
        <f t="array" ref="J193">_xlfn.IFS(ISBLANK(Journal[[#This Row],[ref2]]),0,NOT(ISBLANK(Journal[[#This Row],[ref2]])),J192+1)</f>
        <v>184</v>
      </c>
      <c r="K193" s="1" t="str">
        <f>IF(NOT(ISBLANK(Journal[[#This Row],[ref2]])),Journal[[#This Row],[ref2]]&amp;Journal[[#This Row],[LineNum]],"")</f>
        <v>184</v>
      </c>
      <c r="L193" s="42" cm="1">
        <f t="array" ref="L193">IFERROR(_xlfn.IFS(Journal[[#This Row],[DrAccnt]]="Cash",Journal[[#This Row],[DrAmt]],Journal[[#This Row],[CrAccnt]]="Cash",-Journal[[#This Row],[CrAmt]]),0)</f>
        <v>0</v>
      </c>
      <c r="M193" s="1" t="str">
        <f>Journal[[#This Row],[AccntType]]&amp;"[Name]"</f>
        <v>[Name]</v>
      </c>
    </row>
    <row r="194" spans="2:13" x14ac:dyDescent="0.2">
      <c r="B194" s="392"/>
      <c r="C194" s="208"/>
      <c r="F194" s="42"/>
      <c r="G194" s="85"/>
      <c r="H194" s="206"/>
      <c r="I194" s="209" t="str">
        <f>_xlfn.XLOOKUP(Journal[[#This Row],[ref]],TransInfo[Num],TransInfo[ref],"")</f>
        <v/>
      </c>
      <c r="J194" s="205" cm="1">
        <f t="array" ref="J194">_xlfn.IFS(ISBLANK(Journal[[#This Row],[ref2]]),0,NOT(ISBLANK(Journal[[#This Row],[ref2]])),J193+1)</f>
        <v>185</v>
      </c>
      <c r="K194" s="1" t="str">
        <f>IF(NOT(ISBLANK(Journal[[#This Row],[ref2]])),Journal[[#This Row],[ref2]]&amp;Journal[[#This Row],[LineNum]],"")</f>
        <v>185</v>
      </c>
      <c r="L194" s="42" cm="1">
        <f t="array" ref="L194">IFERROR(_xlfn.IFS(Journal[[#This Row],[DrAccnt]]="Cash",Journal[[#This Row],[DrAmt]],Journal[[#This Row],[CrAccnt]]="Cash",-Journal[[#This Row],[CrAmt]]),0)</f>
        <v>0</v>
      </c>
      <c r="M194" s="1" t="str">
        <f>Journal[[#This Row],[AccntType]]&amp;"[Name]"</f>
        <v>[Name]</v>
      </c>
    </row>
    <row r="195" spans="2:13" x14ac:dyDescent="0.2">
      <c r="B195" s="392"/>
      <c r="C195" s="208"/>
      <c r="F195" s="42"/>
      <c r="G195" s="85"/>
      <c r="H195" s="206"/>
      <c r="I195" s="209" t="str">
        <f>_xlfn.XLOOKUP(Journal[[#This Row],[ref]],TransInfo[Num],TransInfo[ref],"")</f>
        <v/>
      </c>
      <c r="J195" s="205" cm="1">
        <f t="array" ref="J195">_xlfn.IFS(ISBLANK(Journal[[#This Row],[ref2]]),0,NOT(ISBLANK(Journal[[#This Row],[ref2]])),J194+1)</f>
        <v>186</v>
      </c>
      <c r="K195" s="1" t="str">
        <f>IF(NOT(ISBLANK(Journal[[#This Row],[ref2]])),Journal[[#This Row],[ref2]]&amp;Journal[[#This Row],[LineNum]],"")</f>
        <v>186</v>
      </c>
      <c r="L195" s="42" cm="1">
        <f t="array" ref="L195">IFERROR(_xlfn.IFS(Journal[[#This Row],[DrAccnt]]="Cash",Journal[[#This Row],[DrAmt]],Journal[[#This Row],[CrAccnt]]="Cash",-Journal[[#This Row],[CrAmt]]),0)</f>
        <v>0</v>
      </c>
      <c r="M195" s="1" t="str">
        <f>Journal[[#This Row],[AccntType]]&amp;"[Name]"</f>
        <v>[Name]</v>
      </c>
    </row>
    <row r="197" spans="2:13" collapsed="1" x14ac:dyDescent="0.2"/>
  </sheetData>
  <mergeCells count="1">
    <mergeCell ref="C8:D8"/>
  </mergeCells>
  <conditionalFormatting sqref="H10:H195">
    <cfRule type="expression" dxfId="499" priority="10">
      <formula>OR($D10="Cash",$E10="Cash")</formula>
    </cfRule>
  </conditionalFormatting>
  <conditionalFormatting sqref="I6">
    <cfRule type="expression" dxfId="498" priority="8">
      <formula>LEN(Line5)&gt;125</formula>
    </cfRule>
  </conditionalFormatting>
  <conditionalFormatting sqref="I2">
    <cfRule type="expression" dxfId="497" priority="4">
      <formula>LEN(Line1)&gt;125</formula>
    </cfRule>
  </conditionalFormatting>
  <conditionalFormatting sqref="I3">
    <cfRule type="expression" dxfId="496" priority="5">
      <formula>LEN(Line2)&gt;125</formula>
    </cfRule>
  </conditionalFormatting>
  <conditionalFormatting sqref="I4">
    <cfRule type="expression" dxfId="495" priority="6">
      <formula>LEN(Line3)&gt;125</formula>
    </cfRule>
  </conditionalFormatting>
  <conditionalFormatting sqref="I5">
    <cfRule type="expression" dxfId="494" priority="7">
      <formula>LEN(Line4)&gt;125</formula>
    </cfRule>
  </conditionalFormatting>
  <conditionalFormatting sqref="I1">
    <cfRule type="expression" dxfId="493" priority="3">
      <formula>MAX(LEN(Line1),LEN(Line2),LEN(Line3),LEN(Line4),LEN(Line5))&gt;125</formula>
    </cfRule>
  </conditionalFormatting>
  <conditionalFormatting sqref="F7:H8">
    <cfRule type="expression" dxfId="492" priority="2">
      <formula>ROUND($H$8,2)&lt;&gt;0</formula>
    </cfRule>
  </conditionalFormatting>
  <conditionalFormatting sqref="D10:G195">
    <cfRule type="expression" dxfId="491" priority="80">
      <formula>NOT(ISBLANK($B10))</formula>
    </cfRule>
  </conditionalFormatting>
  <conditionalFormatting sqref="B10:B195">
    <cfRule type="expression" dxfId="490" priority="81">
      <formula>NOT(ISBLANK($B10))</formula>
    </cfRule>
  </conditionalFormatting>
  <conditionalFormatting sqref="C10:C195">
    <cfRule type="expression" dxfId="489" priority="1">
      <formula>NOT(ISBLANK($B10))</formula>
    </cfRule>
  </conditionalFormatting>
  <dataValidations count="2">
    <dataValidation type="list" allowBlank="1" showInputMessage="1" showErrorMessage="1" sqref="C8" xr:uid="{8795C731-A780-401C-9AE7-C60B7FE814D2}">
      <formula1>INDIRECT("EntityInfo[InfoText]")</formula1>
    </dataValidation>
    <dataValidation type="list" allowBlank="1" showInputMessage="1" showErrorMessage="1" sqref="D10:E195" xr:uid="{B5A8B585-C416-401F-ABFD-240691730196}">
      <formula1>INDIRECT($M10)</formula1>
    </dataValidation>
  </dataValidations>
  <pageMargins left="0.7" right="0.7" top="0.75" bottom="0.75" header="0.3" footer="0.3"/>
  <pageSetup orientation="portrait" r:id="rId1"/>
  <ignoredErrors>
    <ignoredError sqref="J10:J195" calculatedColumn="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50D81938-4DE4-4F18-AFBA-9A2B28135D48}">
          <x14:formula1>
            <xm:f>INDIRECT(InstructorChoices!$A$10)</xm:f>
          </x14:formula1>
          <xm:sqref>C11:C195 C10</xm:sqref>
        </x14:dataValidation>
        <x14:dataValidation type="list" allowBlank="1" showInputMessage="1" showErrorMessage="1" xr:uid="{56875E9B-516E-42B2-B897-8B7879CCB856}">
          <x14:formula1>
            <xm:f>INDIRECT(InstructorChoices!$A$21)</xm:f>
          </x14:formula1>
          <xm:sqref>H10:H195</xm:sqref>
        </x14:dataValidation>
        <x14:dataValidation type="list" allowBlank="1" showInputMessage="1" showErrorMessage="1" xr:uid="{C4B401EB-B039-4DD1-84C5-866873B9234A}">
          <x14:formula1>
            <xm:f>INDIRECT(Trans_Events_Data!$A$53)</xm:f>
          </x14:formula1>
          <xm:sqref>C7 B10:B195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FA95-A98C-4BDD-8100-FD0E50382182}">
  <sheetPr>
    <tabColor theme="4" tint="0.39997558519241921"/>
  </sheetPr>
  <dimension ref="A1:BP68"/>
  <sheetViews>
    <sheetView workbookViewId="0">
      <selection activeCell="AX17" sqref="AX17"/>
    </sheetView>
  </sheetViews>
  <sheetFormatPr baseColWidth="10" defaultColWidth="8.83203125" defaultRowHeight="15" outlineLevelCol="2" x14ac:dyDescent="0.2"/>
  <cols>
    <col min="2" max="2" width="29.6640625" hidden="1" customWidth="1" outlineLevel="1"/>
    <col min="3" max="3" width="8.83203125" hidden="1" customWidth="1" outlineLevel="1"/>
    <col min="4" max="4" width="5.5" hidden="1" customWidth="1" outlineLevel="2"/>
    <col min="5" max="6" width="22.33203125" hidden="1" customWidth="1" outlineLevel="2"/>
    <col min="7" max="7" width="5.5" hidden="1" customWidth="1" outlineLevel="2"/>
    <col min="8" max="8" width="8.83203125" hidden="1" customWidth="1" outlineLevel="1" collapsed="1"/>
    <col min="9" max="9" width="13.6640625" customWidth="1" collapsed="1"/>
    <col min="10" max="10" width="37.5" hidden="1" customWidth="1" outlineLevel="1"/>
    <col min="11" max="11" width="8.83203125" hidden="1" customWidth="1" outlineLevel="1"/>
    <col min="12" max="12" width="8.83203125" hidden="1" customWidth="1" outlineLevel="2"/>
    <col min="13" max="14" width="37.5" hidden="1" customWidth="1" outlineLevel="2"/>
    <col min="15" max="16" width="8.83203125" hidden="1" customWidth="1" outlineLevel="2"/>
    <col min="17" max="17" width="8.83203125" hidden="1" customWidth="1" outlineLevel="1" collapsed="1"/>
    <col min="18" max="18" width="16.5" customWidth="1" collapsed="1"/>
    <col min="19" max="19" width="23.5" hidden="1" customWidth="1" outlineLevel="1"/>
    <col min="20" max="26" width="8.83203125" hidden="1" customWidth="1" outlineLevel="1"/>
    <col min="27" max="27" width="8.83203125" hidden="1" customWidth="1" outlineLevel="2"/>
    <col min="28" max="28" width="16.33203125" hidden="1" customWidth="1" outlineLevel="2"/>
    <col min="29" max="29" width="18.5" hidden="1" customWidth="1" outlineLevel="2"/>
    <col min="30" max="30" width="8.83203125" hidden="1" customWidth="1" outlineLevel="2"/>
    <col min="31" max="31" width="4.83203125" hidden="1" customWidth="1" outlineLevel="2"/>
    <col min="32" max="33" width="37.5" hidden="1" customWidth="1" outlineLevel="2"/>
    <col min="34" max="35" width="8.83203125" hidden="1" customWidth="1" outlineLevel="2"/>
    <col min="36" max="36" width="8.83203125" hidden="1" customWidth="1" outlineLevel="1"/>
    <col min="37" max="37" width="23.6640625" bestFit="1" customWidth="1" collapsed="1"/>
    <col min="38" max="38" width="38.6640625" hidden="1" customWidth="1" outlineLevel="1"/>
    <col min="39" max="39" width="8.83203125" hidden="1" customWidth="1" outlineLevel="1"/>
    <col min="40" max="40" width="5.5" hidden="1" customWidth="1" outlineLevel="2"/>
    <col min="41" max="42" width="22.33203125" hidden="1" customWidth="1" outlineLevel="2"/>
    <col min="43" max="43" width="5.5" hidden="1" customWidth="1" outlineLevel="2"/>
    <col min="44" max="44" width="4.83203125" hidden="1" customWidth="1" outlineLevel="2"/>
    <col min="45" max="46" width="37.5" hidden="1" customWidth="1" outlineLevel="2"/>
    <col min="47" max="48" width="8.83203125" hidden="1" customWidth="1" outlineLevel="2"/>
    <col min="49" max="49" width="8.6640625" hidden="1" customWidth="1" outlineLevel="1"/>
    <col min="50" max="50" width="25.83203125" bestFit="1" customWidth="1" collapsed="1"/>
    <col min="51" max="51" width="39.1640625" hidden="1" customWidth="1" outlineLevel="1"/>
    <col min="52" max="52" width="8.83203125" hidden="1" customWidth="1" outlineLevel="1"/>
    <col min="53" max="53" width="5.5" hidden="1" customWidth="1" outlineLevel="2"/>
    <col min="54" max="54" width="12.1640625" hidden="1" customWidth="1" outlineLevel="2"/>
    <col min="55" max="56" width="22.33203125" hidden="1" customWidth="1" outlineLevel="2"/>
    <col min="57" max="57" width="10.83203125" hidden="1" customWidth="1" outlineLevel="2"/>
    <col min="58" max="58" width="5.5" hidden="1" customWidth="1" outlineLevel="2"/>
    <col min="59" max="59" width="9.1640625" hidden="1" customWidth="1" outlineLevel="1" collapsed="1"/>
    <col min="60" max="60" width="27.33203125" bestFit="1" customWidth="1" collapsed="1"/>
    <col min="61" max="61" width="29.6640625" hidden="1" customWidth="1" outlineLevel="1"/>
    <col min="62" max="62" width="8.6640625" hidden="1" customWidth="1" outlineLevel="1"/>
    <col min="63" max="63" width="5.5" hidden="1" customWidth="1" outlineLevel="2"/>
    <col min="64" max="65" width="22.33203125" hidden="1" customWidth="1" outlineLevel="2"/>
    <col min="66" max="66" width="5.5" hidden="1" customWidth="1" outlineLevel="2"/>
    <col min="67" max="67" width="8.83203125" hidden="1" customWidth="1" outlineLevel="1" collapsed="1"/>
    <col min="68" max="68" width="14" bestFit="1" customWidth="1" collapsed="1"/>
  </cols>
  <sheetData>
    <row r="1" spans="1:68" ht="16" thickBot="1" x14ac:dyDescent="0.25">
      <c r="A1" s="331" t="s">
        <v>377</v>
      </c>
      <c r="E1" s="103" t="str">
        <f>F3&amp;"[Name]"</f>
        <v>Asset[Name]</v>
      </c>
      <c r="F1" s="103" t="str">
        <f>_xlfn.XLOOKUP(F4,BegBalSht[Account],BegBalSht[BalType])</f>
        <v>Debit</v>
      </c>
      <c r="H1" s="59" t="s">
        <v>378</v>
      </c>
      <c r="I1" s="5" t="s">
        <v>379</v>
      </c>
      <c r="Q1" s="59" t="s">
        <v>380</v>
      </c>
      <c r="R1" s="5" t="s">
        <v>381</v>
      </c>
      <c r="AA1" s="43"/>
      <c r="AC1" s="103" t="str">
        <f>_xlfn.XLOOKUP(AB3,Equity[Name],Equity[BalType])</f>
        <v>Credit</v>
      </c>
      <c r="AD1" s="43"/>
      <c r="AJ1" s="59" t="s">
        <v>382</v>
      </c>
      <c r="AK1" s="5" t="s">
        <v>383</v>
      </c>
      <c r="AO1" s="103" t="str">
        <f>AP3&amp;"[Name]"</f>
        <v>Asset[Name]</v>
      </c>
      <c r="AP1" s="103" t="str">
        <f>_xlfn.XLOOKUP(AP4,BegBalSht[Account],BegBalSht[BalType])</f>
        <v>Debit</v>
      </c>
      <c r="AW1" s="60" t="s">
        <v>384</v>
      </c>
      <c r="AX1" s="5" t="s">
        <v>385</v>
      </c>
      <c r="BG1" s="60" t="s">
        <v>386</v>
      </c>
      <c r="BH1" s="5" t="s">
        <v>387</v>
      </c>
      <c r="BL1" s="103" t="str">
        <f>BM3&amp;"[Name]"</f>
        <v>Asset[Name]</v>
      </c>
      <c r="BM1" s="103" t="str">
        <f>_xlfn.XLOOKUP(BM4,BegBalSht[Account],BegBalSht[BalType])</f>
        <v>Credit</v>
      </c>
      <c r="BO1" s="59" t="s">
        <v>378</v>
      </c>
      <c r="BP1" s="5" t="s">
        <v>388</v>
      </c>
    </row>
    <row r="2" spans="1:68" x14ac:dyDescent="0.2">
      <c r="B2" s="377">
        <f>Entity</f>
        <v>0</v>
      </c>
      <c r="C2" s="378"/>
      <c r="E2" s="12" t="s">
        <v>389</v>
      </c>
      <c r="F2" s="13"/>
      <c r="J2" s="383">
        <f>Entity</f>
        <v>0</v>
      </c>
      <c r="K2" s="384"/>
      <c r="M2" s="12" t="s">
        <v>390</v>
      </c>
      <c r="N2" s="12"/>
      <c r="O2" s="12"/>
      <c r="P2" s="12"/>
      <c r="S2" s="383">
        <f>Entity</f>
        <v>0</v>
      </c>
      <c r="T2" s="389"/>
      <c r="U2" s="389"/>
      <c r="V2" s="389"/>
      <c r="W2" s="389"/>
      <c r="X2" s="389"/>
      <c r="Y2" s="389"/>
      <c r="Z2" s="384"/>
      <c r="AA2" s="43"/>
      <c r="AB2" s="12" t="s">
        <v>391</v>
      </c>
      <c r="AC2" s="13"/>
      <c r="AD2" s="43"/>
      <c r="AF2" s="12" t="s">
        <v>392</v>
      </c>
      <c r="AG2" s="12"/>
      <c r="AH2" s="12"/>
      <c r="AI2" s="12"/>
      <c r="AL2" s="383">
        <f>Entity</f>
        <v>0</v>
      </c>
      <c r="AM2" s="384"/>
      <c r="AO2" s="12" t="s">
        <v>393</v>
      </c>
      <c r="AP2" s="13"/>
      <c r="AS2" s="12" t="s">
        <v>394</v>
      </c>
      <c r="AT2" s="12"/>
      <c r="AU2" s="12"/>
      <c r="AV2" s="12"/>
      <c r="AY2" s="383">
        <f>Entity</f>
        <v>0</v>
      </c>
      <c r="AZ2" s="384"/>
      <c r="BB2" s="333" t="s">
        <v>395</v>
      </c>
      <c r="BC2" s="333"/>
      <c r="BD2" s="333"/>
      <c r="BE2" s="333"/>
      <c r="BI2" s="377">
        <f>Entity</f>
        <v>0</v>
      </c>
      <c r="BJ2" s="378"/>
      <c r="BL2" s="12" t="s">
        <v>389</v>
      </c>
      <c r="BM2" s="13"/>
    </row>
    <row r="3" spans="1:68" ht="16" thickBot="1" x14ac:dyDescent="0.25">
      <c r="B3" s="379" t="str">
        <f>"Balance Sheet as of "&amp;BegDate</f>
        <v xml:space="preserve">Balance Sheet as of </v>
      </c>
      <c r="C3" s="380"/>
      <c r="E3" t="s">
        <v>396</v>
      </c>
      <c r="F3" s="340" t="s">
        <v>154</v>
      </c>
      <c r="J3" s="385" t="s">
        <v>381</v>
      </c>
      <c r="K3" s="386"/>
      <c r="M3" t="str" cm="1">
        <f t="array" ref="M3">_xlfn._xlws.FILTER(Journal[DrAccnt],Journal[ref2]="CL","")</f>
        <v/>
      </c>
      <c r="N3" t="str" cm="1">
        <f t="array" ref="N3">_xlfn._xlws.FILTER(Journal[CrAccnt],Journal[ref2]="CL","")</f>
        <v/>
      </c>
      <c r="O3" t="str" cm="1">
        <f t="array" ref="O3">_xlfn._xlws.FILTER(Journal[DrAmt],Journal[ref2]="CL","")</f>
        <v/>
      </c>
      <c r="P3" t="str" cm="1">
        <f t="array" ref="P3">_xlfn._xlws.FILTER(Journal[CrAmt],Journal[ref2]="CL","")</f>
        <v/>
      </c>
      <c r="S3" s="385" t="s">
        <v>397</v>
      </c>
      <c r="T3" s="390"/>
      <c r="U3" s="390"/>
      <c r="V3" s="390"/>
      <c r="W3" s="390"/>
      <c r="X3" s="390"/>
      <c r="Y3" s="390"/>
      <c r="Z3" s="386"/>
      <c r="AA3" s="43"/>
      <c r="AB3" s="44" t="str">
        <f>_xlfn.XLOOKUP(T8,Equity[Abbr],Equity[Name],"NA")</f>
        <v>Common Stock</v>
      </c>
      <c r="AC3" s="44"/>
      <c r="AD3" s="43"/>
      <c r="AE3" s="340">
        <v>1</v>
      </c>
      <c r="AF3" t="str">
        <f>IFERROR(FS1_1_Line1,"")</f>
        <v>Sold BU for XXXXX</v>
      </c>
      <c r="AL3" s="385" t="s">
        <v>398</v>
      </c>
      <c r="AM3" s="386"/>
      <c r="AO3" t="s">
        <v>396</v>
      </c>
      <c r="AP3" s="255" t="s">
        <v>154</v>
      </c>
      <c r="AR3" s="340">
        <v>1</v>
      </c>
      <c r="AS3" t="str" cm="1">
        <f t="array" ref="AS3">FS1_2_Line1</f>
        <v>Sold BU for XXXXX</v>
      </c>
      <c r="AY3" s="385" t="s">
        <v>398</v>
      </c>
      <c r="AZ3" s="386"/>
      <c r="BB3" s="11"/>
      <c r="BC3" s="3"/>
      <c r="BD3" s="3"/>
      <c r="BE3" s="3"/>
      <c r="BI3" s="379" t="str">
        <f>"Balance Sheet as of "&amp;EndDate</f>
        <v xml:space="preserve">Balance Sheet as of </v>
      </c>
      <c r="BJ3" s="380"/>
      <c r="BL3" t="s">
        <v>396</v>
      </c>
      <c r="BM3" s="340" t="s">
        <v>154</v>
      </c>
    </row>
    <row r="4" spans="1:68" ht="17" thickTop="1" thickBot="1" x14ac:dyDescent="0.25">
      <c r="B4" s="381" t="str">
        <f>"("&amp;Units&amp;")"</f>
        <v>()</v>
      </c>
      <c r="C4" s="382"/>
      <c r="E4" t="s">
        <v>399</v>
      </c>
      <c r="F4" s="340" t="s">
        <v>159</v>
      </c>
      <c r="J4" s="385" t="str">
        <f>"For the "&amp;Period&amp;" Ended "&amp;EndDate</f>
        <v xml:space="preserve">For the  Ended </v>
      </c>
      <c r="K4" s="386"/>
      <c r="S4" s="385" t="str">
        <f>"For the "&amp;Period&amp;" Ended "&amp;EndDate</f>
        <v xml:space="preserve">For the  Ended </v>
      </c>
      <c r="T4" s="390"/>
      <c r="U4" s="390"/>
      <c r="V4" s="390"/>
      <c r="W4" s="390"/>
      <c r="X4" s="390"/>
      <c r="Y4" s="390"/>
      <c r="Z4" s="386"/>
      <c r="AA4" s="11" t="str" cm="1">
        <f t="array" ref="AA4">_xlfn.IFS(AC1="Debit","BB",AND(AC1="Either",_xlfn.XLOOKUP(AB3,BegBalSht[Account],BegBalSht[Amount],0)&lt;0),"BB",TRUE,"")</f>
        <v/>
      </c>
      <c r="AB4" s="90">
        <f>IF(_xlfn.XLOOKUP(AB3,BegBalSht[Account],BegBalSht[Amount])&lt;0,-_xlfn.XLOOKUP(AB3,BegBalSht[Account],BegBalSht[Amount]),0)</f>
        <v>0</v>
      </c>
      <c r="AC4" s="42">
        <f>IF(_xlfn.XLOOKUP(AB3,BegBalSht[Account],BegBalSht[Amount])&gt;0,_xlfn.XLOOKUP(AB3,BegBalSht[Account],BegBalSht[Amount]),0)</f>
        <v>0</v>
      </c>
      <c r="AD4" s="11" t="str" cm="1">
        <f t="array" ref="AD4">_xlfn.IFS(AC1="Credit","BB",AND(AC1="Either",_xlfn.XLOOKUP(AB3,BegBalSht[Account],BegBalSht[Amount],0)&gt;=0),"BB",TRUE,"")</f>
        <v>BB</v>
      </c>
      <c r="AF4" t="str" cm="1">
        <f t="array" ref="AF4">FS1_1_Line2</f>
        <v/>
      </c>
      <c r="AL4" s="385" t="str">
        <f>"For the "&amp;Period&amp;" Ended "&amp;EndDate</f>
        <v xml:space="preserve">For the  Ended </v>
      </c>
      <c r="AM4" s="386"/>
      <c r="AO4" t="s">
        <v>399</v>
      </c>
      <c r="AP4" s="255" t="s">
        <v>159</v>
      </c>
      <c r="AS4" t="str">
        <f>FS1_2_Line2</f>
        <v/>
      </c>
      <c r="AY4" s="385" t="str">
        <f>"For the "&amp;Period&amp;" Ended "&amp;EndDate</f>
        <v xml:space="preserve">For the  Ended </v>
      </c>
      <c r="AZ4" s="386"/>
      <c r="BC4" s="253" t="s">
        <v>400</v>
      </c>
      <c r="BD4" s="244"/>
      <c r="BI4" s="381" t="str">
        <f>"("&amp;Units&amp;")"</f>
        <v>()</v>
      </c>
      <c r="BJ4" s="382"/>
      <c r="BL4" t="s">
        <v>399</v>
      </c>
      <c r="BM4" s="340" t="s">
        <v>170</v>
      </c>
    </row>
    <row r="5" spans="1:68" ht="16" thickBot="1" x14ac:dyDescent="0.25">
      <c r="B5" s="28"/>
      <c r="C5" s="27"/>
      <c r="J5" s="387" t="str">
        <f>"("&amp;Units&amp;")"</f>
        <v>()</v>
      </c>
      <c r="K5" s="388"/>
      <c r="S5" s="387" t="str">
        <f>"("&amp;Units&amp;")"</f>
        <v>()</v>
      </c>
      <c r="T5" s="391"/>
      <c r="U5" s="391"/>
      <c r="V5" s="391"/>
      <c r="W5" s="391"/>
      <c r="X5" s="391"/>
      <c r="Y5" s="391"/>
      <c r="Z5" s="388"/>
      <c r="AA5" s="11" t="str" cm="1">
        <f t="array" ref="AA5">_xlfn._xlws.FILTER(Journal[ref],Journal[DrAccnt]=Financial_Statements_1!AB3,"")</f>
        <v/>
      </c>
      <c r="AB5" s="85" t="str" cm="1">
        <f t="array" ref="AB5">_xlfn._xlws.FILTER(Journal[DrAmt],Journal[DrAccnt]=Financial_Statements_1!AB3,"")</f>
        <v/>
      </c>
      <c r="AC5" s="42" t="str" cm="1">
        <f t="array" ref="AC5">_xlfn._xlws.FILTER(Journal[CrAmt],Journal[CrAccnt]=Financial_Statements_1!AB3,"")</f>
        <v/>
      </c>
      <c r="AD5" s="11" t="str" cm="1">
        <f t="array" ref="AD5">_xlfn._xlws.FILTER(Journal[ref],Journal[CrAccnt]=Financial_Statements_1!AB3,"")</f>
        <v/>
      </c>
      <c r="AF5" t="str" cm="1">
        <f t="array" ref="AF5">FS1_1_Line3</f>
        <v/>
      </c>
      <c r="AL5" s="387" t="str">
        <f>"("&amp;Units&amp;")"</f>
        <v>()</v>
      </c>
      <c r="AM5" s="388"/>
      <c r="AS5" t="str">
        <f>FS1_2_Line3</f>
        <v/>
      </c>
      <c r="AY5" s="387" t="str">
        <f>"("&amp;Units&amp;")"</f>
        <v>()</v>
      </c>
      <c r="AZ5" s="388"/>
      <c r="BB5" s="33" t="s">
        <v>401</v>
      </c>
      <c r="BC5" s="257">
        <f>Indirect_CFO_Worksheet_Tool!P140</f>
        <v>5</v>
      </c>
      <c r="BD5" s="9">
        <f>Indirect_CFO_Worksheet_Tool!Q140</f>
        <v>0</v>
      </c>
      <c r="BE5" s="33" t="s">
        <v>402</v>
      </c>
      <c r="BI5" s="28"/>
      <c r="BJ5" s="27"/>
    </row>
    <row r="6" spans="1:68" ht="16" thickBot="1" x14ac:dyDescent="0.25">
      <c r="B6" s="379" t="s">
        <v>363</v>
      </c>
      <c r="C6" s="394"/>
      <c r="D6" s="11"/>
      <c r="E6" s="44" t="str">
        <f>F4</f>
        <v>Cash</v>
      </c>
      <c r="F6" s="44"/>
      <c r="G6" s="11"/>
      <c r="J6" s="17"/>
      <c r="K6" s="18"/>
      <c r="S6" s="16"/>
      <c r="T6" s="2"/>
      <c r="U6" s="2"/>
      <c r="V6" s="2"/>
      <c r="W6" s="2"/>
      <c r="X6" s="2"/>
      <c r="Y6" s="2"/>
      <c r="Z6" s="15"/>
      <c r="AA6" s="11"/>
      <c r="AB6" s="85"/>
      <c r="AC6" s="42"/>
      <c r="AD6" s="11"/>
      <c r="AF6" t="str" cm="1">
        <f t="array" ref="AF6">FS1_1_Line4</f>
        <v/>
      </c>
      <c r="AL6" s="74"/>
      <c r="AM6" s="15"/>
      <c r="AN6" s="11"/>
      <c r="AO6" s="44" t="str">
        <f>AP4</f>
        <v>Cash</v>
      </c>
      <c r="AP6" s="44"/>
      <c r="AQ6" s="11"/>
      <c r="AS6" t="str">
        <f>FS1_2_Line4</f>
        <v/>
      </c>
      <c r="AY6" s="17"/>
      <c r="AZ6" s="18"/>
      <c r="BA6" s="11"/>
      <c r="BB6" s="1"/>
      <c r="BC6" s="256" t="s">
        <v>403</v>
      </c>
      <c r="BD6" s="245"/>
      <c r="BE6" s="1"/>
      <c r="BF6" s="11"/>
      <c r="BI6" s="26" t="s">
        <v>363</v>
      </c>
      <c r="BJ6" s="29"/>
      <c r="BK6" s="11"/>
      <c r="BL6" s="44" t="str">
        <f>BM4</f>
        <v>Accumulated Depreciation</v>
      </c>
      <c r="BM6" s="44"/>
      <c r="BN6" s="11"/>
    </row>
    <row r="7" spans="1:68" ht="16" thickTop="1" x14ac:dyDescent="0.2">
      <c r="B7" s="52" t="s">
        <v>404</v>
      </c>
      <c r="C7" s="46">
        <f>BegDate</f>
        <v>0</v>
      </c>
      <c r="D7" s="45" t="str" cm="1">
        <f t="array" ref="D7">_xlfn.IFS(F1="Debit","BB",AND(F1="Either",_xlfn.XLOOKUP(F4,BegBalSht[Account],BegBalSht[Amount],0)&lt;0),"BB",TRUE,"")</f>
        <v>BB</v>
      </c>
      <c r="E7" s="90">
        <f>E27</f>
        <v>0</v>
      </c>
      <c r="F7" s="42">
        <f>F27</f>
        <v>0</v>
      </c>
      <c r="G7" s="45" t="str" cm="1">
        <f t="array" ref="G7">_xlfn.IFS(F1="Credit","BB",AND(F1="Either",_xlfn.XLOOKUP(F4,BegBalSht[Account],BegBalSht[Amount],0)&gt;=0),"BB",TRUE,"")</f>
        <v/>
      </c>
      <c r="J7" s="396" t="s">
        <v>405</v>
      </c>
      <c r="K7" s="397"/>
      <c r="S7" s="17"/>
      <c r="T7" s="61" t="s">
        <v>406</v>
      </c>
      <c r="U7" s="2"/>
      <c r="V7" s="2"/>
      <c r="W7" s="2"/>
      <c r="X7" s="2"/>
      <c r="Y7" s="2"/>
      <c r="Z7" s="18"/>
      <c r="AA7" s="11"/>
      <c r="AB7" s="85"/>
      <c r="AC7" s="42"/>
      <c r="AD7" s="11"/>
      <c r="AF7" t="str" cm="1">
        <f t="array" ref="AF7">FS1_1_Line5</f>
        <v/>
      </c>
      <c r="AL7" s="19" t="s">
        <v>407</v>
      </c>
      <c r="AM7" s="18"/>
      <c r="AN7" s="45" t="str" cm="1">
        <f t="array" ref="AN7">_xlfn.IFS(AP1="Debit","BB",AND(AP1="Either",_xlfn.XLOOKUP(AP4,BegBalSht[Account],BegBalSht[Amount],0)&lt;0),"BB",TRUE,"")</f>
        <v>BB</v>
      </c>
      <c r="AO7" s="84" cm="1">
        <f t="array" ref="AO7">_xlfn.IFS(AP1="Debit",_xlfn._xlws.FILTER(BegBalSht[Amount],BegBalSht[Account]=AP4),AND(AP1="Either",_xlfn._xlws.FILTER(BegBalSht[Amount],BegBalSht[Account]=AP4)&lt;0),-_xlfn._xlws.FILTER(BegBalSht[Amount],BegBalSht[Account]=AP4,""),TRUE,0)</f>
        <v>0</v>
      </c>
      <c r="AP7" s="9" cm="1">
        <f t="array" ref="AP7">_xlfn.IFS(AP1="Credit",_xlfn._xlws.FILTER(BegBalSht[Amount],BegBalSht[Account]=AP4),AND(AP1="Either",_xlfn._xlws.FILTER(BegBalSht[Amount],BegBalSht[Account]=AP4)&gt;0),_xlfn._xlws.FILTER(BegBalSht[Amount],BegBalSht[Account]=AP4,""),TRUE,0)</f>
        <v>0</v>
      </c>
      <c r="AQ7" s="45" t="str" cm="1">
        <f t="array" ref="AQ7">_xlfn.IFS(AP1="Credit","BB",AND(AP1="Either",_xlfn.XLOOKUP(AP4,BegBalSht[Account],BegBalSht[Amount],0)&gt;=0),"BB",TRUE,"")</f>
        <v/>
      </c>
      <c r="AS7" t="str">
        <f>FS1_2_Line5</f>
        <v/>
      </c>
      <c r="AY7" s="19" t="s">
        <v>408</v>
      </c>
      <c r="AZ7" s="18"/>
      <c r="BA7" s="45"/>
      <c r="BB7" s="1" t="str">
        <f>IF(ISBLANK(Indirect_CFO_Worksheet_Tool!O142),"",Indirect_CFO_Worksheet_Tool!O142)</f>
        <v/>
      </c>
      <c r="BC7" s="248" t="str">
        <f>IF(ISBLANK(Indirect_CFO_Worksheet_Tool!P142),"",Indirect_CFO_Worksheet_Tool!P142)</f>
        <v/>
      </c>
      <c r="BD7" s="42" t="str">
        <f>IF(ISBLANK(Indirect_CFO_Worksheet_Tool!Q142),"",Indirect_CFO_Worksheet_Tool!Q142)</f>
        <v/>
      </c>
      <c r="BE7" s="1" t="str">
        <f>IF(ISBLANK(Indirect_CFO_Worksheet_Tool!R142),"",Indirect_CFO_Worksheet_Tool!R142)</f>
        <v/>
      </c>
      <c r="BF7" s="45"/>
      <c r="BI7" s="52" t="s">
        <v>404</v>
      </c>
      <c r="BJ7" s="46">
        <f>EndDate</f>
        <v>0</v>
      </c>
      <c r="BK7" s="45" t="str" cm="1">
        <f t="array" ref="BK7">_xlfn.IFS(BM1="Debit","BB",AND(BM1="Either",_xlfn.XLOOKUP(BM4,BegBalSht[Account],BegBalSht[Amount],0)&lt;0),"BB",TRUE,"")</f>
        <v/>
      </c>
      <c r="BL7" s="90">
        <f>BL27</f>
        <v>0</v>
      </c>
      <c r="BM7" s="42">
        <f>BM27</f>
        <v>0</v>
      </c>
      <c r="BN7" s="45" t="str" cm="1">
        <f t="array" ref="BN7">_xlfn.IFS(BM1="Credit","BB",AND(BM1="Either",_xlfn.XLOOKUP(BM4,BegBalSht[Account],BegBalSht[Amount],0)&gt;=0),"BB",TRUE,"")</f>
        <v>BB</v>
      </c>
    </row>
    <row r="8" spans="1:68" ht="17" thickBot="1" x14ac:dyDescent="0.25">
      <c r="B8" s="342"/>
      <c r="C8" s="347"/>
      <c r="D8" s="45" t="str" cm="1">
        <f t="array" ref="D8">_xlfn._xlws.FILTER(Journal[ref],Journal[DrAccnt]=Financial_Statements_1!E6,"")</f>
        <v/>
      </c>
      <c r="E8" s="85" t="str" cm="1">
        <f t="array" ref="E8">_xlfn._xlws.FILTER(Journal[DrAmt],Journal[DrAccnt]=Financial_Statements_1!E6,"")</f>
        <v/>
      </c>
      <c r="F8" s="42" t="str" cm="1">
        <f t="array" ref="F8">_xlfn._xlws.FILTER(Journal[CrAmt],Journal[CrAccnt]=Financial_Statements_1!E6,"")</f>
        <v/>
      </c>
      <c r="G8" s="45" t="str" cm="1">
        <f t="array" ref="G8">_xlfn._xlws.FILTER(Journal[ref],Journal[CrAccnt]=Financial_Statements_1!E6,"")</f>
        <v/>
      </c>
      <c r="J8" s="342"/>
      <c r="K8" s="343"/>
      <c r="S8" s="17"/>
      <c r="T8" s="351" t="s">
        <v>241</v>
      </c>
      <c r="U8" s="351"/>
      <c r="V8" s="351"/>
      <c r="W8" s="351"/>
      <c r="X8" s="351"/>
      <c r="Y8" s="351"/>
      <c r="Z8" s="63" t="s">
        <v>409</v>
      </c>
      <c r="AA8" s="11"/>
      <c r="AB8" s="85"/>
      <c r="AC8" s="42"/>
      <c r="AD8" s="11"/>
      <c r="AF8" s="12" t="s">
        <v>410</v>
      </c>
      <c r="AG8" s="12"/>
      <c r="AH8" s="12"/>
      <c r="AI8" s="12"/>
      <c r="AL8" s="342"/>
      <c r="AM8" s="343"/>
      <c r="AN8" s="45" t="str" cm="1">
        <f t="array" ref="AN8">_xlfn._xlws.FILTER(Journal[ref],Journal[DrAccnt]=Financial_Statements_1!AO6,"")</f>
        <v/>
      </c>
      <c r="AO8" s="85" t="str" cm="1">
        <f t="array" ref="AO8">_xlfn._xlws.FILTER(Journal[DrAmt],Journal[DrAccnt]=Financial_Statements_1!AO6,"")</f>
        <v/>
      </c>
      <c r="AP8" s="42" t="str" cm="1">
        <f t="array" ref="AP8">_xlfn._xlws.FILTER(Journal[CrAmt],Journal[CrAccnt]=Financial_Statements_1!AO6,"")</f>
        <v/>
      </c>
      <c r="AQ8" s="45" t="str" cm="1">
        <f t="array" ref="AQ8">_xlfn._xlws.FILTER(Journal[ref],Journal[CrAccnt]=Financial_Statements_1!AO6,"")</f>
        <v/>
      </c>
      <c r="AW8" s="11"/>
      <c r="AX8" s="11"/>
      <c r="AY8" s="17" t="s">
        <v>401</v>
      </c>
      <c r="AZ8" s="343"/>
      <c r="BA8" s="11"/>
      <c r="BB8" s="1" t="str">
        <f>IF(ISBLANK(Indirect_CFO_Worksheet_Tool!O143),"",Indirect_CFO_Worksheet_Tool!O143)</f>
        <v/>
      </c>
      <c r="BC8" s="143" t="str">
        <f>IF(ISBLANK(Indirect_CFO_Worksheet_Tool!P143),"",Indirect_CFO_Worksheet_Tool!P143)</f>
        <v/>
      </c>
      <c r="BD8" s="42" t="str">
        <f>IF(ISBLANK(Indirect_CFO_Worksheet_Tool!Q143),"",Indirect_CFO_Worksheet_Tool!Q143)</f>
        <v/>
      </c>
      <c r="BE8" s="1" t="str">
        <f>IF(ISBLANK(Indirect_CFO_Worksheet_Tool!R143),"",Indirect_CFO_Worksheet_Tool!R143)</f>
        <v/>
      </c>
      <c r="BF8" s="11"/>
      <c r="BG8" s="11"/>
      <c r="BI8" s="17" t="str">
        <f>IF(ISBLANK(B8),"",B8)</f>
        <v/>
      </c>
      <c r="BJ8" s="347"/>
      <c r="BK8" s="45" t="str" cm="1">
        <f t="array" ref="BK8">_xlfn._xlws.FILTER(Journal[ref],Journal[DrAccnt]=Financial_Statements_1!BL6,"")</f>
        <v/>
      </c>
      <c r="BL8" s="85" t="str" cm="1">
        <f t="array" ref="BL8">_xlfn._xlws.FILTER(Journal[DrAmt],Journal[DrAccnt]=Financial_Statements_1!BL6,"")</f>
        <v/>
      </c>
      <c r="BM8" s="42" t="str" cm="1">
        <f t="array" ref="BM8">_xlfn._xlws.FILTER(Journal[CrAmt],Journal[CrAccnt]=Financial_Statements_1!BL6,"")</f>
        <v/>
      </c>
      <c r="BN8" s="45" t="str" cm="1">
        <f t="array" ref="BN8">_xlfn._xlws.FILTER(Journal[ref],Journal[CrAccnt]=Financial_Statements_1!BL6,"")</f>
        <v/>
      </c>
    </row>
    <row r="9" spans="1:68" x14ac:dyDescent="0.2">
      <c r="B9" s="342"/>
      <c r="C9" s="348"/>
      <c r="D9" s="45"/>
      <c r="E9" s="85"/>
      <c r="F9" s="42"/>
      <c r="G9" s="45"/>
      <c r="J9" s="342"/>
      <c r="K9" s="344"/>
      <c r="S9" s="19" t="str">
        <f>"Balance as of "&amp;BegDate</f>
        <v xml:space="preserve">Balance as of </v>
      </c>
      <c r="T9" s="107">
        <f t="shared" ref="T9:Y9" si="0">_xlfn.XLOOKUP(T8,$A59:$A65,$C59:$C65,0)</f>
        <v>0</v>
      </c>
      <c r="U9" s="107">
        <f t="shared" si="0"/>
        <v>0</v>
      </c>
      <c r="V9" s="107">
        <f t="shared" si="0"/>
        <v>0</v>
      </c>
      <c r="W9" s="107">
        <f t="shared" si="0"/>
        <v>0</v>
      </c>
      <c r="X9" s="107">
        <f t="shared" si="0"/>
        <v>0</v>
      </c>
      <c r="Y9" s="107">
        <f t="shared" si="0"/>
        <v>0</v>
      </c>
      <c r="Z9" s="64">
        <f>SUM(T9:Y9)</f>
        <v>0</v>
      </c>
      <c r="AA9" s="11"/>
      <c r="AB9" s="85"/>
      <c r="AC9" s="42"/>
      <c r="AD9" s="11"/>
      <c r="AF9" t="str" cm="1">
        <f t="array" ref="AF9">_xlfn._xlws.FILTER(Journal[DrAccnt],Journal[ref]=$AE$3,"")</f>
        <v/>
      </c>
      <c r="AG9" t="str" cm="1">
        <f t="array" ref="AG9">_xlfn._xlws.FILTER(Journal[CrAccnt],Journal[ref]=$AE$3,"")</f>
        <v/>
      </c>
      <c r="AH9" t="str" cm="1">
        <f t="array" ref="AH9">_xlfn._xlws.FILTER(Journal[DrAmt],Journal[ref]=$AE$3,"")</f>
        <v/>
      </c>
      <c r="AI9" t="str" cm="1">
        <f t="array" ref="AI9">_xlfn._xlws.FILTER(Journal[CrAmt],Journal[ref]=$AE$3,"")</f>
        <v/>
      </c>
      <c r="AL9" s="342"/>
      <c r="AM9" s="344"/>
      <c r="AN9" s="45"/>
      <c r="AO9" s="85"/>
      <c r="AP9" s="42"/>
      <c r="AQ9" s="45"/>
      <c r="AS9" s="12" t="s">
        <v>411</v>
      </c>
      <c r="AT9" s="12"/>
      <c r="AU9" s="12"/>
      <c r="AV9" s="12"/>
      <c r="AW9" s="45"/>
      <c r="AX9" s="45"/>
      <c r="AY9" s="75" t="s">
        <v>412</v>
      </c>
      <c r="AZ9" s="18"/>
      <c r="BA9" s="45"/>
      <c r="BB9" s="1" t="str">
        <f>IF(ISBLANK(Indirect_CFO_Worksheet_Tool!O144),"",Indirect_CFO_Worksheet_Tool!O144)</f>
        <v/>
      </c>
      <c r="BC9" s="143" t="str">
        <f>IF(ISBLANK(Indirect_CFO_Worksheet_Tool!P144),"",Indirect_CFO_Worksheet_Tool!P144)</f>
        <v/>
      </c>
      <c r="BD9" s="42" t="str">
        <f>IF(ISBLANK(Indirect_CFO_Worksheet_Tool!Q144),"",Indirect_CFO_Worksheet_Tool!Q144)</f>
        <v/>
      </c>
      <c r="BE9" s="1" t="str">
        <f>IF(ISBLANK(Indirect_CFO_Worksheet_Tool!R144),"",Indirect_CFO_Worksheet_Tool!R144)</f>
        <v/>
      </c>
      <c r="BF9" s="45"/>
      <c r="BG9" s="45"/>
      <c r="BI9" s="17" t="str">
        <f t="shared" ref="BI9:BI17" si="1">IF(ISBLANK(B9),"",B9)</f>
        <v/>
      </c>
      <c r="BJ9" s="348"/>
      <c r="BK9" s="45"/>
      <c r="BL9" s="85"/>
      <c r="BM9" s="42"/>
      <c r="BN9" s="45"/>
    </row>
    <row r="10" spans="1:68" ht="16" thickBot="1" x14ac:dyDescent="0.25">
      <c r="B10" s="342"/>
      <c r="C10" s="348"/>
      <c r="D10" s="45"/>
      <c r="E10" s="85"/>
      <c r="F10" s="42"/>
      <c r="G10" s="45"/>
      <c r="J10" s="342"/>
      <c r="K10" s="344"/>
      <c r="S10" s="342"/>
      <c r="T10" s="352"/>
      <c r="U10" s="352"/>
      <c r="V10" s="352"/>
      <c r="W10" s="352"/>
      <c r="X10" s="352"/>
      <c r="Y10" s="352"/>
      <c r="Z10" s="65">
        <f t="shared" ref="Z10:Z17" si="2">SUM(T10:Y10)</f>
        <v>0</v>
      </c>
      <c r="AA10" s="11"/>
      <c r="AB10" s="85"/>
      <c r="AC10" s="42"/>
      <c r="AD10" s="11"/>
      <c r="AL10" s="342"/>
      <c r="AM10" s="344"/>
      <c r="AN10" s="45"/>
      <c r="AO10" s="85"/>
      <c r="AP10" s="42"/>
      <c r="AQ10" s="45"/>
      <c r="AS10" t="str" cm="1">
        <f t="array" ref="AS10">_xlfn._xlws.FILTER(Journal[DrAccnt],Journal[ref]=$AR$3,"")</f>
        <v/>
      </c>
      <c r="AT10" t="str" cm="1">
        <f t="array" ref="AT10">_xlfn._xlws.FILTER(Journal[CrAccnt],Journal[ref]=$AR$3,"")</f>
        <v/>
      </c>
      <c r="AU10" t="str" cm="1">
        <f t="array" ref="AU10">_xlfn._xlws.FILTER(Journal[DrAmt],Journal[ref]=$AR$3,"")</f>
        <v/>
      </c>
      <c r="AV10" t="str" cm="1">
        <f t="array" ref="AV10">_xlfn._xlws.FILTER(Journal[CrAmt],Journal[ref]=$AR$3,"")</f>
        <v/>
      </c>
      <c r="AW10" s="45"/>
      <c r="AX10" s="45"/>
      <c r="AY10" s="342"/>
      <c r="AZ10" s="343"/>
      <c r="BA10" s="45"/>
      <c r="BB10" s="1" t="str">
        <f>IF(ISBLANK(Indirect_CFO_Worksheet_Tool!O145),"",Indirect_CFO_Worksheet_Tool!O145)</f>
        <v/>
      </c>
      <c r="BC10" s="143" t="str">
        <f>IF(ISBLANK(Indirect_CFO_Worksheet_Tool!P145),"",Indirect_CFO_Worksheet_Tool!P145)</f>
        <v/>
      </c>
      <c r="BD10" s="42" t="str">
        <f>IF(ISBLANK(Indirect_CFO_Worksheet_Tool!Q145),"",Indirect_CFO_Worksheet_Tool!Q145)</f>
        <v/>
      </c>
      <c r="BE10" s="1" t="str">
        <f>IF(ISBLANK(Indirect_CFO_Worksheet_Tool!R145),"",Indirect_CFO_Worksheet_Tool!R145)</f>
        <v/>
      </c>
      <c r="BF10" s="45"/>
      <c r="BG10" s="45"/>
      <c r="BI10" s="17" t="str">
        <f t="shared" si="1"/>
        <v/>
      </c>
      <c r="BJ10" s="348"/>
      <c r="BK10" s="45"/>
      <c r="BL10" s="85"/>
      <c r="BM10" s="42"/>
      <c r="BN10" s="45"/>
    </row>
    <row r="11" spans="1:68" ht="17" thickTop="1" thickBot="1" x14ac:dyDescent="0.25">
      <c r="B11" s="342"/>
      <c r="C11" s="348"/>
      <c r="D11" s="45"/>
      <c r="E11" s="85"/>
      <c r="F11" s="42"/>
      <c r="G11" s="45"/>
      <c r="J11" s="342"/>
      <c r="K11" s="344"/>
      <c r="S11" s="342"/>
      <c r="T11" s="352"/>
      <c r="U11" s="352"/>
      <c r="V11" s="352"/>
      <c r="W11" s="352"/>
      <c r="X11" s="352"/>
      <c r="Y11" s="352"/>
      <c r="Z11" s="65">
        <f t="shared" si="2"/>
        <v>0</v>
      </c>
      <c r="AA11" s="42"/>
      <c r="AB11" s="88">
        <f>MAX(SUM(AB4:AB10)-SUM(AC4:AC10),0)</f>
        <v>0</v>
      </c>
      <c r="AC11" s="89">
        <f>MAX(SUM(AC4:AC10)-SUM(AB4:AB10),0)</f>
        <v>0</v>
      </c>
      <c r="AL11" s="342"/>
      <c r="AM11" s="344"/>
      <c r="AN11" s="45"/>
      <c r="AO11" s="85"/>
      <c r="AP11" s="42"/>
      <c r="AQ11" s="45"/>
      <c r="AW11" s="104"/>
      <c r="AX11" s="45"/>
      <c r="AY11" s="342"/>
      <c r="AZ11" s="344"/>
      <c r="BA11" s="45"/>
      <c r="BB11" s="1" t="str">
        <f>IF(ISBLANK(Indirect_CFO_Worksheet_Tool!O146),"",Indirect_CFO_Worksheet_Tool!O146)</f>
        <v/>
      </c>
      <c r="BC11" s="143" t="str">
        <f>IF(ISBLANK(Indirect_CFO_Worksheet_Tool!P146),"",Indirect_CFO_Worksheet_Tool!P146)</f>
        <v/>
      </c>
      <c r="BD11" s="42" t="str">
        <f>IF(ISBLANK(Indirect_CFO_Worksheet_Tool!Q146),"",Indirect_CFO_Worksheet_Tool!Q146)</f>
        <v/>
      </c>
      <c r="BE11" s="1" t="str">
        <f>IF(ISBLANK(Indirect_CFO_Worksheet_Tool!R146),"",Indirect_CFO_Worksheet_Tool!R146)</f>
        <v/>
      </c>
      <c r="BF11" s="45"/>
      <c r="BG11" s="45"/>
      <c r="BI11" s="17" t="str">
        <f t="shared" si="1"/>
        <v/>
      </c>
      <c r="BJ11" s="348"/>
      <c r="BK11" s="45"/>
      <c r="BL11" s="85"/>
      <c r="BM11" s="42"/>
      <c r="BN11" s="45"/>
    </row>
    <row r="12" spans="1:68" ht="16" thickTop="1" x14ac:dyDescent="0.2">
      <c r="B12" s="342"/>
      <c r="C12" s="348"/>
      <c r="D12" s="45"/>
      <c r="E12" s="85"/>
      <c r="F12" s="42"/>
      <c r="G12" s="45"/>
      <c r="J12" s="21" t="s">
        <v>413</v>
      </c>
      <c r="K12" s="47">
        <f>SUM(K8:K11)</f>
        <v>0</v>
      </c>
      <c r="S12" s="342"/>
      <c r="T12" s="352"/>
      <c r="U12" s="352"/>
      <c r="V12" s="352"/>
      <c r="W12" s="352"/>
      <c r="X12" s="352"/>
      <c r="Y12" s="352"/>
      <c r="Z12" s="65">
        <f t="shared" si="2"/>
        <v>0</v>
      </c>
      <c r="AL12" s="342"/>
      <c r="AM12" s="344"/>
      <c r="AN12" s="45"/>
      <c r="AO12" s="85"/>
      <c r="AP12" s="42"/>
      <c r="AQ12" s="45"/>
      <c r="AW12" s="117" t="str" cm="1">
        <f t="array" ref="AW12">_xlfn._xlws.FILTER(Journal[CFS],Journal[ref]=$AR$3,"")</f>
        <v/>
      </c>
      <c r="AX12" s="45"/>
      <c r="AY12" s="342"/>
      <c r="AZ12" s="344"/>
      <c r="BA12" s="45"/>
      <c r="BB12" s="1" t="str">
        <f>IF(ISBLANK(Indirect_CFO_Worksheet_Tool!O147),"",Indirect_CFO_Worksheet_Tool!O147)</f>
        <v/>
      </c>
      <c r="BC12" s="143" t="str">
        <f>IF(ISBLANK(Indirect_CFO_Worksheet_Tool!P147),"",Indirect_CFO_Worksheet_Tool!P147)</f>
        <v/>
      </c>
      <c r="BD12" s="42" t="str">
        <f>IF(ISBLANK(Indirect_CFO_Worksheet_Tool!Q147),"",Indirect_CFO_Worksheet_Tool!Q147)</f>
        <v/>
      </c>
      <c r="BE12" s="1" t="str">
        <f>IF(ISBLANK(Indirect_CFO_Worksheet_Tool!R147),"",Indirect_CFO_Worksheet_Tool!R147)</f>
        <v/>
      </c>
      <c r="BF12" s="45"/>
      <c r="BG12" s="45"/>
      <c r="BI12" s="17" t="str">
        <f t="shared" si="1"/>
        <v/>
      </c>
      <c r="BJ12" s="348"/>
      <c r="BK12" s="45"/>
      <c r="BL12" s="85"/>
      <c r="BM12" s="42"/>
      <c r="BN12" s="45"/>
    </row>
    <row r="13" spans="1:68" x14ac:dyDescent="0.2">
      <c r="B13" s="342"/>
      <c r="C13" s="348"/>
      <c r="D13" s="45"/>
      <c r="E13" s="85"/>
      <c r="F13" s="42"/>
      <c r="G13" s="45"/>
      <c r="J13" s="396" t="s">
        <v>414</v>
      </c>
      <c r="K13" s="397"/>
      <c r="S13" s="342"/>
      <c r="T13" s="352"/>
      <c r="U13" s="352"/>
      <c r="V13" s="352"/>
      <c r="W13" s="352"/>
      <c r="X13" s="352"/>
      <c r="Y13" s="352"/>
      <c r="Z13" s="65">
        <f t="shared" si="2"/>
        <v>0</v>
      </c>
      <c r="AA13" s="43"/>
      <c r="AC13" s="103" t="e">
        <f>_xlfn.XLOOKUP(AB14,Equity[Name],Equity[BalType])</f>
        <v>#N/A</v>
      </c>
      <c r="AD13" s="43"/>
      <c r="AL13" s="342"/>
      <c r="AM13" s="344"/>
      <c r="AN13" s="45"/>
      <c r="AO13" s="85"/>
      <c r="AP13" s="42"/>
      <c r="AQ13" s="45"/>
      <c r="AW13" s="117"/>
      <c r="AX13" s="45"/>
      <c r="AY13" s="342"/>
      <c r="AZ13" s="344"/>
      <c r="BA13" s="45"/>
      <c r="BB13" s="1" t="str">
        <f>IF(ISBLANK(Indirect_CFO_Worksheet_Tool!O148),"",Indirect_CFO_Worksheet_Tool!O148)</f>
        <v/>
      </c>
      <c r="BC13" s="143" t="str">
        <f>IF(ISBLANK(Indirect_CFO_Worksheet_Tool!P148),"",Indirect_CFO_Worksheet_Tool!P148)</f>
        <v/>
      </c>
      <c r="BD13" s="42" t="str">
        <f>IF(ISBLANK(Indirect_CFO_Worksheet_Tool!Q148),"",Indirect_CFO_Worksheet_Tool!Q148)</f>
        <v/>
      </c>
      <c r="BE13" s="1" t="str">
        <f>IF(ISBLANK(Indirect_CFO_Worksheet_Tool!R148),"",Indirect_CFO_Worksheet_Tool!R148)</f>
        <v/>
      </c>
      <c r="BF13" s="45"/>
      <c r="BG13" s="45"/>
      <c r="BI13" s="17" t="str">
        <f t="shared" si="1"/>
        <v/>
      </c>
      <c r="BJ13" s="348"/>
      <c r="BK13" s="45"/>
      <c r="BL13" s="85"/>
      <c r="BM13" s="42"/>
      <c r="BN13" s="45"/>
    </row>
    <row r="14" spans="1:68" ht="16" thickBot="1" x14ac:dyDescent="0.25">
      <c r="B14" s="342"/>
      <c r="C14" s="348"/>
      <c r="D14" s="45"/>
      <c r="E14" s="85"/>
      <c r="F14" s="42"/>
      <c r="G14" s="45"/>
      <c r="J14" s="342"/>
      <c r="K14" s="343"/>
      <c r="S14" s="342"/>
      <c r="T14" s="352"/>
      <c r="U14" s="352"/>
      <c r="V14" s="352"/>
      <c r="W14" s="352"/>
      <c r="X14" s="352"/>
      <c r="Y14" s="352"/>
      <c r="Z14" s="65">
        <f t="shared" si="2"/>
        <v>0</v>
      </c>
      <c r="AA14" s="43"/>
      <c r="AB14" s="44" t="str">
        <f>_xlfn.XLOOKUP(U8,Equity[Abbr],Equity[Name],"NA")</f>
        <v>NA</v>
      </c>
      <c r="AC14" s="44"/>
      <c r="AD14" s="43"/>
      <c r="AL14" s="342"/>
      <c r="AM14" s="344"/>
      <c r="AN14" s="45"/>
      <c r="AO14" s="85"/>
      <c r="AP14" s="42"/>
      <c r="AQ14" s="45"/>
      <c r="AW14" s="117"/>
      <c r="AX14" s="45"/>
      <c r="AY14" s="342"/>
      <c r="AZ14" s="344"/>
      <c r="BA14" s="45"/>
      <c r="BB14" s="1" t="str">
        <f>IF(ISBLANK(Indirect_CFO_Worksheet_Tool!AT149),"",Indirect_CFO_Worksheet_Tool!AT149)</f>
        <v/>
      </c>
      <c r="BC14" s="256" t="s">
        <v>415</v>
      </c>
      <c r="BD14" s="245"/>
      <c r="BE14" s="1"/>
      <c r="BF14" s="45"/>
      <c r="BG14" s="45"/>
      <c r="BI14" s="17" t="str">
        <f t="shared" si="1"/>
        <v/>
      </c>
      <c r="BJ14" s="348"/>
      <c r="BK14" s="45"/>
      <c r="BL14" s="85"/>
      <c r="BM14" s="42"/>
      <c r="BN14" s="45"/>
    </row>
    <row r="15" spans="1:68" ht="16" thickTop="1" x14ac:dyDescent="0.2">
      <c r="B15" s="342"/>
      <c r="C15" s="348"/>
      <c r="D15" s="45"/>
      <c r="E15" s="85"/>
      <c r="F15" s="42"/>
      <c r="G15" s="45"/>
      <c r="J15" s="342"/>
      <c r="K15" s="344"/>
      <c r="S15" s="342"/>
      <c r="T15" s="352"/>
      <c r="U15" s="352"/>
      <c r="V15" s="352"/>
      <c r="W15" s="352"/>
      <c r="X15" s="352"/>
      <c r="Y15" s="352"/>
      <c r="Z15" s="65">
        <f t="shared" si="2"/>
        <v>0</v>
      </c>
      <c r="AA15" s="11" t="e" cm="1">
        <f t="array" ref="AA15">_xlfn.IFS(AC13="Debit","BB",AND(AC13="Either",_xlfn.XLOOKUP(AB14,BegBalSht[Account],BegBalSht[Amount],0)&lt;0),"BB",TRUE,"")</f>
        <v>#N/A</v>
      </c>
      <c r="AB15" s="90" t="e">
        <f>IF(_xlfn.XLOOKUP(AB14,BegBalSht[Account],BegBalSht[Amount])&lt;0,-_xlfn.XLOOKUP(AB14,BegBalSht[Account],BegBalSht[Amount]),0)</f>
        <v>#N/A</v>
      </c>
      <c r="AC15" s="42" t="e">
        <f>IF(_xlfn.XLOOKUP(AB14,BegBalSht[Account],BegBalSht[Amount])&gt;0,_xlfn.XLOOKUP(AB14,BegBalSht[Account],BegBalSht[Amount]),0)</f>
        <v>#N/A</v>
      </c>
      <c r="AD15" s="11" t="e" cm="1">
        <f t="array" ref="AD15">_xlfn.IFS(AC13="Credit","BB",AND(AC13="Either",_xlfn.XLOOKUP(AB14,BegBalSht[Account],BegBalSht[Amount],0)&gt;=0),"BB",TRUE,"")</f>
        <v>#N/A</v>
      </c>
      <c r="AL15" s="75" t="s">
        <v>416</v>
      </c>
      <c r="AM15" s="47">
        <f>SUBTOTAL(9,AM8:AM14)</f>
        <v>0</v>
      </c>
      <c r="AN15" s="45"/>
      <c r="AO15" s="85"/>
      <c r="AP15" s="42"/>
      <c r="AQ15" s="45"/>
      <c r="AW15" s="117"/>
      <c r="AX15" s="45"/>
      <c r="AY15" s="342"/>
      <c r="AZ15" s="344"/>
      <c r="BA15" s="45"/>
      <c r="BB15" s="33" t="e" cm="1">
        <f t="array" aca="1" ref="BB15:BC45" ca="1">_xlfn._xlws.SORT(Indirect_CFO_Worksheet_Tool!O150:P180,2,-1)</f>
        <v>#NAME?</v>
      </c>
      <c r="BC15" s="248" t="e">
        <f ca="1"/>
        <v>#NAME?</v>
      </c>
      <c r="BD15" s="42" t="e" cm="1">
        <f t="array" aca="1" ref="BD15:BE45" ca="1">_xlfn._xlws.SORT(Indirect_CFO_Worksheet_Tool!Q150:R180,1,-1)</f>
        <v>#NAME?</v>
      </c>
      <c r="BE15" s="33" t="e">
        <f ca="1"/>
        <v>#NAME?</v>
      </c>
      <c r="BF15" s="45"/>
      <c r="BG15" s="45"/>
      <c r="BI15" s="17" t="str">
        <f t="shared" si="1"/>
        <v/>
      </c>
      <c r="BJ15" s="348"/>
      <c r="BK15" s="45"/>
      <c r="BL15" s="85"/>
      <c r="BM15" s="42"/>
      <c r="BN15" s="45"/>
    </row>
    <row r="16" spans="1:68" x14ac:dyDescent="0.2">
      <c r="B16" s="342"/>
      <c r="C16" s="348"/>
      <c r="D16" s="45"/>
      <c r="E16" s="85"/>
      <c r="F16" s="42"/>
      <c r="G16" s="45"/>
      <c r="J16" s="342"/>
      <c r="K16" s="344"/>
      <c r="S16" s="342"/>
      <c r="T16" s="352"/>
      <c r="U16" s="352"/>
      <c r="V16" s="352"/>
      <c r="W16" s="352"/>
      <c r="X16" s="352"/>
      <c r="Y16" s="352"/>
      <c r="Z16" s="65">
        <f t="shared" si="2"/>
        <v>0</v>
      </c>
      <c r="AA16" s="11" t="str" cm="1">
        <f t="array" ref="AA16">_xlfn._xlws.FILTER(Journal[ref],Journal[DrAccnt]=AB14,"")</f>
        <v/>
      </c>
      <c r="AB16" s="85" t="str" cm="1">
        <f t="array" ref="AB16">_xlfn._xlws.FILTER(Journal[DrAmt],Journal[DrAccnt]=AB14,"")</f>
        <v/>
      </c>
      <c r="AC16" s="42" t="str" cm="1">
        <f t="array" ref="AC16">_xlfn._xlws.FILTER(Journal[CrAmt],Journal[CrAccnt]=AB14,"")</f>
        <v/>
      </c>
      <c r="AD16" s="11" t="str" cm="1">
        <f t="array" ref="AD16">_xlfn._xlws.FILTER(Journal[ref],Journal[CrAccnt]=AB14,"")</f>
        <v/>
      </c>
      <c r="AL16" s="17"/>
      <c r="AM16" s="18"/>
      <c r="AN16" s="45"/>
      <c r="AO16" s="85"/>
      <c r="AP16" s="42"/>
      <c r="AQ16" s="45"/>
      <c r="AW16" s="117"/>
      <c r="AX16" s="45"/>
      <c r="AY16" s="75" t="s">
        <v>417</v>
      </c>
      <c r="AZ16" s="18"/>
      <c r="BA16" s="45"/>
      <c r="BB16" s="33" t="e">
        <f ca="1"/>
        <v>#NAME?</v>
      </c>
      <c r="BC16" s="143" t="e">
        <f ca="1"/>
        <v>#NAME?</v>
      </c>
      <c r="BD16" s="42" t="e">
        <f ca="1"/>
        <v>#NAME?</v>
      </c>
      <c r="BE16" s="33" t="e">
        <f ca="1"/>
        <v>#NAME?</v>
      </c>
      <c r="BF16" s="45"/>
      <c r="BG16" s="45"/>
      <c r="BI16" s="17" t="str">
        <f t="shared" si="1"/>
        <v/>
      </c>
      <c r="BJ16" s="348"/>
      <c r="BK16" s="45"/>
      <c r="BL16" s="85"/>
      <c r="BM16" s="42"/>
      <c r="BN16" s="45"/>
    </row>
    <row r="17" spans="2:66" ht="16" thickBot="1" x14ac:dyDescent="0.25">
      <c r="B17" s="349"/>
      <c r="C17" s="350"/>
      <c r="D17" s="45"/>
      <c r="E17" s="85"/>
      <c r="F17" s="42"/>
      <c r="G17" s="45"/>
      <c r="J17" s="342"/>
      <c r="K17" s="344"/>
      <c r="S17" s="342"/>
      <c r="T17" s="353"/>
      <c r="U17" s="353"/>
      <c r="V17" s="353"/>
      <c r="W17" s="353"/>
      <c r="X17" s="353"/>
      <c r="Y17" s="353"/>
      <c r="Z17" s="66">
        <f t="shared" si="2"/>
        <v>0</v>
      </c>
      <c r="AB17" s="85"/>
      <c r="AC17" s="42"/>
      <c r="AL17" s="19" t="s">
        <v>418</v>
      </c>
      <c r="AM17" s="18"/>
      <c r="AN17" s="45"/>
      <c r="AO17" s="85"/>
      <c r="AP17" s="42"/>
      <c r="AQ17" s="45"/>
      <c r="AW17" s="117"/>
      <c r="AX17" s="45"/>
      <c r="AY17" s="342"/>
      <c r="AZ17" s="343"/>
      <c r="BA17" s="45"/>
      <c r="BB17" s="33" t="e">
        <f ca="1"/>
        <v>#NAME?</v>
      </c>
      <c r="BC17" s="143" t="e">
        <f ca="1"/>
        <v>#NAME?</v>
      </c>
      <c r="BD17" s="42" t="e">
        <f ca="1"/>
        <v>#NAME?</v>
      </c>
      <c r="BE17" s="33" t="e">
        <f ca="1"/>
        <v>#NAME?</v>
      </c>
      <c r="BF17" s="45"/>
      <c r="BG17" s="45"/>
      <c r="BI17" s="91" t="str">
        <f t="shared" si="1"/>
        <v/>
      </c>
      <c r="BJ17" s="350"/>
      <c r="BK17" s="45"/>
      <c r="BL17" s="85"/>
      <c r="BM17" s="42"/>
      <c r="BN17" s="45"/>
    </row>
    <row r="18" spans="2:66" ht="16" thickBot="1" x14ac:dyDescent="0.25">
      <c r="B18" s="53" t="s">
        <v>419</v>
      </c>
      <c r="C18" s="47">
        <f>SUBTOTAL(9,C8:C17)</f>
        <v>0</v>
      </c>
      <c r="D18" s="45"/>
      <c r="E18" s="85"/>
      <c r="F18" s="42"/>
      <c r="G18" s="45"/>
      <c r="J18" s="342"/>
      <c r="K18" s="344"/>
      <c r="S18" s="58" t="str">
        <f>"Balance as of "&amp;EndDate</f>
        <v xml:space="preserve">Balance as of </v>
      </c>
      <c r="T18" s="68">
        <f>SUM(T9:T17)</f>
        <v>0</v>
      </c>
      <c r="U18" s="68">
        <f t="shared" ref="U18:Y18" si="3">SUM(U9:U17)</f>
        <v>0</v>
      </c>
      <c r="V18" s="68">
        <f t="shared" si="3"/>
        <v>0</v>
      </c>
      <c r="W18" s="68">
        <f t="shared" si="3"/>
        <v>0</v>
      </c>
      <c r="X18" s="68">
        <f t="shared" si="3"/>
        <v>0</v>
      </c>
      <c r="Y18" s="68">
        <f t="shared" si="3"/>
        <v>0</v>
      </c>
      <c r="Z18" s="67">
        <f>SUM(Z9:Z17)</f>
        <v>0</v>
      </c>
      <c r="AA18" s="11"/>
      <c r="AB18" s="85"/>
      <c r="AC18" s="42"/>
      <c r="AD18" s="11"/>
      <c r="AL18" s="342"/>
      <c r="AM18" s="343"/>
      <c r="AN18" s="45"/>
      <c r="AO18" s="85"/>
      <c r="AP18" s="42"/>
      <c r="AQ18" s="45"/>
      <c r="AW18" s="117"/>
      <c r="AX18" s="45"/>
      <c r="AY18" s="342"/>
      <c r="AZ18" s="344"/>
      <c r="BA18" s="45"/>
      <c r="BB18" s="33" t="e">
        <f ca="1"/>
        <v>#NAME?</v>
      </c>
      <c r="BC18" s="143" t="e">
        <f ca="1"/>
        <v>#NAME?</v>
      </c>
      <c r="BD18" s="42" t="e">
        <f ca="1"/>
        <v>#NAME?</v>
      </c>
      <c r="BE18" s="33" t="e">
        <f ca="1"/>
        <v>#NAME?</v>
      </c>
      <c r="BF18" s="45"/>
      <c r="BG18" s="45"/>
      <c r="BI18" s="53" t="s">
        <v>419</v>
      </c>
      <c r="BJ18" s="47">
        <f>SUBTOTAL(9,BJ8:BJ17)</f>
        <v>0</v>
      </c>
      <c r="BK18" s="45"/>
      <c r="BL18" s="85"/>
      <c r="BM18" s="42"/>
      <c r="BN18" s="45"/>
    </row>
    <row r="19" spans="2:66" x14ac:dyDescent="0.2">
      <c r="B19" s="52" t="s">
        <v>420</v>
      </c>
      <c r="C19" s="18"/>
      <c r="D19" s="45"/>
      <c r="E19" s="85"/>
      <c r="F19" s="42"/>
      <c r="G19" s="45"/>
      <c r="J19" s="342"/>
      <c r="K19" s="344"/>
      <c r="AA19" s="11"/>
      <c r="AB19" s="85"/>
      <c r="AC19" s="42"/>
      <c r="AD19" s="11"/>
      <c r="AL19" s="342"/>
      <c r="AM19" s="344"/>
      <c r="AN19" s="45"/>
      <c r="AO19" s="85"/>
      <c r="AP19" s="42"/>
      <c r="AQ19" s="45"/>
      <c r="AW19" s="117"/>
      <c r="AX19" s="45"/>
      <c r="AY19" s="342"/>
      <c r="AZ19" s="344"/>
      <c r="BA19" s="45"/>
      <c r="BB19" s="33" t="e">
        <f ca="1"/>
        <v>#NAME?</v>
      </c>
      <c r="BC19" s="143" t="e">
        <f ca="1"/>
        <v>#NAME?</v>
      </c>
      <c r="BD19" s="42" t="e">
        <f ca="1"/>
        <v>#NAME?</v>
      </c>
      <c r="BE19" s="33" t="e">
        <f ca="1"/>
        <v>#NAME?</v>
      </c>
      <c r="BF19" s="45"/>
      <c r="BG19" s="45"/>
      <c r="BI19" s="52" t="s">
        <v>420</v>
      </c>
      <c r="BJ19" s="18"/>
      <c r="BK19" s="45"/>
      <c r="BL19" s="85"/>
      <c r="BM19" s="42"/>
      <c r="BN19" s="45"/>
    </row>
    <row r="20" spans="2:66" x14ac:dyDescent="0.2">
      <c r="B20" s="342"/>
      <c r="C20" s="347"/>
      <c r="D20" s="45"/>
      <c r="E20" s="85"/>
      <c r="F20" s="42"/>
      <c r="G20" s="45"/>
      <c r="J20" s="342"/>
      <c r="K20" s="344"/>
      <c r="AA20" s="11"/>
      <c r="AB20" s="85"/>
      <c r="AC20" s="42"/>
      <c r="AD20" s="11"/>
      <c r="AL20" s="342"/>
      <c r="AM20" s="344"/>
      <c r="AN20" s="11"/>
      <c r="AO20" s="85"/>
      <c r="AP20" s="42"/>
      <c r="AQ20" s="11"/>
      <c r="AW20" s="117"/>
      <c r="AX20" s="45"/>
      <c r="AY20" s="342"/>
      <c r="AZ20" s="344"/>
      <c r="BA20" s="11"/>
      <c r="BB20" s="33" t="e">
        <f ca="1"/>
        <v>#NAME?</v>
      </c>
      <c r="BC20" s="143" t="e">
        <f ca="1"/>
        <v>#NAME?</v>
      </c>
      <c r="BD20" s="42" t="e">
        <f ca="1"/>
        <v>#NAME?</v>
      </c>
      <c r="BE20" s="33" t="e">
        <f ca="1"/>
        <v>#NAME?</v>
      </c>
      <c r="BF20" s="11"/>
      <c r="BG20" s="45"/>
      <c r="BI20" s="17" t="str">
        <f>IF(ISBLANK(B20),"",B20)</f>
        <v/>
      </c>
      <c r="BJ20" s="347"/>
      <c r="BK20" s="45"/>
      <c r="BL20" s="85"/>
      <c r="BM20" s="42"/>
      <c r="BN20" s="45"/>
    </row>
    <row r="21" spans="2:66" ht="16" thickBot="1" x14ac:dyDescent="0.25">
      <c r="B21" s="342"/>
      <c r="C21" s="348"/>
      <c r="D21" s="45"/>
      <c r="E21" s="85"/>
      <c r="F21" s="42"/>
      <c r="G21" s="45"/>
      <c r="J21" s="342"/>
      <c r="K21" s="344"/>
      <c r="AA21" s="11"/>
      <c r="AB21" s="85"/>
      <c r="AC21" s="42"/>
      <c r="AD21" s="11"/>
      <c r="AL21" s="342"/>
      <c r="AM21" s="344"/>
      <c r="AN21" s="11"/>
      <c r="AO21" s="85"/>
      <c r="AP21" s="42"/>
      <c r="AQ21" s="11"/>
      <c r="AW21" s="117"/>
      <c r="AX21" s="45"/>
      <c r="AY21" s="342"/>
      <c r="AZ21" s="344"/>
      <c r="BA21" s="11"/>
      <c r="BB21" s="33" t="e">
        <f ca="1"/>
        <v>#NAME?</v>
      </c>
      <c r="BC21" s="143" t="e">
        <f ca="1"/>
        <v>#NAME?</v>
      </c>
      <c r="BD21" s="42" t="e">
        <f ca="1"/>
        <v>#NAME?</v>
      </c>
      <c r="BE21" s="33" t="e">
        <f ca="1"/>
        <v>#NAME?</v>
      </c>
      <c r="BF21" s="11"/>
      <c r="BG21" s="45"/>
      <c r="BI21" s="17" t="str">
        <f t="shared" ref="BI21:BI29" si="4">IF(ISBLANK(B21),"",B21)</f>
        <v/>
      </c>
      <c r="BJ21" s="348"/>
      <c r="BK21" s="45"/>
      <c r="BL21" s="85"/>
      <c r="BM21" s="42"/>
      <c r="BN21" s="45"/>
    </row>
    <row r="22" spans="2:66" ht="17" thickTop="1" thickBot="1" x14ac:dyDescent="0.25">
      <c r="B22" s="342"/>
      <c r="C22" s="348"/>
      <c r="D22" s="45"/>
      <c r="E22" s="85"/>
      <c r="F22" s="42"/>
      <c r="G22" s="45"/>
      <c r="J22" s="21" t="s">
        <v>421</v>
      </c>
      <c r="K22" s="47">
        <f>SUM(K14:K21)</f>
        <v>0</v>
      </c>
      <c r="AA22" s="11"/>
      <c r="AB22" s="88" t="e">
        <f>MAX(SUM(AB15:AB21)-SUM(AC15:AC21),0)</f>
        <v>#N/A</v>
      </c>
      <c r="AC22" s="89" t="e">
        <f>MAX(SUM(AC15:AC21)-SUM(AB15:AB21),0)</f>
        <v>#N/A</v>
      </c>
      <c r="AD22" s="11"/>
      <c r="AL22" s="342"/>
      <c r="AM22" s="344"/>
      <c r="AN22" s="11"/>
      <c r="AO22" s="85"/>
      <c r="AP22" s="42"/>
      <c r="AQ22" s="11"/>
      <c r="AW22" s="118"/>
      <c r="AX22" s="11"/>
      <c r="AY22" s="342"/>
      <c r="AZ22" s="344"/>
      <c r="BA22" s="11"/>
      <c r="BB22" s="33" t="e">
        <f ca="1"/>
        <v>#NAME?</v>
      </c>
      <c r="BC22" s="143" t="e">
        <f ca="1"/>
        <v>#NAME?</v>
      </c>
      <c r="BD22" s="42" t="e">
        <f ca="1"/>
        <v>#NAME?</v>
      </c>
      <c r="BE22" s="33" t="e">
        <f ca="1"/>
        <v>#NAME?</v>
      </c>
      <c r="BF22" s="11"/>
      <c r="BG22" s="11"/>
      <c r="BI22" s="17" t="str">
        <f t="shared" si="4"/>
        <v/>
      </c>
      <c r="BJ22" s="348"/>
      <c r="BK22" s="45"/>
      <c r="BL22" s="85"/>
      <c r="BM22" s="42"/>
      <c r="BN22" s="45"/>
    </row>
    <row r="23" spans="2:66" ht="17" thickTop="1" thickBot="1" x14ac:dyDescent="0.25">
      <c r="B23" s="342"/>
      <c r="C23" s="348"/>
      <c r="D23" s="254"/>
      <c r="E23" s="86"/>
      <c r="F23" s="87"/>
      <c r="G23" s="254"/>
      <c r="J23" s="396" t="s">
        <v>422</v>
      </c>
      <c r="K23" s="397"/>
      <c r="AA23" s="42"/>
      <c r="AL23" s="342"/>
      <c r="AM23" s="344"/>
      <c r="AO23" s="86"/>
      <c r="AP23" s="87"/>
      <c r="AW23" s="118"/>
      <c r="AX23" s="11"/>
      <c r="AY23" s="342"/>
      <c r="AZ23" s="344"/>
      <c r="BB23" s="33" t="e">
        <f ca="1"/>
        <v>#NAME?</v>
      </c>
      <c r="BC23" s="143" t="e">
        <f ca="1"/>
        <v>#NAME?</v>
      </c>
      <c r="BD23" s="42" t="e">
        <f ca="1"/>
        <v>#NAME?</v>
      </c>
      <c r="BE23" s="33" t="e">
        <f ca="1"/>
        <v>#NAME?</v>
      </c>
      <c r="BG23" s="11"/>
      <c r="BI23" s="17" t="str">
        <f t="shared" si="4"/>
        <v/>
      </c>
      <c r="BJ23" s="348"/>
      <c r="BK23" s="254"/>
      <c r="BL23" s="86"/>
      <c r="BM23" s="87"/>
      <c r="BN23" s="254"/>
    </row>
    <row r="24" spans="2:66" ht="17" thickTop="1" thickBot="1" x14ac:dyDescent="0.25">
      <c r="B24" s="342"/>
      <c r="C24" s="348"/>
      <c r="E24" s="88">
        <f>MAX(SUM(E7:E23)-SUM(F7:F23),0)</f>
        <v>0</v>
      </c>
      <c r="F24" s="89">
        <f>MAX(SUM(F7:F23)-SUM(E7:E23),0)</f>
        <v>0</v>
      </c>
      <c r="J24" s="342"/>
      <c r="K24" s="343"/>
      <c r="AA24" s="43"/>
      <c r="AC24" s="103" t="e">
        <f>_xlfn.XLOOKUP(AB25,Equity[Name],Equity[BalType])</f>
        <v>#N/A</v>
      </c>
      <c r="AD24" s="43"/>
      <c r="AL24" s="342"/>
      <c r="AM24" s="344"/>
      <c r="AO24" s="88">
        <f>MAX(SUM(AO7:AO23)-SUM(AP7:AP23),0)</f>
        <v>0</v>
      </c>
      <c r="AP24" s="89">
        <f>MAX(SUM(AP7:AP23)-SUM(AO7:AO23),0)</f>
        <v>0</v>
      </c>
      <c r="AW24" s="118"/>
      <c r="AX24" s="11"/>
      <c r="AY24" s="342"/>
      <c r="AZ24" s="344"/>
      <c r="BB24" s="33" t="e">
        <f ca="1"/>
        <v>#NAME?</v>
      </c>
      <c r="BC24" s="143" t="e">
        <f ca="1"/>
        <v>#NAME?</v>
      </c>
      <c r="BD24" s="42" t="e">
        <f ca="1"/>
        <v>#NAME?</v>
      </c>
      <c r="BE24" s="33" t="e">
        <f ca="1"/>
        <v>#NAME?</v>
      </c>
      <c r="BG24" s="11"/>
      <c r="BI24" s="17" t="str">
        <f t="shared" si="4"/>
        <v/>
      </c>
      <c r="BJ24" s="348"/>
      <c r="BL24" s="88">
        <f>MAX(SUM(BL7:BL23)-SUM(BM7:BM23),0)</f>
        <v>0</v>
      </c>
      <c r="BM24" s="89">
        <f>MAX(SUM(BM7:BM23)-SUM(BL7:BL23),0)</f>
        <v>0</v>
      </c>
    </row>
    <row r="25" spans="2:66" ht="17" thickTop="1" thickBot="1" x14ac:dyDescent="0.25">
      <c r="B25" s="342"/>
      <c r="C25" s="348"/>
      <c r="J25" s="342"/>
      <c r="K25" s="344"/>
      <c r="AA25" s="43"/>
      <c r="AB25" s="44" t="str">
        <f>_xlfn.XLOOKUP(V8,Equity[Abbr],Equity[Name],"NA")</f>
        <v>NA</v>
      </c>
      <c r="AC25" s="44"/>
      <c r="AD25" s="43"/>
      <c r="AL25" s="75" t="s">
        <v>423</v>
      </c>
      <c r="AM25" s="47">
        <f>SUBTOTAL(9,AM18:AM24)</f>
        <v>0</v>
      </c>
      <c r="AW25" s="103"/>
      <c r="AY25" s="342"/>
      <c r="AZ25" s="344"/>
      <c r="BB25" s="33" t="e">
        <f ca="1"/>
        <v>#NAME?</v>
      </c>
      <c r="BC25" s="143" t="e">
        <f ca="1"/>
        <v>#NAME?</v>
      </c>
      <c r="BD25" s="42" t="e">
        <f ca="1"/>
        <v>#NAME?</v>
      </c>
      <c r="BE25" s="33" t="e">
        <f ca="1"/>
        <v>#NAME?</v>
      </c>
      <c r="BI25" s="17" t="str">
        <f t="shared" si="4"/>
        <v/>
      </c>
      <c r="BJ25" s="348"/>
    </row>
    <row r="26" spans="2:66" ht="16" thickTop="1" x14ac:dyDescent="0.2">
      <c r="B26" s="342"/>
      <c r="C26" s="348"/>
      <c r="E26" s="103">
        <f>_xlfn.XLOOKUP(F4,BegBalSht[Account],BegBalSht[Amount])</f>
        <v>0</v>
      </c>
      <c r="F26" s="103"/>
      <c r="J26" s="342"/>
      <c r="K26" s="344"/>
      <c r="AA26" s="11" t="e" cm="1">
        <f t="array" ref="AA26">_xlfn.IFS(AC24="Debit","BB",AND(AC24="Either",_xlfn.XLOOKUP(AB25,BegBalSht[Account],BegBalSht[Amount],0)&lt;0),"BB",TRUE,"")</f>
        <v>#N/A</v>
      </c>
      <c r="AB26" s="90" t="e">
        <f>IF(_xlfn.XLOOKUP(AB25,BegBalSht[Account],BegBalSht[Amount])&lt;0,-_xlfn.XLOOKUP(AB25,BegBalSht[Account],BegBalSht[Amount]),0)</f>
        <v>#N/A</v>
      </c>
      <c r="AC26" s="42" t="e">
        <f>IF(_xlfn.XLOOKUP(AB25,BegBalSht[Account],BegBalSht[Amount])&gt;0,_xlfn.XLOOKUP(AB25,BegBalSht[Account],BegBalSht[Amount]),0)</f>
        <v>#N/A</v>
      </c>
      <c r="AD26" s="11" t="e" cm="1">
        <f t="array" ref="AD26">_xlfn.IFS(AC24="Credit","BB",AND(AC24="Either",_xlfn.XLOOKUP(AB25,BegBalSht[Account],BegBalSht[Amount],0)&gt;=0),"BB",TRUE,"")</f>
        <v>#N/A</v>
      </c>
      <c r="AL26" s="17"/>
      <c r="AM26" s="18"/>
      <c r="AW26" s="103"/>
      <c r="AY26" s="342"/>
      <c r="AZ26" s="344"/>
      <c r="BB26" s="33" t="e">
        <f ca="1"/>
        <v>#NAME?</v>
      </c>
      <c r="BC26" s="143" t="e">
        <f ca="1"/>
        <v>#NAME?</v>
      </c>
      <c r="BD26" s="42" t="e">
        <f ca="1"/>
        <v>#NAME?</v>
      </c>
      <c r="BE26" s="33" t="e">
        <f ca="1"/>
        <v>#NAME?</v>
      </c>
      <c r="BI26" s="17" t="str">
        <f t="shared" si="4"/>
        <v/>
      </c>
      <c r="BJ26" s="348"/>
      <c r="BL26" s="103">
        <f>_xlfn.XLOOKUP(BM4,BegBalSht[Account],BegBalSht[Amount])</f>
        <v>0</v>
      </c>
      <c r="BM26" s="103"/>
    </row>
    <row r="27" spans="2:66" x14ac:dyDescent="0.2">
      <c r="B27" s="342"/>
      <c r="C27" s="348"/>
      <c r="E27" s="103" cm="1">
        <f t="array" ref="E27">IFERROR(_xlfn.IFS(AND(F3="Asset",F1="Debit",E26&gt;0),E26,AND(F3="Asset",F1="Debit",E26&gt;0),E26,AND(F3="Equity",F1="Either",E26&lt;0),-E26),0)</f>
        <v>0</v>
      </c>
      <c r="F27" s="103" cm="1">
        <f t="array" ref="F27">IFERROR(_xlfn.IFS(AND(F3="Asset",F1="Credit",E26&lt;0),-E26,AND(F3="Liability",F1="Credit",E26&gt;0),E26,AND(F3="Equity",F1="Either",E26&gt;0),E26,AND(F3="Equity",F1="Credit",E26&gt;0),E26),0)</f>
        <v>0</v>
      </c>
      <c r="J27" s="342"/>
      <c r="K27" s="344"/>
      <c r="AA27" s="11" t="str" cm="1">
        <f t="array" ref="AA27">_xlfn._xlws.FILTER(Journal[ref2],Journal[DrAccnt]=AB25,"")</f>
        <v/>
      </c>
      <c r="AB27" s="85" t="str" cm="1">
        <f t="array" ref="AB27">_xlfn._xlws.FILTER(Journal[DrAmt],Journal[DrAccnt]=AB25,"")</f>
        <v/>
      </c>
      <c r="AC27" s="42" t="str" cm="1">
        <f t="array" ref="AC27">_xlfn._xlws.FILTER(Journal[CrAmt],Journal[CrAccnt]=AB25,"")</f>
        <v/>
      </c>
      <c r="AD27" s="11" t="str" cm="1">
        <f t="array" ref="AD27">_xlfn._xlws.FILTER(Journal[ref2],Journal[CrAccnt]=AB25,"")</f>
        <v/>
      </c>
      <c r="AL27" s="19" t="s">
        <v>424</v>
      </c>
      <c r="AM27" s="18"/>
      <c r="AY27" s="75" t="s">
        <v>416</v>
      </c>
      <c r="AZ27" s="47">
        <f>SUBTOTAL(9,AZ8:AZ26)</f>
        <v>0</v>
      </c>
      <c r="BB27" s="33" t="e">
        <f ca="1"/>
        <v>#NAME?</v>
      </c>
      <c r="BC27" s="143" t="e">
        <f ca="1"/>
        <v>#NAME?</v>
      </c>
      <c r="BD27" s="42" t="e">
        <f ca="1"/>
        <v>#NAME?</v>
      </c>
      <c r="BE27" s="33" t="e">
        <f ca="1"/>
        <v>#NAME?</v>
      </c>
      <c r="BI27" s="17" t="str">
        <f t="shared" si="4"/>
        <v/>
      </c>
      <c r="BJ27" s="348"/>
      <c r="BL27" s="103" cm="1">
        <f t="array" ref="BL27">IFERROR(_xlfn.IFS(AND(BM3="Asset",BM1="Debit",BL26&gt;0),BL26,AND(BM3="Asset",BM1="Debit",BL26&gt;0),BL26,AND(BM3="Equity",BM1="Either",BL26&lt;0),-BL26),0)</f>
        <v>0</v>
      </c>
      <c r="BM27" s="103" cm="1">
        <f t="array" ref="BM27">IFERROR(_xlfn.IFS(AND(BM3="Asset",BM1="Credit",BL26&lt;0),-BL26,AND(BM3="Liability",BM1="Credit",BL26&gt;0),BL26,AND(BM3="Equity",BM1="Either",BL26&gt;0),BL26,AND(BM3="Equity",BM1="Credit",BL26&gt;0),BL26),0)</f>
        <v>0</v>
      </c>
    </row>
    <row r="28" spans="2:66" x14ac:dyDescent="0.2">
      <c r="B28" s="342"/>
      <c r="C28" s="348"/>
      <c r="J28" s="21" t="s">
        <v>425</v>
      </c>
      <c r="K28" s="47">
        <f>SUM(K24:K27)</f>
        <v>0</v>
      </c>
      <c r="AB28" s="85"/>
      <c r="AC28" s="42"/>
      <c r="AL28" s="342"/>
      <c r="AM28" s="343"/>
      <c r="AY28" s="17"/>
      <c r="AZ28" s="18"/>
      <c r="BB28" s="33" t="e">
        <f ca="1"/>
        <v>#NAME?</v>
      </c>
      <c r="BC28" s="143" t="e">
        <f ca="1"/>
        <v>#NAME?</v>
      </c>
      <c r="BD28" s="42" t="e">
        <f ca="1"/>
        <v>#NAME?</v>
      </c>
      <c r="BE28" s="33" t="e">
        <f ca="1"/>
        <v>#NAME?</v>
      </c>
      <c r="BI28" s="17" t="str">
        <f t="shared" si="4"/>
        <v/>
      </c>
      <c r="BJ28" s="348"/>
    </row>
    <row r="29" spans="2:66" x14ac:dyDescent="0.2">
      <c r="B29" s="349"/>
      <c r="C29" s="350"/>
      <c r="J29" s="396" t="s">
        <v>426</v>
      </c>
      <c r="K29" s="397"/>
      <c r="AA29" s="11"/>
      <c r="AB29" s="85"/>
      <c r="AC29" s="42"/>
      <c r="AD29" s="11"/>
      <c r="AL29" s="342"/>
      <c r="AM29" s="344"/>
      <c r="AY29" s="19" t="s">
        <v>418</v>
      </c>
      <c r="AZ29" s="18"/>
      <c r="BB29" s="33" t="e">
        <f ca="1"/>
        <v>#NAME?</v>
      </c>
      <c r="BC29" s="143" t="e">
        <f ca="1"/>
        <v>#NAME?</v>
      </c>
      <c r="BD29" s="42" t="e">
        <f ca="1"/>
        <v>#NAME?</v>
      </c>
      <c r="BE29" s="33" t="e">
        <f ca="1"/>
        <v>#NAME?</v>
      </c>
      <c r="BI29" s="91" t="str">
        <f t="shared" si="4"/>
        <v/>
      </c>
      <c r="BJ29" s="350"/>
    </row>
    <row r="30" spans="2:66" x14ac:dyDescent="0.2">
      <c r="B30" s="53" t="s">
        <v>427</v>
      </c>
      <c r="C30" s="49">
        <f>SUBTOTAL(9,C20:C29)</f>
        <v>0</v>
      </c>
      <c r="J30" s="342"/>
      <c r="K30" s="343"/>
      <c r="AA30" s="11"/>
      <c r="AB30" s="85"/>
      <c r="AC30" s="42"/>
      <c r="AD30" s="11"/>
      <c r="AL30" s="342"/>
      <c r="AM30" s="344"/>
      <c r="AY30" s="17" t="str">
        <f>IF(ISBLANK(AL18),"",AL18)</f>
        <v/>
      </c>
      <c r="AZ30" s="62" t="str">
        <f t="shared" ref="AZ30:AZ36" si="5">IF(ISBLANK(AM18),"",AM18)</f>
        <v/>
      </c>
      <c r="BB30" s="33" t="e">
        <f ca="1"/>
        <v>#NAME?</v>
      </c>
      <c r="BC30" s="143" t="e">
        <f ca="1"/>
        <v>#NAME?</v>
      </c>
      <c r="BD30" s="42" t="e">
        <f ca="1"/>
        <v>#NAME?</v>
      </c>
      <c r="BE30" s="33" t="e">
        <f ca="1"/>
        <v>#NAME?</v>
      </c>
      <c r="BI30" s="53" t="s">
        <v>427</v>
      </c>
      <c r="BJ30" s="49">
        <f>SUBTOTAL(9,BJ20:BJ29)</f>
        <v>0</v>
      </c>
    </row>
    <row r="31" spans="2:66" ht="16" thickBot="1" x14ac:dyDescent="0.25">
      <c r="B31" s="58" t="s">
        <v>428</v>
      </c>
      <c r="C31" s="50">
        <f>SUBTOTAL(9,C8:C30)</f>
        <v>0</v>
      </c>
      <c r="J31" s="342"/>
      <c r="K31" s="344"/>
      <c r="AA31" s="11"/>
      <c r="AB31" s="85"/>
      <c r="AC31" s="42"/>
      <c r="AD31" s="11"/>
      <c r="AL31" s="342"/>
      <c r="AM31" s="344"/>
      <c r="AY31" s="17" t="str">
        <f t="shared" ref="AY31:AY36" si="6">IF(ISBLANK(AL19),"",AL19)</f>
        <v/>
      </c>
      <c r="AZ31" s="62" t="str">
        <f t="shared" si="5"/>
        <v/>
      </c>
      <c r="BB31" s="33" t="e">
        <f ca="1"/>
        <v>#NAME?</v>
      </c>
      <c r="BC31" s="143" t="e">
        <f ca="1"/>
        <v>#NAME?</v>
      </c>
      <c r="BD31" s="42" t="e">
        <f ca="1"/>
        <v>#NAME?</v>
      </c>
      <c r="BE31" s="33" t="e">
        <f ca="1"/>
        <v>#NAME?</v>
      </c>
      <c r="BI31" s="58" t="s">
        <v>428</v>
      </c>
      <c r="BJ31" s="50">
        <f>SUBTOTAL(9,BJ8:BJ30)</f>
        <v>0</v>
      </c>
    </row>
    <row r="32" spans="2:66" ht="16" thickBot="1" x14ac:dyDescent="0.25">
      <c r="B32" s="379" t="s">
        <v>364</v>
      </c>
      <c r="C32" s="394"/>
      <c r="J32" s="342"/>
      <c r="K32" s="344"/>
      <c r="AA32" s="11"/>
      <c r="AB32" s="85"/>
      <c r="AC32" s="42"/>
      <c r="AD32" s="11"/>
      <c r="AL32" s="342"/>
      <c r="AM32" s="344"/>
      <c r="AY32" s="17" t="str">
        <f t="shared" si="6"/>
        <v/>
      </c>
      <c r="AZ32" s="62" t="str">
        <f t="shared" si="5"/>
        <v/>
      </c>
      <c r="BB32" s="33" t="e">
        <f ca="1"/>
        <v>#NAME?</v>
      </c>
      <c r="BC32" s="143" t="e">
        <f ca="1"/>
        <v>#NAME?</v>
      </c>
      <c r="BD32" s="42" t="e">
        <f ca="1"/>
        <v>#NAME?</v>
      </c>
      <c r="BE32" s="33" t="e">
        <f ca="1"/>
        <v>#NAME?</v>
      </c>
      <c r="BI32" s="26" t="s">
        <v>364</v>
      </c>
      <c r="BJ32" s="29"/>
    </row>
    <row r="33" spans="2:62" ht="17" thickTop="1" thickBot="1" x14ac:dyDescent="0.25">
      <c r="B33" s="52" t="s">
        <v>429</v>
      </c>
      <c r="C33" s="46">
        <f>BegDate</f>
        <v>0</v>
      </c>
      <c r="J33" s="342"/>
      <c r="K33" s="344"/>
      <c r="AA33" s="11"/>
      <c r="AB33" s="88" t="e">
        <f>MAX(SUM(AB26:AB32)-SUM(AC26:AC32),0)</f>
        <v>#N/A</v>
      </c>
      <c r="AC33" s="89" t="e">
        <f>MAX(SUM(AC26:AC32)-SUM(AB26:AB32),0)</f>
        <v>#N/A</v>
      </c>
      <c r="AD33" s="11"/>
      <c r="AL33" s="342"/>
      <c r="AM33" s="344"/>
      <c r="AY33" s="17" t="str">
        <f t="shared" si="6"/>
        <v/>
      </c>
      <c r="AZ33" s="62" t="str">
        <f t="shared" si="5"/>
        <v/>
      </c>
      <c r="BB33" s="33" t="e">
        <f ca="1"/>
        <v>#NAME?</v>
      </c>
      <c r="BC33" s="143" t="e">
        <f ca="1"/>
        <v>#NAME?</v>
      </c>
      <c r="BD33" s="42" t="e">
        <f ca="1"/>
        <v>#NAME?</v>
      </c>
      <c r="BE33" s="33" t="e">
        <f ca="1"/>
        <v>#NAME?</v>
      </c>
      <c r="BI33" s="52" t="s">
        <v>429</v>
      </c>
      <c r="BJ33" s="46">
        <f>EndDate</f>
        <v>0</v>
      </c>
    </row>
    <row r="34" spans="2:62" ht="16" thickTop="1" x14ac:dyDescent="0.2">
      <c r="B34" s="342"/>
      <c r="C34" s="347"/>
      <c r="J34" s="21" t="s">
        <v>430</v>
      </c>
      <c r="K34" s="47">
        <f>SUM(K30:K33)</f>
        <v>0</v>
      </c>
      <c r="AL34" s="75" t="s">
        <v>431</v>
      </c>
      <c r="AM34" s="47">
        <f>SUBTOTAL(9,AM28:AM33)</f>
        <v>0</v>
      </c>
      <c r="AY34" s="17" t="str">
        <f t="shared" si="6"/>
        <v/>
      </c>
      <c r="AZ34" s="62" t="str">
        <f t="shared" si="5"/>
        <v/>
      </c>
      <c r="BB34" s="33" t="e">
        <f ca="1"/>
        <v>#NAME?</v>
      </c>
      <c r="BC34" s="143" t="e">
        <f ca="1"/>
        <v>#NAME?</v>
      </c>
      <c r="BD34" s="42" t="e">
        <f ca="1"/>
        <v>#NAME?</v>
      </c>
      <c r="BE34" s="33" t="e">
        <f ca="1"/>
        <v>#NAME?</v>
      </c>
      <c r="BI34" s="17" t="str">
        <f>IF(ISBLANK(B34),"",B34)</f>
        <v/>
      </c>
      <c r="BJ34" s="347"/>
    </row>
    <row r="35" spans="2:62" ht="16" thickBot="1" x14ac:dyDescent="0.25">
      <c r="B35" s="342"/>
      <c r="C35" s="348"/>
      <c r="J35" s="396" t="s">
        <v>401</v>
      </c>
      <c r="K35" s="398">
        <f>K12-K22+K28-K34</f>
        <v>0</v>
      </c>
      <c r="AA35" s="43"/>
      <c r="AC35" s="103" t="e">
        <f>_xlfn.XLOOKUP(AB36,Equity[Name],Equity[BalType])</f>
        <v>#N/A</v>
      </c>
      <c r="AD35" s="43"/>
      <c r="AL35" s="17"/>
      <c r="AM35" s="18"/>
      <c r="AY35" s="17" t="str">
        <f t="shared" si="6"/>
        <v/>
      </c>
      <c r="AZ35" s="62" t="str">
        <f t="shared" si="5"/>
        <v/>
      </c>
      <c r="BB35" s="33" t="e">
        <f ca="1"/>
        <v>#NAME?</v>
      </c>
      <c r="BC35" s="143" t="e">
        <f ca="1"/>
        <v>#NAME?</v>
      </c>
      <c r="BD35" s="42" t="e">
        <f ca="1"/>
        <v>#NAME?</v>
      </c>
      <c r="BE35" s="33" t="e">
        <f ca="1"/>
        <v>#NAME?</v>
      </c>
      <c r="BI35" s="17" t="str">
        <f t="shared" ref="BI35:BI43" si="7">IF(ISBLANK(B35),"",B35)</f>
        <v/>
      </c>
      <c r="BJ35" s="348"/>
    </row>
    <row r="36" spans="2:62" ht="17" thickTop="1" thickBot="1" x14ac:dyDescent="0.25">
      <c r="B36" s="342"/>
      <c r="C36" s="348"/>
      <c r="J36" s="24"/>
      <c r="K36" s="25"/>
      <c r="AA36" s="43"/>
      <c r="AB36" s="44" t="str">
        <f>_xlfn.IFNA(_xlfn.XLOOKUP(W8,Equity[Abbr],Equity[Name]),"NA")</f>
        <v>NA</v>
      </c>
      <c r="AC36" s="44"/>
      <c r="AD36" s="43"/>
      <c r="AL36" s="17" t="s">
        <v>432</v>
      </c>
      <c r="AM36" s="80">
        <f>SUBTOTAL(9,AM8:AM35)</f>
        <v>0</v>
      </c>
      <c r="AY36" s="17" t="str">
        <f t="shared" si="6"/>
        <v/>
      </c>
      <c r="AZ36" s="62" t="str">
        <f t="shared" si="5"/>
        <v/>
      </c>
      <c r="BB36" s="33" t="e">
        <f ca="1"/>
        <v>#NAME?</v>
      </c>
      <c r="BC36" s="143" t="e">
        <f ca="1"/>
        <v>#NAME?</v>
      </c>
      <c r="BD36" s="42" t="e">
        <f ca="1"/>
        <v>#NAME?</v>
      </c>
      <c r="BE36" s="33" t="e">
        <f ca="1"/>
        <v>#NAME?</v>
      </c>
      <c r="BI36" s="17" t="str">
        <f t="shared" si="7"/>
        <v/>
      </c>
      <c r="BJ36" s="348"/>
    </row>
    <row r="37" spans="2:62" ht="16" thickTop="1" x14ac:dyDescent="0.2">
      <c r="B37" s="342"/>
      <c r="C37" s="348"/>
      <c r="AA37" s="11" t="e" cm="1">
        <f t="array" ref="AA37">_xlfn.IFS(AC35="Debit","BB",AND(AC35="Either",_xlfn.XLOOKUP(AB36,BegBalSht[Account],BegBalSht[Amount],0)&lt;0),"BB",TRUE,"")</f>
        <v>#N/A</v>
      </c>
      <c r="AB37" s="90" t="e">
        <f>IF(_xlfn.XLOOKUP(AB36,BegBalSht[Account],BegBalSht[Amount])&lt;0,-_xlfn.XLOOKUP(AB36,BegBalSht[Account],BegBalSht[Amount]),0)</f>
        <v>#N/A</v>
      </c>
      <c r="AC37" s="42" t="e">
        <f>IF(_xlfn.XLOOKUP(AB36,BegBalSht[Account],BegBalSht[Amount])&gt;0,_xlfn.XLOOKUP(AB36,BegBalSht[Account],BegBalSht[Amount]),0)</f>
        <v>#N/A</v>
      </c>
      <c r="AD37" s="11" t="e" cm="1">
        <f t="array" ref="AD37">_xlfn.IFS(AC35="Credit","BB",AND(AC35="Either",_xlfn.XLOOKUP(AB36,BegBalSht[Account],BegBalSht[Amount],0)&gt;=0),"BB",TRUE,"")</f>
        <v>#N/A</v>
      </c>
      <c r="AL37" s="17" t="str">
        <f>"Cash @ "&amp;BegDate</f>
        <v xml:space="preserve">Cash @ </v>
      </c>
      <c r="AM37" s="62">
        <f>_xlfn.XLOOKUP("Cash",B8:B17,C8:C17,0)</f>
        <v>0</v>
      </c>
      <c r="AY37" s="75" t="s">
        <v>423</v>
      </c>
      <c r="AZ37" s="47">
        <f>SUBTOTAL(9,AZ30:AZ36)</f>
        <v>0</v>
      </c>
      <c r="BB37" s="33" t="e">
        <f ca="1"/>
        <v>#NAME?</v>
      </c>
      <c r="BC37" s="143" t="e">
        <f ca="1"/>
        <v>#NAME?</v>
      </c>
      <c r="BD37" s="42" t="e">
        <f ca="1"/>
        <v>#NAME?</v>
      </c>
      <c r="BE37" s="33" t="e">
        <f ca="1"/>
        <v>#NAME?</v>
      </c>
      <c r="BI37" s="17" t="str">
        <f t="shared" si="7"/>
        <v/>
      </c>
      <c r="BJ37" s="348"/>
    </row>
    <row r="38" spans="2:62" ht="16" thickBot="1" x14ac:dyDescent="0.25">
      <c r="B38" s="342"/>
      <c r="C38" s="348"/>
      <c r="AA38" s="11" t="str" cm="1">
        <f t="array" ref="AA38">_xlfn._xlws.FILTER(Journal[ref2],Journal[DrAccnt]=AB36,"")</f>
        <v/>
      </c>
      <c r="AB38" s="85" t="str" cm="1">
        <f t="array" ref="AB38">_xlfn._xlws.FILTER(Journal[DrAmt],Journal[DrAccnt]=AB36,"")</f>
        <v/>
      </c>
      <c r="AC38" s="42" t="str" cm="1">
        <f t="array" ref="AC38">_xlfn._xlws.FILTER(Journal[CrAmt],Journal[CrAccnt]=AB36,"")</f>
        <v/>
      </c>
      <c r="AD38" s="11" t="str" cm="1">
        <f t="array" ref="AD38">_xlfn._xlws.FILTER(Journal[ref2],Journal[CrAccnt]=AB36,"")</f>
        <v/>
      </c>
      <c r="AL38" s="17" t="str">
        <f>"Cash @ "&amp;EndDate</f>
        <v xml:space="preserve">Cash @ </v>
      </c>
      <c r="AM38" s="79">
        <f>SUM(AM36:AM37)</f>
        <v>0</v>
      </c>
      <c r="AY38" s="17"/>
      <c r="AZ38" s="18"/>
      <c r="BB38" s="33" t="e">
        <f ca="1"/>
        <v>#NAME?</v>
      </c>
      <c r="BC38" s="143" t="e">
        <f ca="1"/>
        <v>#NAME?</v>
      </c>
      <c r="BD38" s="42" t="e">
        <f ca="1"/>
        <v>#NAME?</v>
      </c>
      <c r="BE38" s="33" t="e">
        <f ca="1"/>
        <v>#NAME?</v>
      </c>
      <c r="BI38" s="17" t="str">
        <f t="shared" si="7"/>
        <v/>
      </c>
      <c r="BJ38" s="348"/>
    </row>
    <row r="39" spans="2:62" ht="17" thickTop="1" thickBot="1" x14ac:dyDescent="0.25">
      <c r="B39" s="342"/>
      <c r="C39" s="348"/>
      <c r="AB39" s="85"/>
      <c r="AC39" s="42"/>
      <c r="AL39" s="24"/>
      <c r="AM39" s="25"/>
      <c r="AY39" s="19" t="s">
        <v>424</v>
      </c>
      <c r="AZ39" s="18"/>
      <c r="BB39" s="33" t="e">
        <f ca="1"/>
        <v>#NAME?</v>
      </c>
      <c r="BC39" s="143" t="e">
        <f ca="1"/>
        <v>#NAME?</v>
      </c>
      <c r="BD39" s="42" t="e">
        <f ca="1"/>
        <v>#NAME?</v>
      </c>
      <c r="BE39" s="33" t="e">
        <f ca="1"/>
        <v>#NAME?</v>
      </c>
      <c r="BI39" s="17" t="str">
        <f t="shared" si="7"/>
        <v/>
      </c>
      <c r="BJ39" s="348"/>
    </row>
    <row r="40" spans="2:62" ht="16" thickBot="1" x14ac:dyDescent="0.25">
      <c r="B40" s="342"/>
      <c r="C40" s="348"/>
      <c r="AA40" s="11"/>
      <c r="AB40" s="85"/>
      <c r="AC40" s="42"/>
      <c r="AD40" s="11"/>
      <c r="AY40" s="17" t="str">
        <f>IF(ISBLANK(AL28),"",AL28)</f>
        <v/>
      </c>
      <c r="AZ40" s="62" t="str">
        <f t="shared" ref="AZ40:AZ45" si="8">IF(ISBLANK(AM28),"",AM28)</f>
        <v/>
      </c>
      <c r="BB40" s="33" t="e">
        <f ca="1"/>
        <v>#NAME?</v>
      </c>
      <c r="BC40" s="143" t="e">
        <f ca="1"/>
        <v>#NAME?</v>
      </c>
      <c r="BD40" s="42" t="e">
        <f ca="1"/>
        <v>#NAME?</v>
      </c>
      <c r="BE40" s="33" t="e">
        <f ca="1"/>
        <v>#NAME?</v>
      </c>
      <c r="BI40" s="17" t="str">
        <f t="shared" si="7"/>
        <v/>
      </c>
      <c r="BJ40" s="348"/>
    </row>
    <row r="41" spans="2:62" x14ac:dyDescent="0.2">
      <c r="B41" s="342"/>
      <c r="C41" s="348"/>
      <c r="AA41" s="11"/>
      <c r="AB41" s="85"/>
      <c r="AC41" s="42"/>
      <c r="AD41" s="11"/>
      <c r="AL41" s="72" t="s">
        <v>433</v>
      </c>
      <c r="AM41" s="71"/>
      <c r="AY41" s="17" t="str">
        <f t="shared" ref="AY41:AY45" si="9">IF(ISBLANK(AL29),"",AL29)</f>
        <v/>
      </c>
      <c r="AZ41" s="62" t="str">
        <f t="shared" si="8"/>
        <v/>
      </c>
      <c r="BB41" s="33" t="e">
        <f ca="1"/>
        <v>#NAME?</v>
      </c>
      <c r="BC41" s="143" t="e">
        <f ca="1"/>
        <v>#NAME?</v>
      </c>
      <c r="BD41" s="42" t="e">
        <f ca="1"/>
        <v>#NAME?</v>
      </c>
      <c r="BE41" s="33" t="e">
        <f ca="1"/>
        <v>#NAME?</v>
      </c>
      <c r="BI41" s="17" t="str">
        <f t="shared" si="7"/>
        <v/>
      </c>
      <c r="BJ41" s="348"/>
    </row>
    <row r="42" spans="2:62" x14ac:dyDescent="0.2">
      <c r="B42" s="342"/>
      <c r="C42" s="348"/>
      <c r="AA42" s="11"/>
      <c r="AB42" s="85"/>
      <c r="AC42" s="42"/>
      <c r="AD42" s="11"/>
      <c r="AL42" s="342"/>
      <c r="AM42" s="343"/>
      <c r="AY42" s="17" t="str">
        <f t="shared" si="9"/>
        <v/>
      </c>
      <c r="AZ42" s="62" t="str">
        <f t="shared" si="8"/>
        <v/>
      </c>
      <c r="BB42" s="33" t="e">
        <f ca="1"/>
        <v>#NAME?</v>
      </c>
      <c r="BC42" s="143" t="e">
        <f ca="1"/>
        <v>#NAME?</v>
      </c>
      <c r="BD42" s="42" t="e">
        <f ca="1"/>
        <v>#NAME?</v>
      </c>
      <c r="BE42" s="33" t="e">
        <f ca="1"/>
        <v>#NAME?</v>
      </c>
      <c r="BI42" s="17" t="str">
        <f t="shared" si="7"/>
        <v/>
      </c>
      <c r="BJ42" s="348"/>
    </row>
    <row r="43" spans="2:62" ht="16" thickBot="1" x14ac:dyDescent="0.25">
      <c r="B43" s="349"/>
      <c r="C43" s="350"/>
      <c r="AA43" s="11"/>
      <c r="AB43" s="85"/>
      <c r="AC43" s="42"/>
      <c r="AD43" s="11"/>
      <c r="AL43" s="342"/>
      <c r="AM43" s="343"/>
      <c r="AY43" s="17" t="str">
        <f t="shared" si="9"/>
        <v/>
      </c>
      <c r="AZ43" s="62" t="str">
        <f t="shared" si="8"/>
        <v/>
      </c>
      <c r="BB43" s="33" t="e">
        <f ca="1"/>
        <v>#NAME?</v>
      </c>
      <c r="BC43" s="143" t="e">
        <f ca="1"/>
        <v>#NAME?</v>
      </c>
      <c r="BD43" s="42" t="e">
        <f ca="1"/>
        <v>#NAME?</v>
      </c>
      <c r="BE43" s="33" t="e">
        <f ca="1"/>
        <v>#NAME?</v>
      </c>
      <c r="BI43" s="91" t="str">
        <f t="shared" si="7"/>
        <v/>
      </c>
      <c r="BJ43" s="350"/>
    </row>
    <row r="44" spans="2:62" ht="17" thickTop="1" thickBot="1" x14ac:dyDescent="0.25">
      <c r="B44" s="54" t="s">
        <v>434</v>
      </c>
      <c r="C44" s="51">
        <f>SUBTOTAL(9,C34:C43)</f>
        <v>0</v>
      </c>
      <c r="AA44" s="11"/>
      <c r="AB44" s="88" t="e">
        <f>MAX(SUM(AB37:AB43)-SUM(AC37:AC43),0)</f>
        <v>#N/A</v>
      </c>
      <c r="AC44" s="89" t="e">
        <f>MAX(SUM(AC37:AC43)-SUM(AB37:AB43),0)</f>
        <v>#N/A</v>
      </c>
      <c r="AD44" s="11"/>
      <c r="AL44" s="342"/>
      <c r="AM44" s="343"/>
      <c r="AY44" s="17" t="str">
        <f t="shared" si="9"/>
        <v/>
      </c>
      <c r="AZ44" s="62" t="str">
        <f t="shared" si="8"/>
        <v/>
      </c>
      <c r="BB44" s="33" t="e">
        <f ca="1"/>
        <v>#NAME?</v>
      </c>
      <c r="BC44" s="143" t="e">
        <f ca="1"/>
        <v>#NAME?</v>
      </c>
      <c r="BD44" s="42" t="e">
        <f ca="1"/>
        <v>#NAME?</v>
      </c>
      <c r="BE44" s="33" t="e">
        <f ca="1"/>
        <v>#NAME?</v>
      </c>
      <c r="BI44" s="54" t="s">
        <v>434</v>
      </c>
      <c r="BJ44" s="51">
        <f>SUBTOTAL(9,BJ34:BJ43)</f>
        <v>0</v>
      </c>
    </row>
    <row r="45" spans="2:62" ht="16" thickTop="1" x14ac:dyDescent="0.2">
      <c r="B45" s="55" t="s">
        <v>435</v>
      </c>
      <c r="C45" s="18"/>
      <c r="AL45" s="342"/>
      <c r="AM45" s="343"/>
      <c r="AY45" s="17" t="str">
        <f t="shared" si="9"/>
        <v/>
      </c>
      <c r="AZ45" s="62" t="str">
        <f t="shared" si="8"/>
        <v/>
      </c>
      <c r="BB45" s="33" t="e">
        <f ca="1"/>
        <v>#NAME?</v>
      </c>
      <c r="BC45" s="143" t="e">
        <f ca="1"/>
        <v>#NAME?</v>
      </c>
      <c r="BD45" s="42" t="e">
        <f ca="1"/>
        <v>#NAME?</v>
      </c>
      <c r="BE45" s="33" t="e">
        <f ca="1"/>
        <v>#NAME?</v>
      </c>
      <c r="BI45" s="55" t="s">
        <v>435</v>
      </c>
      <c r="BJ45" s="18"/>
    </row>
    <row r="46" spans="2:62" ht="16" thickBot="1" x14ac:dyDescent="0.25">
      <c r="B46" s="342"/>
      <c r="C46" s="347"/>
      <c r="AA46" s="43"/>
      <c r="AC46" s="103" t="e">
        <f>_xlfn.XLOOKUP(AB47,Equity[Name],Equity[BalType])</f>
        <v>#N/A</v>
      </c>
      <c r="AD46" s="43"/>
      <c r="AL46" s="345"/>
      <c r="AM46" s="346"/>
      <c r="AY46" s="75" t="s">
        <v>431</v>
      </c>
      <c r="AZ46" s="47">
        <f>SUBTOTAL(9,AZ40:AZ45)</f>
        <v>0</v>
      </c>
      <c r="BB46" s="33" t="str">
        <f>IF(ISBLANK(Indirect_CFO_Worksheet_Tool!O181),"",Indirect_CFO_Worksheet_Tool!O181)</f>
        <v>CFO</v>
      </c>
      <c r="BC46" s="143"/>
      <c r="BD46" s="42"/>
      <c r="BE46" s="33" t="str">
        <f>IF(ISBLANK(Indirect_CFO_Worksheet_Tool!R181),"",Indirect_CFO_Worksheet_Tool!R181)</f>
        <v>CFO</v>
      </c>
      <c r="BI46" s="17" t="str">
        <f>IF(ISBLANK(B46),"",B46)</f>
        <v/>
      </c>
      <c r="BJ46" s="347"/>
    </row>
    <row r="47" spans="2:62" ht="16" thickBot="1" x14ac:dyDescent="0.25">
      <c r="B47" s="342"/>
      <c r="C47" s="348"/>
      <c r="AA47" s="43"/>
      <c r="AB47" s="44" t="str">
        <f>_xlfn.XLOOKUP(X8,Equity[Abbr],Equity[Name],"NA")</f>
        <v>NA</v>
      </c>
      <c r="AC47" s="44"/>
      <c r="AD47" s="43"/>
      <c r="AY47" s="75"/>
      <c r="AZ47" s="18"/>
      <c r="BB47" s="33" t="s">
        <v>436</v>
      </c>
      <c r="BC47" s="258">
        <f ca="1">IF(ISBLANK(Indirect_CFO_Worksheet_Tool!P181),"",Indirect_CFO_Worksheet_Tool!P181)</f>
        <v>5</v>
      </c>
      <c r="BD47" s="259">
        <f ca="1">IF(ISBLANK(Indirect_CFO_Worksheet_Tool!Q181),"",Indirect_CFO_Worksheet_Tool!Q181)</f>
        <v>0</v>
      </c>
      <c r="BE47" s="33" t="s">
        <v>436</v>
      </c>
      <c r="BI47" s="17" t="str">
        <f t="shared" ref="BI47:BI55" si="10">IF(ISBLANK(B47),"",B47)</f>
        <v/>
      </c>
      <c r="BJ47" s="348"/>
    </row>
    <row r="48" spans="2:62" ht="16" thickTop="1" x14ac:dyDescent="0.2">
      <c r="B48" s="342"/>
      <c r="C48" s="348"/>
      <c r="AA48" s="11" t="e" cm="1">
        <f t="array" ref="AA48">_xlfn.IFS(AC46="Debit","BB",AND(AC46="Either",_xlfn.XLOOKUP(AB47,BegBalSht[Account],BegBalSht[Amount],0)&lt;0),"BB",TRUE,"")</f>
        <v>#N/A</v>
      </c>
      <c r="AB48" s="90" t="e">
        <f>IF(_xlfn.XLOOKUP(AB47,BegBalSht[Account],BegBalSht[Amount])&lt;0,-_xlfn.XLOOKUP(AB47,BegBalSht[Account],BegBalSht[Amount]),0)</f>
        <v>#N/A</v>
      </c>
      <c r="AC48" s="42" t="e">
        <f>IF(_xlfn.XLOOKUP(AB47,BegBalSht[Account],BegBalSht[Amount])&gt;0,_xlfn.XLOOKUP(AB47,BegBalSht[Account],BegBalSht[Amount]),0)</f>
        <v>#N/A</v>
      </c>
      <c r="AD48" s="11" t="e" cm="1">
        <f t="array" ref="AD48">_xlfn.IFS(AC46="Credit","BB",AND(AC46="Either",_xlfn.XLOOKUP(AB47,BegBalSht[Account],BegBalSht[Amount],0)&gt;=0),"BB",TRUE,"")</f>
        <v>#N/A</v>
      </c>
      <c r="AY48" s="17" t="s">
        <v>437</v>
      </c>
      <c r="AZ48" s="80">
        <f>SUBTOTAL(9,AZ8:AZ47)</f>
        <v>0</v>
      </c>
      <c r="BI48" s="17" t="str">
        <f t="shared" si="10"/>
        <v/>
      </c>
      <c r="BJ48" s="348"/>
    </row>
    <row r="49" spans="1:62" x14ac:dyDescent="0.2">
      <c r="B49" s="342"/>
      <c r="C49" s="348"/>
      <c r="AA49" s="11" t="str" cm="1">
        <f t="array" ref="AA49">_xlfn._xlws.FILTER(Journal[ref2],Journal[DrAccnt]=AB47,"")</f>
        <v/>
      </c>
      <c r="AB49" s="85" t="str" cm="1">
        <f t="array" ref="AB49">_xlfn._xlws.FILTER(Journal[DrAmt],Journal[DrAccnt]=AB47,"")</f>
        <v/>
      </c>
      <c r="AC49" s="42" t="str" cm="1">
        <f t="array" ref="AC49">_xlfn._xlws.FILTER(Journal[CrAmt],Journal[CrAccnt]=AB47,"")</f>
        <v/>
      </c>
      <c r="AD49" s="11" t="str" cm="1">
        <f t="array" ref="AD49">_xlfn._xlws.FILTER(Journal[ref2],Journal[CrAccnt]=AB47,"")</f>
        <v/>
      </c>
      <c r="AY49" s="17" t="str">
        <f>"Cash @ "&amp;BegDate</f>
        <v xml:space="preserve">Cash @ </v>
      </c>
      <c r="AZ49" s="62">
        <f>_xlfn.XLOOKUP("Cash",B8:B17,C8:C17,0)</f>
        <v>0</v>
      </c>
      <c r="BI49" s="17" t="str">
        <f t="shared" si="10"/>
        <v/>
      </c>
      <c r="BJ49" s="348"/>
    </row>
    <row r="50" spans="1:62" ht="16" thickBot="1" x14ac:dyDescent="0.25">
      <c r="B50" s="342"/>
      <c r="C50" s="348"/>
      <c r="AB50" s="85"/>
      <c r="AC50" s="42"/>
      <c r="AY50" s="17" t="str">
        <f>"Cash @ "&amp;EndDate</f>
        <v xml:space="preserve">Cash @ </v>
      </c>
      <c r="AZ50" s="79">
        <f>SUM(AZ48:AZ49)</f>
        <v>0</v>
      </c>
      <c r="BI50" s="17" t="str">
        <f t="shared" si="10"/>
        <v/>
      </c>
      <c r="BJ50" s="348"/>
    </row>
    <row r="51" spans="1:62" ht="17" thickTop="1" thickBot="1" x14ac:dyDescent="0.25">
      <c r="B51" s="342"/>
      <c r="C51" s="348"/>
      <c r="AA51" s="11"/>
      <c r="AB51" s="85"/>
      <c r="AC51" s="42"/>
      <c r="AD51" s="11"/>
      <c r="AY51" s="24"/>
      <c r="AZ51" s="25"/>
      <c r="BI51" s="17" t="str">
        <f t="shared" si="10"/>
        <v/>
      </c>
      <c r="BJ51" s="348"/>
    </row>
    <row r="52" spans="1:62" ht="16" thickBot="1" x14ac:dyDescent="0.25">
      <c r="B52" s="342"/>
      <c r="C52" s="348"/>
      <c r="AA52" s="11"/>
      <c r="AB52" s="85"/>
      <c r="AC52" s="42"/>
      <c r="AD52" s="11"/>
      <c r="BI52" s="17" t="str">
        <f t="shared" si="10"/>
        <v/>
      </c>
      <c r="BJ52" s="348"/>
    </row>
    <row r="53" spans="1:62" x14ac:dyDescent="0.2">
      <c r="B53" s="342"/>
      <c r="C53" s="348"/>
      <c r="AA53" s="11"/>
      <c r="AB53" s="85"/>
      <c r="AC53" s="42"/>
      <c r="AD53" s="11"/>
      <c r="AY53" s="76" t="s">
        <v>438</v>
      </c>
      <c r="AZ53" s="354"/>
      <c r="BI53" s="17" t="str">
        <f t="shared" si="10"/>
        <v/>
      </c>
      <c r="BJ53" s="348"/>
    </row>
    <row r="54" spans="1:62" ht="16" thickBot="1" x14ac:dyDescent="0.25">
      <c r="B54" s="342"/>
      <c r="C54" s="348"/>
      <c r="AA54" s="11"/>
      <c r="AB54" s="85"/>
      <c r="AC54" s="42"/>
      <c r="AD54" s="11"/>
      <c r="AY54" s="24" t="s">
        <v>439</v>
      </c>
      <c r="AZ54" s="346"/>
      <c r="BI54" s="17" t="str">
        <f t="shared" si="10"/>
        <v/>
      </c>
      <c r="BJ54" s="348"/>
    </row>
    <row r="55" spans="1:62" ht="17" thickTop="1" thickBot="1" x14ac:dyDescent="0.25">
      <c r="B55" s="349"/>
      <c r="C55" s="350"/>
      <c r="AA55" s="11"/>
      <c r="AB55" s="88" t="e">
        <f>MAX(SUM(AB48:AB54)-SUM(AC48:AC54),0)</f>
        <v>#N/A</v>
      </c>
      <c r="AC55" s="89" t="e">
        <f>MAX(SUM(AC48:AC54)-SUM(AB48:AB54),0)</f>
        <v>#N/A</v>
      </c>
      <c r="AD55" s="11"/>
      <c r="BI55" s="91" t="str">
        <f t="shared" si="10"/>
        <v/>
      </c>
      <c r="BJ55" s="350"/>
    </row>
    <row r="56" spans="1:62" ht="16" thickTop="1" x14ac:dyDescent="0.2">
      <c r="B56" s="53" t="s">
        <v>440</v>
      </c>
      <c r="C56" s="49">
        <f>SUBTOTAL(9,C46:C55)</f>
        <v>0</v>
      </c>
      <c r="AY56" s="72" t="s">
        <v>433</v>
      </c>
      <c r="AZ56" s="71"/>
      <c r="BI56" s="53" t="s">
        <v>440</v>
      </c>
      <c r="BJ56" s="49">
        <f>SUBTOTAL(9,BJ46:BJ55)</f>
        <v>0</v>
      </c>
    </row>
    <row r="57" spans="1:62" x14ac:dyDescent="0.2">
      <c r="B57" s="56" t="s">
        <v>297</v>
      </c>
      <c r="C57" s="49">
        <f>SUBTOTAL(9,C34:C56)</f>
        <v>0</v>
      </c>
      <c r="AA57" s="43"/>
      <c r="AC57" s="103" t="e">
        <f>_xlfn.XLOOKUP(AB58,Equity[Name],Equity[BalType])</f>
        <v>#N/A</v>
      </c>
      <c r="AD57" s="43"/>
      <c r="AY57" s="17" t="str">
        <f>IF(ISBLANK(AL42),"",AL42)</f>
        <v/>
      </c>
      <c r="AZ57" s="82" t="str">
        <f t="shared" ref="AZ57:AZ61" si="11">IF(ISBLANK(AM42),"",AM42)</f>
        <v/>
      </c>
      <c r="BI57" s="56" t="s">
        <v>297</v>
      </c>
      <c r="BJ57" s="49">
        <f>SUBTOTAL(9,BJ34:BJ56)</f>
        <v>0</v>
      </c>
    </row>
    <row r="58" spans="1:62" ht="16" thickBot="1" x14ac:dyDescent="0.25">
      <c r="B58" s="395" t="s">
        <v>365</v>
      </c>
      <c r="C58" s="394"/>
      <c r="AA58" s="43"/>
      <c r="AB58" s="44" t="str">
        <f>_xlfn.XLOOKUP(Y8,Equity[Abbr],Equity[Name],"NA")</f>
        <v>NA</v>
      </c>
      <c r="AC58" s="44"/>
      <c r="AD58" s="43"/>
      <c r="AY58" s="17" t="str">
        <f t="shared" ref="AY58:AY61" si="12">IF(ISBLANK(AL43),"",AL43)</f>
        <v/>
      </c>
      <c r="AZ58" s="82" t="str">
        <f t="shared" si="11"/>
        <v/>
      </c>
      <c r="BI58" s="57" t="s">
        <v>365</v>
      </c>
      <c r="BJ58" s="29"/>
    </row>
    <row r="59" spans="1:62" ht="16" thickTop="1" x14ac:dyDescent="0.2">
      <c r="A59" s="199" t="str">
        <f>_xlfn.XLOOKUP(B59,Equity[Name],Equity[Abbr],"")</f>
        <v/>
      </c>
      <c r="B59" s="342"/>
      <c r="C59" s="347"/>
      <c r="AA59" s="43"/>
      <c r="AB59" s="90" t="e">
        <f>IF(_xlfn.XLOOKUP(AB58,BegBalSht[Account],BegBalSht[Amount])&lt;0,-_xlfn.XLOOKUP(AB58,BegBalSht[Account],BegBalSht[Amount]),0)</f>
        <v>#N/A</v>
      </c>
      <c r="AC59" s="42" t="e">
        <f>IF(_xlfn.XLOOKUP(AB58,BegBalSht[Account],BegBalSht[Amount])&gt;0,_xlfn.XLOOKUP(AB58,BegBalSht[Account],BegBalSht[Amount]),0)</f>
        <v>#N/A</v>
      </c>
      <c r="AD59" s="43"/>
      <c r="AY59" s="17" t="str">
        <f t="shared" si="12"/>
        <v/>
      </c>
      <c r="AZ59" s="82" t="str">
        <f t="shared" si="11"/>
        <v/>
      </c>
      <c r="BI59" s="17" t="str">
        <f>IF(ISBLANK(B59),"",B59)</f>
        <v/>
      </c>
      <c r="BJ59" s="347"/>
    </row>
    <row r="60" spans="1:62" x14ac:dyDescent="0.2">
      <c r="A60" s="199" t="str">
        <f>_xlfn.XLOOKUP(B60,Equity[Name],Equity[Abbr],"")</f>
        <v/>
      </c>
      <c r="B60" s="342"/>
      <c r="C60" s="348"/>
      <c r="AA60" s="11" t="e" cm="1">
        <f t="array" ref="AA60">_xlfn.IFS(AC57="Debit","BB",AND(AC57="Either",_xlfn.XLOOKUP(AB58,BegBalSht[Account],BegBalSht[Amount],0)&lt;0),"BB",TRUE,"")</f>
        <v>#N/A</v>
      </c>
      <c r="AB60" s="85" t="str" cm="1">
        <f t="array" ref="AB60">_xlfn._xlws.FILTER(Journal[DrAmt],Journal[DrAccnt]=AB58,"")</f>
        <v/>
      </c>
      <c r="AC60" s="42" t="str" cm="1">
        <f t="array" ref="AC60">_xlfn._xlws.FILTER(Journal[CrAmt],Journal[CrAccnt]=AB58,"")</f>
        <v/>
      </c>
      <c r="AD60" s="11" t="e" cm="1">
        <f t="array" ref="AD60">_xlfn.IFS(AC57="Credit","BB",AND(AC57="Either",_xlfn.XLOOKUP(AB58,BegBalSht[Account],BegBalSht[Amount],0)&gt;=0),"BB",TRUE,"")</f>
        <v>#N/A</v>
      </c>
      <c r="AY60" s="17" t="str">
        <f t="shared" si="12"/>
        <v/>
      </c>
      <c r="AZ60" s="82" t="str">
        <f t="shared" si="11"/>
        <v/>
      </c>
      <c r="BI60" s="17" t="str">
        <f t="shared" ref="BI60" si="13">IF(ISBLANK(B60),"",B60)</f>
        <v/>
      </c>
      <c r="BJ60" s="348"/>
    </row>
    <row r="61" spans="1:62" ht="16" thickBot="1" x14ac:dyDescent="0.25">
      <c r="A61" s="199" t="str">
        <f>_xlfn.XLOOKUP(B61,Equity[Name],Equity[Abbr],"")</f>
        <v/>
      </c>
      <c r="B61" s="342"/>
      <c r="C61" s="348"/>
      <c r="AA61" s="11" t="str" cm="1">
        <f t="array" ref="AA61">_xlfn._xlws.FILTER(Journal[ref2],Journal[DrAccnt]=AB58,"")</f>
        <v/>
      </c>
      <c r="AB61" s="85"/>
      <c r="AC61" s="42"/>
      <c r="AD61" s="11" t="str" cm="1">
        <f t="array" ref="AD61">_xlfn._xlws.FILTER(Journal[ref2],Journal[CrAccnt]=AB58,"")</f>
        <v/>
      </c>
      <c r="AY61" s="24" t="str">
        <f t="shared" si="12"/>
        <v/>
      </c>
      <c r="AZ61" s="83" t="str">
        <f t="shared" si="11"/>
        <v/>
      </c>
      <c r="BI61" s="17"/>
      <c r="BJ61" s="348"/>
    </row>
    <row r="62" spans="1:62" x14ac:dyDescent="0.2">
      <c r="A62" s="199" t="str">
        <f>_xlfn.XLOOKUP(B62,Equity[Name],Equity[Abbr],"")</f>
        <v/>
      </c>
      <c r="B62" s="342"/>
      <c r="C62" s="348"/>
      <c r="AA62" s="11"/>
      <c r="AB62" s="85"/>
      <c r="AC62" s="42"/>
      <c r="AD62" s="11"/>
      <c r="BI62" s="17" t="str">
        <f>IF(ISBLANK(B61),"",B61)</f>
        <v/>
      </c>
      <c r="BJ62" s="348"/>
    </row>
    <row r="63" spans="1:62" x14ac:dyDescent="0.2">
      <c r="A63" s="199" t="str">
        <f>_xlfn.XLOOKUP(B63,Equity[Name],Equity[Abbr],"")</f>
        <v/>
      </c>
      <c r="B63" s="342"/>
      <c r="C63" s="348"/>
      <c r="AA63" s="11"/>
      <c r="AB63" s="85"/>
      <c r="AC63" s="42"/>
      <c r="AD63" s="11"/>
      <c r="BI63" s="17" t="str">
        <f>IF(ISBLANK(B62),"",B62)</f>
        <v/>
      </c>
      <c r="BJ63" s="348"/>
    </row>
    <row r="64" spans="1:62" x14ac:dyDescent="0.2">
      <c r="A64" s="199" t="str">
        <f>_xlfn.XLOOKUP(B64,Equity[Name],Equity[Abbr],"")</f>
        <v/>
      </c>
      <c r="B64" s="342"/>
      <c r="C64" s="348"/>
      <c r="AA64" s="11"/>
      <c r="AB64" s="85"/>
      <c r="AC64" s="42"/>
      <c r="AD64" s="11"/>
      <c r="BI64" s="17" t="str">
        <f>IF(ISBLANK(B64),"",B64)</f>
        <v/>
      </c>
      <c r="BJ64" s="348"/>
    </row>
    <row r="65" spans="1:62" ht="16" thickBot="1" x14ac:dyDescent="0.25">
      <c r="A65" s="199" t="str">
        <f>_xlfn.XLOOKUP(B65,Equity[Name],Equity[Abbr],"")</f>
        <v/>
      </c>
      <c r="B65" s="349"/>
      <c r="C65" s="350"/>
      <c r="AA65" s="11"/>
      <c r="AB65" s="85"/>
      <c r="AC65" s="42"/>
      <c r="AD65" s="11"/>
      <c r="BI65" s="91" t="str">
        <f>IF(ISBLANK(B65),"",B65)</f>
        <v/>
      </c>
      <c r="BJ65" s="350"/>
    </row>
    <row r="66" spans="1:62" ht="17" thickTop="1" thickBot="1" x14ac:dyDescent="0.25">
      <c r="B66" s="56" t="s">
        <v>298</v>
      </c>
      <c r="C66" s="49">
        <f>SUBTOTAL(9,C59:C65)</f>
        <v>0</v>
      </c>
      <c r="AA66" s="11"/>
      <c r="AB66" s="88" t="e">
        <f>MAX(SUM(AB59:AB65)-SUM(AC59:AC65),0)</f>
        <v>#N/A</v>
      </c>
      <c r="AC66" s="89" t="e">
        <f>MAX(SUM(AC59:AC65)-SUM(AB59:AB65),0)</f>
        <v>#N/A</v>
      </c>
      <c r="AD66" s="11"/>
      <c r="BI66" s="56" t="s">
        <v>298</v>
      </c>
      <c r="BJ66" s="49">
        <f>SUBTOTAL(9,BJ59:BJ65)</f>
        <v>0</v>
      </c>
    </row>
    <row r="67" spans="1:62" ht="17" thickTop="1" thickBot="1" x14ac:dyDescent="0.25">
      <c r="B67" s="58" t="s">
        <v>441</v>
      </c>
      <c r="C67" s="50">
        <f>SUBTOTAL(9,C34:C66)</f>
        <v>0</v>
      </c>
      <c r="BI67" s="58" t="s">
        <v>441</v>
      </c>
      <c r="BJ67" s="50">
        <f>SUBTOTAL(9,BJ34:BJ66)</f>
        <v>0</v>
      </c>
    </row>
    <row r="68" spans="1:62" ht="16" thickBot="1" x14ac:dyDescent="0.25">
      <c r="B68" s="24"/>
      <c r="C68" s="25"/>
      <c r="BI68" s="24"/>
      <c r="BJ68" s="25"/>
    </row>
  </sheetData>
  <sheetProtection formatColumns="0"/>
  <conditionalFormatting sqref="AF9:AI10">
    <cfRule type="cellIs" dxfId="488" priority="56" operator="equal">
      <formula>0</formula>
    </cfRule>
    <cfRule type="expression" dxfId="487" priority="57">
      <formula>OR(NOT(ISBLANK($AF9)),NOT(ISBLANK($AG9)))</formula>
    </cfRule>
  </conditionalFormatting>
  <conditionalFormatting sqref="AA57:AD66">
    <cfRule type="expression" dxfId="486" priority="25">
      <formula>$AB$58="NA"</formula>
    </cfRule>
  </conditionalFormatting>
  <conditionalFormatting sqref="AA46:AD55">
    <cfRule type="expression" dxfId="485" priority="24">
      <formula>$AB$47="NA"</formula>
    </cfRule>
  </conditionalFormatting>
  <conditionalFormatting sqref="AA35:AD44">
    <cfRule type="expression" dxfId="484" priority="23">
      <formula>$AB$36="NA"</formula>
    </cfRule>
  </conditionalFormatting>
  <conditionalFormatting sqref="AA24:AD33">
    <cfRule type="expression" dxfId="483" priority="22">
      <formula>$AB$25="NA"</formula>
    </cfRule>
  </conditionalFormatting>
  <conditionalFormatting sqref="AA13:AD22">
    <cfRule type="expression" dxfId="482" priority="21">
      <formula>$AB$14="NA"</formula>
    </cfRule>
  </conditionalFormatting>
  <conditionalFormatting sqref="AA3:AD11">
    <cfRule type="expression" dxfId="481" priority="20">
      <formula>$AB$3="NA"</formula>
    </cfRule>
  </conditionalFormatting>
  <conditionalFormatting sqref="AW12:AW24">
    <cfRule type="cellIs" dxfId="480" priority="19" operator="equal">
      <formula>0</formula>
    </cfRule>
  </conditionalFormatting>
  <conditionalFormatting sqref="M3:P22">
    <cfRule type="cellIs" dxfId="479" priority="52" operator="equal">
      <formula>0</formula>
    </cfRule>
    <cfRule type="expression" dxfId="478" priority="53">
      <formula>OR(NOT(ISBLANK($M3)),NOT(ISBLANK($N3)))</formula>
    </cfRule>
  </conditionalFormatting>
  <conditionalFormatting sqref="BB7:BB14">
    <cfRule type="expression" dxfId="477" priority="8">
      <formula>ROUND(BC7,2)&lt;&gt;0</formula>
    </cfRule>
  </conditionalFormatting>
  <conditionalFormatting sqref="BE7:BE14">
    <cfRule type="expression" dxfId="476" priority="7">
      <formula>ROUND(BD7,2)&lt;&gt;0</formula>
    </cfRule>
  </conditionalFormatting>
  <conditionalFormatting sqref="BE5">
    <cfRule type="expression" dxfId="475" priority="6">
      <formula>ROUND(BD5,2)&lt;&gt;0</formula>
    </cfRule>
  </conditionalFormatting>
  <conditionalFormatting sqref="BB5">
    <cfRule type="expression" dxfId="474" priority="5">
      <formula>ROUND(BC5,2)&lt;&gt;0</formula>
    </cfRule>
  </conditionalFormatting>
  <conditionalFormatting sqref="BB15:BB47">
    <cfRule type="expression" dxfId="473" priority="4">
      <formula>ROUND(BC15,2)&lt;&gt;0</formula>
    </cfRule>
  </conditionalFormatting>
  <conditionalFormatting sqref="BE15:BE47">
    <cfRule type="expression" dxfId="472" priority="3">
      <formula>ROUND(BD15,2)&lt;&gt;0</formula>
    </cfRule>
  </conditionalFormatting>
  <conditionalFormatting sqref="AF11:AI23">
    <cfRule type="cellIs" dxfId="471" priority="176" operator="equal">
      <formula>0</formula>
    </cfRule>
    <cfRule type="expression" dxfId="470" priority="177">
      <formula>OR(NOT(ISBLANK($AE13)),NOT(ISBLANK($AF11)))</formula>
    </cfRule>
  </conditionalFormatting>
  <conditionalFormatting sqref="B2:C4">
    <cfRule type="expression" dxfId="469" priority="2">
      <formula>ROUND($C$31,2)&lt;&gt;ROUND($C$67,2)</formula>
    </cfRule>
  </conditionalFormatting>
  <conditionalFormatting sqref="BI2:BJ4">
    <cfRule type="expression" dxfId="468" priority="186">
      <formula>ROUND($BJ$31,2)&lt;&gt;ROUND($BJ$67,2)</formula>
    </cfRule>
  </conditionalFormatting>
  <conditionalFormatting sqref="AS10:AV24">
    <cfRule type="expression" dxfId="467" priority="225">
      <formula>AND(OR(NOT(ISBLANK($AS10)),NOT(ISBLANK($AT10))),#REF!="Financing")</formula>
    </cfRule>
    <cfRule type="expression" dxfId="466" priority="226">
      <formula>AND(OR(NOT(ISBLANK($AS10)),NOT(ISBLANK($AT10))),#REF!="Investing")</formula>
    </cfRule>
    <cfRule type="expression" dxfId="465" priority="227">
      <formula>AND(OR(NOT(ISBLANK($AS10)),NOT(ISBLANK($AT10))),#REF!="Operating")</formula>
    </cfRule>
    <cfRule type="cellIs" dxfId="464" priority="228" operator="equal">
      <formula>0</formula>
    </cfRule>
  </conditionalFormatting>
  <dataValidations disablePrompts="1" count="3">
    <dataValidation type="list" allowBlank="1" showInputMessage="1" showErrorMessage="1" sqref="F3 BM3" xr:uid="{58F0B409-6679-4459-95D4-B0395F84E12B}">
      <formula1>"Asset,Liability,Equity"</formula1>
    </dataValidation>
    <dataValidation type="list" allowBlank="1" showInputMessage="1" showErrorMessage="1" sqref="F4" xr:uid="{5C48C330-F702-4176-8871-39BD17647849}">
      <formula1>INDIRECT($E$1)</formula1>
    </dataValidation>
    <dataValidation type="list" allowBlank="1" showInputMessage="1" showErrorMessage="1" sqref="BM4" xr:uid="{FE65ACAA-045E-4A97-877F-57C0B038A817}">
      <formula1>INDIRECT($BL$1)</formula1>
    </dataValidation>
  </dataValidations>
  <hyperlinks>
    <hyperlink ref="BB2:BE2" location="Indirect_CFO_Worksheet_Tool!A1" display="Indirect Method Tool: Worksheet CFO" xr:uid="{904E1527-4A66-41BF-BE8D-66A2348E62F8}"/>
  </hyperlinks>
  <pageMargins left="0.7" right="0.7" top="0.75" bottom="0.75" header="0.3" footer="0.3"/>
  <pageSetup orientation="portrait" r:id="rId1"/>
  <ignoredErrors>
    <ignoredError sqref="AA15:AD15 AC13 AA4:AD4 AC1 AA64:AD66 AC62:AD62 AB63:AD63 AA30:AD60 AC29:AD29 AC28:AD28 AA7:AD11 AA6:AB6 AA18:AD27 AA17:AB17 AA61 AC61:AD61 AB5:AC5 AB16:AC16" evalError="1"/>
  </ignoredErrors>
  <extLst>
    <ext xmlns:x14="http://schemas.microsoft.com/office/spreadsheetml/2009/9/main" uri="{CCE6A557-97BC-4b89-ADB6-D9C93CAAB3DF}">
      <x14:dataValidations xmlns:xm="http://schemas.microsoft.com/office/excel/2006/main" disablePrompts="1" count="7">
        <x14:dataValidation type="list" allowBlank="1" showInputMessage="1" showErrorMessage="1" xr:uid="{DDE1FBE3-B981-4FB6-B7B4-D67E91F6428E}">
          <x14:formula1>
            <xm:f>INDIRECT(AccountData!$A$18)</xm:f>
          </x14:formula1>
          <xm:sqref>B8:B17 BI20:BI29 BI8:BI17 B20:B29</xm:sqref>
        </x14:dataValidation>
        <x14:dataValidation type="list" allowBlank="1" showInputMessage="1" showErrorMessage="1" xr:uid="{32E76C00-3030-4E3E-9D7B-A4A99610E058}">
          <x14:formula1>
            <xm:f>INDIRECT(AccountData!$A$38)</xm:f>
          </x14:formula1>
          <xm:sqref>B34:B43 BI46:BI55 BI34:BI43 B46:B55</xm:sqref>
        </x14:dataValidation>
        <x14:dataValidation type="list" allowBlank="1" showInputMessage="1" showErrorMessage="1" xr:uid="{C3B2650F-305C-45AB-8511-598DA2C3F4F6}">
          <x14:formula1>
            <xm:f>INDIRECT(AccountData!$A$56)</xm:f>
          </x14:formula1>
          <xm:sqref>B59:B65 BI59:BI65</xm:sqref>
        </x14:dataValidation>
        <x14:dataValidation type="list" allowBlank="1" showInputMessage="1" showErrorMessage="1" xr:uid="{1CD50FED-5FF6-44BD-BB93-4F8B23B1618E}">
          <x14:formula1>
            <xm:f>INDIRECT(AccountData!$B$56)</xm:f>
          </x14:formula1>
          <xm:sqref>T8:Y8</xm:sqref>
        </x14:dataValidation>
        <x14:dataValidation type="list" allowBlank="1" showInputMessage="1" showErrorMessage="1" xr:uid="{C0990669-D2D2-4D4F-A9AC-6668A9C965E5}">
          <x14:formula1>
            <xm:f>INDIRECT(AccountData!$H$23)</xm:f>
          </x14:formula1>
          <xm:sqref>J14:J21</xm:sqref>
        </x14:dataValidation>
        <x14:dataValidation type="list" allowBlank="1" showInputMessage="1" showErrorMessage="1" xr:uid="{71FB4112-A25B-434F-8CD7-86366EB1341D}">
          <x14:formula1>
            <xm:f>INDIRECT(AccountData!$H$8)</xm:f>
          </x14:formula1>
          <xm:sqref>J8:J11</xm:sqref>
        </x14:dataValidation>
        <x14:dataValidation type="list" allowBlank="1" showInputMessage="1" showErrorMessage="1" xr:uid="{628E06E5-441B-4893-B62E-9E4D572E6F7F}">
          <x14:formula1>
            <xm:f>INDIRECT(Trans_Events_Data!$A$53)</xm:f>
          </x14:formula1>
          <xm:sqref>AE3 AR3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B8663-D0F9-414A-90B9-D798DC969004}">
  <sheetPr>
    <tabColor theme="4" tint="0.39997558519241921"/>
  </sheetPr>
  <dimension ref="A1:BH68"/>
  <sheetViews>
    <sheetView topLeftCell="A3" workbookViewId="0">
      <selection activeCell="AX17" sqref="AX17"/>
    </sheetView>
  </sheetViews>
  <sheetFormatPr baseColWidth="10" defaultColWidth="8.83203125" defaultRowHeight="15" outlineLevelCol="2" x14ac:dyDescent="0.2"/>
  <cols>
    <col min="2" max="2" width="29.6640625" hidden="1" customWidth="1" outlineLevel="1"/>
    <col min="3" max="3" width="8.83203125" hidden="1" customWidth="1" outlineLevel="1"/>
    <col min="4" max="4" width="13.6640625" customWidth="1" collapsed="1"/>
    <col min="5" max="5" width="37.5" hidden="1" customWidth="1" outlineLevel="1"/>
    <col min="6" max="6" width="8.83203125" hidden="1" customWidth="1" outlineLevel="1"/>
    <col min="7" max="7" width="8.83203125" hidden="1" customWidth="1" outlineLevel="2"/>
    <col min="8" max="9" width="37.5" hidden="1" customWidth="1" outlineLevel="2"/>
    <col min="10" max="11" width="8.83203125" hidden="1" customWidth="1" outlineLevel="2"/>
    <col min="12" max="12" width="8.83203125" hidden="1" customWidth="1" outlineLevel="1" collapsed="1"/>
    <col min="13" max="13" width="16.5" customWidth="1" collapsed="1"/>
    <col min="14" max="14" width="23.5" hidden="1" customWidth="1" outlineLevel="1"/>
    <col min="15" max="21" width="8.83203125" hidden="1" customWidth="1" outlineLevel="1"/>
    <col min="22" max="22" width="8.83203125" hidden="1" customWidth="1" outlineLevel="2"/>
    <col min="23" max="23" width="16.33203125" hidden="1" customWidth="1" outlineLevel="2"/>
    <col min="24" max="24" width="18.5" hidden="1" customWidth="1" outlineLevel="2"/>
    <col min="25" max="25" width="8.83203125" hidden="1" customWidth="1" outlineLevel="2"/>
    <col min="26" max="26" width="4.83203125" hidden="1" customWidth="1" outlineLevel="2"/>
    <col min="27" max="28" width="37.5" hidden="1" customWidth="1" outlineLevel="2"/>
    <col min="29" max="30" width="8.83203125" hidden="1" customWidth="1" outlineLevel="2"/>
    <col min="31" max="31" width="8.83203125" hidden="1" customWidth="1" outlineLevel="1"/>
    <col min="32" max="32" width="23.6640625" bestFit="1" customWidth="1" collapsed="1"/>
    <col min="33" max="33" width="38.6640625" hidden="1" customWidth="1" outlineLevel="1"/>
    <col min="34" max="34" width="8.83203125" hidden="1" customWidth="1" outlineLevel="1"/>
    <col min="35" max="35" width="5.5" hidden="1" customWidth="1" outlineLevel="2"/>
    <col min="36" max="37" width="22.33203125" hidden="1" customWidth="1" outlineLevel="2"/>
    <col min="38" max="38" width="5.5" hidden="1" customWidth="1" outlineLevel="2"/>
    <col min="39" max="39" width="4.83203125" hidden="1" customWidth="1" outlineLevel="2"/>
    <col min="40" max="41" width="37.5" hidden="1" customWidth="1" outlineLevel="2"/>
    <col min="42" max="43" width="8.83203125" hidden="1" customWidth="1" outlineLevel="2"/>
    <col min="44" max="44" width="8.6640625" hidden="1" customWidth="1" outlineLevel="1"/>
    <col min="45" max="45" width="25.83203125" bestFit="1" customWidth="1" collapsed="1"/>
    <col min="46" max="46" width="39.1640625" customWidth="1" outlineLevel="1"/>
    <col min="47" max="47" width="8.83203125" customWidth="1" outlineLevel="1"/>
    <col min="48" max="48" width="5.5" hidden="1" customWidth="1" outlineLevel="2"/>
    <col min="49" max="49" width="11" hidden="1" customWidth="1" outlineLevel="2"/>
    <col min="50" max="51" width="22.33203125" hidden="1" customWidth="1" outlineLevel="2"/>
    <col min="52" max="52" width="12.1640625" hidden="1" customWidth="1" outlineLevel="2"/>
    <col min="53" max="53" width="5.5" hidden="1" customWidth="1" outlineLevel="2"/>
    <col min="54" max="54" width="9.1640625" customWidth="1" outlineLevel="1" collapsed="1"/>
    <col min="55" max="55" width="27.33203125" bestFit="1" customWidth="1"/>
    <col min="56" max="56" width="29.6640625" hidden="1" customWidth="1" outlineLevel="1"/>
    <col min="57" max="57" width="8.83203125" hidden="1" customWidth="1" outlineLevel="1"/>
    <col min="58" max="58" width="14" bestFit="1" customWidth="1" collapsed="1"/>
    <col min="59" max="60" width="9.1640625" hidden="1" customWidth="1"/>
  </cols>
  <sheetData>
    <row r="1" spans="1:60" ht="16" thickBot="1" x14ac:dyDescent="0.25">
      <c r="A1" t="s">
        <v>442</v>
      </c>
      <c r="D1" s="5" t="s">
        <v>379</v>
      </c>
      <c r="L1" s="59" t="s">
        <v>380</v>
      </c>
      <c r="M1" s="5" t="s">
        <v>381</v>
      </c>
      <c r="V1" s="43"/>
      <c r="X1" s="103" t="e">
        <f>_xlfn.XLOOKUP(W3,Equity[Name],Equity[BalType])</f>
        <v>#N/A</v>
      </c>
      <c r="Y1" s="43"/>
      <c r="AE1" s="59" t="s">
        <v>382</v>
      </c>
      <c r="AF1" s="5" t="s">
        <v>383</v>
      </c>
      <c r="AJ1" s="103" t="str">
        <f>AK3&amp;"[Name]"</f>
        <v>Asset[Name]</v>
      </c>
      <c r="AK1" s="103" t="str">
        <f>_xlfn.XLOOKUP(AK4,BegBalSht[Account],BegBalSht[BalType])</f>
        <v>Debit</v>
      </c>
      <c r="AR1" s="60" t="s">
        <v>384</v>
      </c>
      <c r="AS1" s="5" t="s">
        <v>385</v>
      </c>
      <c r="BB1" s="60" t="s">
        <v>386</v>
      </c>
      <c r="BC1" s="5" t="s">
        <v>387</v>
      </c>
      <c r="BF1" s="5" t="s">
        <v>388</v>
      </c>
    </row>
    <row r="2" spans="1:60" x14ac:dyDescent="0.2">
      <c r="B2" s="377">
        <f>Entity</f>
        <v>0</v>
      </c>
      <c r="C2" s="378"/>
      <c r="E2" s="383">
        <f>Entity</f>
        <v>0</v>
      </c>
      <c r="F2" s="384"/>
      <c r="N2" s="383">
        <f>Entity</f>
        <v>0</v>
      </c>
      <c r="O2" s="389"/>
      <c r="P2" s="389"/>
      <c r="Q2" s="389"/>
      <c r="R2" s="389"/>
      <c r="S2" s="389"/>
      <c r="T2" s="389"/>
      <c r="U2" s="384"/>
      <c r="V2" s="43"/>
      <c r="W2" s="12" t="s">
        <v>443</v>
      </c>
      <c r="X2" s="13"/>
      <c r="Y2" s="43"/>
      <c r="AA2" s="12" t="s">
        <v>392</v>
      </c>
      <c r="AB2" s="12"/>
      <c r="AC2" s="12"/>
      <c r="AD2" s="12"/>
      <c r="AG2" s="383">
        <f>Entity</f>
        <v>0</v>
      </c>
      <c r="AH2" s="384"/>
      <c r="AJ2" s="12" t="s">
        <v>393</v>
      </c>
      <c r="AK2" s="13"/>
      <c r="AN2" s="12" t="s">
        <v>394</v>
      </c>
      <c r="AO2" s="12"/>
      <c r="AP2" s="12"/>
      <c r="AQ2" s="12"/>
      <c r="AR2" s="60"/>
      <c r="AT2" s="383">
        <f>Entity</f>
        <v>0</v>
      </c>
      <c r="AU2" s="384"/>
      <c r="AW2" s="333" t="s">
        <v>395</v>
      </c>
      <c r="AX2" s="333"/>
      <c r="AY2" s="333"/>
      <c r="AZ2" s="333"/>
      <c r="BD2" s="377">
        <f>Entity</f>
        <v>0</v>
      </c>
      <c r="BE2" s="378"/>
    </row>
    <row r="3" spans="1:60" ht="16" thickBot="1" x14ac:dyDescent="0.25">
      <c r="B3" s="379" t="str">
        <f>"Balance Sheet as of "&amp;BegDate</f>
        <v xml:space="preserve">Balance Sheet as of </v>
      </c>
      <c r="C3" s="380"/>
      <c r="E3" s="385" t="s">
        <v>381</v>
      </c>
      <c r="F3" s="386"/>
      <c r="N3" s="385" t="s">
        <v>397</v>
      </c>
      <c r="O3" s="390"/>
      <c r="P3" s="390"/>
      <c r="Q3" s="390"/>
      <c r="R3" s="390"/>
      <c r="S3" s="390"/>
      <c r="T3" s="390"/>
      <c r="U3" s="386"/>
      <c r="V3" s="43"/>
      <c r="W3" s="44" t="str">
        <f>_xlfn.XLOOKUP(O8,Equity[Abbr],Equity[Name],"NA")</f>
        <v>NA</v>
      </c>
      <c r="X3" s="44"/>
      <c r="Y3" s="43"/>
      <c r="Z3" s="10">
        <v>1</v>
      </c>
      <c r="AA3" t="str">
        <f>FS2_1_Line1</f>
        <v>Sold BU for XXXXX</v>
      </c>
      <c r="AG3" s="385" t="s">
        <v>398</v>
      </c>
      <c r="AH3" s="386"/>
      <c r="AJ3" t="s">
        <v>396</v>
      </c>
      <c r="AK3" s="255" t="s">
        <v>154</v>
      </c>
      <c r="AM3" s="10">
        <v>1</v>
      </c>
      <c r="AN3" t="str">
        <f>FS2_2_Line1</f>
        <v>Sold BU for XXXXX</v>
      </c>
      <c r="AT3" s="385" t="s">
        <v>398</v>
      </c>
      <c r="AU3" s="386"/>
      <c r="AW3" s="11"/>
      <c r="AX3" s="3"/>
      <c r="AY3" s="3"/>
      <c r="AZ3" s="3"/>
      <c r="BD3" s="379" t="str">
        <f>"Balance Sheet as of "&amp;EndDate</f>
        <v xml:space="preserve">Balance Sheet as of </v>
      </c>
      <c r="BE3" s="380"/>
    </row>
    <row r="4" spans="1:60" ht="17" thickTop="1" thickBot="1" x14ac:dyDescent="0.25">
      <c r="B4" s="381" t="str">
        <f>"("&amp;Units&amp;")"</f>
        <v>()</v>
      </c>
      <c r="C4" s="382"/>
      <c r="E4" s="385" t="str">
        <f>"For the "&amp;Period&amp;" Ended "&amp;EndDate</f>
        <v xml:space="preserve">For the  Ended </v>
      </c>
      <c r="F4" s="386"/>
      <c r="N4" s="385" t="str">
        <f>"For the "&amp;Period&amp;" Ended "&amp;EndDate</f>
        <v xml:space="preserve">For the  Ended </v>
      </c>
      <c r="O4" s="390"/>
      <c r="P4" s="390"/>
      <c r="Q4" s="390"/>
      <c r="R4" s="390"/>
      <c r="S4" s="390"/>
      <c r="T4" s="390"/>
      <c r="U4" s="386"/>
      <c r="V4" s="11" t="e" cm="1">
        <f t="array" ref="V4">_xlfn.IFS(X1="Debit","BB",AND(X1="Either",_xlfn.XLOOKUP(W3,BegBalSht[Account],BegBalSht[Amount],0)&lt;0),"BB",TRUE,"")</f>
        <v>#N/A</v>
      </c>
      <c r="W4" s="90" t="e">
        <f>IF(_xlfn.XLOOKUP(W3,BegBalSht[Account],BegBalSht[Amount])&lt;0,-_xlfn.XLOOKUP(W3,BegBalSht[Account],BegBalSht[Amount]),0)</f>
        <v>#N/A</v>
      </c>
      <c r="X4" s="42" t="e">
        <f>IF(_xlfn.XLOOKUP(W3,BegBalSht[Account],BegBalSht[Amount])&gt;0,_xlfn.XLOOKUP(W3,BegBalSht[Account],BegBalSht[Amount]),0)</f>
        <v>#N/A</v>
      </c>
      <c r="Y4" s="11" t="e" cm="1">
        <f t="array" ref="Y4">_xlfn.IFS(X1="Credit","BB",AND(X1="Either",_xlfn.XLOOKUP(W3,BegBalSht[Account],BegBalSht[Amount],0)&gt;=0),"BB",TRUE,"")</f>
        <v>#N/A</v>
      </c>
      <c r="AA4" t="str">
        <f>FS2_1_Line2</f>
        <v/>
      </c>
      <c r="AG4" s="385" t="str">
        <f>"For the "&amp;Period&amp;" Ended "&amp;EndDate</f>
        <v xml:space="preserve">For the  Ended </v>
      </c>
      <c r="AH4" s="386"/>
      <c r="AJ4" t="s">
        <v>399</v>
      </c>
      <c r="AK4" s="255" t="s">
        <v>159</v>
      </c>
      <c r="AN4" t="str">
        <f>FS2_2_Line2</f>
        <v/>
      </c>
      <c r="AT4" s="385" t="str">
        <f>"For the "&amp;Period&amp;" Ended "&amp;EndDate</f>
        <v xml:space="preserve">For the  Ended </v>
      </c>
      <c r="AU4" s="386"/>
      <c r="AX4" s="253" t="s">
        <v>400</v>
      </c>
      <c r="AY4" s="244"/>
      <c r="BD4" s="381" t="str">
        <f>"("&amp;Units&amp;")"</f>
        <v>()</v>
      </c>
      <c r="BE4" s="382"/>
    </row>
    <row r="5" spans="1:60" ht="16" thickBot="1" x14ac:dyDescent="0.25">
      <c r="B5" s="28"/>
      <c r="C5" s="27"/>
      <c r="E5" s="387" t="str">
        <f>"("&amp;Units&amp;")"</f>
        <v>()</v>
      </c>
      <c r="F5" s="388"/>
      <c r="N5" s="387" t="str">
        <f>"("&amp;Units&amp;")"</f>
        <v>()</v>
      </c>
      <c r="O5" s="391"/>
      <c r="P5" s="391"/>
      <c r="Q5" s="391"/>
      <c r="R5" s="391"/>
      <c r="S5" s="391"/>
      <c r="T5" s="391"/>
      <c r="U5" s="388"/>
      <c r="V5" s="11" t="str" cm="1">
        <f t="array" ref="V5">_xlfn._xlws.FILTER(Journal[ref],Journal[DrAccnt]=W3,"")</f>
        <v/>
      </c>
      <c r="W5" s="85" t="str" cm="1">
        <f t="array" ref="W5">_xlfn._xlws.FILTER(Journal[DrAmt],Journal[DrAccnt]=W3,"")</f>
        <v/>
      </c>
      <c r="X5" s="42" t="str" cm="1">
        <f t="array" ref="X5">_xlfn._xlws.FILTER(Journal[CrAmt],Journal[CrAccnt]=W3,"")</f>
        <v/>
      </c>
      <c r="Y5" s="11" t="str" cm="1">
        <f t="array" ref="Y5">_xlfn._xlws.FILTER(Journal[ref],Journal[CrAccnt]=W3,"")</f>
        <v/>
      </c>
      <c r="AA5" t="str">
        <f>FS2_1_Line3</f>
        <v/>
      </c>
      <c r="AG5" s="387" t="str">
        <f>"("&amp;Units&amp;")"</f>
        <v>()</v>
      </c>
      <c r="AH5" s="388"/>
      <c r="AN5" t="str">
        <f>FS2_2_Line3</f>
        <v/>
      </c>
      <c r="AT5" s="387" t="str">
        <f>"("&amp;Units&amp;")"</f>
        <v>()</v>
      </c>
      <c r="AU5" s="388"/>
      <c r="AW5" s="33" t="s">
        <v>401</v>
      </c>
      <c r="AX5" s="257">
        <f>Indirect_CFO_Worksheet_Tool!P140</f>
        <v>5</v>
      </c>
      <c r="AY5" s="9">
        <f>Indirect_CFO_Worksheet_Tool!Q140</f>
        <v>0</v>
      </c>
      <c r="AZ5" s="33" t="s">
        <v>402</v>
      </c>
      <c r="BD5" s="28"/>
      <c r="BE5" s="27"/>
    </row>
    <row r="6" spans="1:60" ht="16" thickBot="1" x14ac:dyDescent="0.25">
      <c r="B6" s="26" t="s">
        <v>363</v>
      </c>
      <c r="C6" s="29"/>
      <c r="E6" s="17"/>
      <c r="F6" s="18"/>
      <c r="N6" s="16"/>
      <c r="O6" s="2"/>
      <c r="P6" s="2"/>
      <c r="Q6" s="2"/>
      <c r="R6" s="2"/>
      <c r="S6" s="2"/>
      <c r="T6" s="2"/>
      <c r="U6" s="15"/>
      <c r="V6" s="11"/>
      <c r="W6" s="85"/>
      <c r="X6" s="42"/>
      <c r="Y6" s="11"/>
      <c r="AA6" t="str">
        <f>FS2_1_Line4</f>
        <v/>
      </c>
      <c r="AG6" s="74"/>
      <c r="AH6" s="15"/>
      <c r="AI6" s="11"/>
      <c r="AJ6" s="44" t="str">
        <f>AK4</f>
        <v>Cash</v>
      </c>
      <c r="AK6" s="44"/>
      <c r="AL6" s="11"/>
      <c r="AN6" t="str">
        <f>FS2_2_Line4</f>
        <v/>
      </c>
      <c r="AT6" s="17"/>
      <c r="AU6" s="18"/>
      <c r="AX6" s="256" t="s">
        <v>403</v>
      </c>
      <c r="AY6" s="245"/>
      <c r="BD6" s="26" t="s">
        <v>363</v>
      </c>
      <c r="BE6" s="29"/>
    </row>
    <row r="7" spans="1:60" ht="16" thickTop="1" x14ac:dyDescent="0.2">
      <c r="B7" s="52" t="s">
        <v>404</v>
      </c>
      <c r="C7" s="46">
        <f>BegDate</f>
        <v>0</v>
      </c>
      <c r="E7" s="19" t="s">
        <v>405</v>
      </c>
      <c r="F7" s="18"/>
      <c r="H7" s="12" t="s">
        <v>390</v>
      </c>
      <c r="I7" s="12"/>
      <c r="J7" s="12"/>
      <c r="K7" s="12"/>
      <c r="N7" s="17"/>
      <c r="O7" s="61" t="s">
        <v>406</v>
      </c>
      <c r="P7" s="2"/>
      <c r="Q7" s="2"/>
      <c r="R7" s="2"/>
      <c r="S7" s="2"/>
      <c r="T7" s="2"/>
      <c r="U7" s="18"/>
      <c r="V7" s="11"/>
      <c r="W7" s="85"/>
      <c r="X7" s="42"/>
      <c r="Y7" s="11"/>
      <c r="AA7" t="str">
        <f>FS2_1_Line5</f>
        <v/>
      </c>
      <c r="AG7" s="19" t="s">
        <v>407</v>
      </c>
      <c r="AH7" s="18"/>
      <c r="AI7" s="45" t="str" cm="1">
        <f t="array" ref="AI7">_xlfn.IFS(AK1="Debit","BB",AND(AK1="Either",_xlfn.XLOOKUP(AK4,BegBalSht[Account],BegBalSht[Amount],0)&lt;0),"BB",TRUE,"")</f>
        <v>BB</v>
      </c>
      <c r="AJ7" s="84" cm="1">
        <f t="array" ref="AJ7">_xlfn.IFS(AK1="Debit",_xlfn._xlws.FILTER(BegBalSht[Amount],BegBalSht[Account]=AK4),AND(AK1="Either",_xlfn._xlws.FILTER(BegBalSht[Amount],BegBalSht[Account]=AK4)&lt;0),-_xlfn._xlws.FILTER(BegBalSht[Amount],BegBalSht[Account]=AK4,""),TRUE,0)</f>
        <v>0</v>
      </c>
      <c r="AK7" s="9" cm="1">
        <f t="array" ref="AK7">_xlfn.IFS(AK1="Credit",_xlfn._xlws.FILTER(BegBalSht[Amount],BegBalSht[Account]=AK4),AND(AK1="Either",_xlfn._xlws.FILTER(BegBalSht[Amount],BegBalSht[Account]=AK4)&gt;0),_xlfn._xlws.FILTER(BegBalSht[Amount],BegBalSht[Account]=AK4,""),TRUE,0)</f>
        <v>0</v>
      </c>
      <c r="AL7" s="45" t="str" cm="1">
        <f t="array" ref="AL7">_xlfn.IFS(AK1="Credit","BB",AND(AK1="Either",_xlfn.XLOOKUP(AK4,BegBalSht[Account],BegBalSht[Amount],0)&gt;=0),"BB",TRUE,"")</f>
        <v/>
      </c>
      <c r="AN7" t="str">
        <f>FS2_2_Line5</f>
        <v/>
      </c>
      <c r="AT7" s="19" t="s">
        <v>408</v>
      </c>
      <c r="AU7" s="18"/>
      <c r="AW7" s="1" t="str">
        <f>IF(ISBLANK(Indirect_CFO_Worksheet_Tool!O142),"",Indirect_CFO_Worksheet_Tool!O142)</f>
        <v/>
      </c>
      <c r="AX7" s="248" t="str">
        <f>IF(ISBLANK(Indirect_CFO_Worksheet_Tool!P142),"",Indirect_CFO_Worksheet_Tool!P142)</f>
        <v/>
      </c>
      <c r="AY7" s="42" t="str">
        <f>IF(ISBLANK(Indirect_CFO_Worksheet_Tool!Q142),"",Indirect_CFO_Worksheet_Tool!Q142)</f>
        <v/>
      </c>
      <c r="AZ7" s="1" t="str">
        <f>IF(ISBLANK(Indirect_CFO_Worksheet_Tool!R142),"",Indirect_CFO_Worksheet_Tool!R142)</f>
        <v/>
      </c>
      <c r="BD7" s="52" t="s">
        <v>404</v>
      </c>
      <c r="BE7" s="46">
        <f>EndDate</f>
        <v>0</v>
      </c>
      <c r="BG7" t="s">
        <v>301</v>
      </c>
      <c r="BH7" t="s">
        <v>302</v>
      </c>
    </row>
    <row r="8" spans="1:60" ht="16" thickBot="1" x14ac:dyDescent="0.25">
      <c r="B8" s="17" t="str" cm="1">
        <f t="array" ref="B8:B15">_xlfn._xlws.FILTER(Asset[Name],Asset[C/NC]="C")</f>
        <v>Cash</v>
      </c>
      <c r="C8" s="99">
        <f>IF(ISBLANK(B8),"",_xlfn.XLOOKUP(B8,BegBalSht[Account],BegBalSht[Amount]))</f>
        <v>0</v>
      </c>
      <c r="E8" s="70"/>
      <c r="F8" s="20"/>
      <c r="H8" t="str" cm="1">
        <f t="array" ref="H8">_xlfn._xlws.FILTER(Journal[DrAccnt],Journal[ref2]="CL","")</f>
        <v/>
      </c>
      <c r="I8" t="str" cm="1">
        <f t="array" ref="I8">_xlfn._xlws.FILTER(Journal[CrAccnt],Journal[ref2]="CL","")</f>
        <v/>
      </c>
      <c r="J8" t="str" cm="1">
        <f t="array" ref="J8">_xlfn._xlws.FILTER(Journal[DrAmt],Journal[ref2]="CL","")</f>
        <v/>
      </c>
      <c r="K8" t="str" cm="1">
        <f t="array" ref="K8">_xlfn._xlws.FILTER(Journal[CrAmt],Journal[ref2]="CL","")</f>
        <v/>
      </c>
      <c r="N8" s="17"/>
      <c r="O8" s="335"/>
      <c r="P8" s="335"/>
      <c r="Q8" s="335"/>
      <c r="R8" s="335"/>
      <c r="S8" s="335"/>
      <c r="T8" s="335"/>
      <c r="U8" s="63" t="s">
        <v>409</v>
      </c>
      <c r="V8" s="11"/>
      <c r="W8" s="85"/>
      <c r="X8" s="42"/>
      <c r="Y8" s="11"/>
      <c r="AG8" s="70"/>
      <c r="AH8" s="81"/>
      <c r="AI8" s="45" t="str" cm="1">
        <f t="array" ref="AI8">_xlfn._xlws.FILTER(Journal[ref],Journal[DrAccnt]=Financial_Statements_2!AJ6,"")</f>
        <v/>
      </c>
      <c r="AJ8" s="85" t="str" cm="1">
        <f t="array" ref="AJ8">_xlfn._xlws.FILTER(Journal[DrAmt],Journal[DrAccnt]=Financial_Statements_2!AJ6,"")</f>
        <v/>
      </c>
      <c r="AK8" s="42" t="str" cm="1">
        <f t="array" ref="AK8">_xlfn._xlws.FILTER(Journal[CrAmt],Journal[CrAccnt]=Financial_Statements_2!AJ6,"")</f>
        <v/>
      </c>
      <c r="AL8" s="45" t="str" cm="1">
        <f t="array" ref="AL8">_xlfn._xlws.FILTER(Journal[ref],Journal[CrAccnt]=Financial_Statements_2!AJ6,"")</f>
        <v/>
      </c>
      <c r="AQ8" t="str" cm="1">
        <f t="array" ref="AQ8">_xlfn._xlws.FILTER(Journal[CFS],Journal[ref]=$AM$3,"")</f>
        <v/>
      </c>
      <c r="AR8" s="11"/>
      <c r="AS8" s="11"/>
      <c r="AT8" s="17" t="s">
        <v>401</v>
      </c>
      <c r="AU8" s="80">
        <f>Net_Income</f>
        <v>5</v>
      </c>
      <c r="AV8" s="11"/>
      <c r="AW8" s="1" t="str">
        <f>IF(ISBLANK(Indirect_CFO_Worksheet_Tool!O143),"",Indirect_CFO_Worksheet_Tool!O143)</f>
        <v/>
      </c>
      <c r="AX8" s="143" t="str">
        <f>IF(ISBLANK(Indirect_CFO_Worksheet_Tool!P143),"",Indirect_CFO_Worksheet_Tool!P143)</f>
        <v/>
      </c>
      <c r="AY8" s="42" t="str">
        <f>IF(ISBLANK(Indirect_CFO_Worksheet_Tool!Q143),"",Indirect_CFO_Worksheet_Tool!Q143)</f>
        <v/>
      </c>
      <c r="AZ8" s="1" t="str">
        <f>IF(ISBLANK(Indirect_CFO_Worksheet_Tool!R143),"",Indirect_CFO_Worksheet_Tool!R143)</f>
        <v/>
      </c>
      <c r="BA8" s="11"/>
      <c r="BB8" s="11"/>
      <c r="BD8" s="17" t="str">
        <f t="shared" ref="BD8:BD17" si="0">IF(ISBLANK(B8),"",B8)</f>
        <v>Cash</v>
      </c>
      <c r="BE8" s="99">
        <f>IFERROR(C8+BG8-BH8,0)</f>
        <v>0</v>
      </c>
      <c r="BF8" s="1"/>
      <c r="BG8">
        <f>SUMIF(Journal[DrAccnt],Financial_Statements_2!BD8,Journal[DrAmt])</f>
        <v>0</v>
      </c>
      <c r="BH8">
        <f>SUMIF(Journal[CrAccnt],Financial_Statements_2!BD8,Journal[CrAmt])</f>
        <v>0</v>
      </c>
    </row>
    <row r="9" spans="1:60" x14ac:dyDescent="0.2">
      <c r="B9" s="17" t="str">
        <v>Accounts Receivable</v>
      </c>
      <c r="C9" s="100">
        <f>IF(ISBLANK(B9),"",_xlfn.XLOOKUP(B9,BegBalSht[Account],BegBalSht[Amount]))</f>
        <v>0</v>
      </c>
      <c r="E9" s="70"/>
      <c r="F9" s="20"/>
      <c r="N9" s="19" t="str">
        <f>"Balance as of "&amp;BegDate</f>
        <v xml:space="preserve">Balance as of </v>
      </c>
      <c r="O9" s="69">
        <f t="shared" ref="O9:T9" si="1">_xlfn.XLOOKUP(O8,$A59:$A65,$C59:$C65,0)</f>
        <v>0</v>
      </c>
      <c r="P9" s="69">
        <f t="shared" si="1"/>
        <v>0</v>
      </c>
      <c r="Q9" s="69">
        <f t="shared" si="1"/>
        <v>0</v>
      </c>
      <c r="R9" s="69">
        <f t="shared" si="1"/>
        <v>0</v>
      </c>
      <c r="S9" s="69">
        <f t="shared" si="1"/>
        <v>0</v>
      </c>
      <c r="T9" s="69">
        <f t="shared" si="1"/>
        <v>0</v>
      </c>
      <c r="U9" s="64">
        <f>SUM(O9:T9)</f>
        <v>0</v>
      </c>
      <c r="V9" s="11"/>
      <c r="W9" s="85"/>
      <c r="X9" s="42"/>
      <c r="Y9" s="11"/>
      <c r="AA9" s="12" t="s">
        <v>410</v>
      </c>
      <c r="AB9" s="12"/>
      <c r="AC9" s="12"/>
      <c r="AD9" s="12"/>
      <c r="AG9" s="70"/>
      <c r="AH9" s="48"/>
      <c r="AI9" s="45"/>
      <c r="AJ9" s="85"/>
      <c r="AK9" s="42"/>
      <c r="AL9" s="45"/>
      <c r="AN9" s="12" t="s">
        <v>444</v>
      </c>
      <c r="AO9" s="12"/>
      <c r="AP9" s="12"/>
      <c r="AQ9" s="12"/>
      <c r="AR9" s="45"/>
      <c r="AS9" s="45"/>
      <c r="AT9" s="75" t="s">
        <v>412</v>
      </c>
      <c r="AU9" s="18"/>
      <c r="AV9" s="45"/>
      <c r="AW9" s="1" t="str">
        <f>IF(ISBLANK(Indirect_CFO_Worksheet_Tool!O144),"",Indirect_CFO_Worksheet_Tool!O144)</f>
        <v/>
      </c>
      <c r="AX9" s="143" t="str">
        <f>IF(ISBLANK(Indirect_CFO_Worksheet_Tool!P144),"",Indirect_CFO_Worksheet_Tool!P144)</f>
        <v/>
      </c>
      <c r="AY9" s="42" t="str">
        <f>IF(ISBLANK(Indirect_CFO_Worksheet_Tool!Q144),"",Indirect_CFO_Worksheet_Tool!Q144)</f>
        <v/>
      </c>
      <c r="AZ9" s="1" t="str">
        <f>IF(ISBLANK(Indirect_CFO_Worksheet_Tool!R144),"",Indirect_CFO_Worksheet_Tool!R144)</f>
        <v/>
      </c>
      <c r="BA9" s="45"/>
      <c r="BB9" s="45"/>
      <c r="BD9" s="17" t="str">
        <f t="shared" si="0"/>
        <v>Accounts Receivable</v>
      </c>
      <c r="BE9" s="100">
        <f t="shared" ref="BE9:BE17" si="2">IFERROR(C9+BG9-BH9,0)</f>
        <v>0</v>
      </c>
      <c r="BF9" s="1"/>
      <c r="BG9">
        <f>SUMIF(Journal[DrAccnt],Financial_Statements_2!BD9,Journal[DrAmt])</f>
        <v>0</v>
      </c>
      <c r="BH9">
        <f>SUMIF(Journal[CrAccnt],Financial_Statements_2!BD9,Journal[CrAmt])</f>
        <v>0</v>
      </c>
    </row>
    <row r="10" spans="1:60" ht="16" thickBot="1" x14ac:dyDescent="0.25">
      <c r="B10" s="17" t="str">
        <v>Allowance for Doubtful Accounts</v>
      </c>
      <c r="C10" s="100">
        <f>IF(ISBLANK(B10),"",_xlfn.XLOOKUP(B10,BegBalSht[Account],BegBalSht[Amount]))</f>
        <v>0</v>
      </c>
      <c r="E10" s="70"/>
      <c r="F10" s="20"/>
      <c r="N10" s="70"/>
      <c r="O10" s="105"/>
      <c r="P10" s="105"/>
      <c r="Q10" s="105"/>
      <c r="R10" s="105"/>
      <c r="S10" s="105"/>
      <c r="T10" s="105"/>
      <c r="U10" s="65">
        <f t="shared" ref="U10:U17" si="3">SUM(O10:T10)</f>
        <v>0</v>
      </c>
      <c r="V10" s="11"/>
      <c r="W10" s="85"/>
      <c r="X10" s="42"/>
      <c r="Y10" s="11"/>
      <c r="AA10" t="str" cm="1">
        <f t="array" ref="AA10">_xlfn._xlws.FILTER(Journal[DrAccnt],Journal[ref]=$Z$3,"")</f>
        <v/>
      </c>
      <c r="AB10" t="str" cm="1">
        <f t="array" ref="AB10">_xlfn._xlws.FILTER(Journal[CrAccnt],Journal[ref]=$Z$3,"")</f>
        <v/>
      </c>
      <c r="AC10" t="str" cm="1">
        <f t="array" ref="AC10">_xlfn._xlws.FILTER(Journal[DrAmt],Journal[ref]=$Z$3,"")</f>
        <v/>
      </c>
      <c r="AD10" t="str" cm="1">
        <f t="array" ref="AD10">_xlfn._xlws.FILTER(Journal[CrAmt],Journal[ref]=$Z$3,"")</f>
        <v/>
      </c>
      <c r="AG10" s="70"/>
      <c r="AH10" s="48"/>
      <c r="AI10" s="45"/>
      <c r="AJ10" s="85"/>
      <c r="AK10" s="42"/>
      <c r="AL10" s="45"/>
      <c r="AN10" t="str" cm="1">
        <f t="array" ref="AN10">_xlfn._xlws.FILTER(Journal[DrAccnt],Journal[ref]=$AM$3,"")</f>
        <v/>
      </c>
      <c r="AO10" t="str" cm="1">
        <f t="array" ref="AO10">_xlfn._xlws.FILTER(Journal[CrAccnt],Journal[ref]=$AM$3,"")</f>
        <v/>
      </c>
      <c r="AP10" s="42" t="str" cm="1">
        <f t="array" ref="AP10">_xlfn._xlws.FILTER(Journal[DrAmt],Journal[ref]=$AM$3,"")</f>
        <v/>
      </c>
      <c r="AQ10" s="42" t="str" cm="1">
        <f t="array" ref="AQ10">_xlfn._xlws.FILTER(Journal[CrAmt],Journal[ref]=$AM$3,"")</f>
        <v/>
      </c>
      <c r="AR10" s="45"/>
      <c r="AS10" s="45"/>
      <c r="AT10" s="70"/>
      <c r="AU10" s="81"/>
      <c r="AV10" s="11"/>
      <c r="AW10" s="1" t="str">
        <f>IF(ISBLANK(Indirect_CFO_Worksheet_Tool!O145),"",Indirect_CFO_Worksheet_Tool!O145)</f>
        <v/>
      </c>
      <c r="AX10" s="143" t="str">
        <f>IF(ISBLANK(Indirect_CFO_Worksheet_Tool!P145),"",Indirect_CFO_Worksheet_Tool!P145)</f>
        <v/>
      </c>
      <c r="AY10" s="42" t="str">
        <f>IF(ISBLANK(Indirect_CFO_Worksheet_Tool!Q145),"",Indirect_CFO_Worksheet_Tool!Q145)</f>
        <v/>
      </c>
      <c r="AZ10" s="1" t="str">
        <f>IF(ISBLANK(Indirect_CFO_Worksheet_Tool!R145),"",Indirect_CFO_Worksheet_Tool!R145)</f>
        <v/>
      </c>
      <c r="BA10" s="11"/>
      <c r="BB10" s="45"/>
      <c r="BD10" s="17" t="str">
        <f t="shared" si="0"/>
        <v>Allowance for Doubtful Accounts</v>
      </c>
      <c r="BE10" s="100">
        <f t="shared" si="2"/>
        <v>0</v>
      </c>
      <c r="BF10" s="1"/>
      <c r="BG10">
        <f>SUMIF(Journal[DrAccnt],Financial_Statements_2!BD10,Journal[DrAmt])</f>
        <v>0</v>
      </c>
      <c r="BH10">
        <f>SUMIF(Journal[CrAccnt],Financial_Statements_2!BD10,Journal[CrAmt])</f>
        <v>0</v>
      </c>
    </row>
    <row r="11" spans="1:60" ht="17" thickTop="1" thickBot="1" x14ac:dyDescent="0.25">
      <c r="B11" s="17" t="str">
        <v>Marketable Securities</v>
      </c>
      <c r="C11" s="100">
        <f>IF(ISBLANK(B11),"",_xlfn.XLOOKUP(B11,BegBalSht[Account],BegBalSht[Amount]))</f>
        <v>0</v>
      </c>
      <c r="E11" s="70"/>
      <c r="F11" s="20"/>
      <c r="N11" s="70"/>
      <c r="O11" s="105"/>
      <c r="P11" s="105"/>
      <c r="Q11" s="105"/>
      <c r="R11" s="105"/>
      <c r="S11" s="105"/>
      <c r="T11" s="105"/>
      <c r="U11" s="65">
        <f t="shared" si="3"/>
        <v>0</v>
      </c>
      <c r="V11" s="42"/>
      <c r="W11" s="88" t="e">
        <f>MAX(SUM(W4:W10)-SUM(X4:X10),0)</f>
        <v>#N/A</v>
      </c>
      <c r="X11" s="89" t="e">
        <f>MAX(SUM(X4:X10)-SUM(W4:W10),0)</f>
        <v>#N/A</v>
      </c>
      <c r="AG11" s="70"/>
      <c r="AH11" s="48"/>
      <c r="AI11" s="45"/>
      <c r="AJ11" s="85"/>
      <c r="AK11" s="42"/>
      <c r="AL11" s="45"/>
      <c r="AP11" s="42"/>
      <c r="AQ11" s="42"/>
      <c r="AR11" s="104"/>
      <c r="AS11" s="45"/>
      <c r="AT11" s="70"/>
      <c r="AU11" s="48"/>
      <c r="AV11" s="45"/>
      <c r="AW11" s="1" t="str">
        <f>IF(ISBLANK(Indirect_CFO_Worksheet_Tool!O146),"",Indirect_CFO_Worksheet_Tool!O146)</f>
        <v/>
      </c>
      <c r="AX11" s="143" t="str">
        <f>IF(ISBLANK(Indirect_CFO_Worksheet_Tool!P146),"",Indirect_CFO_Worksheet_Tool!P146)</f>
        <v/>
      </c>
      <c r="AY11" s="42" t="str">
        <f>IF(ISBLANK(Indirect_CFO_Worksheet_Tool!Q146),"",Indirect_CFO_Worksheet_Tool!Q146)</f>
        <v/>
      </c>
      <c r="AZ11" s="1" t="str">
        <f>IF(ISBLANK(Indirect_CFO_Worksheet_Tool!R146),"",Indirect_CFO_Worksheet_Tool!R146)</f>
        <v/>
      </c>
      <c r="BA11" s="45"/>
      <c r="BB11" s="45"/>
      <c r="BD11" s="17" t="str">
        <f t="shared" si="0"/>
        <v>Marketable Securities</v>
      </c>
      <c r="BE11" s="100">
        <f t="shared" si="2"/>
        <v>0</v>
      </c>
      <c r="BF11" s="1"/>
      <c r="BG11">
        <f>SUMIF(Journal[DrAccnt],Financial_Statements_2!BD11,Journal[DrAmt])</f>
        <v>0</v>
      </c>
      <c r="BH11">
        <f>SUMIF(Journal[CrAccnt],Financial_Statements_2!BD11,Journal[CrAmt])</f>
        <v>0</v>
      </c>
    </row>
    <row r="12" spans="1:60" ht="16" thickTop="1" x14ac:dyDescent="0.2">
      <c r="B12" s="17" t="str">
        <v>Inventories</v>
      </c>
      <c r="C12" s="100">
        <f>IF(ISBLANK(B12),"",_xlfn.XLOOKUP(B12,BegBalSht[Account],BegBalSht[Amount]))</f>
        <v>0</v>
      </c>
      <c r="E12" s="21" t="s">
        <v>413</v>
      </c>
      <c r="F12" s="22"/>
      <c r="N12" s="70"/>
      <c r="O12" s="105"/>
      <c r="P12" s="105"/>
      <c r="Q12" s="105"/>
      <c r="R12" s="105"/>
      <c r="S12" s="105"/>
      <c r="T12" s="105"/>
      <c r="U12" s="65">
        <f t="shared" si="3"/>
        <v>0</v>
      </c>
      <c r="AG12" s="70"/>
      <c r="AH12" s="48"/>
      <c r="AI12" s="45"/>
      <c r="AJ12" s="85"/>
      <c r="AK12" s="42"/>
      <c r="AL12" s="45"/>
      <c r="AP12" s="42"/>
      <c r="AQ12" s="42"/>
      <c r="AR12" s="117" t="str" cm="1">
        <f t="array" ref="AR12">_xlfn._xlws.FILTER(Journal[CFS],Journal[ref]=$AM$3,"")</f>
        <v/>
      </c>
      <c r="AS12" s="45"/>
      <c r="AT12" s="70"/>
      <c r="AU12" s="48"/>
      <c r="AV12" s="45"/>
      <c r="AW12" s="1" t="str">
        <f>IF(ISBLANK(Indirect_CFO_Worksheet_Tool!O147),"",Indirect_CFO_Worksheet_Tool!O147)</f>
        <v/>
      </c>
      <c r="AX12" s="143" t="str">
        <f>IF(ISBLANK(Indirect_CFO_Worksheet_Tool!P147),"",Indirect_CFO_Worksheet_Tool!P147)</f>
        <v/>
      </c>
      <c r="AY12" s="42" t="str">
        <f>IF(ISBLANK(Indirect_CFO_Worksheet_Tool!Q147),"",Indirect_CFO_Worksheet_Tool!Q147)</f>
        <v/>
      </c>
      <c r="AZ12" s="1" t="str">
        <f>IF(ISBLANK(Indirect_CFO_Worksheet_Tool!R147),"",Indirect_CFO_Worksheet_Tool!R147)</f>
        <v/>
      </c>
      <c r="BA12" s="45"/>
      <c r="BB12" s="45"/>
      <c r="BD12" s="17" t="str">
        <f t="shared" si="0"/>
        <v>Inventories</v>
      </c>
      <c r="BE12" s="100">
        <f t="shared" si="2"/>
        <v>0</v>
      </c>
      <c r="BF12" s="1"/>
      <c r="BG12">
        <f>SUMIF(Journal[DrAccnt],Financial_Statements_2!BD12,Journal[DrAmt])</f>
        <v>0</v>
      </c>
      <c r="BH12">
        <f>SUMIF(Journal[CrAccnt],Financial_Statements_2!BD12,Journal[CrAmt])</f>
        <v>0</v>
      </c>
    </row>
    <row r="13" spans="1:60" x14ac:dyDescent="0.2">
      <c r="B13" s="17" t="str">
        <v>Prepaid Expenses</v>
      </c>
      <c r="C13" s="100">
        <f>IF(ISBLANK(B13),"",_xlfn.XLOOKUP(B13,BegBalSht[Account],BegBalSht[Amount]))</f>
        <v>0</v>
      </c>
      <c r="E13" s="19" t="s">
        <v>414</v>
      </c>
      <c r="F13" s="18"/>
      <c r="N13" s="70"/>
      <c r="O13" s="105"/>
      <c r="P13" s="105"/>
      <c r="Q13" s="105"/>
      <c r="R13" s="105"/>
      <c r="S13" s="105"/>
      <c r="T13" s="105"/>
      <c r="U13" s="65">
        <f t="shared" si="3"/>
        <v>0</v>
      </c>
      <c r="X13" s="103" t="e">
        <f>_xlfn.XLOOKUP(W14,Equity[Name],Equity[BalType])</f>
        <v>#N/A</v>
      </c>
      <c r="Y13" s="43"/>
      <c r="AG13" s="70"/>
      <c r="AH13" s="48"/>
      <c r="AI13" s="45"/>
      <c r="AJ13" s="85"/>
      <c r="AK13" s="42"/>
      <c r="AL13" s="45"/>
      <c r="AP13" s="42"/>
      <c r="AQ13" s="42"/>
      <c r="AR13" s="117"/>
      <c r="AS13" s="45"/>
      <c r="AT13" s="70"/>
      <c r="AU13" s="48"/>
      <c r="AV13" s="45"/>
      <c r="AW13" s="1" t="str">
        <f>IF(ISBLANK(Indirect_CFO_Worksheet_Tool!O148),"",Indirect_CFO_Worksheet_Tool!O148)</f>
        <v/>
      </c>
      <c r="AX13" s="143" t="str">
        <f>IF(ISBLANK(Indirect_CFO_Worksheet_Tool!P148),"",Indirect_CFO_Worksheet_Tool!P148)</f>
        <v/>
      </c>
      <c r="AY13" s="42" t="str">
        <f>IF(ISBLANK(Indirect_CFO_Worksheet_Tool!Q148),"",Indirect_CFO_Worksheet_Tool!Q148)</f>
        <v/>
      </c>
      <c r="AZ13" s="1" t="str">
        <f>IF(ISBLANK(Indirect_CFO_Worksheet_Tool!R148),"",Indirect_CFO_Worksheet_Tool!R148)</f>
        <v/>
      </c>
      <c r="BA13" s="45"/>
      <c r="BB13" s="45"/>
      <c r="BD13" s="17" t="str">
        <f t="shared" si="0"/>
        <v>Prepaid Expenses</v>
      </c>
      <c r="BE13" s="100">
        <f t="shared" si="2"/>
        <v>0</v>
      </c>
      <c r="BF13" s="1"/>
      <c r="BG13">
        <f>SUMIF(Journal[DrAccnt],Financial_Statements_2!BD13,Journal[DrAmt])</f>
        <v>0</v>
      </c>
      <c r="BH13">
        <f>SUMIF(Journal[CrAccnt],Financial_Statements_2!BD13,Journal[CrAmt])</f>
        <v>0</v>
      </c>
    </row>
    <row r="14" spans="1:60" ht="16" thickBot="1" x14ac:dyDescent="0.25">
      <c r="B14" s="17" t="str">
        <v>Prepaid Rent</v>
      </c>
      <c r="C14" s="100">
        <f>IF(ISBLANK(B14),"",_xlfn.XLOOKUP(B14,BegBalSht[Account],BegBalSht[Amount]))</f>
        <v>0</v>
      </c>
      <c r="E14" s="70"/>
      <c r="F14" s="20"/>
      <c r="N14" s="70"/>
      <c r="O14" s="105"/>
      <c r="P14" s="105"/>
      <c r="Q14" s="105"/>
      <c r="R14" s="105"/>
      <c r="S14" s="105"/>
      <c r="T14" s="105"/>
      <c r="U14" s="65">
        <f t="shared" si="3"/>
        <v>0</v>
      </c>
      <c r="W14" s="44" t="str">
        <f>_xlfn.XLOOKUP(P8,Equity[Abbr],Equity[Name],"NA")</f>
        <v>NA</v>
      </c>
      <c r="X14" s="44"/>
      <c r="Y14" s="43"/>
      <c r="AG14" s="70"/>
      <c r="AH14" s="48"/>
      <c r="AI14" s="45"/>
      <c r="AJ14" s="85"/>
      <c r="AK14" s="42"/>
      <c r="AL14" s="45"/>
      <c r="AP14" s="42"/>
      <c r="AQ14" s="42"/>
      <c r="AR14" s="117"/>
      <c r="AS14" s="45"/>
      <c r="AT14" s="70"/>
      <c r="AU14" s="48"/>
      <c r="AV14" s="45"/>
      <c r="AW14" s="1" t="str">
        <f>IF(ISBLANK(Indirect_CFO_Worksheet_Tool!AO149),"",Indirect_CFO_Worksheet_Tool!AO149)</f>
        <v/>
      </c>
      <c r="AX14" s="256" t="s">
        <v>415</v>
      </c>
      <c r="AY14" s="245"/>
      <c r="BA14" s="45"/>
      <c r="BB14" s="45"/>
      <c r="BD14" s="17" t="str">
        <f t="shared" si="0"/>
        <v>Prepaid Rent</v>
      </c>
      <c r="BE14" s="100">
        <f t="shared" si="2"/>
        <v>0</v>
      </c>
      <c r="BF14" s="1"/>
      <c r="BG14">
        <f>SUMIF(Journal[DrAccnt],Financial_Statements_2!BD14,Journal[DrAmt])</f>
        <v>0</v>
      </c>
      <c r="BH14">
        <f>SUMIF(Journal[CrAccnt],Financial_Statements_2!BD14,Journal[CrAmt])</f>
        <v>0</v>
      </c>
    </row>
    <row r="15" spans="1:60" ht="16" thickTop="1" x14ac:dyDescent="0.2">
      <c r="B15" s="17" t="str">
        <v>Other Current Assets</v>
      </c>
      <c r="C15" s="100">
        <f>IF(ISBLANK(B15),"",_xlfn.XLOOKUP(B15,BegBalSht[Account],BegBalSht[Amount]))</f>
        <v>0</v>
      </c>
      <c r="E15" s="70"/>
      <c r="F15" s="20"/>
      <c r="N15" s="70"/>
      <c r="O15" s="105"/>
      <c r="P15" s="105"/>
      <c r="Q15" s="105"/>
      <c r="R15" s="105"/>
      <c r="S15" s="105"/>
      <c r="T15" s="105"/>
      <c r="U15" s="65">
        <f t="shared" si="3"/>
        <v>0</v>
      </c>
      <c r="V15" t="e" cm="1">
        <f t="array" ref="V15">_xlfn.IFS(X13="Debit","BB",AND(X13="Either",_xlfn.XLOOKUP(W14,BegBalSht[Account],BegBalSht[Amount],0)&lt;0),"BB",TRUE,"")</f>
        <v>#N/A</v>
      </c>
      <c r="W15" s="90" t="e">
        <f>IF(_xlfn.XLOOKUP(W14,BegBalSht[Account],BegBalSht[Amount])&lt;0,-_xlfn.XLOOKUP(W14,BegBalSht[Account],BegBalSht[Amount]),0)</f>
        <v>#N/A</v>
      </c>
      <c r="X15" s="42" t="e">
        <f>IF(_xlfn.XLOOKUP(W14,BegBalSht[Account],BegBalSht[Amount])&gt;0,_xlfn.XLOOKUP(W14,BegBalSht[Account],BegBalSht[Amount]),0)</f>
        <v>#N/A</v>
      </c>
      <c r="Y15" s="11" t="e" cm="1">
        <f t="array" ref="Y15">_xlfn.IFS(X13="Credit","BB",AND(X13="Either",_xlfn.XLOOKUP(W14,BegBalSht[Account],BegBalSht[Amount],0)&gt;=0),"BB",TRUE,"")</f>
        <v>#N/A</v>
      </c>
      <c r="AG15" s="75" t="s">
        <v>416</v>
      </c>
      <c r="AH15" s="47">
        <f>SUBTOTAL(9,AH8:AH14)</f>
        <v>0</v>
      </c>
      <c r="AI15" s="45"/>
      <c r="AJ15" s="85"/>
      <c r="AK15" s="42"/>
      <c r="AL15" s="45"/>
      <c r="AP15" s="42"/>
      <c r="AQ15" s="42"/>
      <c r="AR15" s="117"/>
      <c r="AS15" s="45"/>
      <c r="AT15" s="70"/>
      <c r="AU15" s="48"/>
      <c r="AV15" s="45"/>
      <c r="AW15" s="33" t="e" cm="1">
        <f t="array" aca="1" ref="AW15:AX45" ca="1">_xlfn._xlws.SORT(Indirect_CFO_Worksheet_Tool!O150:P180,2,-1)</f>
        <v>#NAME?</v>
      </c>
      <c r="AX15" s="248" t="e">
        <f ca="1"/>
        <v>#NAME?</v>
      </c>
      <c r="AY15" s="42" t="e" cm="1">
        <f t="array" aca="1" ref="AY15:AZ45" ca="1">_xlfn._xlws.SORT(Indirect_CFO_Worksheet_Tool!Q150:R180,1,-1)</f>
        <v>#NAME?</v>
      </c>
      <c r="AZ15" s="33" t="e">
        <f ca="1"/>
        <v>#NAME?</v>
      </c>
      <c r="BA15" s="45"/>
      <c r="BB15" s="45"/>
      <c r="BD15" s="17" t="str">
        <f t="shared" si="0"/>
        <v>Other Current Assets</v>
      </c>
      <c r="BE15" s="100">
        <f t="shared" si="2"/>
        <v>0</v>
      </c>
      <c r="BF15" s="1"/>
      <c r="BG15">
        <f>SUMIF(Journal[DrAccnt],Financial_Statements_2!BD15,Journal[DrAmt])</f>
        <v>0</v>
      </c>
      <c r="BH15">
        <f>SUMIF(Journal[CrAccnt],Financial_Statements_2!BD15,Journal[CrAmt])</f>
        <v>0</v>
      </c>
    </row>
    <row r="16" spans="1:60" x14ac:dyDescent="0.2">
      <c r="B16" s="17"/>
      <c r="C16" s="100" t="str">
        <f>IF(ISBLANK(B16),"",_xlfn.XLOOKUP(B16,BegBalSht[Account],BegBalSht[Amount]))</f>
        <v/>
      </c>
      <c r="E16" s="70"/>
      <c r="F16" s="20"/>
      <c r="N16" s="70"/>
      <c r="O16" s="105"/>
      <c r="P16" s="105"/>
      <c r="Q16" s="105"/>
      <c r="R16" s="105"/>
      <c r="S16" s="105"/>
      <c r="T16" s="105"/>
      <c r="U16" s="65">
        <f t="shared" si="3"/>
        <v>0</v>
      </c>
      <c r="V16" t="str" cm="1">
        <f t="array" ref="V16">_xlfn._xlws.FILTER(Journal[ref],Journal[DrAccnt]=W14,"")</f>
        <v/>
      </c>
      <c r="W16" s="85" t="str" cm="1">
        <f t="array" ref="W16">_xlfn._xlws.FILTER(Journal[DrAmt],Journal[DrAccnt]=W14,"")</f>
        <v/>
      </c>
      <c r="X16" s="42" t="str" cm="1">
        <f t="array" ref="X16">_xlfn._xlws.FILTER(Journal[CrAmt],Journal[CrAccnt]=W14,"")</f>
        <v/>
      </c>
      <c r="Y16" s="11" t="str" cm="1">
        <f t="array" ref="Y16">_xlfn._xlws.FILTER(Journal[ref],Journal[CrAccnt]=W14,"")</f>
        <v/>
      </c>
      <c r="AG16" s="17"/>
      <c r="AH16" s="18"/>
      <c r="AI16" s="45"/>
      <c r="AJ16" s="85"/>
      <c r="AK16" s="42"/>
      <c r="AL16" s="45"/>
      <c r="AP16" s="42"/>
      <c r="AQ16" s="42"/>
      <c r="AR16" s="117"/>
      <c r="AS16" s="45"/>
      <c r="AT16" s="75" t="s">
        <v>417</v>
      </c>
      <c r="AU16" s="18"/>
      <c r="AV16" s="45"/>
      <c r="AW16" s="33" t="e">
        <f ca="1"/>
        <v>#NAME?</v>
      </c>
      <c r="AX16" s="143" t="e">
        <f ca="1"/>
        <v>#NAME?</v>
      </c>
      <c r="AY16" s="42" t="e">
        <f ca="1"/>
        <v>#NAME?</v>
      </c>
      <c r="AZ16" s="33" t="e">
        <f ca="1"/>
        <v>#NAME?</v>
      </c>
      <c r="BA16" s="45"/>
      <c r="BB16" s="45"/>
      <c r="BD16" s="17" t="str">
        <f t="shared" si="0"/>
        <v/>
      </c>
      <c r="BE16" s="100">
        <f t="shared" si="2"/>
        <v>0</v>
      </c>
      <c r="BF16" s="1"/>
      <c r="BG16">
        <f>SUMIF(Journal[DrAccnt],Financial_Statements_2!BD16,Journal[DrAmt])</f>
        <v>0</v>
      </c>
      <c r="BH16">
        <f>SUMIF(Journal[CrAccnt],Financial_Statements_2!BD16,Journal[CrAmt])</f>
        <v>0</v>
      </c>
    </row>
    <row r="17" spans="2:60" ht="16" thickBot="1" x14ac:dyDescent="0.25">
      <c r="B17" s="91"/>
      <c r="C17" s="101" t="str">
        <f>IF(ISBLANK(B17),"",_xlfn.XLOOKUP(B17,BegBalSht[Account],BegBalSht[Amount]))</f>
        <v/>
      </c>
      <c r="E17" s="70"/>
      <c r="F17" s="20"/>
      <c r="N17" s="70"/>
      <c r="O17" s="106"/>
      <c r="P17" s="106"/>
      <c r="Q17" s="106"/>
      <c r="R17" s="106"/>
      <c r="S17" s="106"/>
      <c r="T17" s="106"/>
      <c r="U17" s="66">
        <f t="shared" si="3"/>
        <v>0</v>
      </c>
      <c r="W17" s="85"/>
      <c r="X17" s="42"/>
      <c r="AG17" s="19" t="s">
        <v>418</v>
      </c>
      <c r="AH17" s="18"/>
      <c r="AI17" s="45"/>
      <c r="AJ17" s="85"/>
      <c r="AK17" s="42"/>
      <c r="AL17" s="45"/>
      <c r="AP17" s="42"/>
      <c r="AQ17" s="42"/>
      <c r="AR17" s="117"/>
      <c r="AS17" s="45"/>
      <c r="AT17" s="70"/>
      <c r="AU17" s="81"/>
      <c r="AV17" s="45"/>
      <c r="AW17" s="33" t="e">
        <f ca="1"/>
        <v>#NAME?</v>
      </c>
      <c r="AX17" s="143" t="e">
        <f ca="1"/>
        <v>#NAME?</v>
      </c>
      <c r="AY17" s="42" t="e">
        <f ca="1"/>
        <v>#NAME?</v>
      </c>
      <c r="AZ17" s="33" t="e">
        <f ca="1"/>
        <v>#NAME?</v>
      </c>
      <c r="BA17" s="45"/>
      <c r="BB17" s="45"/>
      <c r="BD17" s="91" t="str">
        <f t="shared" si="0"/>
        <v/>
      </c>
      <c r="BE17" s="101">
        <f t="shared" si="2"/>
        <v>0</v>
      </c>
      <c r="BF17" s="1"/>
      <c r="BG17">
        <f>SUMIF(Journal[DrAccnt],Financial_Statements_2!BD17,Journal[DrAmt])</f>
        <v>0</v>
      </c>
      <c r="BH17">
        <f>SUMIF(Journal[CrAccnt],Financial_Statements_2!BD17,Journal[CrAmt])</f>
        <v>0</v>
      </c>
    </row>
    <row r="18" spans="2:60" ht="16" thickBot="1" x14ac:dyDescent="0.25">
      <c r="B18" s="53" t="s">
        <v>419</v>
      </c>
      <c r="C18" s="47">
        <f>SUBTOTAL(9,C8:C17)</f>
        <v>0</v>
      </c>
      <c r="E18" s="70"/>
      <c r="F18" s="20"/>
      <c r="N18" s="58" t="str">
        <f>"Balance as of "&amp;EndDate</f>
        <v xml:space="preserve">Balance as of </v>
      </c>
      <c r="O18" s="68">
        <f>SUM(O9:O17)</f>
        <v>0</v>
      </c>
      <c r="P18" s="68">
        <f t="shared" ref="P18:T18" si="4">SUM(P9:P17)</f>
        <v>0</v>
      </c>
      <c r="Q18" s="68">
        <f t="shared" si="4"/>
        <v>0</v>
      </c>
      <c r="R18" s="68">
        <f t="shared" si="4"/>
        <v>0</v>
      </c>
      <c r="S18" s="68">
        <f t="shared" si="4"/>
        <v>0</v>
      </c>
      <c r="T18" s="68">
        <f t="shared" si="4"/>
        <v>0</v>
      </c>
      <c r="U18" s="67">
        <f>SUM(U9:U17)</f>
        <v>0</v>
      </c>
      <c r="W18" s="85"/>
      <c r="X18" s="42"/>
      <c r="Y18" s="11"/>
      <c r="AG18" s="70"/>
      <c r="AH18" s="81"/>
      <c r="AI18" s="45"/>
      <c r="AJ18" s="85"/>
      <c r="AK18" s="42"/>
      <c r="AL18" s="45"/>
      <c r="AP18" s="42"/>
      <c r="AQ18" s="42"/>
      <c r="AR18" s="117"/>
      <c r="AS18" s="45"/>
      <c r="AT18" s="70"/>
      <c r="AU18" s="48"/>
      <c r="AV18" s="45"/>
      <c r="AW18" s="33" t="e">
        <f ca="1"/>
        <v>#NAME?</v>
      </c>
      <c r="AX18" s="143" t="e">
        <f ca="1"/>
        <v>#NAME?</v>
      </c>
      <c r="AY18" s="42" t="e">
        <f ca="1"/>
        <v>#NAME?</v>
      </c>
      <c r="AZ18" s="33" t="e">
        <f ca="1"/>
        <v>#NAME?</v>
      </c>
      <c r="BA18" s="45"/>
      <c r="BB18" s="45"/>
      <c r="BD18" s="53" t="s">
        <v>419</v>
      </c>
      <c r="BE18" s="47">
        <f>SUBTOTAL(9,BE8:BE17)</f>
        <v>0</v>
      </c>
    </row>
    <row r="19" spans="2:60" x14ac:dyDescent="0.2">
      <c r="B19" s="52" t="s">
        <v>420</v>
      </c>
      <c r="C19" s="18"/>
      <c r="E19" s="70"/>
      <c r="F19" s="20"/>
      <c r="V19" s="11"/>
      <c r="W19" s="85"/>
      <c r="X19" s="42"/>
      <c r="Y19" s="11"/>
      <c r="AG19" s="70"/>
      <c r="AH19" s="48"/>
      <c r="AI19" s="45"/>
      <c r="AJ19" s="85"/>
      <c r="AK19" s="42"/>
      <c r="AL19" s="45"/>
      <c r="AP19" s="42"/>
      <c r="AQ19" s="42"/>
      <c r="AR19" s="117"/>
      <c r="AS19" s="45"/>
      <c r="AT19" s="70"/>
      <c r="AU19" s="48"/>
      <c r="AV19" s="45"/>
      <c r="AW19" s="33" t="e">
        <f ca="1"/>
        <v>#NAME?</v>
      </c>
      <c r="AX19" s="143" t="e">
        <f ca="1"/>
        <v>#NAME?</v>
      </c>
      <c r="AY19" s="42" t="e">
        <f ca="1"/>
        <v>#NAME?</v>
      </c>
      <c r="AZ19" s="33" t="e">
        <f ca="1"/>
        <v>#NAME?</v>
      </c>
      <c r="BA19" s="45"/>
      <c r="BB19" s="45"/>
      <c r="BD19" s="52" t="s">
        <v>420</v>
      </c>
      <c r="BE19" s="18"/>
    </row>
    <row r="20" spans="2:60" x14ac:dyDescent="0.2">
      <c r="B20" s="17" t="str" cm="1">
        <f t="array" ref="B20:B26">_xlfn._xlws.FILTER(Asset[Name],Asset[C/NC]="NC")</f>
        <v>Property, Plant &amp; Equipment</v>
      </c>
      <c r="C20" s="99">
        <f>IF(ISBLANK(B20),"",_xlfn.XLOOKUP(B20,BegBalSht[Account],BegBalSht[Amount]))</f>
        <v>0</v>
      </c>
      <c r="E20" s="70"/>
      <c r="F20" s="20"/>
      <c r="V20" s="11"/>
      <c r="W20" s="85"/>
      <c r="X20" s="42"/>
      <c r="Y20" s="11"/>
      <c r="AG20" s="70"/>
      <c r="AH20" s="48"/>
      <c r="AI20" s="11"/>
      <c r="AJ20" s="85"/>
      <c r="AK20" s="42"/>
      <c r="AL20" s="11"/>
      <c r="AP20" s="42"/>
      <c r="AQ20" s="42"/>
      <c r="AR20" s="117"/>
      <c r="AS20" s="45"/>
      <c r="AT20" s="70"/>
      <c r="AU20" s="48"/>
      <c r="AV20" s="45"/>
      <c r="AW20" s="33" t="e">
        <f ca="1"/>
        <v>#NAME?</v>
      </c>
      <c r="AX20" s="143" t="e">
        <f ca="1"/>
        <v>#NAME?</v>
      </c>
      <c r="AY20" s="42" t="e">
        <f ca="1"/>
        <v>#NAME?</v>
      </c>
      <c r="AZ20" s="33" t="e">
        <f ca="1"/>
        <v>#NAME?</v>
      </c>
      <c r="BA20" s="45"/>
      <c r="BB20" s="45"/>
      <c r="BD20" s="17" t="str">
        <f>IF(ISBLANK(B20),"",B20)</f>
        <v>Property, Plant &amp; Equipment</v>
      </c>
      <c r="BE20" s="99">
        <f t="shared" ref="BE20:BE29" si="5">IFERROR(C20+BG20-BH20,0)</f>
        <v>0</v>
      </c>
      <c r="BF20" s="1"/>
      <c r="BG20">
        <f>SUMIF(Journal[DrAccnt],Financial_Statements_2!BD20,Journal[DrAmt])</f>
        <v>0</v>
      </c>
      <c r="BH20">
        <f>SUMIF(Journal[CrAccnt],Financial_Statements_2!BD20,Journal[CrAmt])</f>
        <v>0</v>
      </c>
    </row>
    <row r="21" spans="2:60" ht="16" thickBot="1" x14ac:dyDescent="0.25">
      <c r="B21" s="17" t="str">
        <v>Accumulated Depreciation</v>
      </c>
      <c r="C21" s="100">
        <f>IF(ISBLANK(B21),"",_xlfn.XLOOKUP(B21,BegBalSht[Account],BegBalSht[Amount]))</f>
        <v>0</v>
      </c>
      <c r="E21" s="70"/>
      <c r="F21" s="20"/>
      <c r="V21" s="11"/>
      <c r="W21" s="85"/>
      <c r="X21" s="42"/>
      <c r="Y21" s="11"/>
      <c r="AG21" s="70"/>
      <c r="AH21" s="48"/>
      <c r="AI21" s="11"/>
      <c r="AJ21" s="85"/>
      <c r="AK21" s="42"/>
      <c r="AL21" s="11"/>
      <c r="AR21" s="117"/>
      <c r="AS21" s="45"/>
      <c r="AT21" s="70"/>
      <c r="AU21" s="48"/>
      <c r="AV21" s="45"/>
      <c r="AW21" s="33" t="e">
        <f ca="1"/>
        <v>#NAME?</v>
      </c>
      <c r="AX21" s="143" t="e">
        <f ca="1"/>
        <v>#NAME?</v>
      </c>
      <c r="AY21" s="42" t="e">
        <f ca="1"/>
        <v>#NAME?</v>
      </c>
      <c r="AZ21" s="33" t="e">
        <f ca="1"/>
        <v>#NAME?</v>
      </c>
      <c r="BA21" s="45"/>
      <c r="BB21" s="45"/>
      <c r="BD21" s="17" t="str">
        <f t="shared" ref="BD21:BD29" si="6">IF(ISBLANK(B21),"",B21)</f>
        <v>Accumulated Depreciation</v>
      </c>
      <c r="BE21" s="100">
        <f t="shared" si="5"/>
        <v>0</v>
      </c>
      <c r="BF21" s="1"/>
      <c r="BG21">
        <f>SUMIF(Journal[DrAccnt],Financial_Statements_2!BD21,Journal[DrAmt])</f>
        <v>0</v>
      </c>
      <c r="BH21">
        <f>SUMIF(Journal[CrAccnt],Financial_Statements_2!BD21,Journal[CrAmt])</f>
        <v>0</v>
      </c>
    </row>
    <row r="22" spans="2:60" ht="17" thickTop="1" thickBot="1" x14ac:dyDescent="0.25">
      <c r="B22" s="17" t="str">
        <v>Intangibles</v>
      </c>
      <c r="C22" s="100">
        <f>IF(ISBLANK(B22),"",_xlfn.XLOOKUP(B22,BegBalSht[Account],BegBalSht[Amount]))</f>
        <v>0</v>
      </c>
      <c r="E22" s="21" t="s">
        <v>421</v>
      </c>
      <c r="F22" s="22"/>
      <c r="V22" s="11"/>
      <c r="W22" s="88" t="e">
        <f>MAX(SUM(W15:W21)-SUM(X15:X21),0)</f>
        <v>#N/A</v>
      </c>
      <c r="X22" s="89" t="e">
        <f>MAX(SUM(X15:X21)-SUM(W15:W21),0)</f>
        <v>#N/A</v>
      </c>
      <c r="Y22" s="11"/>
      <c r="AG22" s="70"/>
      <c r="AH22" s="48"/>
      <c r="AI22" s="11"/>
      <c r="AJ22" s="85"/>
      <c r="AK22" s="42"/>
      <c r="AL22" s="11"/>
      <c r="AR22" s="118"/>
      <c r="AS22" s="11"/>
      <c r="AT22" s="70"/>
      <c r="AU22" s="48"/>
      <c r="AV22" s="11"/>
      <c r="AW22" s="33" t="e">
        <f ca="1"/>
        <v>#NAME?</v>
      </c>
      <c r="AX22" s="143" t="e">
        <f ca="1"/>
        <v>#NAME?</v>
      </c>
      <c r="AY22" s="42" t="e">
        <f ca="1"/>
        <v>#NAME?</v>
      </c>
      <c r="AZ22" s="33" t="e">
        <f ca="1"/>
        <v>#NAME?</v>
      </c>
      <c r="BA22" s="11"/>
      <c r="BB22" s="11"/>
      <c r="BD22" s="17" t="str">
        <f t="shared" si="6"/>
        <v>Intangibles</v>
      </c>
      <c r="BE22" s="100">
        <f t="shared" si="5"/>
        <v>0</v>
      </c>
      <c r="BF22" s="1"/>
      <c r="BG22">
        <f>SUMIF(Journal[DrAccnt],Financial_Statements_2!BD22,Journal[DrAmt])</f>
        <v>0</v>
      </c>
      <c r="BH22">
        <f>SUMIF(Journal[CrAccnt],Financial_Statements_2!BD22,Journal[CrAmt])</f>
        <v>0</v>
      </c>
    </row>
    <row r="23" spans="2:60" ht="17" thickTop="1" thickBot="1" x14ac:dyDescent="0.25">
      <c r="B23" s="17" t="str">
        <v>Goodwill</v>
      </c>
      <c r="C23" s="100">
        <f>IF(ISBLANK(B23),"",_xlfn.XLOOKUP(B23,BegBalSht[Account],BegBalSht[Amount]))</f>
        <v>0</v>
      </c>
      <c r="E23" s="19" t="s">
        <v>422</v>
      </c>
      <c r="F23" s="18"/>
      <c r="V23" s="42"/>
      <c r="AG23" s="70"/>
      <c r="AH23" s="48"/>
      <c r="AJ23" s="86"/>
      <c r="AK23" s="87"/>
      <c r="AR23" s="118"/>
      <c r="AS23" s="11"/>
      <c r="AT23" s="70"/>
      <c r="AU23" s="48"/>
      <c r="AV23" s="11"/>
      <c r="AW23" s="33" t="e">
        <f ca="1"/>
        <v>#NAME?</v>
      </c>
      <c r="AX23" s="143" t="e">
        <f ca="1"/>
        <v>#NAME?</v>
      </c>
      <c r="AY23" s="42" t="e">
        <f ca="1"/>
        <v>#NAME?</v>
      </c>
      <c r="AZ23" s="33" t="e">
        <f ca="1"/>
        <v>#NAME?</v>
      </c>
      <c r="BA23" s="11"/>
      <c r="BB23" s="11"/>
      <c r="BD23" s="17" t="str">
        <f t="shared" si="6"/>
        <v>Goodwill</v>
      </c>
      <c r="BE23" s="100">
        <f t="shared" si="5"/>
        <v>0</v>
      </c>
      <c r="BF23" s="1"/>
      <c r="BG23">
        <f>SUMIF(Journal[DrAccnt],Financial_Statements_2!BD23,Journal[DrAmt])</f>
        <v>0</v>
      </c>
      <c r="BH23">
        <f>SUMIF(Journal[CrAccnt],Financial_Statements_2!BD23,Journal[CrAmt])</f>
        <v>0</v>
      </c>
    </row>
    <row r="24" spans="2:60" ht="17" thickTop="1" thickBot="1" x14ac:dyDescent="0.25">
      <c r="B24" s="17" t="str">
        <v>Other Noncurrent Assets</v>
      </c>
      <c r="C24" s="100">
        <f>IF(ISBLANK(B24),"",_xlfn.XLOOKUP(B24,BegBalSht[Account],BegBalSht[Amount]))</f>
        <v>0</v>
      </c>
      <c r="E24" s="70"/>
      <c r="F24" s="20"/>
      <c r="V24" s="43"/>
      <c r="X24" s="103" t="e">
        <f>_xlfn.XLOOKUP(W25,Equity[Name],Equity[BalType])</f>
        <v>#N/A</v>
      </c>
      <c r="Y24" s="43"/>
      <c r="AG24" s="70"/>
      <c r="AH24" s="48"/>
      <c r="AJ24" s="88">
        <f>MAX(SUM(AJ7:AJ23)-SUM(AK7:AK23),0)</f>
        <v>0</v>
      </c>
      <c r="AK24" s="89">
        <f>MAX(SUM(AK7:AK23)-SUM(AJ7:AJ23),0)</f>
        <v>0</v>
      </c>
      <c r="AR24" s="118"/>
      <c r="AS24" s="11"/>
      <c r="AT24" s="70"/>
      <c r="AU24" s="48"/>
      <c r="AV24" s="11"/>
      <c r="AW24" s="33" t="e">
        <f ca="1"/>
        <v>#NAME?</v>
      </c>
      <c r="AX24" s="143" t="e">
        <f ca="1"/>
        <v>#NAME?</v>
      </c>
      <c r="AY24" s="42" t="e">
        <f ca="1"/>
        <v>#NAME?</v>
      </c>
      <c r="AZ24" s="33" t="e">
        <f ca="1"/>
        <v>#NAME?</v>
      </c>
      <c r="BA24" s="11"/>
      <c r="BB24" s="11"/>
      <c r="BD24" s="17" t="str">
        <f t="shared" si="6"/>
        <v>Other Noncurrent Assets</v>
      </c>
      <c r="BE24" s="100">
        <f t="shared" si="5"/>
        <v>0</v>
      </c>
      <c r="BF24" s="1"/>
      <c r="BG24">
        <f>SUMIF(Journal[DrAccnt],Financial_Statements_2!BD24,Journal[DrAmt])</f>
        <v>0</v>
      </c>
      <c r="BH24">
        <f>SUMIF(Journal[CrAccnt],Financial_Statements_2!BD24,Journal[CrAmt])</f>
        <v>0</v>
      </c>
    </row>
    <row r="25" spans="2:60" ht="17" thickTop="1" thickBot="1" x14ac:dyDescent="0.25">
      <c r="B25" s="17" t="str">
        <v>Deferred Tax Assets</v>
      </c>
      <c r="C25" s="100">
        <f>IF(ISBLANK(B25),"",_xlfn.XLOOKUP(B25,BegBalSht[Account],BegBalSht[Amount]))</f>
        <v>0</v>
      </c>
      <c r="E25" s="70"/>
      <c r="F25" s="20"/>
      <c r="V25" s="43"/>
      <c r="W25" s="44" t="str">
        <f>_xlfn.XLOOKUP(Q8,Equity[Abbr],Equity[Name],"NA")</f>
        <v>NA</v>
      </c>
      <c r="X25" s="44"/>
      <c r="Y25" s="43"/>
      <c r="AG25" s="75" t="s">
        <v>423</v>
      </c>
      <c r="AH25" s="47">
        <f>SUBTOTAL(9,AH18:AH24)</f>
        <v>0</v>
      </c>
      <c r="AR25" s="103"/>
      <c r="AT25" s="70"/>
      <c r="AU25" s="48"/>
      <c r="AW25" s="33" t="e">
        <f ca="1"/>
        <v>#NAME?</v>
      </c>
      <c r="AX25" s="143" t="e">
        <f ca="1"/>
        <v>#NAME?</v>
      </c>
      <c r="AY25" s="42" t="e">
        <f ca="1"/>
        <v>#NAME?</v>
      </c>
      <c r="AZ25" s="33" t="e">
        <f ca="1"/>
        <v>#NAME?</v>
      </c>
      <c r="BD25" s="17" t="str">
        <f t="shared" si="6"/>
        <v>Deferred Tax Assets</v>
      </c>
      <c r="BE25" s="100">
        <f t="shared" si="5"/>
        <v>0</v>
      </c>
      <c r="BF25" s="1"/>
      <c r="BG25">
        <f>SUMIF(Journal[DrAccnt],Financial_Statements_2!BD25,Journal[DrAmt])</f>
        <v>0</v>
      </c>
      <c r="BH25">
        <f>SUMIF(Journal[CrAccnt],Financial_Statements_2!BD25,Journal[CrAmt])</f>
        <v>0</v>
      </c>
    </row>
    <row r="26" spans="2:60" ht="16" thickTop="1" x14ac:dyDescent="0.2">
      <c r="B26" s="17" t="str">
        <v>Accumulated Amortization</v>
      </c>
      <c r="C26" s="100">
        <f>IF(ISBLANK(B26),"",_xlfn.XLOOKUP(B26,BegBalSht[Account],BegBalSht[Amount]))</f>
        <v>0</v>
      </c>
      <c r="E26" s="70"/>
      <c r="F26" s="20"/>
      <c r="V26" s="11" t="e" cm="1">
        <f t="array" ref="V26">_xlfn.IFS(X24="Debit","BB",AND(X24="Either",_xlfn.XLOOKUP(W25,BegBalSht[Account],BegBalSht[Amount],0)&lt;0),"BB",TRUE,"")</f>
        <v>#N/A</v>
      </c>
      <c r="W26" s="90" t="e">
        <f>IF(_xlfn.XLOOKUP(W25,BegBalSht[Account],BegBalSht[Amount])&lt;0,-_xlfn.XLOOKUP(W25,BegBalSht[Account],BegBalSht[Amount]),0)</f>
        <v>#N/A</v>
      </c>
      <c r="X26" s="42" t="e">
        <f>IF(_xlfn.XLOOKUP(W25,BegBalSht[Account],BegBalSht[Amount])&gt;0,_xlfn.XLOOKUP(W25,BegBalSht[Account],BegBalSht[Amount]),0)</f>
        <v>#N/A</v>
      </c>
      <c r="Y26" s="11" t="e" cm="1">
        <f t="array" ref="Y26">_xlfn.IFS(X24="Credit","BB",AND(X24="Either",_xlfn.XLOOKUP(W25,BegBalSht[Account],BegBalSht[Amount],0)&gt;=0),"BB",TRUE,"")</f>
        <v>#N/A</v>
      </c>
      <c r="AG26" s="17"/>
      <c r="AH26" s="18"/>
      <c r="AR26" s="103"/>
      <c r="AT26" s="70"/>
      <c r="AU26" s="48"/>
      <c r="AW26" s="33" t="e">
        <f ca="1"/>
        <v>#NAME?</v>
      </c>
      <c r="AX26" s="143" t="e">
        <f ca="1"/>
        <v>#NAME?</v>
      </c>
      <c r="AY26" s="42" t="e">
        <f ca="1"/>
        <v>#NAME?</v>
      </c>
      <c r="AZ26" s="33" t="e">
        <f ca="1"/>
        <v>#NAME?</v>
      </c>
      <c r="BD26" s="17" t="str">
        <f t="shared" si="6"/>
        <v>Accumulated Amortization</v>
      </c>
      <c r="BE26" s="100">
        <f t="shared" si="5"/>
        <v>0</v>
      </c>
      <c r="BF26" s="1"/>
      <c r="BG26">
        <f>SUMIF(Journal[DrAccnt],Financial_Statements_2!BD26,Journal[DrAmt])</f>
        <v>0</v>
      </c>
      <c r="BH26">
        <f>SUMIF(Journal[CrAccnt],Financial_Statements_2!BD26,Journal[CrAmt])</f>
        <v>0</v>
      </c>
    </row>
    <row r="27" spans="2:60" x14ac:dyDescent="0.2">
      <c r="B27" s="17"/>
      <c r="C27" s="100" t="str">
        <f>IF(ISBLANK(B27),"",_xlfn.XLOOKUP(B27,BegBalSht[Account],BegBalSht[Amount]))</f>
        <v/>
      </c>
      <c r="E27" s="70"/>
      <c r="F27" s="20"/>
      <c r="V27" s="11" t="str" cm="1">
        <f t="array" ref="V27">_xlfn._xlws.FILTER(Journal[ref2],Journal[DrAccnt]=W25,"")</f>
        <v/>
      </c>
      <c r="W27" s="85" t="str" cm="1">
        <f t="array" ref="W27">_xlfn._xlws.FILTER(Journal[DrAmt],Journal[DrAccnt]=W25,"")</f>
        <v/>
      </c>
      <c r="X27" s="42" t="str" cm="1">
        <f t="array" ref="X27">_xlfn._xlws.FILTER(Journal[CrAmt],Journal[CrAccnt]=W25,"")</f>
        <v/>
      </c>
      <c r="Y27" s="11" t="str" cm="1">
        <f t="array" ref="Y27">_xlfn._xlws.FILTER(Journal[ref2],Journal[CrAccnt]=W25,"")</f>
        <v/>
      </c>
      <c r="AG27" s="19" t="s">
        <v>424</v>
      </c>
      <c r="AH27" s="18"/>
      <c r="AT27" s="75" t="s">
        <v>416</v>
      </c>
      <c r="AU27" s="47">
        <f>SUBTOTAL(9,AU8:AU26)</f>
        <v>5</v>
      </c>
      <c r="AW27" s="33" t="e">
        <f ca="1"/>
        <v>#NAME?</v>
      </c>
      <c r="AX27" s="143" t="e">
        <f ca="1"/>
        <v>#NAME?</v>
      </c>
      <c r="AY27" s="42" t="e">
        <f ca="1"/>
        <v>#NAME?</v>
      </c>
      <c r="AZ27" s="33" t="e">
        <f ca="1"/>
        <v>#NAME?</v>
      </c>
      <c r="BD27" s="17" t="str">
        <f t="shared" si="6"/>
        <v/>
      </c>
      <c r="BE27" s="100">
        <f t="shared" si="5"/>
        <v>0</v>
      </c>
      <c r="BF27" s="1"/>
      <c r="BG27">
        <f>SUMIF(Journal[DrAccnt],Financial_Statements_2!BD27,Journal[DrAmt])</f>
        <v>0</v>
      </c>
      <c r="BH27">
        <f>SUMIF(Journal[CrAccnt],Financial_Statements_2!BD27,Journal[CrAmt])</f>
        <v>0</v>
      </c>
    </row>
    <row r="28" spans="2:60" x14ac:dyDescent="0.2">
      <c r="B28" s="17"/>
      <c r="C28" s="100" t="str">
        <f>IF(ISBLANK(B28),"",_xlfn.XLOOKUP(B28,BegBalSht[Account],BegBalSht[Amount]))</f>
        <v/>
      </c>
      <c r="E28" s="21" t="s">
        <v>425</v>
      </c>
      <c r="F28" s="22"/>
      <c r="W28" s="85"/>
      <c r="X28" s="42"/>
      <c r="AG28" s="70"/>
      <c r="AH28" s="81"/>
      <c r="AT28" s="17"/>
      <c r="AU28" s="18"/>
      <c r="AW28" s="33" t="e">
        <f ca="1"/>
        <v>#NAME?</v>
      </c>
      <c r="AX28" s="143" t="e">
        <f ca="1"/>
        <v>#NAME?</v>
      </c>
      <c r="AY28" s="42" t="e">
        <f ca="1"/>
        <v>#NAME?</v>
      </c>
      <c r="AZ28" s="33" t="e">
        <f ca="1"/>
        <v>#NAME?</v>
      </c>
      <c r="BD28" s="17" t="str">
        <f t="shared" si="6"/>
        <v/>
      </c>
      <c r="BE28" s="100">
        <f t="shared" si="5"/>
        <v>0</v>
      </c>
      <c r="BF28" s="1"/>
      <c r="BG28">
        <f>SUMIF(Journal[DrAccnt],Financial_Statements_2!BD28,Journal[DrAmt])</f>
        <v>0</v>
      </c>
      <c r="BH28">
        <f>SUMIF(Journal[CrAccnt],Financial_Statements_2!BD28,Journal[CrAmt])</f>
        <v>0</v>
      </c>
    </row>
    <row r="29" spans="2:60" x14ac:dyDescent="0.2">
      <c r="B29" s="91"/>
      <c r="C29" s="101" t="str">
        <f>IF(ISBLANK(B29),"",_xlfn.XLOOKUP(B29,BegBalSht[Account],BegBalSht[Amount]))</f>
        <v/>
      </c>
      <c r="E29" s="19" t="s">
        <v>426</v>
      </c>
      <c r="F29" s="18"/>
      <c r="V29" s="11"/>
      <c r="W29" s="85"/>
      <c r="X29" s="42"/>
      <c r="Y29" s="11"/>
      <c r="AG29" s="70"/>
      <c r="AH29" s="48"/>
      <c r="AT29" s="19" t="s">
        <v>418</v>
      </c>
      <c r="AU29" s="18"/>
      <c r="AW29" s="33" t="e">
        <f ca="1"/>
        <v>#NAME?</v>
      </c>
      <c r="AX29" s="143" t="e">
        <f ca="1"/>
        <v>#NAME?</v>
      </c>
      <c r="AY29" s="42" t="e">
        <f ca="1"/>
        <v>#NAME?</v>
      </c>
      <c r="AZ29" s="33" t="e">
        <f ca="1"/>
        <v>#NAME?</v>
      </c>
      <c r="BD29" s="91" t="str">
        <f t="shared" si="6"/>
        <v/>
      </c>
      <c r="BE29" s="101">
        <f t="shared" si="5"/>
        <v>0</v>
      </c>
      <c r="BF29" s="1"/>
      <c r="BG29">
        <f>SUMIF(Journal[DrAccnt],Financial_Statements_2!BD29,Journal[DrAmt])</f>
        <v>0</v>
      </c>
      <c r="BH29">
        <f>SUMIF(Journal[CrAccnt],Financial_Statements_2!BD29,Journal[CrAmt])</f>
        <v>0</v>
      </c>
    </row>
    <row r="30" spans="2:60" x14ac:dyDescent="0.2">
      <c r="B30" s="53" t="s">
        <v>427</v>
      </c>
      <c r="C30" s="49">
        <f>SUBTOTAL(9,C20:C29)</f>
        <v>0</v>
      </c>
      <c r="E30" s="70"/>
      <c r="F30" s="20"/>
      <c r="V30" s="11"/>
      <c r="W30" s="85"/>
      <c r="X30" s="42"/>
      <c r="Y30" s="11"/>
      <c r="AG30" s="70"/>
      <c r="AH30" s="48"/>
      <c r="AT30" s="17" t="str">
        <f>IF(ISBLANK(AG18),"",AG18)</f>
        <v/>
      </c>
      <c r="AU30" s="62" t="str">
        <f t="shared" ref="AU30:AU36" si="7">IF(ISBLANK(AH18),"",AH18)</f>
        <v/>
      </c>
      <c r="AW30" s="33" t="e">
        <f ca="1"/>
        <v>#NAME?</v>
      </c>
      <c r="AX30" s="143" t="e">
        <f ca="1"/>
        <v>#NAME?</v>
      </c>
      <c r="AY30" s="42" t="e">
        <f ca="1"/>
        <v>#NAME?</v>
      </c>
      <c r="AZ30" s="33" t="e">
        <f ca="1"/>
        <v>#NAME?</v>
      </c>
      <c r="BD30" s="53" t="s">
        <v>427</v>
      </c>
      <c r="BE30" s="49">
        <f>SUBTOTAL(9,BE20:BE29)</f>
        <v>0</v>
      </c>
    </row>
    <row r="31" spans="2:60" ht="16" thickBot="1" x14ac:dyDescent="0.25">
      <c r="B31" s="58" t="s">
        <v>428</v>
      </c>
      <c r="C31" s="50">
        <f>SUBTOTAL(9,C8:C30)</f>
        <v>0</v>
      </c>
      <c r="E31" s="70"/>
      <c r="F31" s="20"/>
      <c r="V31" s="11"/>
      <c r="W31" s="85"/>
      <c r="X31" s="42"/>
      <c r="Y31" s="11"/>
      <c r="AG31" s="70"/>
      <c r="AH31" s="48"/>
      <c r="AT31" s="17" t="str">
        <f t="shared" ref="AT31:AT36" si="8">IF(ISBLANK(AG19),"",AG19)</f>
        <v/>
      </c>
      <c r="AU31" s="62" t="str">
        <f t="shared" si="7"/>
        <v/>
      </c>
      <c r="AW31" s="33" t="e">
        <f ca="1"/>
        <v>#NAME?</v>
      </c>
      <c r="AX31" s="143" t="e">
        <f ca="1"/>
        <v>#NAME?</v>
      </c>
      <c r="AY31" s="42" t="e">
        <f ca="1"/>
        <v>#NAME?</v>
      </c>
      <c r="AZ31" s="33" t="e">
        <f ca="1"/>
        <v>#NAME?</v>
      </c>
      <c r="BD31" s="58" t="s">
        <v>428</v>
      </c>
      <c r="BE31" s="50">
        <f>SUBTOTAL(9,BE8:BE30)</f>
        <v>0</v>
      </c>
    </row>
    <row r="32" spans="2:60" ht="16" thickBot="1" x14ac:dyDescent="0.25">
      <c r="B32" s="26" t="s">
        <v>364</v>
      </c>
      <c r="C32" s="29"/>
      <c r="E32" s="70"/>
      <c r="F32" s="20"/>
      <c r="V32" s="11"/>
      <c r="W32" s="85"/>
      <c r="X32" s="42"/>
      <c r="Y32" s="11"/>
      <c r="AG32" s="70"/>
      <c r="AH32" s="48"/>
      <c r="AT32" s="17" t="str">
        <f t="shared" si="8"/>
        <v/>
      </c>
      <c r="AU32" s="62" t="str">
        <f t="shared" si="7"/>
        <v/>
      </c>
      <c r="AW32" s="33" t="e">
        <f ca="1"/>
        <v>#NAME?</v>
      </c>
      <c r="AX32" s="143" t="e">
        <f ca="1"/>
        <v>#NAME?</v>
      </c>
      <c r="AY32" s="42" t="e">
        <f ca="1"/>
        <v>#NAME?</v>
      </c>
      <c r="AZ32" s="33" t="e">
        <f ca="1"/>
        <v>#NAME?</v>
      </c>
      <c r="BD32" s="26" t="s">
        <v>364</v>
      </c>
      <c r="BE32" s="29"/>
    </row>
    <row r="33" spans="2:60" ht="17" thickTop="1" thickBot="1" x14ac:dyDescent="0.25">
      <c r="B33" s="52" t="s">
        <v>429</v>
      </c>
      <c r="C33" s="46">
        <f>BegDate</f>
        <v>0</v>
      </c>
      <c r="E33" s="70"/>
      <c r="F33" s="20"/>
      <c r="V33" s="11"/>
      <c r="W33" s="88" t="e">
        <f>MAX(SUM(W26:W32)-SUM(X26:X32),0)</f>
        <v>#N/A</v>
      </c>
      <c r="X33" s="89" t="e">
        <f>MAX(SUM(X26:X32)-SUM(W26:W32),0)</f>
        <v>#N/A</v>
      </c>
      <c r="Y33" s="11"/>
      <c r="AG33" s="70"/>
      <c r="AH33" s="48"/>
      <c r="AT33" s="17" t="str">
        <f t="shared" si="8"/>
        <v/>
      </c>
      <c r="AU33" s="62" t="str">
        <f t="shared" si="7"/>
        <v/>
      </c>
      <c r="AW33" s="33" t="e">
        <f ca="1"/>
        <v>#NAME?</v>
      </c>
      <c r="AX33" s="143" t="e">
        <f ca="1"/>
        <v>#NAME?</v>
      </c>
      <c r="AY33" s="42" t="e">
        <f ca="1"/>
        <v>#NAME?</v>
      </c>
      <c r="AZ33" s="33" t="e">
        <f ca="1"/>
        <v>#NAME?</v>
      </c>
      <c r="BD33" s="52" t="s">
        <v>429</v>
      </c>
      <c r="BE33" s="46">
        <f>EndDate</f>
        <v>0</v>
      </c>
    </row>
    <row r="34" spans="2:60" ht="16" thickTop="1" x14ac:dyDescent="0.2">
      <c r="B34" s="17" t="str" cm="1">
        <f t="array" ref="B34:B41">_xlfn._xlws.FILTER(Liability[Name],Liability[C/NC]="C")</f>
        <v>Accounts Payable</v>
      </c>
      <c r="C34" s="99">
        <f>IF(ISBLANK(B34),"",_xlfn.XLOOKUP(B34,BegBalSht[Account],BegBalSht[Amount]))</f>
        <v>0</v>
      </c>
      <c r="E34" s="21" t="s">
        <v>430</v>
      </c>
      <c r="F34" s="22"/>
      <c r="AG34" s="75" t="s">
        <v>431</v>
      </c>
      <c r="AH34" s="47">
        <f>SUBTOTAL(9,AH28:AH33)</f>
        <v>0</v>
      </c>
      <c r="AT34" s="17" t="str">
        <f t="shared" si="8"/>
        <v/>
      </c>
      <c r="AU34" s="62" t="str">
        <f t="shared" si="7"/>
        <v/>
      </c>
      <c r="AW34" s="33" t="e">
        <f ca="1"/>
        <v>#NAME?</v>
      </c>
      <c r="AX34" s="143" t="e">
        <f ca="1"/>
        <v>#NAME?</v>
      </c>
      <c r="AY34" s="42" t="e">
        <f ca="1"/>
        <v>#NAME?</v>
      </c>
      <c r="AZ34" s="33" t="e">
        <f ca="1"/>
        <v>#NAME?</v>
      </c>
      <c r="BD34" s="17" t="str">
        <f>IF(ISBLANK(B34),"",B34)</f>
        <v>Accounts Payable</v>
      </c>
      <c r="BE34" s="99">
        <f>IFERROR(C34+BH34-BG34,0)</f>
        <v>0</v>
      </c>
      <c r="BG34">
        <f>SUMIF(Journal[DrAccnt],Financial_Statements_2!BD34,Journal[DrAmt])</f>
        <v>0</v>
      </c>
      <c r="BH34">
        <f>SUMIF(Journal[CrAccnt],Financial_Statements_2!BD34,Journal[CrAmt])</f>
        <v>0</v>
      </c>
    </row>
    <row r="35" spans="2:60" ht="16" thickBot="1" x14ac:dyDescent="0.25">
      <c r="B35" s="17" t="str">
        <v>Accrued Expenses</v>
      </c>
      <c r="C35" s="100">
        <f>IF(ISBLANK(B35),"",_xlfn.XLOOKUP(B35,BegBalSht[Account],BegBalSht[Amount]))</f>
        <v>0</v>
      </c>
      <c r="E35" s="19" t="s">
        <v>401</v>
      </c>
      <c r="F35" s="23"/>
      <c r="V35" s="43"/>
      <c r="X35" s="103" t="e">
        <f>_xlfn.XLOOKUP(W36,Equity[Name],Equity[BalType])</f>
        <v>#N/A</v>
      </c>
      <c r="Y35" s="43"/>
      <c r="AG35" s="17"/>
      <c r="AH35" s="18"/>
      <c r="AT35" s="17" t="str">
        <f t="shared" si="8"/>
        <v/>
      </c>
      <c r="AU35" s="62" t="str">
        <f t="shared" si="7"/>
        <v/>
      </c>
      <c r="AW35" s="33" t="e">
        <f ca="1"/>
        <v>#NAME?</v>
      </c>
      <c r="AX35" s="143" t="e">
        <f ca="1"/>
        <v>#NAME?</v>
      </c>
      <c r="AY35" s="42" t="e">
        <f ca="1"/>
        <v>#NAME?</v>
      </c>
      <c r="AZ35" s="33" t="e">
        <f ca="1"/>
        <v>#NAME?</v>
      </c>
      <c r="BD35" s="17" t="str">
        <f t="shared" ref="BD35:BD43" si="9">IF(ISBLANK(B35),"",B35)</f>
        <v>Accrued Expenses</v>
      </c>
      <c r="BE35" s="100">
        <f t="shared" ref="BE35:BE43" si="10">IFERROR(C35+BH35-BG35,0)</f>
        <v>0</v>
      </c>
      <c r="BG35">
        <f>SUMIF(Journal[DrAccnt],Financial_Statements_2!BD35,Journal[DrAmt])</f>
        <v>0</v>
      </c>
      <c r="BH35">
        <f>SUMIF(Journal[CrAccnt],Financial_Statements_2!BD35,Journal[CrAmt])</f>
        <v>0</v>
      </c>
    </row>
    <row r="36" spans="2:60" ht="17" thickTop="1" thickBot="1" x14ac:dyDescent="0.25">
      <c r="B36" s="17" t="str">
        <v>Interest Payable</v>
      </c>
      <c r="C36" s="100">
        <f>IF(ISBLANK(B36),"",_xlfn.XLOOKUP(B36,BegBalSht[Account],BegBalSht[Amount]))</f>
        <v>0</v>
      </c>
      <c r="E36" s="24"/>
      <c r="F36" s="25"/>
      <c r="V36" s="43"/>
      <c r="W36" s="44" t="str">
        <f>_xlfn.IFNA(_xlfn.XLOOKUP(R8,Equity[Abbr],Equity[Name]),"NA")</f>
        <v>NA</v>
      </c>
      <c r="X36" s="44"/>
      <c r="Y36" s="43"/>
      <c r="AG36" s="17" t="s">
        <v>432</v>
      </c>
      <c r="AH36" s="80">
        <f>SUBTOTAL(9,AH8:AH35)</f>
        <v>0</v>
      </c>
      <c r="AT36" s="17" t="str">
        <f t="shared" si="8"/>
        <v/>
      </c>
      <c r="AU36" s="62" t="str">
        <f t="shared" si="7"/>
        <v/>
      </c>
      <c r="AW36" s="33" t="e">
        <f ca="1"/>
        <v>#NAME?</v>
      </c>
      <c r="AX36" s="143" t="e">
        <f ca="1"/>
        <v>#NAME?</v>
      </c>
      <c r="AY36" s="42" t="e">
        <f ca="1"/>
        <v>#NAME?</v>
      </c>
      <c r="AZ36" s="33" t="e">
        <f ca="1"/>
        <v>#NAME?</v>
      </c>
      <c r="BD36" s="17" t="str">
        <f t="shared" si="9"/>
        <v>Interest Payable</v>
      </c>
      <c r="BE36" s="100">
        <f t="shared" si="10"/>
        <v>0</v>
      </c>
      <c r="BG36">
        <f>SUMIF(Journal[DrAccnt],Financial_Statements_2!BD36,Journal[DrAmt])</f>
        <v>0</v>
      </c>
      <c r="BH36">
        <f>SUMIF(Journal[CrAccnt],Financial_Statements_2!BD36,Journal[CrAmt])</f>
        <v>0</v>
      </c>
    </row>
    <row r="37" spans="2:60" ht="16" thickTop="1" x14ac:dyDescent="0.2">
      <c r="B37" s="17" t="str">
        <v>Dividends Payable</v>
      </c>
      <c r="C37" s="100">
        <f>IF(ISBLANK(B37),"",_xlfn.XLOOKUP(B37,BegBalSht[Account],BegBalSht[Amount]))</f>
        <v>0</v>
      </c>
      <c r="V37" s="11" t="e" cm="1">
        <f t="array" ref="V37">_xlfn.IFS(X35="Debit","BB",AND(X35="Either",_xlfn.XLOOKUP(W36,BegBalSht[Account],BegBalSht[Amount],0)&lt;0),"BB",TRUE,"")</f>
        <v>#N/A</v>
      </c>
      <c r="W37" s="90" t="e">
        <f>IF(_xlfn.XLOOKUP(W36,BegBalSht[Account],BegBalSht[Amount])&lt;0,-_xlfn.XLOOKUP(W36,BegBalSht[Account],BegBalSht[Amount]),0)</f>
        <v>#N/A</v>
      </c>
      <c r="X37" s="42" t="e">
        <f>IF(_xlfn.XLOOKUP(W36,BegBalSht[Account],BegBalSht[Amount])&gt;0,_xlfn.XLOOKUP(W36,BegBalSht[Account],BegBalSht[Amount]),0)</f>
        <v>#N/A</v>
      </c>
      <c r="Y37" s="11" t="e" cm="1">
        <f t="array" ref="Y37">_xlfn.IFS(X35="Credit","BB",AND(X35="Either",_xlfn.XLOOKUP(W36,BegBalSht[Account],BegBalSht[Amount],0)&gt;=0),"BB",TRUE,"")</f>
        <v>#N/A</v>
      </c>
      <c r="AG37" s="17" t="str">
        <f>"Cash @ "&amp;BegDate</f>
        <v xml:space="preserve">Cash @ </v>
      </c>
      <c r="AH37" s="62">
        <f>_xlfn.XLOOKUP("Cash",B8:B17,C8:C17,0)</f>
        <v>0</v>
      </c>
      <c r="AT37" s="75" t="s">
        <v>423</v>
      </c>
      <c r="AU37" s="47">
        <f>SUBTOTAL(9,AU30:AU36)</f>
        <v>0</v>
      </c>
      <c r="AW37" s="33" t="e">
        <f ca="1"/>
        <v>#NAME?</v>
      </c>
      <c r="AX37" s="143" t="e">
        <f ca="1"/>
        <v>#NAME?</v>
      </c>
      <c r="AY37" s="42" t="e">
        <f ca="1"/>
        <v>#NAME?</v>
      </c>
      <c r="AZ37" s="33" t="e">
        <f ca="1"/>
        <v>#NAME?</v>
      </c>
      <c r="BD37" s="17" t="str">
        <f t="shared" si="9"/>
        <v>Dividends Payable</v>
      </c>
      <c r="BE37" s="100">
        <f t="shared" si="10"/>
        <v>0</v>
      </c>
      <c r="BG37">
        <f>SUMIF(Journal[DrAccnt],Financial_Statements_2!BD37,Journal[DrAmt])</f>
        <v>0</v>
      </c>
      <c r="BH37">
        <f>SUMIF(Journal[CrAccnt],Financial_Statements_2!BD37,Journal[CrAmt])</f>
        <v>0</v>
      </c>
    </row>
    <row r="38" spans="2:60" ht="16" thickBot="1" x14ac:dyDescent="0.25">
      <c r="B38" s="17" t="str">
        <v>Taxes Payable</v>
      </c>
      <c r="C38" s="100">
        <f>IF(ISBLANK(B38),"",_xlfn.XLOOKUP(B38,BegBalSht[Account],BegBalSht[Amount]))</f>
        <v>0</v>
      </c>
      <c r="V38" s="11" t="str" cm="1">
        <f t="array" ref="V38">_xlfn._xlws.FILTER(Journal[ref2],Journal[DrAccnt]=W36,"")</f>
        <v/>
      </c>
      <c r="W38" s="85" t="str" cm="1">
        <f t="array" ref="W38">_xlfn._xlws.FILTER(Journal[DrAmt],Journal[DrAccnt]=W36,"")</f>
        <v/>
      </c>
      <c r="X38" s="42" t="str" cm="1">
        <f t="array" ref="X38">_xlfn._xlws.FILTER(Journal[CrAmt],Journal[CrAccnt]=W36,"")</f>
        <v/>
      </c>
      <c r="Y38" s="11" t="str" cm="1">
        <f t="array" ref="Y38">_xlfn._xlws.FILTER(Journal[ref2],Journal[CrAccnt]=W36,"")</f>
        <v/>
      </c>
      <c r="AG38" s="17" t="str">
        <f>"Cash @ "&amp;EndDate</f>
        <v xml:space="preserve">Cash @ </v>
      </c>
      <c r="AH38" s="79">
        <f>SUM(AH36:AH37)</f>
        <v>0</v>
      </c>
      <c r="AT38" s="17"/>
      <c r="AU38" s="18"/>
      <c r="AW38" s="33" t="e">
        <f ca="1"/>
        <v>#NAME?</v>
      </c>
      <c r="AX38" s="143" t="e">
        <f ca="1"/>
        <v>#NAME?</v>
      </c>
      <c r="AY38" s="42" t="e">
        <f ca="1"/>
        <v>#NAME?</v>
      </c>
      <c r="AZ38" s="33" t="e">
        <f ca="1"/>
        <v>#NAME?</v>
      </c>
      <c r="BD38" s="17" t="str">
        <f t="shared" si="9"/>
        <v>Taxes Payable</v>
      </c>
      <c r="BE38" s="100">
        <f t="shared" si="10"/>
        <v>0</v>
      </c>
      <c r="BG38">
        <f>SUMIF(Journal[DrAccnt],Financial_Statements_2!BD38,Journal[DrAmt])</f>
        <v>0</v>
      </c>
      <c r="BH38">
        <f>SUMIF(Journal[CrAccnt],Financial_Statements_2!BD38,Journal[CrAmt])</f>
        <v>0</v>
      </c>
    </row>
    <row r="39" spans="2:60" ht="17" thickTop="1" thickBot="1" x14ac:dyDescent="0.25">
      <c r="B39" s="17" t="str">
        <v>Deferred Tax Liabilities</v>
      </c>
      <c r="C39" s="100">
        <f>IF(ISBLANK(B39),"",_xlfn.XLOOKUP(B39,BegBalSht[Account],BegBalSht[Amount]))</f>
        <v>0</v>
      </c>
      <c r="W39" s="85"/>
      <c r="X39" s="42"/>
      <c r="AG39" s="24"/>
      <c r="AH39" s="25"/>
      <c r="AT39" s="19" t="s">
        <v>424</v>
      </c>
      <c r="AU39" s="18"/>
      <c r="AW39" s="33" t="e">
        <f ca="1"/>
        <v>#NAME?</v>
      </c>
      <c r="AX39" s="143" t="e">
        <f ca="1"/>
        <v>#NAME?</v>
      </c>
      <c r="AY39" s="42" t="e">
        <f ca="1"/>
        <v>#NAME?</v>
      </c>
      <c r="AZ39" s="33" t="e">
        <f ca="1"/>
        <v>#NAME?</v>
      </c>
      <c r="BD39" s="17" t="str">
        <f t="shared" si="9"/>
        <v>Deferred Tax Liabilities</v>
      </c>
      <c r="BE39" s="100">
        <f t="shared" si="10"/>
        <v>0</v>
      </c>
      <c r="BG39">
        <f>SUMIF(Journal[DrAccnt],Financial_Statements_2!BD39,Journal[DrAmt])</f>
        <v>0</v>
      </c>
      <c r="BH39">
        <f>SUMIF(Journal[CrAccnt],Financial_Statements_2!BD39,Journal[CrAmt])</f>
        <v>0</v>
      </c>
    </row>
    <row r="40" spans="2:60" ht="16" thickBot="1" x14ac:dyDescent="0.25">
      <c r="B40" s="17" t="str">
        <v>Unearned Revenue</v>
      </c>
      <c r="C40" s="100">
        <f>IF(ISBLANK(B40),"",_xlfn.XLOOKUP(B40,BegBalSht[Account],BegBalSht[Amount]))</f>
        <v>0</v>
      </c>
      <c r="V40" s="11"/>
      <c r="W40" s="85"/>
      <c r="X40" s="42"/>
      <c r="Y40" s="11"/>
      <c r="AT40" s="17" t="str">
        <f>IF(ISBLANK(AG28),"",AG28)</f>
        <v/>
      </c>
      <c r="AU40" s="62" t="str">
        <f t="shared" ref="AU40" si="11">IF(ISBLANK(AH28),"",AH28)</f>
        <v/>
      </c>
      <c r="AW40" s="33" t="e">
        <f ca="1"/>
        <v>#NAME?</v>
      </c>
      <c r="AX40" s="143" t="e">
        <f ca="1"/>
        <v>#NAME?</v>
      </c>
      <c r="AY40" s="42" t="e">
        <f ca="1"/>
        <v>#NAME?</v>
      </c>
      <c r="AZ40" s="33" t="e">
        <f ca="1"/>
        <v>#NAME?</v>
      </c>
      <c r="BD40" s="17" t="str">
        <f t="shared" si="9"/>
        <v>Unearned Revenue</v>
      </c>
      <c r="BE40" s="100">
        <f t="shared" si="10"/>
        <v>0</v>
      </c>
      <c r="BG40">
        <f>SUMIF(Journal[DrAccnt],Financial_Statements_2!BD40,Journal[DrAmt])</f>
        <v>0</v>
      </c>
      <c r="BH40">
        <f>SUMIF(Journal[CrAccnt],Financial_Statements_2!BD40,Journal[CrAmt])</f>
        <v>0</v>
      </c>
    </row>
    <row r="41" spans="2:60" x14ac:dyDescent="0.2">
      <c r="B41" s="17" t="str">
        <v>Salaries &amp; Wages Payable</v>
      </c>
      <c r="C41" s="100">
        <f>IF(ISBLANK(B41),"",_xlfn.XLOOKUP(B41,BegBalSht[Account],BegBalSht[Amount]))</f>
        <v>0</v>
      </c>
      <c r="V41" s="11"/>
      <c r="W41" s="85"/>
      <c r="X41" s="42"/>
      <c r="Y41" s="11"/>
      <c r="AG41" s="72" t="s">
        <v>433</v>
      </c>
      <c r="AH41" s="71"/>
      <c r="AT41" s="17" t="str">
        <f t="shared" ref="AT41:AU41" si="12">IF(ISBLANK(AG29),"",AG29)</f>
        <v/>
      </c>
      <c r="AU41" s="62" t="str">
        <f t="shared" si="12"/>
        <v/>
      </c>
      <c r="AW41" s="33" t="e">
        <f ca="1"/>
        <v>#NAME?</v>
      </c>
      <c r="AX41" s="143" t="e">
        <f ca="1"/>
        <v>#NAME?</v>
      </c>
      <c r="AY41" s="42" t="e">
        <f ca="1"/>
        <v>#NAME?</v>
      </c>
      <c r="AZ41" s="33" t="e">
        <f ca="1"/>
        <v>#NAME?</v>
      </c>
      <c r="BD41" s="17" t="str">
        <f t="shared" si="9"/>
        <v>Salaries &amp; Wages Payable</v>
      </c>
      <c r="BE41" s="100">
        <f t="shared" si="10"/>
        <v>0</v>
      </c>
      <c r="BG41">
        <f>SUMIF(Journal[DrAccnt],Financial_Statements_2!BD41,Journal[DrAmt])</f>
        <v>0</v>
      </c>
      <c r="BH41">
        <f>SUMIF(Journal[CrAccnt],Financial_Statements_2!BD41,Journal[CrAmt])</f>
        <v>0</v>
      </c>
    </row>
    <row r="42" spans="2:60" x14ac:dyDescent="0.2">
      <c r="B42" s="17"/>
      <c r="C42" s="100" t="str">
        <f>IF(ISBLANK(B42),"",_xlfn.XLOOKUP(B42,BegBalSht[Account],BegBalSht[Amount]))</f>
        <v/>
      </c>
      <c r="V42" s="11"/>
      <c r="W42" s="85"/>
      <c r="X42" s="42"/>
      <c r="Y42" s="11"/>
      <c r="AG42" s="70"/>
      <c r="AH42" s="81"/>
      <c r="AT42" s="17" t="str">
        <f t="shared" ref="AT42:AU42" si="13">IF(ISBLANK(AG30),"",AG30)</f>
        <v/>
      </c>
      <c r="AU42" s="62" t="str">
        <f t="shared" si="13"/>
        <v/>
      </c>
      <c r="AW42" s="33" t="e">
        <f ca="1"/>
        <v>#NAME?</v>
      </c>
      <c r="AX42" s="143" t="e">
        <f ca="1"/>
        <v>#NAME?</v>
      </c>
      <c r="AY42" s="42" t="e">
        <f ca="1"/>
        <v>#NAME?</v>
      </c>
      <c r="AZ42" s="33" t="e">
        <f ca="1"/>
        <v>#NAME?</v>
      </c>
      <c r="BD42" s="17" t="str">
        <f t="shared" si="9"/>
        <v/>
      </c>
      <c r="BE42" s="100">
        <f t="shared" si="10"/>
        <v>0</v>
      </c>
      <c r="BG42">
        <f>SUMIF(Journal[DrAccnt],Financial_Statements_2!BD42,Journal[DrAmt])</f>
        <v>0</v>
      </c>
      <c r="BH42">
        <f>SUMIF(Journal[CrAccnt],Financial_Statements_2!BD42,Journal[CrAmt])</f>
        <v>0</v>
      </c>
    </row>
    <row r="43" spans="2:60" ht="16" thickBot="1" x14ac:dyDescent="0.25">
      <c r="B43" s="91"/>
      <c r="C43" s="101" t="str">
        <f>IF(ISBLANK(B43),"",_xlfn.XLOOKUP(B43,BegBalSht[Account],BegBalSht[Amount]))</f>
        <v/>
      </c>
      <c r="V43" s="11"/>
      <c r="W43" s="85"/>
      <c r="X43" s="42"/>
      <c r="Y43" s="11"/>
      <c r="AG43" s="70"/>
      <c r="AH43" s="81"/>
      <c r="AT43" s="17" t="str">
        <f t="shared" ref="AT43:AU43" si="14">IF(ISBLANK(AG31),"",AG31)</f>
        <v/>
      </c>
      <c r="AU43" s="62" t="str">
        <f t="shared" si="14"/>
        <v/>
      </c>
      <c r="AW43" s="33" t="e">
        <f ca="1"/>
        <v>#NAME?</v>
      </c>
      <c r="AX43" s="143" t="e">
        <f ca="1"/>
        <v>#NAME?</v>
      </c>
      <c r="AY43" s="42" t="e">
        <f ca="1"/>
        <v>#NAME?</v>
      </c>
      <c r="AZ43" s="33" t="e">
        <f ca="1"/>
        <v>#NAME?</v>
      </c>
      <c r="BD43" s="91" t="str">
        <f t="shared" si="9"/>
        <v/>
      </c>
      <c r="BE43" s="101">
        <f t="shared" si="10"/>
        <v>0</v>
      </c>
      <c r="BG43">
        <f>SUMIF(Journal[DrAccnt],Financial_Statements_2!BD43,Journal[DrAmt])</f>
        <v>0</v>
      </c>
      <c r="BH43">
        <f>SUMIF(Journal[CrAccnt],Financial_Statements_2!BD43,Journal[CrAmt])</f>
        <v>0</v>
      </c>
    </row>
    <row r="44" spans="2:60" ht="17" thickTop="1" thickBot="1" x14ac:dyDescent="0.25">
      <c r="B44" s="54" t="s">
        <v>434</v>
      </c>
      <c r="C44" s="51">
        <f>SUBTOTAL(9,C34:C43)</f>
        <v>0</v>
      </c>
      <c r="V44" s="11"/>
      <c r="W44" s="88" t="e">
        <f>MAX(SUM(W37:W43)-SUM(X37:X43),0)</f>
        <v>#N/A</v>
      </c>
      <c r="X44" s="89" t="e">
        <f>MAX(SUM(X37:X43)-SUM(W37:W43),0)</f>
        <v>#N/A</v>
      </c>
      <c r="Y44" s="11"/>
      <c r="AG44" s="70"/>
      <c r="AH44" s="81"/>
      <c r="AT44" s="17" t="str">
        <f t="shared" ref="AT44:AU44" si="15">IF(ISBLANK(AG32),"",AG32)</f>
        <v/>
      </c>
      <c r="AU44" s="62" t="str">
        <f t="shared" si="15"/>
        <v/>
      </c>
      <c r="AW44" s="33" t="e">
        <f ca="1"/>
        <v>#NAME?</v>
      </c>
      <c r="AX44" s="143" t="e">
        <f ca="1"/>
        <v>#NAME?</v>
      </c>
      <c r="AY44" s="42" t="e">
        <f ca="1"/>
        <v>#NAME?</v>
      </c>
      <c r="AZ44" s="33" t="e">
        <f ca="1"/>
        <v>#NAME?</v>
      </c>
      <c r="BD44" s="54" t="s">
        <v>434</v>
      </c>
      <c r="BE44" s="51">
        <f>SUBTOTAL(9,BE34:BE43)</f>
        <v>0</v>
      </c>
    </row>
    <row r="45" spans="2:60" ht="16" thickTop="1" x14ac:dyDescent="0.2">
      <c r="B45" s="55" t="s">
        <v>435</v>
      </c>
      <c r="C45" s="18"/>
      <c r="AG45" s="70"/>
      <c r="AH45" s="81"/>
      <c r="AT45" s="17" t="str">
        <f>IF(ISBLANK(AG33),"",AG33)</f>
        <v/>
      </c>
      <c r="AU45" s="62" t="str">
        <f t="shared" ref="AU45" si="16">IF(ISBLANK(AH33),"",AH33)</f>
        <v/>
      </c>
      <c r="AW45" s="33" t="e">
        <f ca="1"/>
        <v>#NAME?</v>
      </c>
      <c r="AX45" s="143" t="e">
        <f ca="1"/>
        <v>#NAME?</v>
      </c>
      <c r="AY45" s="42" t="e">
        <f ca="1"/>
        <v>#NAME?</v>
      </c>
      <c r="AZ45" s="33" t="e">
        <f ca="1"/>
        <v>#NAME?</v>
      </c>
      <c r="BD45" s="55" t="s">
        <v>435</v>
      </c>
      <c r="BE45" s="18"/>
    </row>
    <row r="46" spans="2:60" ht="16" thickBot="1" x14ac:dyDescent="0.25">
      <c r="B46" s="17" t="str" cm="1">
        <f t="array" ref="B46:B49">_xlfn._xlws.FILTER(Liability[Name],Liability[C/NC]="NC")</f>
        <v>Bonds Payable</v>
      </c>
      <c r="C46" s="99">
        <f>IF(ISBLANK(B46),"",_xlfn.XLOOKUP(B46,BegBalSht[Account],BegBalSht[Amount]))</f>
        <v>0</v>
      </c>
      <c r="V46" s="43"/>
      <c r="X46" s="103" t="e">
        <f>_xlfn.XLOOKUP(W47,Equity[Name],Equity[BalType])</f>
        <v>#N/A</v>
      </c>
      <c r="Y46" s="43"/>
      <c r="AG46" s="73"/>
      <c r="AH46" s="78"/>
      <c r="AT46" s="75" t="s">
        <v>431</v>
      </c>
      <c r="AU46" s="47">
        <f>SUBTOTAL(9,AU40:AU45)</f>
        <v>0</v>
      </c>
      <c r="AW46" s="33"/>
      <c r="AX46" s="143"/>
      <c r="AY46" s="42"/>
      <c r="AZ46" s="33"/>
      <c r="BD46" s="17" t="str">
        <f>IF(ISBLANK(B46),"",B46)</f>
        <v>Bonds Payable</v>
      </c>
      <c r="BE46" s="99">
        <f t="shared" ref="BE46:BE55" si="17">IFERROR(C46+BH46-BG46,0)</f>
        <v>0</v>
      </c>
      <c r="BG46">
        <f>SUMIF(Journal[DrAccnt],Financial_Statements_2!BD46,Journal[DrAmt])</f>
        <v>0</v>
      </c>
      <c r="BH46">
        <f>SUMIF(Journal[CrAccnt],Financial_Statements_2!BD46,Journal[CrAmt])</f>
        <v>0</v>
      </c>
    </row>
    <row r="47" spans="2:60" ht="16" thickBot="1" x14ac:dyDescent="0.25">
      <c r="B47" s="17" t="str">
        <v>Notes Payable</v>
      </c>
      <c r="C47" s="100">
        <f>IF(ISBLANK(B47),"",_xlfn.XLOOKUP(B47,BegBalSht[Account],BegBalSht[Amount]))</f>
        <v>0</v>
      </c>
      <c r="V47" s="43"/>
      <c r="W47" s="44" t="str">
        <f>_xlfn.XLOOKUP(S8,Equity[Abbr],Equity[Name],"NA")</f>
        <v>NA</v>
      </c>
      <c r="X47" s="44"/>
      <c r="Y47" s="43"/>
      <c r="AT47" s="75"/>
      <c r="AU47" s="18"/>
      <c r="AW47" s="33" t="s">
        <v>436</v>
      </c>
      <c r="AX47" s="258">
        <f ca="1">IF(ISBLANK(Indirect_CFO_Worksheet_Tool!P181),"",Indirect_CFO_Worksheet_Tool!P181)</f>
        <v>5</v>
      </c>
      <c r="AY47" s="259">
        <f ca="1">IF(ISBLANK(Indirect_CFO_Worksheet_Tool!Q181),"",Indirect_CFO_Worksheet_Tool!Q181)</f>
        <v>0</v>
      </c>
      <c r="AZ47" s="33" t="s">
        <v>436</v>
      </c>
      <c r="BD47" s="17" t="str">
        <f t="shared" ref="BD47:BD55" si="18">IF(ISBLANK(B47),"",B47)</f>
        <v>Notes Payable</v>
      </c>
      <c r="BE47" s="100">
        <f t="shared" si="17"/>
        <v>0</v>
      </c>
      <c r="BG47">
        <f>SUMIF(Journal[DrAccnt],Financial_Statements_2!BD47,Journal[DrAmt])</f>
        <v>0</v>
      </c>
      <c r="BH47">
        <f>SUMIF(Journal[CrAccnt],Financial_Statements_2!BD47,Journal[CrAmt])</f>
        <v>0</v>
      </c>
    </row>
    <row r="48" spans="2:60" ht="16" thickTop="1" x14ac:dyDescent="0.2">
      <c r="B48" s="17" t="str">
        <v>Senior Debt</v>
      </c>
      <c r="C48" s="100">
        <f>IF(ISBLANK(B48),"",_xlfn.XLOOKUP(B48,BegBalSht[Account],BegBalSht[Amount]))</f>
        <v>0</v>
      </c>
      <c r="V48" s="11" t="e" cm="1">
        <f t="array" ref="V48">_xlfn.IFS(X46="Debit","BB",AND(X46="Either",_xlfn.XLOOKUP(W47,BegBalSht[Account],BegBalSht[Amount],0)&lt;0),"BB",TRUE,"")</f>
        <v>#N/A</v>
      </c>
      <c r="W48" s="90" t="e">
        <f>IF(_xlfn.XLOOKUP(W47,BegBalSht[Account],BegBalSht[Amount])&lt;0,-_xlfn.XLOOKUP(W47,BegBalSht[Account],BegBalSht[Amount]),0)</f>
        <v>#N/A</v>
      </c>
      <c r="X48" s="42" t="e">
        <f>IF(_xlfn.XLOOKUP(W47,BegBalSht[Account],BegBalSht[Amount])&gt;0,_xlfn.XLOOKUP(W47,BegBalSht[Account],BegBalSht[Amount]),0)</f>
        <v>#N/A</v>
      </c>
      <c r="Y48" s="11" t="e" cm="1">
        <f t="array" ref="Y48">_xlfn.IFS(X46="Credit","BB",AND(X46="Either",_xlfn.XLOOKUP(W47,BegBalSht[Account],BegBalSht[Amount],0)&gt;=0),"BB",TRUE,"")</f>
        <v>#N/A</v>
      </c>
      <c r="AT48" s="17" t="s">
        <v>437</v>
      </c>
      <c r="AU48" s="80">
        <f>SUBTOTAL(9,AU8:AU47)</f>
        <v>5</v>
      </c>
      <c r="BD48" s="17" t="str">
        <f t="shared" si="18"/>
        <v>Senior Debt</v>
      </c>
      <c r="BE48" s="100">
        <f t="shared" si="17"/>
        <v>0</v>
      </c>
      <c r="BG48">
        <f>SUMIF(Journal[DrAccnt],Financial_Statements_2!BD48,Journal[DrAmt])</f>
        <v>0</v>
      </c>
      <c r="BH48">
        <f>SUMIF(Journal[CrAccnt],Financial_Statements_2!BD48,Journal[CrAmt])</f>
        <v>0</v>
      </c>
    </row>
    <row r="49" spans="1:60" x14ac:dyDescent="0.2">
      <c r="B49" s="17" t="str">
        <v>Subordinated Debt</v>
      </c>
      <c r="C49" s="100">
        <f>IF(ISBLANK(B49),"",_xlfn.XLOOKUP(B49,BegBalSht[Account],BegBalSht[Amount]))</f>
        <v>0</v>
      </c>
      <c r="V49" s="11" t="str" cm="1">
        <f t="array" ref="V49">_xlfn._xlws.FILTER(Journal[ref2],Journal[DrAccnt]=W47,"")</f>
        <v/>
      </c>
      <c r="W49" s="85" t="str" cm="1">
        <f t="array" ref="W49">_xlfn._xlws.FILTER(Journal[DrAmt],Journal[DrAccnt]=W47,"")</f>
        <v/>
      </c>
      <c r="X49" s="42" t="str" cm="1">
        <f t="array" ref="X49">_xlfn._xlws.FILTER(Journal[CrAmt],Journal[CrAccnt]=W47,"")</f>
        <v/>
      </c>
      <c r="Y49" s="11" t="str" cm="1">
        <f t="array" ref="Y49">_xlfn._xlws.FILTER(Journal[ref2],Journal[CrAccnt]=W47,"")</f>
        <v/>
      </c>
      <c r="AT49" s="17" t="str">
        <f>"Cash @ "&amp;BegDate</f>
        <v xml:space="preserve">Cash @ </v>
      </c>
      <c r="AU49" s="62">
        <f>_xlfn.XLOOKUP("Cash",B8:B17,C8:C17,0)</f>
        <v>0</v>
      </c>
      <c r="BD49" s="17" t="str">
        <f t="shared" si="18"/>
        <v>Subordinated Debt</v>
      </c>
      <c r="BE49" s="100">
        <f t="shared" si="17"/>
        <v>0</v>
      </c>
      <c r="BG49">
        <f>SUMIF(Journal[DrAccnt],Financial_Statements_2!BD49,Journal[DrAmt])</f>
        <v>0</v>
      </c>
      <c r="BH49">
        <f>SUMIF(Journal[CrAccnt],Financial_Statements_2!BD49,Journal[CrAmt])</f>
        <v>0</v>
      </c>
    </row>
    <row r="50" spans="1:60" ht="16" thickBot="1" x14ac:dyDescent="0.25">
      <c r="B50" s="17"/>
      <c r="C50" s="100" t="str">
        <f>IF(ISBLANK(B50),"",_xlfn.XLOOKUP(B50,BegBalSht[Account],BegBalSht[Amount]))</f>
        <v/>
      </c>
      <c r="W50" s="85"/>
      <c r="X50" s="42"/>
      <c r="AT50" s="17" t="str">
        <f>"Cash @ "&amp;EndDate</f>
        <v xml:space="preserve">Cash @ </v>
      </c>
      <c r="AU50" s="79">
        <f>SUM(AU48:AU49)</f>
        <v>5</v>
      </c>
      <c r="BD50" s="17" t="str">
        <f t="shared" si="18"/>
        <v/>
      </c>
      <c r="BE50" s="100">
        <f t="shared" si="17"/>
        <v>0</v>
      </c>
      <c r="BG50">
        <f>SUMIF(Journal[DrAccnt],Financial_Statements_2!BD50,Journal[DrAmt])</f>
        <v>0</v>
      </c>
      <c r="BH50">
        <f>SUMIF(Journal[CrAccnt],Financial_Statements_2!BD50,Journal[CrAmt])</f>
        <v>0</v>
      </c>
    </row>
    <row r="51" spans="1:60" ht="17" thickTop="1" thickBot="1" x14ac:dyDescent="0.25">
      <c r="B51" s="17"/>
      <c r="C51" s="100" t="str">
        <f>IF(ISBLANK(B51),"",_xlfn.XLOOKUP(B51,BegBalSht[Account],BegBalSht[Amount]))</f>
        <v/>
      </c>
      <c r="V51" s="11"/>
      <c r="W51" s="85"/>
      <c r="X51" s="42"/>
      <c r="Y51" s="11"/>
      <c r="AT51" s="24"/>
      <c r="AU51" s="25"/>
      <c r="BD51" s="17" t="str">
        <f t="shared" si="18"/>
        <v/>
      </c>
      <c r="BE51" s="100">
        <f t="shared" si="17"/>
        <v>0</v>
      </c>
      <c r="BG51">
        <f>SUMIF(Journal[DrAccnt],Financial_Statements_2!BD51,Journal[DrAmt])</f>
        <v>0</v>
      </c>
      <c r="BH51">
        <f>SUMIF(Journal[CrAccnt],Financial_Statements_2!BD51,Journal[CrAmt])</f>
        <v>0</v>
      </c>
    </row>
    <row r="52" spans="1:60" ht="16" thickBot="1" x14ac:dyDescent="0.25">
      <c r="B52" s="17"/>
      <c r="C52" s="100" t="str">
        <f>IF(ISBLANK(B52),"",_xlfn.XLOOKUP(B52,BegBalSht[Account],BegBalSht[Amount]))</f>
        <v/>
      </c>
      <c r="V52" s="11"/>
      <c r="W52" s="85"/>
      <c r="X52" s="42"/>
      <c r="Y52" s="11"/>
      <c r="BD52" s="17" t="str">
        <f t="shared" si="18"/>
        <v/>
      </c>
      <c r="BE52" s="100">
        <f t="shared" si="17"/>
        <v>0</v>
      </c>
      <c r="BG52">
        <f>SUMIF(Journal[DrAccnt],Financial_Statements_2!BD52,Journal[DrAmt])</f>
        <v>0</v>
      </c>
      <c r="BH52">
        <f>SUMIF(Journal[CrAccnt],Financial_Statements_2!BD52,Journal[CrAmt])</f>
        <v>0</v>
      </c>
    </row>
    <row r="53" spans="1:60" x14ac:dyDescent="0.2">
      <c r="B53" s="17"/>
      <c r="C53" s="100" t="str">
        <f>IF(ISBLANK(B53),"",_xlfn.XLOOKUP(B53,BegBalSht[Account],BegBalSht[Amount]))</f>
        <v/>
      </c>
      <c r="V53" s="11"/>
      <c r="W53" s="85"/>
      <c r="X53" s="42"/>
      <c r="Y53" s="11"/>
      <c r="AT53" s="76" t="s">
        <v>438</v>
      </c>
      <c r="AU53" s="77"/>
      <c r="BD53" s="17" t="str">
        <f t="shared" si="18"/>
        <v/>
      </c>
      <c r="BE53" s="100">
        <f t="shared" si="17"/>
        <v>0</v>
      </c>
      <c r="BG53">
        <f>SUMIF(Journal[DrAccnt],Financial_Statements_2!BD53,Journal[DrAmt])</f>
        <v>0</v>
      </c>
      <c r="BH53">
        <f>SUMIF(Journal[CrAccnt],Financial_Statements_2!BD53,Journal[CrAmt])</f>
        <v>0</v>
      </c>
    </row>
    <row r="54" spans="1:60" ht="16" thickBot="1" x14ac:dyDescent="0.25">
      <c r="B54" s="17"/>
      <c r="C54" s="100" t="str">
        <f>IF(ISBLANK(B54),"",_xlfn.XLOOKUP(B54,BegBalSht[Account],BegBalSht[Amount]))</f>
        <v/>
      </c>
      <c r="V54" s="11"/>
      <c r="W54" s="85"/>
      <c r="X54" s="42"/>
      <c r="Y54" s="11"/>
      <c r="AT54" s="24" t="s">
        <v>439</v>
      </c>
      <c r="AU54" s="78"/>
      <c r="BD54" s="17" t="str">
        <f t="shared" si="18"/>
        <v/>
      </c>
      <c r="BE54" s="100">
        <f t="shared" si="17"/>
        <v>0</v>
      </c>
      <c r="BG54">
        <f>SUMIF(Journal[DrAccnt],Financial_Statements_2!BD54,Journal[DrAmt])</f>
        <v>0</v>
      </c>
      <c r="BH54">
        <f>SUMIF(Journal[CrAccnt],Financial_Statements_2!BD54,Journal[CrAmt])</f>
        <v>0</v>
      </c>
    </row>
    <row r="55" spans="1:60" ht="17" thickTop="1" thickBot="1" x14ac:dyDescent="0.25">
      <c r="B55" s="91"/>
      <c r="C55" s="101" t="str">
        <f>IF(ISBLANK(B55),"",_xlfn.XLOOKUP(B55,BegBalSht[Account],BegBalSht[Amount]))</f>
        <v/>
      </c>
      <c r="V55" s="11"/>
      <c r="W55" s="88" t="e">
        <f>MAX(SUM(W48:W54)-SUM(X48:X54),0)</f>
        <v>#N/A</v>
      </c>
      <c r="X55" s="89" t="e">
        <f>MAX(SUM(X48:X54)-SUM(W48:W54),0)</f>
        <v>#N/A</v>
      </c>
      <c r="Y55" s="11"/>
      <c r="BD55" s="91" t="str">
        <f t="shared" si="18"/>
        <v/>
      </c>
      <c r="BE55" s="101">
        <f t="shared" si="17"/>
        <v>0</v>
      </c>
      <c r="BG55">
        <f>SUMIF(Journal[DrAccnt],Financial_Statements_2!BD55,Journal[DrAmt])</f>
        <v>0</v>
      </c>
      <c r="BH55">
        <f>SUMIF(Journal[CrAccnt],Financial_Statements_2!BD55,Journal[CrAmt])</f>
        <v>0</v>
      </c>
    </row>
    <row r="56" spans="1:60" ht="16" thickTop="1" x14ac:dyDescent="0.2">
      <c r="B56" s="53" t="s">
        <v>440</v>
      </c>
      <c r="C56" s="49">
        <f>SUBTOTAL(9,C46:C55)</f>
        <v>0</v>
      </c>
      <c r="AT56" s="72" t="s">
        <v>433</v>
      </c>
      <c r="AU56" s="71"/>
      <c r="BD56" s="53" t="s">
        <v>440</v>
      </c>
      <c r="BE56" s="49">
        <f>SUBTOTAL(9,BE46:BE55)</f>
        <v>0</v>
      </c>
    </row>
    <row r="57" spans="1:60" x14ac:dyDescent="0.2">
      <c r="B57" s="56" t="s">
        <v>297</v>
      </c>
      <c r="C57" s="49">
        <f>SUBTOTAL(9,C34:C56)</f>
        <v>0</v>
      </c>
      <c r="V57" s="43"/>
      <c r="X57" s="103" t="e">
        <f>_xlfn.XLOOKUP(W58,Equity[Name],Equity[BalType])</f>
        <v>#N/A</v>
      </c>
      <c r="Y57" s="43"/>
      <c r="AT57" s="17" t="str">
        <f>IF(ISBLANK(AG42),"",AG42)</f>
        <v/>
      </c>
      <c r="AU57" s="82" t="str">
        <f t="shared" ref="AU57:AU61" si="19">IF(ISBLANK(AH42),"",AH42)</f>
        <v/>
      </c>
      <c r="BD57" s="56" t="s">
        <v>297</v>
      </c>
      <c r="BE57" s="49">
        <f>SUBTOTAL(9,BE34:BE56)</f>
        <v>0</v>
      </c>
    </row>
    <row r="58" spans="1:60" ht="16" thickBot="1" x14ac:dyDescent="0.25">
      <c r="B58" s="57" t="s">
        <v>365</v>
      </c>
      <c r="C58" s="29"/>
      <c r="V58" s="43"/>
      <c r="W58" s="44" t="str">
        <f>_xlfn.XLOOKUP(T8,Equity[Abbr],Equity[Name],"NA")</f>
        <v>NA</v>
      </c>
      <c r="X58" s="44"/>
      <c r="Y58" s="43"/>
      <c r="AT58" s="17" t="str">
        <f t="shared" ref="AT58:AT61" si="20">IF(ISBLANK(AG43),"",AG43)</f>
        <v/>
      </c>
      <c r="AU58" s="82" t="str">
        <f t="shared" si="19"/>
        <v/>
      </c>
      <c r="BD58" s="57" t="s">
        <v>365</v>
      </c>
      <c r="BE58" s="29"/>
    </row>
    <row r="59" spans="1:60" ht="16" thickTop="1" x14ac:dyDescent="0.2">
      <c r="A59" s="199" t="str">
        <f>_xlfn.XLOOKUP(B59,Equity[Name],Equity[Abbr],"")</f>
        <v>PrefStk</v>
      </c>
      <c r="B59" s="17" t="str" cm="1">
        <f t="array" ref="B59:B64">_xlfn._xlws.FILTER(Equity[Name],NOT(ISBLANK(Equity[Name])))</f>
        <v>Preferred Stock</v>
      </c>
      <c r="C59" s="99">
        <f>IF(ISBLANK(B59),"",_xlfn.XLOOKUP(B59,BegBalSht[Account],BegBalSht[Amount]))</f>
        <v>0</v>
      </c>
      <c r="V59" s="43"/>
      <c r="W59" s="90" t="e">
        <f>IF(_xlfn.XLOOKUP(W58,BegBalSht[Account],BegBalSht[Amount])&lt;0,-_xlfn.XLOOKUP(W58,BegBalSht[Account],BegBalSht[Amount]),0)</f>
        <v>#N/A</v>
      </c>
      <c r="X59" s="42" t="e">
        <f>IF(_xlfn.XLOOKUP(W58,BegBalSht[Account],BegBalSht[Amount])&gt;0,_xlfn.XLOOKUP(W58,BegBalSht[Account],BegBalSht[Amount]),0)</f>
        <v>#N/A</v>
      </c>
      <c r="Y59" s="43"/>
      <c r="AT59" s="17" t="str">
        <f t="shared" si="20"/>
        <v/>
      </c>
      <c r="AU59" s="82" t="str">
        <f t="shared" si="19"/>
        <v/>
      </c>
      <c r="BD59" s="17" t="str">
        <f>IF(ISBLANK(B59),"",B59)</f>
        <v>Preferred Stock</v>
      </c>
      <c r="BE59" s="99">
        <f t="shared" ref="BE59:BE63" si="21">IFERROR(C59+BH59-BG59,0)</f>
        <v>0</v>
      </c>
      <c r="BG59">
        <f>SUMIF(Journal[DrAccnt],Financial_Statements_2!BD59,Journal[DrAmt])</f>
        <v>0</v>
      </c>
      <c r="BH59">
        <f>SUMIF(Journal[CrAccnt],Financial_Statements_2!BD59,Journal[CrAmt])</f>
        <v>0</v>
      </c>
    </row>
    <row r="60" spans="1:60" x14ac:dyDescent="0.2">
      <c r="A60" s="199" t="str">
        <f>_xlfn.XLOOKUP(B60,Equity[Name],Equity[Abbr],"")</f>
        <v>CS</v>
      </c>
      <c r="B60" s="17" t="str">
        <v>Common Stock</v>
      </c>
      <c r="C60" s="100">
        <f>IF(ISBLANK(B60),"",_xlfn.XLOOKUP(B60,BegBalSht[Account],BegBalSht[Amount]))</f>
        <v>0</v>
      </c>
      <c r="V60" s="11" t="e" cm="1">
        <f t="array" ref="V60">_xlfn.IFS(X57="Debit","BB",AND(X57="Either",_xlfn.XLOOKUP(W58,BegBalSht[Account],BegBalSht[Amount],0)&lt;0),"BB",TRUE,"")</f>
        <v>#N/A</v>
      </c>
      <c r="W60" s="85" t="str" cm="1">
        <f t="array" ref="W60">_xlfn._xlws.FILTER(Journal[DrAmt],Journal[DrAccnt]=W58,"")</f>
        <v/>
      </c>
      <c r="X60" s="42" t="str" cm="1">
        <f t="array" ref="X60">_xlfn._xlws.FILTER(Journal[CrAmt],Journal[CrAccnt]=W58,"")</f>
        <v/>
      </c>
      <c r="Y60" s="11" t="e" cm="1">
        <f t="array" ref="Y60">_xlfn.IFS(X57="Credit","BB",AND(X57="Either",_xlfn.XLOOKUP(W58,BegBalSht[Account],BegBalSht[Amount],0)&gt;=0),"BB",TRUE,"")</f>
        <v>#N/A</v>
      </c>
      <c r="AT60" s="17" t="str">
        <f t="shared" si="20"/>
        <v/>
      </c>
      <c r="AU60" s="82" t="str">
        <f t="shared" si="19"/>
        <v/>
      </c>
      <c r="BD60" s="17" t="str">
        <f t="shared" ref="BD60:BD63" si="22">IF(ISBLANK(B60),"",B60)</f>
        <v>Common Stock</v>
      </c>
      <c r="BE60" s="100">
        <f t="shared" si="21"/>
        <v>0</v>
      </c>
      <c r="BG60">
        <f>SUMIF(Journal[DrAccnt],Financial_Statements_2!BD60,Journal[DrAmt])</f>
        <v>0</v>
      </c>
      <c r="BH60">
        <f>SUMIF(Journal[CrAccnt],Financial_Statements_2!BD60,Journal[CrAmt])</f>
        <v>0</v>
      </c>
    </row>
    <row r="61" spans="1:60" ht="16" thickBot="1" x14ac:dyDescent="0.25">
      <c r="A61" s="199" t="str">
        <f>_xlfn.XLOOKUP(B61,Equity[Name],Equity[Abbr],"")</f>
        <v>APIC</v>
      </c>
      <c r="B61" s="17" t="str">
        <v>Additional Paid-in Capital</v>
      </c>
      <c r="C61" s="100">
        <f>IF(ISBLANK(B61),"",_xlfn.XLOOKUP(B61,BegBalSht[Account],BegBalSht[Amount]))</f>
        <v>0</v>
      </c>
      <c r="V61" s="11" t="str" cm="1">
        <f t="array" ref="V61">_xlfn._xlws.FILTER(Journal[ref2],Journal[DrAccnt]=W58,"")</f>
        <v/>
      </c>
      <c r="W61" s="85"/>
      <c r="X61" s="42"/>
      <c r="Y61" s="11" t="str" cm="1">
        <f t="array" ref="Y61">_xlfn._xlws.FILTER(Journal[ref2],Journal[CrAccnt]=W58,"")</f>
        <v/>
      </c>
      <c r="AT61" s="24" t="str">
        <f t="shared" si="20"/>
        <v/>
      </c>
      <c r="AU61" s="83" t="str">
        <f t="shared" si="19"/>
        <v/>
      </c>
      <c r="BD61" s="17" t="str">
        <f t="shared" si="22"/>
        <v>Additional Paid-in Capital</v>
      </c>
      <c r="BE61" s="100">
        <f t="shared" si="21"/>
        <v>0</v>
      </c>
      <c r="BG61">
        <f>SUMIF(Journal[DrAccnt],Financial_Statements_2!BD61,Journal[DrAmt])</f>
        <v>0</v>
      </c>
      <c r="BH61">
        <f>SUMIF(Journal[CrAccnt],Financial_Statements_2!BD61,Journal[CrAmt])</f>
        <v>0</v>
      </c>
    </row>
    <row r="62" spans="1:60" x14ac:dyDescent="0.2">
      <c r="A62" s="199" t="str">
        <f>_xlfn.XLOOKUP(B62,Equity[Name],Equity[Abbr],"")</f>
        <v>RE</v>
      </c>
      <c r="B62" s="17" t="str">
        <v>Retained Earnings</v>
      </c>
      <c r="C62" s="100">
        <f>IF(ISBLANK(B62),"",_xlfn.XLOOKUP(B62,BegBalSht[Account],BegBalSht[Amount]))</f>
        <v>0</v>
      </c>
      <c r="V62" s="11"/>
      <c r="W62" s="85"/>
      <c r="X62" s="42"/>
      <c r="Y62" s="11"/>
      <c r="BD62" s="17" t="str">
        <f t="shared" si="22"/>
        <v>Retained Earnings</v>
      </c>
      <c r="BE62" s="100">
        <f t="shared" si="21"/>
        <v>0</v>
      </c>
      <c r="BG62">
        <f>SUMIF(Journal[DrAccnt],Financial_Statements_2!BD62,Journal[DrAmt])</f>
        <v>0</v>
      </c>
      <c r="BH62">
        <f>SUMIF(Journal[CrAccnt],Financial_Statements_2!BD62,Journal[CrAmt])</f>
        <v>0</v>
      </c>
    </row>
    <row r="63" spans="1:60" x14ac:dyDescent="0.2">
      <c r="A63" s="199" t="str">
        <f>_xlfn.XLOOKUP(B63,Equity[Name],Equity[Abbr],"")</f>
        <v>AOCI</v>
      </c>
      <c r="B63" s="17" t="str">
        <v>Accumulated Other Comprehensive Income</v>
      </c>
      <c r="C63" s="100">
        <f>IF(ISBLANK(B63),"",_xlfn.XLOOKUP(B63,BegBalSht[Account],BegBalSht[Amount]))</f>
        <v>0</v>
      </c>
      <c r="V63" s="11"/>
      <c r="W63" s="85"/>
      <c r="X63" s="42"/>
      <c r="Y63" s="11"/>
      <c r="BD63" s="17" t="str">
        <f t="shared" si="22"/>
        <v>Accumulated Other Comprehensive Income</v>
      </c>
      <c r="BE63" s="100">
        <f t="shared" si="21"/>
        <v>0</v>
      </c>
      <c r="BG63">
        <f>SUMIF(Journal[DrAccnt],Financial_Statements_2!BD63,Journal[DrAmt])</f>
        <v>0</v>
      </c>
      <c r="BH63">
        <f>SUMIF(Journal[CrAccnt],Financial_Statements_2!BD63,Journal[CrAmt])</f>
        <v>0</v>
      </c>
    </row>
    <row r="64" spans="1:60" x14ac:dyDescent="0.2">
      <c r="A64" s="199" t="str">
        <f>_xlfn.XLOOKUP(B64,Equity[Name],Equity[Abbr],"")</f>
        <v>TS</v>
      </c>
      <c r="B64" s="17" t="str">
        <v>Treasury Stock</v>
      </c>
      <c r="C64" s="100"/>
      <c r="V64" s="11"/>
      <c r="W64" s="85"/>
      <c r="X64" s="42"/>
      <c r="Y64" s="11"/>
      <c r="BD64" s="91" t="str">
        <f>IF(ISBLANK(B65),"",B65)</f>
        <v/>
      </c>
      <c r="BE64" s="101">
        <f>IFERROR(C65+BH64-BG64,0)</f>
        <v>0</v>
      </c>
      <c r="BG64">
        <f>SUMIF(Journal[DrAccnt],Financial_Statements_2!BD64,Journal[DrAmt])</f>
        <v>0</v>
      </c>
      <c r="BH64">
        <f>SUMIF(Journal[CrAccnt],Financial_Statements_2!BD64,Journal[CrAmt])</f>
        <v>0</v>
      </c>
    </row>
    <row r="65" spans="1:57" ht="16" thickBot="1" x14ac:dyDescent="0.25">
      <c r="A65" s="199" t="str">
        <f>_xlfn.XLOOKUP(B65,Equity[Name],Equity[Abbr],"")</f>
        <v/>
      </c>
      <c r="B65" s="91"/>
      <c r="C65" s="101" t="str">
        <f>IF(ISBLANK(B65),"",_xlfn.XLOOKUP(B65,BegBalSht[Account],BegBalSht[Amount]))</f>
        <v/>
      </c>
      <c r="V65" s="11"/>
      <c r="W65" s="85"/>
      <c r="X65" s="42"/>
      <c r="Y65" s="11"/>
      <c r="BD65" s="56" t="s">
        <v>298</v>
      </c>
      <c r="BE65" s="49">
        <f>SUBTOTAL(9,BE59:BE64)</f>
        <v>0</v>
      </c>
    </row>
    <row r="66" spans="1:57" ht="17" thickTop="1" thickBot="1" x14ac:dyDescent="0.25">
      <c r="B66" s="56" t="s">
        <v>298</v>
      </c>
      <c r="C66" s="49">
        <f>SUBTOTAL(9,C59:C65)</f>
        <v>0</v>
      </c>
      <c r="V66" s="11"/>
      <c r="W66" s="88" t="e">
        <f>MAX(SUM(W59:W65)-SUM(X59:X65),0)</f>
        <v>#N/A</v>
      </c>
      <c r="X66" s="89" t="e">
        <f>MAX(SUM(X59:X65)-SUM(W59:W65),0)</f>
        <v>#N/A</v>
      </c>
      <c r="Y66" s="11"/>
      <c r="BD66" s="58" t="s">
        <v>441</v>
      </c>
      <c r="BE66" s="50">
        <f>SUBTOTAL(9,BE34:BE65)</f>
        <v>0</v>
      </c>
    </row>
    <row r="67" spans="1:57" ht="17" thickTop="1" thickBot="1" x14ac:dyDescent="0.25">
      <c r="B67" s="58" t="s">
        <v>441</v>
      </c>
      <c r="C67" s="50">
        <f>SUBTOTAL(9,C34:C66)</f>
        <v>0</v>
      </c>
      <c r="BD67" s="24"/>
      <c r="BE67" s="25"/>
    </row>
    <row r="68" spans="1:57" ht="16" thickBot="1" x14ac:dyDescent="0.25">
      <c r="B68" s="24"/>
      <c r="C68" s="25"/>
    </row>
  </sheetData>
  <sheetProtection formatColumns="0"/>
  <conditionalFormatting sqref="V57:Y66">
    <cfRule type="expression" dxfId="463" priority="24">
      <formula>$W$58="NA"</formula>
    </cfRule>
  </conditionalFormatting>
  <conditionalFormatting sqref="V46:Y55">
    <cfRule type="expression" dxfId="462" priority="23">
      <formula>$W$47="NA"</formula>
    </cfRule>
  </conditionalFormatting>
  <conditionalFormatting sqref="V35:Y44">
    <cfRule type="expression" dxfId="461" priority="22">
      <formula>$W$36="NA"</formula>
    </cfRule>
  </conditionalFormatting>
  <conditionalFormatting sqref="V24:Y33">
    <cfRule type="expression" dxfId="460" priority="21">
      <formula>$W$25="NA"</formula>
    </cfRule>
  </conditionalFormatting>
  <conditionalFormatting sqref="V13:Y22">
    <cfRule type="expression" dxfId="459" priority="20">
      <formula>$W$14="NA"</formula>
    </cfRule>
  </conditionalFormatting>
  <conditionalFormatting sqref="V3:Y11">
    <cfRule type="expression" dxfId="458" priority="19">
      <formula>$W$3="NA"</formula>
    </cfRule>
  </conditionalFormatting>
  <conditionalFormatting sqref="AR12:AR24">
    <cfRule type="cellIs" dxfId="457" priority="15" operator="equal">
      <formula>0</formula>
    </cfRule>
  </conditionalFormatting>
  <conditionalFormatting sqref="H8:K27">
    <cfRule type="cellIs" dxfId="456" priority="39" operator="equal">
      <formula>0</formula>
    </cfRule>
    <cfRule type="expression" dxfId="455" priority="40">
      <formula>OR(NOT(ISBLANK($H8)),NOT(ISBLANK($I8)))</formula>
    </cfRule>
  </conditionalFormatting>
  <conditionalFormatting sqref="AW7:AW47">
    <cfRule type="expression" dxfId="454" priority="5">
      <formula>ROUND(AX7,2)&lt;&gt;0</formula>
    </cfRule>
  </conditionalFormatting>
  <conditionalFormatting sqref="AZ7:AZ47">
    <cfRule type="expression" dxfId="453" priority="4">
      <formula>ROUND(AY7,2)&lt;&gt;0</formula>
    </cfRule>
  </conditionalFormatting>
  <conditionalFormatting sqref="AZ5">
    <cfRule type="expression" dxfId="452" priority="3">
      <formula>ROUND(AY5,2)&lt;&gt;0</formula>
    </cfRule>
  </conditionalFormatting>
  <conditionalFormatting sqref="AW5">
    <cfRule type="expression" dxfId="451" priority="2">
      <formula>ROUND(AX5,2)&lt;&gt;0</formula>
    </cfRule>
  </conditionalFormatting>
  <conditionalFormatting sqref="AA10:AD24">
    <cfRule type="cellIs" dxfId="450" priority="41" operator="equal">
      <formula>0</formula>
    </cfRule>
    <cfRule type="expression" dxfId="449" priority="174">
      <formula>OR(NOT(ISBLANK($Z11)),NOT(ISBLANK($AA10)))</formula>
    </cfRule>
  </conditionalFormatting>
  <conditionalFormatting sqref="AN10:AQ24">
    <cfRule type="expression" dxfId="448" priority="1">
      <formula>AND(OR(NOT(ISBLANK($AN10)),NOT(ISBLANK($AO10))),$AQ$8="Operating")</formula>
    </cfRule>
    <cfRule type="expression" dxfId="447" priority="230">
      <formula>AND(OR(NOT(ISBLANK($AN10)),NOT(ISBLANK($AO10))),$AQ$8="Financing")</formula>
    </cfRule>
    <cfRule type="expression" dxfId="446" priority="231">
      <formula>AND(OR(NOT(ISBLANK($AN10)),NOT(ISBLANK($AO10))),$AQ$8="Investing")</formula>
    </cfRule>
    <cfRule type="cellIs" dxfId="445" priority="233" operator="equal">
      <formula>0</formula>
    </cfRule>
  </conditionalFormatting>
  <hyperlinks>
    <hyperlink ref="AW2:AZ2" location="Indirect_CFO_Worksheet_Tool!A1" display="Indirect Method Tool: Worksheet CFO" xr:uid="{68F639C8-3052-4257-90F6-866F971F8F01}"/>
  </hyperlinks>
  <pageMargins left="0.7" right="0.7" top="0.75" bottom="0.75" header="0.3" footer="0.3"/>
  <pageSetup orientation="portrait" r:id="rId1"/>
  <ignoredErrors>
    <ignoredError sqref="V4:Y4 X1 V18:Y66 V17:W17 V7:Y15 V6:W6 W5:X5 W16:X16" evalError="1"/>
  </ignoredErrors>
  <extLst>
    <ext xmlns:x14="http://schemas.microsoft.com/office/spreadsheetml/2009/9/main" uri="{CCE6A557-97BC-4b89-ADB6-D9C93CAAB3DF}">
      <x14:dataValidations xmlns:xm="http://schemas.microsoft.com/office/excel/2006/main" count="7">
        <x14:dataValidation type="list" allowBlank="1" showInputMessage="1" showErrorMessage="1" xr:uid="{C61193AC-F491-46A9-8114-6B968BF5BAA3}">
          <x14:formula1>
            <xm:f>INDIRECT(AccountData!$A$18)</xm:f>
          </x14:formula1>
          <xm:sqref>B8:B17 BD20:BD29 BD8:BD17 B20:B29</xm:sqref>
        </x14:dataValidation>
        <x14:dataValidation type="list" allowBlank="1" showInputMessage="1" showErrorMessage="1" xr:uid="{EBE8F97E-43E4-4783-9C2C-B21D30F74B58}">
          <x14:formula1>
            <xm:f>INDIRECT(AccountData!$A$38)</xm:f>
          </x14:formula1>
          <xm:sqref>B34:B43 BD46:BD55 BD34:BD43 B46:B55</xm:sqref>
        </x14:dataValidation>
        <x14:dataValidation type="list" allowBlank="1" showInputMessage="1" showErrorMessage="1" xr:uid="{73D78AAA-58C5-4D8D-AA50-11D5114755B9}">
          <x14:formula1>
            <xm:f>INDIRECT(AccountData!$B$56)</xm:f>
          </x14:formula1>
          <xm:sqref>O8:T8</xm:sqref>
        </x14:dataValidation>
        <x14:dataValidation type="list" allowBlank="1" showInputMessage="1" showErrorMessage="1" xr:uid="{4E397AD7-405D-4753-B2A1-9FA86FBC933D}">
          <x14:formula1>
            <xm:f>INDIRECT(AccountData!$A$56)</xm:f>
          </x14:formula1>
          <xm:sqref>BD59:BD64 B59:B65</xm:sqref>
        </x14:dataValidation>
        <x14:dataValidation type="list" allowBlank="1" showInputMessage="1" showErrorMessage="1" xr:uid="{F5664F15-1074-404D-8970-E8E82DF53401}">
          <x14:formula1>
            <xm:f>INDIRECT(AccountData!$H$23)</xm:f>
          </x14:formula1>
          <xm:sqref>E14:E21</xm:sqref>
        </x14:dataValidation>
        <x14:dataValidation type="list" allowBlank="1" showInputMessage="1" showErrorMessage="1" xr:uid="{9DD52589-2A17-44DD-AD08-C7C3063FBF3B}">
          <x14:formula1>
            <xm:f>INDIRECT(AccountData!$H$8)</xm:f>
          </x14:formula1>
          <xm:sqref>E8:E11</xm:sqref>
        </x14:dataValidation>
        <x14:dataValidation type="list" allowBlank="1" showInputMessage="1" showErrorMessage="1" xr:uid="{8A449A15-6BA9-43B2-8E51-3A8B836C4FFB}">
          <x14:formula1>
            <xm:f>INDIRECT(Trans_Events_Data!$A$53)</xm:f>
          </x14:formula1>
          <xm:sqref>Z3 AM3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FFD46-BCF1-4988-B808-B1639306D021}">
  <sheetPr>
    <tabColor theme="4" tint="0.39997558519241921"/>
  </sheetPr>
  <dimension ref="A1:BB68"/>
  <sheetViews>
    <sheetView workbookViewId="0">
      <selection activeCell="AX17" sqref="AX17"/>
    </sheetView>
  </sheetViews>
  <sheetFormatPr baseColWidth="10" defaultColWidth="8.83203125" defaultRowHeight="15" outlineLevelCol="2" x14ac:dyDescent="0.2"/>
  <cols>
    <col min="2" max="2" width="29.6640625" hidden="1" customWidth="1" outlineLevel="1"/>
    <col min="3" max="3" width="8.83203125" hidden="1" customWidth="1" outlineLevel="1"/>
    <col min="4" max="4" width="13.6640625" customWidth="1" collapsed="1"/>
    <col min="5" max="5" width="42.1640625" hidden="1" customWidth="1" outlineLevel="1"/>
    <col min="6" max="6" width="8.83203125" hidden="1" customWidth="1" outlineLevel="1"/>
    <col min="7" max="7" width="16.5" customWidth="1" collapsed="1"/>
    <col min="8" max="8" width="23.5" hidden="1" customWidth="1" outlineLevel="1"/>
    <col min="9" max="15" width="8.83203125" hidden="1" customWidth="1" outlineLevel="1"/>
    <col min="16" max="16" width="8.83203125" hidden="1" customWidth="1" outlineLevel="2"/>
    <col min="17" max="17" width="16.33203125" hidden="1" customWidth="1" outlineLevel="2"/>
    <col min="18" max="18" width="18.5" hidden="1" customWidth="1" outlineLevel="2"/>
    <col min="19" max="19" width="8.83203125" hidden="1" customWidth="1" outlineLevel="2"/>
    <col min="20" max="20" width="4.83203125" hidden="1" customWidth="1" outlineLevel="2"/>
    <col min="21" max="22" width="37.5" hidden="1" customWidth="1" outlineLevel="2"/>
    <col min="23" max="24" width="8.83203125" hidden="1" customWidth="1" outlineLevel="2"/>
    <col min="25" max="25" width="8.83203125" hidden="1" customWidth="1" outlineLevel="1"/>
    <col min="26" max="26" width="23.6640625" bestFit="1" customWidth="1" collapsed="1"/>
    <col min="27" max="27" width="38.6640625" hidden="1" customWidth="1" outlineLevel="1"/>
    <col min="28" max="28" width="8.83203125" hidden="1" customWidth="1" outlineLevel="1"/>
    <col min="29" max="29" width="5.5" hidden="1" customWidth="1" outlineLevel="2"/>
    <col min="30" max="31" width="22.33203125" hidden="1" customWidth="1" outlineLevel="2"/>
    <col min="32" max="32" width="5.5" hidden="1" customWidth="1" outlineLevel="2"/>
    <col min="33" max="33" width="4.83203125" hidden="1" customWidth="1" outlineLevel="2"/>
    <col min="34" max="35" width="37.5" hidden="1" customWidth="1" outlineLevel="2"/>
    <col min="36" max="37" width="8.83203125" hidden="1" customWidth="1" outlineLevel="2"/>
    <col min="38" max="38" width="8.6640625" hidden="1" customWidth="1" outlineLevel="1"/>
    <col min="39" max="39" width="25.83203125" bestFit="1" customWidth="1" collapsed="1"/>
    <col min="40" max="40" width="42.33203125" customWidth="1" outlineLevel="1"/>
    <col min="41" max="41" width="8.83203125" customWidth="1" outlineLevel="1"/>
    <col min="42" max="42" width="5.5" hidden="1" customWidth="1" outlineLevel="2"/>
    <col min="43" max="44" width="18.6640625" hidden="1" customWidth="1" outlineLevel="2"/>
    <col min="45" max="46" width="22.33203125" hidden="1" customWidth="1" outlineLevel="2"/>
    <col min="47" max="47" width="5.5" hidden="1" customWidth="1" outlineLevel="2"/>
    <col min="48" max="48" width="9.1640625" customWidth="1" outlineLevel="1" collapsed="1"/>
    <col min="49" max="49" width="27.33203125" bestFit="1" customWidth="1"/>
    <col min="50" max="50" width="29.6640625" hidden="1" customWidth="1" outlineLevel="1"/>
    <col min="51" max="51" width="9.6640625" hidden="1" customWidth="1" outlineLevel="1"/>
    <col min="52" max="52" width="14" bestFit="1" customWidth="1" collapsed="1"/>
    <col min="53" max="54" width="8.83203125" hidden="1" customWidth="1"/>
  </cols>
  <sheetData>
    <row r="1" spans="1:54" ht="16" thickBot="1" x14ac:dyDescent="0.25">
      <c r="A1" s="5" t="s">
        <v>445</v>
      </c>
      <c r="D1" s="5" t="s">
        <v>379</v>
      </c>
      <c r="G1" s="5" t="s">
        <v>381</v>
      </c>
      <c r="P1" s="43"/>
      <c r="R1" s="103" t="str">
        <f>_xlfn.XLOOKUP(Q3,Equity[Name],Equity[BalType])</f>
        <v>Credit</v>
      </c>
      <c r="S1" s="43"/>
      <c r="Y1" s="59" t="s">
        <v>382</v>
      </c>
      <c r="Z1" s="5" t="s">
        <v>383</v>
      </c>
      <c r="AD1" s="103" t="str">
        <f>AE3&amp;"[Name]"</f>
        <v>Asset[Name]</v>
      </c>
      <c r="AE1" s="103" t="str">
        <f>_xlfn.XLOOKUP(AE4,BegBalSht[Account],BegBalSht[BalType])</f>
        <v>Debit</v>
      </c>
      <c r="AL1" s="60" t="s">
        <v>384</v>
      </c>
      <c r="AM1" s="5" t="s">
        <v>385</v>
      </c>
      <c r="AV1" s="60" t="s">
        <v>386</v>
      </c>
      <c r="AW1" s="5" t="s">
        <v>387</v>
      </c>
      <c r="AZ1" s="5" t="s">
        <v>388</v>
      </c>
    </row>
    <row r="2" spans="1:54" x14ac:dyDescent="0.2">
      <c r="B2" s="377">
        <f>Entity</f>
        <v>0</v>
      </c>
      <c r="C2" s="378"/>
      <c r="E2" s="383">
        <f>Entity</f>
        <v>0</v>
      </c>
      <c r="F2" s="384"/>
      <c r="H2" s="383">
        <f>Entity</f>
        <v>0</v>
      </c>
      <c r="I2" s="389"/>
      <c r="J2" s="389"/>
      <c r="K2" s="389"/>
      <c r="L2" s="389"/>
      <c r="M2" s="389"/>
      <c r="N2" s="389"/>
      <c r="O2" s="384"/>
      <c r="P2" s="43"/>
      <c r="Q2" s="12" t="s">
        <v>391</v>
      </c>
      <c r="R2" s="13"/>
      <c r="S2" s="43"/>
      <c r="T2" s="340">
        <v>1</v>
      </c>
      <c r="U2" s="12" t="s">
        <v>392</v>
      </c>
      <c r="V2" s="12"/>
      <c r="W2" s="12"/>
      <c r="X2" s="12"/>
      <c r="AA2" s="383">
        <f>Entity</f>
        <v>0</v>
      </c>
      <c r="AB2" s="384"/>
      <c r="AD2" s="12" t="s">
        <v>393</v>
      </c>
      <c r="AE2" s="13"/>
      <c r="AH2" s="12" t="s">
        <v>394</v>
      </c>
      <c r="AI2" s="12"/>
      <c r="AJ2" s="12"/>
      <c r="AK2" s="12"/>
      <c r="AN2" s="383">
        <f>Entity</f>
        <v>0</v>
      </c>
      <c r="AO2" s="384"/>
      <c r="AQ2" s="333" t="s">
        <v>395</v>
      </c>
      <c r="AR2" s="333"/>
      <c r="AS2" s="333"/>
      <c r="AT2" s="333"/>
      <c r="AX2" s="377">
        <f>Entity</f>
        <v>0</v>
      </c>
      <c r="AY2" s="378"/>
    </row>
    <row r="3" spans="1:54" ht="16" thickBot="1" x14ac:dyDescent="0.25">
      <c r="B3" s="379" t="str">
        <f>"Balance Sheet as of "&amp;BegDate</f>
        <v xml:space="preserve">Balance Sheet as of </v>
      </c>
      <c r="C3" s="380"/>
      <c r="E3" s="385" t="s">
        <v>381</v>
      </c>
      <c r="F3" s="386"/>
      <c r="H3" s="385" t="s">
        <v>397</v>
      </c>
      <c r="I3" s="390"/>
      <c r="J3" s="390"/>
      <c r="K3" s="390"/>
      <c r="L3" s="390"/>
      <c r="M3" s="390"/>
      <c r="N3" s="390"/>
      <c r="O3" s="386"/>
      <c r="P3" s="43"/>
      <c r="Q3" s="44" t="str">
        <f>_xlfn.XLOOKUP(I8,Equity[Abbr],Equity[Name],"NA")</f>
        <v>Common Stock</v>
      </c>
      <c r="R3" s="44"/>
      <c r="S3" s="43"/>
      <c r="U3" t="str">
        <f>FS3_1_Line1</f>
        <v>Sold BU for XXXXX</v>
      </c>
      <c r="AA3" s="385" t="s">
        <v>398</v>
      </c>
      <c r="AB3" s="386"/>
      <c r="AD3" t="s">
        <v>396</v>
      </c>
      <c r="AE3" s="255" t="s">
        <v>154</v>
      </c>
      <c r="AG3" s="340">
        <v>1</v>
      </c>
      <c r="AH3" t="str" cm="1">
        <f t="array" ref="AH3">FS3_2_Line1</f>
        <v>Sold BU for XXXXX</v>
      </c>
      <c r="AN3" s="385" t="s">
        <v>398</v>
      </c>
      <c r="AO3" s="386"/>
      <c r="AQ3" s="11"/>
      <c r="AR3" s="3"/>
      <c r="AS3" s="3"/>
      <c r="AT3" s="3"/>
      <c r="AX3" s="379" t="str">
        <f>"Balance Sheet as of "&amp;EndDate</f>
        <v xml:space="preserve">Balance Sheet as of </v>
      </c>
      <c r="AY3" s="380"/>
    </row>
    <row r="4" spans="1:54" ht="17" thickTop="1" thickBot="1" x14ac:dyDescent="0.25">
      <c r="B4" s="381" t="str">
        <f>"("&amp;Units&amp;")"</f>
        <v>()</v>
      </c>
      <c r="C4" s="382"/>
      <c r="E4" s="385" t="str">
        <f>"For the "&amp;Period&amp;" Ended "&amp;EndDate</f>
        <v xml:space="preserve">For the  Ended </v>
      </c>
      <c r="F4" s="386"/>
      <c r="H4" s="385" t="str">
        <f>"For the "&amp;Period&amp;" Ended "&amp;EndDate</f>
        <v xml:space="preserve">For the  Ended </v>
      </c>
      <c r="I4" s="390"/>
      <c r="J4" s="390"/>
      <c r="K4" s="390"/>
      <c r="L4" s="390"/>
      <c r="M4" s="390"/>
      <c r="N4" s="390"/>
      <c r="O4" s="386"/>
      <c r="P4" s="11" t="str" cm="1">
        <f t="array" ref="P4">_xlfn.IFS(R1="Debit","BB",AND(R1="Either",_xlfn.XLOOKUP(Q3,BegBalSht[Account],BegBalSht[Amount],0)&lt;0),"BB",TRUE,"")</f>
        <v/>
      </c>
      <c r="Q4" s="90">
        <f>IF(_xlfn.XLOOKUP(Q3,BegBalSht[Account],BegBalSht[Amount])&lt;0,-_xlfn.XLOOKUP(Q3,BegBalSht[Account],BegBalSht[Amount]),0)</f>
        <v>0</v>
      </c>
      <c r="R4" s="42">
        <f>IF(_xlfn.XLOOKUP(Q3,BegBalSht[Account],BegBalSht[Amount])&gt;0,_xlfn.XLOOKUP(Q3,BegBalSht[Account],BegBalSht[Amount]),0)</f>
        <v>0</v>
      </c>
      <c r="S4" s="11" t="str" cm="1">
        <f t="array" ref="S4">_xlfn.IFS(R1="Credit","BB",AND(R1="Either",_xlfn.XLOOKUP(Q3,BegBalSht[Account],BegBalSht[Amount],0)&gt;=0),"BB",TRUE,"")</f>
        <v>BB</v>
      </c>
      <c r="U4" t="str">
        <f>FS3_1_Line2</f>
        <v/>
      </c>
      <c r="AA4" s="385" t="str">
        <f>"For the "&amp;Period&amp;" Ended "&amp;EndDate</f>
        <v xml:space="preserve">For the  Ended </v>
      </c>
      <c r="AB4" s="386"/>
      <c r="AD4" t="s">
        <v>399</v>
      </c>
      <c r="AE4" s="255" t="s">
        <v>159</v>
      </c>
      <c r="AH4" t="str">
        <f>FS3_2_Line2</f>
        <v/>
      </c>
      <c r="AN4" s="385" t="str">
        <f>"For the "&amp;Period&amp;" Ended "&amp;EndDate</f>
        <v xml:space="preserve">For the  Ended </v>
      </c>
      <c r="AO4" s="386"/>
      <c r="AR4" s="253" t="s">
        <v>400</v>
      </c>
      <c r="AS4" s="244"/>
      <c r="AX4" s="381" t="str">
        <f>"("&amp;Units&amp;")"</f>
        <v>()</v>
      </c>
      <c r="AY4" s="382"/>
    </row>
    <row r="5" spans="1:54" ht="16" thickBot="1" x14ac:dyDescent="0.25">
      <c r="B5" s="28"/>
      <c r="C5" s="27"/>
      <c r="E5" s="387" t="str">
        <f>"("&amp;Units&amp;")"</f>
        <v>()</v>
      </c>
      <c r="F5" s="388"/>
      <c r="H5" s="387" t="str">
        <f>"("&amp;Units&amp;")"</f>
        <v>()</v>
      </c>
      <c r="I5" s="391"/>
      <c r="J5" s="391"/>
      <c r="K5" s="391"/>
      <c r="L5" s="391"/>
      <c r="M5" s="391"/>
      <c r="N5" s="391"/>
      <c r="O5" s="388"/>
      <c r="P5" s="11" t="str" cm="1">
        <f t="array" ref="P5">_xlfn._xlws.FILTER(Journal[ref],Journal[DrAccnt]=Financial_Statements_3!Q3,"")</f>
        <v/>
      </c>
      <c r="Q5" s="85" t="str" cm="1">
        <f t="array" ref="Q5">_xlfn._xlws.FILTER(Journal[DrAmt],Journal[DrAccnt]=Financial_Statements_3!Q3,"")</f>
        <v/>
      </c>
      <c r="R5" s="42" t="str" cm="1">
        <f t="array" ref="R5">_xlfn._xlws.FILTER(Journal[CrAmt],Journal[CrAccnt]=Financial_Statements_3!Q3,"")</f>
        <v/>
      </c>
      <c r="S5" s="11" t="str" cm="1">
        <f t="array" ref="S5">_xlfn._xlws.FILTER(Journal[ref],Journal[CrAccnt]=Financial_Statements_3!Q3,"")</f>
        <v/>
      </c>
      <c r="U5" t="str">
        <f>FS3_1_Line3</f>
        <v/>
      </c>
      <c r="AA5" s="387" t="str">
        <f>"("&amp;Units&amp;")"</f>
        <v>()</v>
      </c>
      <c r="AB5" s="388"/>
      <c r="AH5" t="str">
        <f>FS3_2_Line3</f>
        <v/>
      </c>
      <c r="AN5" s="387" t="str">
        <f>"("&amp;Units&amp;")"</f>
        <v>()</v>
      </c>
      <c r="AO5" s="388"/>
      <c r="AQ5" s="4" t="s">
        <v>401</v>
      </c>
      <c r="AR5" s="257">
        <f>Indirect_CFO_Worksheet_Tool!P140</f>
        <v>5</v>
      </c>
      <c r="AS5" s="9">
        <f>Indirect_CFO_Worksheet_Tool!Q140</f>
        <v>0</v>
      </c>
      <c r="AT5" s="33" t="s">
        <v>402</v>
      </c>
      <c r="AX5" s="28"/>
      <c r="AY5" s="27"/>
    </row>
    <row r="6" spans="1:54" ht="16" thickBot="1" x14ac:dyDescent="0.25">
      <c r="B6" s="26" t="s">
        <v>363</v>
      </c>
      <c r="C6" s="29"/>
      <c r="E6" s="17"/>
      <c r="F6" s="18"/>
      <c r="H6" s="16"/>
      <c r="I6" s="2"/>
      <c r="J6" s="2"/>
      <c r="K6" s="2"/>
      <c r="L6" s="2"/>
      <c r="M6" s="2"/>
      <c r="N6" s="2"/>
      <c r="O6" s="15"/>
      <c r="P6" s="11"/>
      <c r="Q6" s="85"/>
      <c r="R6" s="42"/>
      <c r="S6" s="11"/>
      <c r="U6" t="str">
        <f>FS3_1_Line4</f>
        <v/>
      </c>
      <c r="AA6" s="74"/>
      <c r="AB6" s="15"/>
      <c r="AC6" s="11"/>
      <c r="AD6" s="44" t="str">
        <f>AE4</f>
        <v>Cash</v>
      </c>
      <c r="AE6" s="44"/>
      <c r="AF6" s="11"/>
      <c r="AH6" t="str">
        <f>FS3_2_Line4</f>
        <v/>
      </c>
      <c r="AN6" s="17"/>
      <c r="AO6" s="18"/>
      <c r="AR6" s="256" t="s">
        <v>403</v>
      </c>
      <c r="AS6" s="245"/>
      <c r="AT6" s="4"/>
      <c r="AX6" s="26" t="s">
        <v>363</v>
      </c>
      <c r="AY6" s="29"/>
    </row>
    <row r="7" spans="1:54" ht="16" thickTop="1" x14ac:dyDescent="0.2">
      <c r="B7" s="52" t="s">
        <v>404</v>
      </c>
      <c r="C7" s="46">
        <f>BegDate</f>
        <v>0</v>
      </c>
      <c r="E7" s="19" t="s">
        <v>405</v>
      </c>
      <c r="F7" s="18"/>
      <c r="H7" s="17"/>
      <c r="I7" s="61" t="s">
        <v>406</v>
      </c>
      <c r="J7" s="2"/>
      <c r="K7" s="2"/>
      <c r="L7" s="2"/>
      <c r="M7" s="2"/>
      <c r="N7" s="2"/>
      <c r="O7" s="18"/>
      <c r="P7" s="11"/>
      <c r="Q7" s="85"/>
      <c r="R7" s="42"/>
      <c r="S7" s="11"/>
      <c r="U7" t="str">
        <f>FS3_1_Line5</f>
        <v/>
      </c>
      <c r="AA7" s="19" t="s">
        <v>407</v>
      </c>
      <c r="AB7" s="18"/>
      <c r="AC7" s="45" t="str" cm="1">
        <f t="array" ref="AC7">_xlfn.IFS(AE1="Debit","BB",AND(AE1="Either",_xlfn.XLOOKUP(AE4,BegBalSht[Account],BegBalSht[Amount],0)&lt;0),"BB",TRUE,"")</f>
        <v>BB</v>
      </c>
      <c r="AD7" s="84" cm="1">
        <f t="array" ref="AD7">_xlfn.IFS(AE1="Debit",_xlfn._xlws.FILTER(BegBalSht[Amount],BegBalSht[Account]=AE4),AND(AE1="Either",_xlfn._xlws.FILTER(BegBalSht[Amount],BegBalSht[Account]=AE4)&lt;0),-_xlfn._xlws.FILTER(BegBalSht[Amount],BegBalSht[Account]=AE4,""),TRUE,0)</f>
        <v>0</v>
      </c>
      <c r="AE7" s="9" cm="1">
        <f t="array" ref="AE7">_xlfn.IFS(AE1="Credit",_xlfn._xlws.FILTER(BegBalSht[Amount],BegBalSht[Account]=AE4),AND(AE1="Either",_xlfn._xlws.FILTER(BegBalSht[Amount],BegBalSht[Account]=AE4)&gt;0),_xlfn._xlws.FILTER(BegBalSht[Amount],BegBalSht[Account]=AE4,""),TRUE,0)</f>
        <v>0</v>
      </c>
      <c r="AF7" s="45" t="str" cm="1">
        <f t="array" ref="AF7">_xlfn.IFS(AE1="Credit","BB",AND(AE1="Either",_xlfn.XLOOKUP(AE4,BegBalSht[Account],BegBalSht[Amount],0)&gt;=0),"BB",TRUE,"")</f>
        <v/>
      </c>
      <c r="AH7" t="str">
        <f>FS3_2_Line5</f>
        <v/>
      </c>
      <c r="AN7" s="19" t="s">
        <v>408</v>
      </c>
      <c r="AO7" s="18"/>
      <c r="AQ7" t="str">
        <f>IF(ISBLANK(Indirect_CFO_Worksheet_Tool!O142),"",Indirect_CFO_Worksheet_Tool!O142)</f>
        <v/>
      </c>
      <c r="AR7" s="248" t="str">
        <f>IF(ISBLANK(Indirect_CFO_Worksheet_Tool!P142),"",Indirect_CFO_Worksheet_Tool!P142)</f>
        <v/>
      </c>
      <c r="AS7" s="42" t="str">
        <f>IF(ISBLANK(Indirect_CFO_Worksheet_Tool!Q142),"",Indirect_CFO_Worksheet_Tool!Q142)</f>
        <v/>
      </c>
      <c r="AT7" s="159" t="str">
        <f>IF(ISBLANK(Indirect_CFO_Worksheet_Tool!R142),"",Indirect_CFO_Worksheet_Tool!R142)</f>
        <v/>
      </c>
      <c r="AX7" s="52" t="s">
        <v>404</v>
      </c>
      <c r="AY7" s="46">
        <f>EndDate</f>
        <v>0</v>
      </c>
      <c r="BA7" t="s">
        <v>301</v>
      </c>
      <c r="BB7" t="s">
        <v>302</v>
      </c>
    </row>
    <row r="8" spans="1:54" ht="17" thickBot="1" x14ac:dyDescent="0.25">
      <c r="B8" s="17" t="str" cm="1">
        <f t="array" ref="B8:B15">_xlfn._xlws.FILTER(Asset[Name],Asset[C/NC]="C")</f>
        <v>Cash</v>
      </c>
      <c r="C8" s="99">
        <f>IF(ISBLANK(B8),"",_xlfn.XLOOKUP(B8,BegBalSht[Account],BegBalSht[Amount]))</f>
        <v>0</v>
      </c>
      <c r="E8" s="17" t="str" cm="1">
        <f t="array" ref="E8">_xlfn._xlws.FILTER(_Revenue[Name],NOT(ISBLANK(_Revenue[Name])),"")</f>
        <v>Sales</v>
      </c>
      <c r="F8" s="82">
        <f>SUMIFS(Journal[CrAmt],Journal[CrAccnt],E8,Journal[ref2],"&lt;&gt;CL")-SUMIFS(Journal[DrAmt],Journal[DrAccnt],E8,Journal[ref2],"&lt;&gt;CL")</f>
        <v>0</v>
      </c>
      <c r="H8" s="17"/>
      <c r="I8" s="335" t="s">
        <v>241</v>
      </c>
      <c r="J8" s="335" t="s">
        <v>245</v>
      </c>
      <c r="K8" s="335"/>
      <c r="L8" s="335"/>
      <c r="M8" s="335"/>
      <c r="N8" s="335"/>
      <c r="O8" s="63" t="s">
        <v>409</v>
      </c>
      <c r="P8" s="11"/>
      <c r="Q8" s="85"/>
      <c r="R8" s="42"/>
      <c r="S8" s="11"/>
      <c r="AA8" s="70"/>
      <c r="AB8" s="81"/>
      <c r="AC8" s="45" t="str" cm="1">
        <f t="array" ref="AC8">_xlfn._xlws.FILTER(Journal[ref],Journal[DrAccnt]=Financial_Statements_3!AD6,"")</f>
        <v/>
      </c>
      <c r="AD8" s="85" t="str" cm="1">
        <f t="array" ref="AD8">_xlfn._xlws.FILTER(Journal[DrAmt],Journal[DrAccnt]=Financial_Statements_3!AD6,"")</f>
        <v/>
      </c>
      <c r="AE8" s="42" t="str" cm="1">
        <f t="array" ref="AE8">_xlfn._xlws.FILTER(Journal[CrAmt],Journal[CrAccnt]=Financial_Statements_3!AD6,"")</f>
        <v/>
      </c>
      <c r="AF8" s="45" t="str" cm="1">
        <f t="array" ref="AF8">_xlfn._xlws.FILTER(Journal[ref],Journal[CrAccnt]=Financial_Statements_3!AD6,"")</f>
        <v/>
      </c>
      <c r="AL8" s="11"/>
      <c r="AM8" s="11"/>
      <c r="AN8" s="17" t="s">
        <v>401</v>
      </c>
      <c r="AO8" s="80">
        <f>Net_Income</f>
        <v>5</v>
      </c>
      <c r="AP8" s="11"/>
      <c r="AQ8" t="str">
        <f>IF(ISBLANK(Indirect_CFO_Worksheet_Tool!O143),"",Indirect_CFO_Worksheet_Tool!O143)</f>
        <v/>
      </c>
      <c r="AR8" s="143" t="str">
        <f>IF(ISBLANK(Indirect_CFO_Worksheet_Tool!P143),"",Indirect_CFO_Worksheet_Tool!P143)</f>
        <v/>
      </c>
      <c r="AS8" s="42" t="str">
        <f>IF(ISBLANK(Indirect_CFO_Worksheet_Tool!Q143),"",Indirect_CFO_Worksheet_Tool!Q143)</f>
        <v/>
      </c>
      <c r="AT8" s="159" t="str">
        <f>IF(ISBLANK(Indirect_CFO_Worksheet_Tool!R143),"",Indirect_CFO_Worksheet_Tool!R143)</f>
        <v/>
      </c>
      <c r="AU8" s="11"/>
      <c r="AV8" s="11"/>
      <c r="AX8" s="17" t="str">
        <f t="shared" ref="AX8:AX17" si="0">IF(ISBLANK(B8),"",B8)</f>
        <v>Cash</v>
      </c>
      <c r="AY8" s="99">
        <f t="shared" ref="AY8:AY17" si="1">IFERROR(C8+BA8-BB8,0)</f>
        <v>0</v>
      </c>
      <c r="AZ8" s="1"/>
      <c r="BA8">
        <f>SUMIF(Journal[DrAccnt],Financial_Statements_3!AX8,Journal[DrAmt])</f>
        <v>0</v>
      </c>
      <c r="BB8">
        <f>SUMIF(Journal[CrAccnt],Financial_Statements_3!AX8,Journal[CrAmt])</f>
        <v>0</v>
      </c>
    </row>
    <row r="9" spans="1:54" x14ac:dyDescent="0.2">
      <c r="B9" s="17" t="str">
        <v>Accounts Receivable</v>
      </c>
      <c r="C9" s="100">
        <f>IF(ISBLANK(B9),"",_xlfn.XLOOKUP(B9,BegBalSht[Account],BegBalSht[Amount]))</f>
        <v>0</v>
      </c>
      <c r="E9" s="17"/>
      <c r="F9" s="102">
        <f>SUMIFS(Journal[CrAmt],Journal[CrAccnt],E9,Journal[ref2],"&lt;&gt;CL")-SUMIFS(Journal[DrAmt],Journal[DrAccnt],E9,Journal[ref2],"&lt;&gt;CL")</f>
        <v>0</v>
      </c>
      <c r="H9" s="19" t="str">
        <f>"Balance as of "&amp;BegDate</f>
        <v xml:space="preserve">Balance as of </v>
      </c>
      <c r="I9" s="69">
        <f t="shared" ref="I9:N9" si="2">_xlfn.XLOOKUP(I8,$A59:$A65,$C59:$C65,0)</f>
        <v>0</v>
      </c>
      <c r="J9" s="69">
        <f t="shared" si="2"/>
        <v>0</v>
      </c>
      <c r="K9" s="69">
        <f t="shared" si="2"/>
        <v>0</v>
      </c>
      <c r="L9" s="69">
        <f t="shared" si="2"/>
        <v>0</v>
      </c>
      <c r="M9" s="69">
        <f t="shared" si="2"/>
        <v>0</v>
      </c>
      <c r="N9" s="69">
        <f t="shared" si="2"/>
        <v>0</v>
      </c>
      <c r="O9" s="64">
        <f>SUM(I9:N9)</f>
        <v>0</v>
      </c>
      <c r="P9" s="11"/>
      <c r="Q9" s="85"/>
      <c r="R9" s="42"/>
      <c r="S9" s="11"/>
      <c r="U9" s="12" t="s">
        <v>410</v>
      </c>
      <c r="V9" s="12"/>
      <c r="W9" s="12"/>
      <c r="X9" s="12"/>
      <c r="AA9" s="70"/>
      <c r="AB9" s="48"/>
      <c r="AC9" s="45"/>
      <c r="AD9" s="85"/>
      <c r="AE9" s="42"/>
      <c r="AF9" s="45"/>
      <c r="AH9" s="12" t="s">
        <v>411</v>
      </c>
      <c r="AI9" s="12"/>
      <c r="AJ9" s="12"/>
      <c r="AK9" s="12"/>
      <c r="AL9" s="45"/>
      <c r="AM9" s="45"/>
      <c r="AN9" s="75" t="s">
        <v>412</v>
      </c>
      <c r="AO9" s="80"/>
      <c r="AP9" s="45"/>
      <c r="AQ9" t="str">
        <f>IF(ISBLANK(Indirect_CFO_Worksheet_Tool!O144),"",Indirect_CFO_Worksheet_Tool!O144)</f>
        <v/>
      </c>
      <c r="AR9" s="143" t="str">
        <f>IF(ISBLANK(Indirect_CFO_Worksheet_Tool!P144),"",Indirect_CFO_Worksheet_Tool!P144)</f>
        <v/>
      </c>
      <c r="AS9" s="42" t="str">
        <f>IF(ISBLANK(Indirect_CFO_Worksheet_Tool!Q144),"",Indirect_CFO_Worksheet_Tool!Q144)</f>
        <v/>
      </c>
      <c r="AT9" s="159" t="str">
        <f>IF(ISBLANK(Indirect_CFO_Worksheet_Tool!R144),"",Indirect_CFO_Worksheet_Tool!R144)</f>
        <v/>
      </c>
      <c r="AU9" s="45"/>
      <c r="AV9" s="45"/>
      <c r="AX9" s="17" t="str">
        <f t="shared" si="0"/>
        <v>Accounts Receivable</v>
      </c>
      <c r="AY9" s="100">
        <f t="shared" si="1"/>
        <v>0</v>
      </c>
      <c r="AZ9" s="1"/>
      <c r="BA9">
        <f>SUMIF(Journal[DrAccnt],Financial_Statements_3!AX9,Journal[DrAmt])</f>
        <v>0</v>
      </c>
      <c r="BB9">
        <f>SUMIF(Journal[CrAccnt],Financial_Statements_3!AX9,Journal[CrAmt])</f>
        <v>0</v>
      </c>
    </row>
    <row r="10" spans="1:54" ht="16" thickBot="1" x14ac:dyDescent="0.25">
      <c r="B10" s="17" t="str">
        <v>Allowance for Doubtful Accounts</v>
      </c>
      <c r="C10" s="100">
        <f>IF(ISBLANK(B10),"",_xlfn.XLOOKUP(B10,BegBalSht[Account],BegBalSht[Amount]))</f>
        <v>0</v>
      </c>
      <c r="E10" s="17"/>
      <c r="F10" s="102">
        <f>SUMIFS(Journal[CrAmt],Journal[CrAccnt],E10,Journal[ref2],"&lt;&gt;CL")-SUMIFS(Journal[DrAmt],Journal[DrAccnt],E10,Journal[ref2],"&lt;&gt;CL")</f>
        <v>0</v>
      </c>
      <c r="H10" s="70"/>
      <c r="I10" s="105"/>
      <c r="J10" s="105"/>
      <c r="K10" s="105"/>
      <c r="L10" s="105"/>
      <c r="M10" s="105"/>
      <c r="N10" s="105"/>
      <c r="O10" s="65">
        <f t="shared" ref="O10:O17" si="3">SUM(I10:N10)</f>
        <v>0</v>
      </c>
      <c r="P10" s="11"/>
      <c r="Q10" s="85"/>
      <c r="R10" s="42"/>
      <c r="S10" s="11"/>
      <c r="U10" t="str" cm="1">
        <f t="array" ref="U10">_xlfn._xlws.FILTER(Journal[DrAccnt],Journal[ref]=$T$2,"")</f>
        <v/>
      </c>
      <c r="V10" t="str" cm="1">
        <f t="array" ref="V10">_xlfn._xlws.FILTER(Journal[CrAccnt],Journal[ref]=$T$2,"")</f>
        <v/>
      </c>
      <c r="W10" t="str" cm="1">
        <f t="array" ref="W10">_xlfn._xlws.FILTER(Journal[DrAmt],Journal[ref]=$T$2,"")</f>
        <v/>
      </c>
      <c r="X10" t="str" cm="1">
        <f t="array" ref="X10">_xlfn._xlws.FILTER(Journal[CrAmt],Journal[ref]=$T$2,"")</f>
        <v/>
      </c>
      <c r="AA10" s="70"/>
      <c r="AB10" s="48"/>
      <c r="AC10" s="45"/>
      <c r="AD10" s="85"/>
      <c r="AE10" s="42"/>
      <c r="AF10" s="45"/>
      <c r="AH10" t="str" cm="1">
        <f t="array" ref="AH10">_xlfn._xlws.FILTER(Journal[DrAccnt],Journal[ref]=$AG$3,"")</f>
        <v/>
      </c>
      <c r="AI10" t="str" cm="1">
        <f t="array" ref="AI10">_xlfn._xlws.FILTER(Journal[CrAccnt],Journal[ref]=$AG$3,"")</f>
        <v/>
      </c>
      <c r="AJ10" t="str" cm="1">
        <f t="array" ref="AJ10">_xlfn._xlws.FILTER(Journal[DrAmt],Journal[ref]=$AG$3,"")</f>
        <v/>
      </c>
      <c r="AK10" t="str" cm="1">
        <f t="array" ref="AK10">_xlfn._xlws.FILTER(Journal[CrAmt],Journal[ref]=$AG$3,"")</f>
        <v/>
      </c>
      <c r="AL10" s="45"/>
      <c r="AM10" s="45"/>
      <c r="AN10" s="70"/>
      <c r="AO10" s="81"/>
      <c r="AP10" s="11"/>
      <c r="AQ10" t="str">
        <f>IF(ISBLANK(Indirect_CFO_Worksheet_Tool!O145),"",Indirect_CFO_Worksheet_Tool!O145)</f>
        <v/>
      </c>
      <c r="AR10" s="143" t="str">
        <f>IF(ISBLANK(Indirect_CFO_Worksheet_Tool!P145),"",Indirect_CFO_Worksheet_Tool!P145)</f>
        <v/>
      </c>
      <c r="AS10" s="42" t="str">
        <f>IF(ISBLANK(Indirect_CFO_Worksheet_Tool!Q145),"",Indirect_CFO_Worksheet_Tool!Q145)</f>
        <v/>
      </c>
      <c r="AT10" s="159" t="str">
        <f>IF(ISBLANK(Indirect_CFO_Worksheet_Tool!R145),"",Indirect_CFO_Worksheet_Tool!R145)</f>
        <v/>
      </c>
      <c r="AU10" s="11"/>
      <c r="AV10" s="45"/>
      <c r="AX10" s="17" t="str">
        <f t="shared" si="0"/>
        <v>Allowance for Doubtful Accounts</v>
      </c>
      <c r="AY10" s="100">
        <f t="shared" si="1"/>
        <v>0</v>
      </c>
      <c r="AZ10" s="1"/>
      <c r="BA10">
        <f>SUMIF(Journal[DrAccnt],Financial_Statements_3!AX10,Journal[DrAmt])</f>
        <v>0</v>
      </c>
      <c r="BB10">
        <f>SUMIF(Journal[CrAccnt],Financial_Statements_3!AX10,Journal[CrAmt])</f>
        <v>0</v>
      </c>
    </row>
    <row r="11" spans="1:54" ht="17" thickTop="1" thickBot="1" x14ac:dyDescent="0.25">
      <c r="B11" s="17" t="str">
        <v>Marketable Securities</v>
      </c>
      <c r="C11" s="100">
        <f>IF(ISBLANK(B11),"",_xlfn.XLOOKUP(B11,BegBalSht[Account],BegBalSht[Amount]))</f>
        <v>0</v>
      </c>
      <c r="E11" s="17"/>
      <c r="F11" s="102">
        <f>SUMIFS(Journal[CrAmt],Journal[CrAccnt],E11,Journal[ref2],"&lt;&gt;CL")-SUMIFS(Journal[DrAmt],Journal[DrAccnt],E11,Journal[ref2],"&lt;&gt;CL")</f>
        <v>0</v>
      </c>
      <c r="H11" s="70"/>
      <c r="I11" s="105"/>
      <c r="J11" s="105"/>
      <c r="K11" s="105"/>
      <c r="L11" s="105"/>
      <c r="M11" s="105"/>
      <c r="N11" s="105"/>
      <c r="O11" s="65">
        <f t="shared" si="3"/>
        <v>0</v>
      </c>
      <c r="P11" s="42"/>
      <c r="Q11" s="88">
        <f>MAX(SUM(Q4:Q10)-SUM(R4:R10),0)</f>
        <v>0</v>
      </c>
      <c r="R11" s="89">
        <f>MAX(SUM(R4:R10)-SUM(Q4:Q10),0)</f>
        <v>0</v>
      </c>
      <c r="AA11" s="70"/>
      <c r="AB11" s="48"/>
      <c r="AC11" s="45"/>
      <c r="AD11" s="85"/>
      <c r="AE11" s="42"/>
      <c r="AF11" s="45"/>
      <c r="AL11" s="104"/>
      <c r="AM11" s="45"/>
      <c r="AN11" s="70"/>
      <c r="AO11" s="48"/>
      <c r="AP11" s="45"/>
      <c r="AQ11" t="str">
        <f>IF(ISBLANK(Indirect_CFO_Worksheet_Tool!O146),"",Indirect_CFO_Worksheet_Tool!O146)</f>
        <v/>
      </c>
      <c r="AR11" s="143" t="str">
        <f>IF(ISBLANK(Indirect_CFO_Worksheet_Tool!P146),"",Indirect_CFO_Worksheet_Tool!P146)</f>
        <v/>
      </c>
      <c r="AS11" s="42" t="str">
        <f>IF(ISBLANK(Indirect_CFO_Worksheet_Tool!Q146),"",Indirect_CFO_Worksheet_Tool!Q146)</f>
        <v/>
      </c>
      <c r="AT11" s="159" t="str">
        <f>IF(ISBLANK(Indirect_CFO_Worksheet_Tool!R146),"",Indirect_CFO_Worksheet_Tool!R146)</f>
        <v/>
      </c>
      <c r="AU11" s="45"/>
      <c r="AV11" s="45"/>
      <c r="AX11" s="17" t="str">
        <f t="shared" si="0"/>
        <v>Marketable Securities</v>
      </c>
      <c r="AY11" s="100">
        <f t="shared" si="1"/>
        <v>0</v>
      </c>
      <c r="AZ11" s="1"/>
      <c r="BA11">
        <f>SUMIF(Journal[DrAccnt],Financial_Statements_3!AX11,Journal[DrAmt])</f>
        <v>0</v>
      </c>
      <c r="BB11">
        <f>SUMIF(Journal[CrAccnt],Financial_Statements_3!AX11,Journal[CrAmt])</f>
        <v>0</v>
      </c>
    </row>
    <row r="12" spans="1:54" ht="16" thickTop="1" x14ac:dyDescent="0.2">
      <c r="B12" s="17" t="str">
        <v>Inventories</v>
      </c>
      <c r="C12" s="100">
        <f>IF(ISBLANK(B12),"",_xlfn.XLOOKUP(B12,BegBalSht[Account],BegBalSht[Amount]))</f>
        <v>0</v>
      </c>
      <c r="E12" s="21" t="s">
        <v>413</v>
      </c>
      <c r="F12" s="47">
        <f>SUM(F8:F11)</f>
        <v>0</v>
      </c>
      <c r="H12" s="70"/>
      <c r="I12" s="105"/>
      <c r="J12" s="105"/>
      <c r="K12" s="105"/>
      <c r="L12" s="105"/>
      <c r="M12" s="105"/>
      <c r="N12" s="105"/>
      <c r="O12" s="65">
        <f t="shared" si="3"/>
        <v>0</v>
      </c>
      <c r="AA12" s="70"/>
      <c r="AB12" s="48"/>
      <c r="AC12" s="45"/>
      <c r="AD12" s="85"/>
      <c r="AE12" s="42"/>
      <c r="AF12" s="45"/>
      <c r="AL12" s="117" t="str" cm="1">
        <f t="array" ref="AL12">_xlfn._xlws.FILTER(Journal[CFS],Journal[ref]=$AG$3,"")</f>
        <v/>
      </c>
      <c r="AM12" s="45"/>
      <c r="AN12" s="70"/>
      <c r="AO12" s="48"/>
      <c r="AP12" s="45"/>
      <c r="AQ12" t="str">
        <f>IF(ISBLANK(Indirect_CFO_Worksheet_Tool!O147),"",Indirect_CFO_Worksheet_Tool!O147)</f>
        <v/>
      </c>
      <c r="AR12" s="143" t="str">
        <f>IF(ISBLANK(Indirect_CFO_Worksheet_Tool!P147),"",Indirect_CFO_Worksheet_Tool!P147)</f>
        <v/>
      </c>
      <c r="AS12" s="42" t="str">
        <f>IF(ISBLANK(Indirect_CFO_Worksheet_Tool!Q147),"",Indirect_CFO_Worksheet_Tool!Q147)</f>
        <v/>
      </c>
      <c r="AT12" s="159" t="str">
        <f>IF(ISBLANK(Indirect_CFO_Worksheet_Tool!R147),"",Indirect_CFO_Worksheet_Tool!R147)</f>
        <v/>
      </c>
      <c r="AU12" s="45"/>
      <c r="AV12" s="45"/>
      <c r="AX12" s="17" t="str">
        <f t="shared" si="0"/>
        <v>Inventories</v>
      </c>
      <c r="AY12" s="100">
        <f t="shared" si="1"/>
        <v>0</v>
      </c>
      <c r="AZ12" s="1"/>
      <c r="BA12">
        <f>SUMIF(Journal[DrAccnt],Financial_Statements_3!AX12,Journal[DrAmt])</f>
        <v>0</v>
      </c>
      <c r="BB12">
        <f>SUMIF(Journal[CrAccnt],Financial_Statements_3!AX12,Journal[CrAmt])</f>
        <v>0</v>
      </c>
    </row>
    <row r="13" spans="1:54" x14ac:dyDescent="0.2">
      <c r="B13" s="17" t="str">
        <v>Prepaid Expenses</v>
      </c>
      <c r="C13" s="100">
        <f>IF(ISBLANK(B13),"",_xlfn.XLOOKUP(B13,BegBalSht[Account],BegBalSht[Amount]))</f>
        <v>0</v>
      </c>
      <c r="E13" s="19" t="s">
        <v>414</v>
      </c>
      <c r="F13" s="18"/>
      <c r="H13" s="70"/>
      <c r="I13" s="105"/>
      <c r="J13" s="105"/>
      <c r="K13" s="105"/>
      <c r="L13" s="105"/>
      <c r="M13" s="105"/>
      <c r="N13" s="105"/>
      <c r="O13" s="65">
        <f t="shared" si="3"/>
        <v>0</v>
      </c>
      <c r="P13" s="43"/>
      <c r="R13" s="103" t="str">
        <f>_xlfn.XLOOKUP(Q14,Equity[Name],Equity[BalType])</f>
        <v>Either</v>
      </c>
      <c r="S13" s="43"/>
      <c r="AA13" s="70"/>
      <c r="AB13" s="48"/>
      <c r="AC13" s="45"/>
      <c r="AD13" s="85"/>
      <c r="AE13" s="42"/>
      <c r="AF13" s="45"/>
      <c r="AL13" s="117"/>
      <c r="AM13" s="45"/>
      <c r="AN13" s="70"/>
      <c r="AO13" s="48"/>
      <c r="AP13" s="45"/>
      <c r="AQ13" t="str">
        <f>IF(ISBLANK(Indirect_CFO_Worksheet_Tool!O148),"",Indirect_CFO_Worksheet_Tool!O148)</f>
        <v/>
      </c>
      <c r="AR13" s="143" t="str">
        <f>IF(ISBLANK(Indirect_CFO_Worksheet_Tool!P148),"",Indirect_CFO_Worksheet_Tool!P148)</f>
        <v/>
      </c>
      <c r="AS13" s="42" t="str">
        <f>IF(ISBLANK(Indirect_CFO_Worksheet_Tool!Q148),"",Indirect_CFO_Worksheet_Tool!Q148)</f>
        <v/>
      </c>
      <c r="AT13" s="159" t="str">
        <f>IF(ISBLANK(Indirect_CFO_Worksheet_Tool!R148),"",Indirect_CFO_Worksheet_Tool!R148)</f>
        <v/>
      </c>
      <c r="AU13" s="45"/>
      <c r="AV13" s="45"/>
      <c r="AX13" s="17" t="str">
        <f t="shared" si="0"/>
        <v>Prepaid Expenses</v>
      </c>
      <c r="AY13" s="100">
        <f t="shared" si="1"/>
        <v>0</v>
      </c>
      <c r="AZ13" s="1"/>
      <c r="BA13">
        <f>SUMIF(Journal[DrAccnt],Financial_Statements_3!AX13,Journal[DrAmt])</f>
        <v>0</v>
      </c>
      <c r="BB13">
        <f>SUMIF(Journal[CrAccnt],Financial_Statements_3!AX13,Journal[CrAmt])</f>
        <v>0</v>
      </c>
    </row>
    <row r="14" spans="1:54" ht="16" thickBot="1" x14ac:dyDescent="0.25">
      <c r="B14" s="17" t="str">
        <v>Prepaid Rent</v>
      </c>
      <c r="C14" s="100">
        <f>IF(ISBLANK(B14),"",_xlfn.XLOOKUP(B14,BegBalSht[Account],BegBalSht[Amount]))</f>
        <v>0</v>
      </c>
      <c r="E14" s="17" t="str" cm="1">
        <f t="array" ref="E14">_xlfn._xlws.FILTER(_Expense[Name],NOT(ISBLANK(_Expense[Name])),"")</f>
        <v>Cost of Goods Sold</v>
      </c>
      <c r="F14" s="82">
        <f>-SUMIFS(Journal[CrAmt],Journal[CrAccnt],E14,Journal[ref2],"&lt;&gt;CL")+SUMIFS(Journal[DrAmt],Journal[DrAccnt],E14,Journal[ref2],"&lt;&gt;CL")</f>
        <v>0</v>
      </c>
      <c r="H14" s="70"/>
      <c r="I14" s="105"/>
      <c r="J14" s="105"/>
      <c r="K14" s="105"/>
      <c r="L14" s="105"/>
      <c r="M14" s="105"/>
      <c r="N14" s="105"/>
      <c r="O14" s="65">
        <f t="shared" si="3"/>
        <v>0</v>
      </c>
      <c r="P14" s="43"/>
      <c r="Q14" s="44" t="str">
        <f>_xlfn.XLOOKUP(J8,Equity[Abbr],Equity[Name],"NA")</f>
        <v>Retained Earnings</v>
      </c>
      <c r="R14" s="44"/>
      <c r="S14" s="43"/>
      <c r="AA14" s="70"/>
      <c r="AB14" s="48"/>
      <c r="AC14" s="45"/>
      <c r="AD14" s="85"/>
      <c r="AE14" s="42"/>
      <c r="AF14" s="45"/>
      <c r="AL14" s="117"/>
      <c r="AM14" s="45"/>
      <c r="AN14" s="70"/>
      <c r="AO14" s="48"/>
      <c r="AP14" s="45"/>
      <c r="AR14" s="256" t="s">
        <v>415</v>
      </c>
      <c r="AS14" s="245"/>
      <c r="AT14" s="4"/>
      <c r="AU14" s="45"/>
      <c r="AV14" s="45"/>
      <c r="AX14" s="17" t="str">
        <f>IF(ISBLANK(B14),"",B14)</f>
        <v>Prepaid Rent</v>
      </c>
      <c r="AY14" s="100">
        <f>IFERROR(C14+BA14-BB14,0)</f>
        <v>0</v>
      </c>
      <c r="AZ14" s="1"/>
      <c r="BA14">
        <f>SUMIF(Journal[DrAccnt],Financial_Statements_3!AX14,Journal[DrAmt])</f>
        <v>0</v>
      </c>
      <c r="BB14">
        <f>SUMIF(Journal[CrAccnt],Financial_Statements_3!AX14,Journal[CrAmt])</f>
        <v>0</v>
      </c>
    </row>
    <row r="15" spans="1:54" ht="16" thickTop="1" x14ac:dyDescent="0.2">
      <c r="B15" s="17" t="str">
        <v>Other Current Assets</v>
      </c>
      <c r="C15" s="100">
        <f>IF(ISBLANK(B15),"",_xlfn.XLOOKUP(B15,BegBalSht[Account],BegBalSht[Amount]))</f>
        <v>0</v>
      </c>
      <c r="E15" s="17"/>
      <c r="F15" s="102">
        <f>-SUMIFS(Journal[CrAmt],Journal[CrAccnt],E15,Journal[ref2],"&lt;&gt;CL")+SUMIFS(Journal[DrAmt],Journal[DrAccnt],E15,Journal[ref2],"&lt;&gt;CL")</f>
        <v>0</v>
      </c>
      <c r="H15" s="70"/>
      <c r="I15" s="105"/>
      <c r="J15" s="105"/>
      <c r="K15" s="105"/>
      <c r="L15" s="105"/>
      <c r="M15" s="105"/>
      <c r="N15" s="105"/>
      <c r="O15" s="65">
        <f t="shared" si="3"/>
        <v>0</v>
      </c>
      <c r="P15" s="11" t="str" cm="1">
        <f t="array" ref="P15">_xlfn.IFS(R13="Debit","BB",AND(R13="Either",_xlfn.XLOOKUP(Q14,BegBalSht[Account],BegBalSht[Amount],0)&lt;0),"BB",TRUE,"")</f>
        <v/>
      </c>
      <c r="Q15" s="90">
        <f>IF(_xlfn.XLOOKUP(Q14,BegBalSht[Account],BegBalSht[Amount])&lt;0,-_xlfn.XLOOKUP(Q14,BegBalSht[Account],BegBalSht[Amount]),0)</f>
        <v>0</v>
      </c>
      <c r="R15" s="42">
        <f>IF(_xlfn.XLOOKUP(Q14,BegBalSht[Account],BegBalSht[Amount])&gt;0,_xlfn.XLOOKUP(Q14,BegBalSht[Account],BegBalSht[Amount]),0)</f>
        <v>0</v>
      </c>
      <c r="S15" s="11" t="str" cm="1">
        <f t="array" ref="S15">_xlfn.IFS(R13="Credit","BB",AND(R13="Either",_xlfn.XLOOKUP(Q14,BegBalSht[Account],BegBalSht[Amount],0)&gt;=0),"BB",TRUE,"")</f>
        <v>BB</v>
      </c>
      <c r="AA15" s="75" t="s">
        <v>416</v>
      </c>
      <c r="AB15" s="47">
        <f>SUBTOTAL(9,AB8:AB14)</f>
        <v>0</v>
      </c>
      <c r="AC15" s="45"/>
      <c r="AD15" s="85"/>
      <c r="AE15" s="42"/>
      <c r="AF15" s="45"/>
      <c r="AL15" s="117"/>
      <c r="AM15" s="45"/>
      <c r="AN15" s="70"/>
      <c r="AO15" s="48"/>
      <c r="AP15" s="45"/>
      <c r="AQ15" s="33" t="e" cm="1">
        <f t="array" aca="1" ref="AQ15:AR45" ca="1">_xlfn._xlws.SORT(Indirect_CFO_Worksheet_Tool!O150:P180,2,-1)</f>
        <v>#NAME?</v>
      </c>
      <c r="AR15" s="248" t="e">
        <f ca="1"/>
        <v>#NAME?</v>
      </c>
      <c r="AS15" s="42" t="e" cm="1">
        <f t="array" aca="1" ref="AS15:AT45" ca="1">_xlfn._xlws.SORT(Indirect_CFO_Worksheet_Tool!Q150:R180,1,-1)</f>
        <v>#NAME?</v>
      </c>
      <c r="AT15" s="33" t="e">
        <f ca="1"/>
        <v>#NAME?</v>
      </c>
      <c r="AU15" s="45"/>
      <c r="AV15" s="45"/>
      <c r="AX15" s="17" t="str">
        <f t="shared" si="0"/>
        <v>Other Current Assets</v>
      </c>
      <c r="AY15" s="100">
        <f t="shared" si="1"/>
        <v>0</v>
      </c>
      <c r="AZ15" s="1"/>
      <c r="BA15">
        <f>SUMIF(Journal[DrAccnt],Financial_Statements_3!AX15,Journal[DrAmt])</f>
        <v>0</v>
      </c>
      <c r="BB15">
        <f>SUMIF(Journal[CrAccnt],Financial_Statements_3!AX15,Journal[CrAmt])</f>
        <v>0</v>
      </c>
    </row>
    <row r="16" spans="1:54" x14ac:dyDescent="0.2">
      <c r="B16" s="17"/>
      <c r="C16" s="100" t="str">
        <f>IF(ISBLANK(B16),"",_xlfn.XLOOKUP(B16,BegBalSht[Account],BegBalSht[Amount]))</f>
        <v/>
      </c>
      <c r="E16" s="17"/>
      <c r="F16" s="102">
        <f>-SUMIFS(Journal[CrAmt],Journal[CrAccnt],E16,Journal[ref2],"&lt;&gt;CL")+SUMIFS(Journal[DrAmt],Journal[DrAccnt],E16,Journal[ref2],"&lt;&gt;CL")</f>
        <v>0</v>
      </c>
      <c r="H16" s="70"/>
      <c r="I16" s="105"/>
      <c r="J16" s="105"/>
      <c r="K16" s="105"/>
      <c r="L16" s="105"/>
      <c r="M16" s="105"/>
      <c r="N16" s="105"/>
      <c r="O16" s="65">
        <f t="shared" si="3"/>
        <v>0</v>
      </c>
      <c r="P16" s="11" t="str" cm="1">
        <f t="array" ref="P16">_xlfn._xlws.FILTER(Journal[ref],Journal[DrAccnt]=Financial_Statements_3!Q14,"")</f>
        <v/>
      </c>
      <c r="Q16" s="85" t="str" cm="1">
        <f t="array" ref="Q16">_xlfn._xlws.FILTER(Journal[DrAmt],Journal[DrAccnt]=Financial_Statements_3!Q14,"")</f>
        <v/>
      </c>
      <c r="R16" s="42" t="str" cm="1">
        <f t="array" ref="R16">_xlfn._xlws.FILTER(Journal[CrAmt],Journal[CrAccnt]=Financial_Statements_3!Q14,"")</f>
        <v/>
      </c>
      <c r="S16" s="11" t="str" cm="1">
        <f t="array" ref="S16">_xlfn._xlws.FILTER(Journal[ref],Journal[CrAccnt]=Financial_Statements_3!Q14,"")</f>
        <v/>
      </c>
      <c r="AA16" s="17"/>
      <c r="AB16" s="18"/>
      <c r="AC16" s="45"/>
      <c r="AD16" s="85"/>
      <c r="AE16" s="42"/>
      <c r="AF16" s="45"/>
      <c r="AL16" s="117"/>
      <c r="AM16" s="45"/>
      <c r="AN16" s="75" t="s">
        <v>417</v>
      </c>
      <c r="AO16" s="18"/>
      <c r="AP16" s="45"/>
      <c r="AQ16" s="33" t="e">
        <f ca="1"/>
        <v>#NAME?</v>
      </c>
      <c r="AR16" s="143" t="e">
        <f ca="1"/>
        <v>#NAME?</v>
      </c>
      <c r="AS16" s="42" t="e">
        <f ca="1"/>
        <v>#NAME?</v>
      </c>
      <c r="AT16" s="33" t="e">
        <f ca="1"/>
        <v>#NAME?</v>
      </c>
      <c r="AU16" s="45"/>
      <c r="AV16" s="45"/>
      <c r="AX16" s="17" t="str">
        <f t="shared" si="0"/>
        <v/>
      </c>
      <c r="AY16" s="100">
        <f t="shared" si="1"/>
        <v>0</v>
      </c>
      <c r="AZ16" s="1"/>
      <c r="BA16">
        <f>SUMIF(Journal[DrAccnt],Financial_Statements_3!AX16,Journal[DrAmt])</f>
        <v>0</v>
      </c>
      <c r="BB16">
        <f>SUMIF(Journal[CrAccnt],Financial_Statements_3!AX16,Journal[CrAmt])</f>
        <v>0</v>
      </c>
    </row>
    <row r="17" spans="2:54" ht="16" thickBot="1" x14ac:dyDescent="0.25">
      <c r="B17" s="91"/>
      <c r="C17" s="101" t="str">
        <f>IF(ISBLANK(B17),"",_xlfn.XLOOKUP(B17,BegBalSht[Account],BegBalSht[Amount]))</f>
        <v/>
      </c>
      <c r="E17" s="17"/>
      <c r="F17" s="102">
        <f>-SUMIFS(Journal[CrAmt],Journal[CrAccnt],E17,Journal[ref2],"&lt;&gt;CL")+SUMIFS(Journal[DrAmt],Journal[DrAccnt],E17,Journal[ref2],"&lt;&gt;CL")</f>
        <v>0</v>
      </c>
      <c r="H17" s="70"/>
      <c r="I17" s="106"/>
      <c r="J17" s="106"/>
      <c r="K17" s="106"/>
      <c r="L17" s="106"/>
      <c r="M17" s="106"/>
      <c r="N17" s="106"/>
      <c r="O17" s="66">
        <f t="shared" si="3"/>
        <v>0</v>
      </c>
      <c r="Q17" s="85"/>
      <c r="R17" s="42"/>
      <c r="S17" s="11"/>
      <c r="AA17" s="19" t="s">
        <v>418</v>
      </c>
      <c r="AB17" s="18"/>
      <c r="AC17" s="45"/>
      <c r="AD17" s="85"/>
      <c r="AE17" s="42"/>
      <c r="AF17" s="45"/>
      <c r="AL17" s="117"/>
      <c r="AM17" s="45"/>
      <c r="AN17" s="70"/>
      <c r="AO17" s="81"/>
      <c r="AP17" s="45"/>
      <c r="AQ17" s="33" t="e">
        <f ca="1"/>
        <v>#NAME?</v>
      </c>
      <c r="AR17" s="143" t="e">
        <f ca="1"/>
        <v>#NAME?</v>
      </c>
      <c r="AS17" s="42" t="e">
        <f ca="1"/>
        <v>#NAME?</v>
      </c>
      <c r="AT17" s="33" t="e">
        <f ca="1"/>
        <v>#NAME?</v>
      </c>
      <c r="AU17" s="45"/>
      <c r="AV17" s="45"/>
      <c r="AX17" s="91" t="str">
        <f t="shared" si="0"/>
        <v/>
      </c>
      <c r="AY17" s="101">
        <f t="shared" si="1"/>
        <v>0</v>
      </c>
      <c r="AZ17" s="1"/>
      <c r="BA17">
        <f>SUMIF(Journal[DrAccnt],Financial_Statements_3!AX17,Journal[DrAmt])</f>
        <v>0</v>
      </c>
      <c r="BB17">
        <f>SUMIF(Journal[CrAccnt],Financial_Statements_3!AX17,Journal[CrAmt])</f>
        <v>0</v>
      </c>
    </row>
    <row r="18" spans="2:54" ht="16" thickBot="1" x14ac:dyDescent="0.25">
      <c r="B18" s="53" t="s">
        <v>419</v>
      </c>
      <c r="C18" s="47">
        <f>SUBTOTAL(9,C8:C17)</f>
        <v>0</v>
      </c>
      <c r="E18" s="17"/>
      <c r="F18" s="102">
        <f>-SUMIFS(Journal[CrAmt],Journal[CrAccnt],E18,Journal[ref2],"&lt;&gt;CL")+SUMIFS(Journal[DrAmt],Journal[DrAccnt],E18,Journal[ref2],"&lt;&gt;CL")</f>
        <v>0</v>
      </c>
      <c r="H18" s="58" t="str">
        <f>"Balance as of "&amp;EndDate</f>
        <v xml:space="preserve">Balance as of </v>
      </c>
      <c r="I18" s="68">
        <f>SUM(I9:I17)</f>
        <v>0</v>
      </c>
      <c r="J18" s="68">
        <f t="shared" ref="J18:N18" si="4">SUM(J9:J17)</f>
        <v>0</v>
      </c>
      <c r="K18" s="68">
        <f t="shared" si="4"/>
        <v>0</v>
      </c>
      <c r="L18" s="68">
        <f t="shared" si="4"/>
        <v>0</v>
      </c>
      <c r="M18" s="68">
        <f t="shared" si="4"/>
        <v>0</v>
      </c>
      <c r="N18" s="68">
        <f t="shared" si="4"/>
        <v>0</v>
      </c>
      <c r="O18" s="67">
        <f>SUM(O9:O17)</f>
        <v>0</v>
      </c>
      <c r="P18" s="11"/>
      <c r="Q18" s="85"/>
      <c r="R18" s="42"/>
      <c r="S18" s="11"/>
      <c r="AA18" s="70"/>
      <c r="AB18" s="81"/>
      <c r="AC18" s="45"/>
      <c r="AD18" s="85"/>
      <c r="AE18" s="42"/>
      <c r="AF18" s="45"/>
      <c r="AL18" s="117"/>
      <c r="AM18" s="45"/>
      <c r="AN18" s="70"/>
      <c r="AO18" s="48"/>
      <c r="AP18" s="45"/>
      <c r="AQ18" s="33" t="e">
        <f ca="1"/>
        <v>#NAME?</v>
      </c>
      <c r="AR18" s="143" t="e">
        <f ca="1"/>
        <v>#NAME?</v>
      </c>
      <c r="AS18" s="42" t="e">
        <f ca="1"/>
        <v>#NAME?</v>
      </c>
      <c r="AT18" s="33" t="e">
        <f ca="1"/>
        <v>#NAME?</v>
      </c>
      <c r="AU18" s="45"/>
      <c r="AV18" s="45"/>
      <c r="AX18" s="53" t="s">
        <v>419</v>
      </c>
      <c r="AY18" s="47">
        <f>SUBTOTAL(9,AY8:AY17)</f>
        <v>0</v>
      </c>
    </row>
    <row r="19" spans="2:54" x14ac:dyDescent="0.2">
      <c r="B19" s="52" t="s">
        <v>420</v>
      </c>
      <c r="C19" s="18"/>
      <c r="E19" s="17"/>
      <c r="F19" s="102">
        <f>-SUMIFS(Journal[CrAmt],Journal[CrAccnt],E19,Journal[ref2],"&lt;&gt;CL")+SUMIFS(Journal[DrAmt],Journal[DrAccnt],E19,Journal[ref2],"&lt;&gt;CL")</f>
        <v>0</v>
      </c>
      <c r="P19" s="11"/>
      <c r="Q19" s="85"/>
      <c r="R19" s="42"/>
      <c r="S19" s="11"/>
      <c r="AA19" s="70"/>
      <c r="AB19" s="48"/>
      <c r="AC19" s="45"/>
      <c r="AD19" s="85"/>
      <c r="AE19" s="42"/>
      <c r="AF19" s="45"/>
      <c r="AL19" s="117"/>
      <c r="AM19" s="45"/>
      <c r="AN19" s="70"/>
      <c r="AO19" s="48"/>
      <c r="AP19" s="45"/>
      <c r="AQ19" s="33" t="e">
        <f ca="1"/>
        <v>#NAME?</v>
      </c>
      <c r="AR19" s="143" t="e">
        <f ca="1"/>
        <v>#NAME?</v>
      </c>
      <c r="AS19" s="42" t="e">
        <f ca="1"/>
        <v>#NAME?</v>
      </c>
      <c r="AT19" s="33" t="e">
        <f ca="1"/>
        <v>#NAME?</v>
      </c>
      <c r="AU19" s="45"/>
      <c r="AV19" s="45"/>
      <c r="AX19" s="52" t="s">
        <v>420</v>
      </c>
      <c r="AY19" s="18"/>
    </row>
    <row r="20" spans="2:54" x14ac:dyDescent="0.2">
      <c r="B20" s="17" t="str" cm="1">
        <f t="array" ref="B20:B26">_xlfn._xlws.FILTER(Asset[Name],Asset[C/NC]="NC")</f>
        <v>Property, Plant &amp; Equipment</v>
      </c>
      <c r="C20" s="99">
        <f>IF(ISBLANK(B20),"",_xlfn.XLOOKUP(B20,BegBalSht[Account],BegBalSht[Amount]))</f>
        <v>0</v>
      </c>
      <c r="E20" s="17"/>
      <c r="F20" s="102">
        <f>-SUMIFS(Journal[CrAmt],Journal[CrAccnt],E20,Journal[ref2],"&lt;&gt;CL")+SUMIFS(Journal[DrAmt],Journal[DrAccnt],E20,Journal[ref2],"&lt;&gt;CL")</f>
        <v>0</v>
      </c>
      <c r="P20" s="11"/>
      <c r="Q20" s="85"/>
      <c r="R20" s="42"/>
      <c r="S20" s="11"/>
      <c r="AA20" s="70"/>
      <c r="AB20" s="48"/>
      <c r="AC20" s="11"/>
      <c r="AD20" s="85"/>
      <c r="AE20" s="42"/>
      <c r="AF20" s="11"/>
      <c r="AL20" s="117"/>
      <c r="AM20" s="45"/>
      <c r="AN20" s="70"/>
      <c r="AO20" s="48"/>
      <c r="AP20" s="45"/>
      <c r="AQ20" s="33" t="e">
        <f ca="1"/>
        <v>#NAME?</v>
      </c>
      <c r="AR20" s="143" t="e">
        <f ca="1"/>
        <v>#NAME?</v>
      </c>
      <c r="AS20" s="42" t="e">
        <f ca="1"/>
        <v>#NAME?</v>
      </c>
      <c r="AT20" s="33" t="e">
        <f ca="1"/>
        <v>#NAME?</v>
      </c>
      <c r="AU20" s="45"/>
      <c r="AV20" s="45"/>
      <c r="AX20" s="17" t="str">
        <f t="shared" ref="AX20:AX29" si="5">IF(ISBLANK(B20),"",B20)</f>
        <v>Property, Plant &amp; Equipment</v>
      </c>
      <c r="AY20" s="99">
        <f t="shared" ref="AY20:AY29" si="6">IFERROR(C20+BA20-BB20,0)</f>
        <v>0</v>
      </c>
      <c r="AZ20" s="1"/>
      <c r="BA20">
        <f>SUMIF(Journal[DrAccnt],Financial_Statements_3!AX20,Journal[DrAmt])</f>
        <v>0</v>
      </c>
      <c r="BB20">
        <f>SUMIF(Journal[CrAccnt],Financial_Statements_3!AX20,Journal[CrAmt])</f>
        <v>0</v>
      </c>
    </row>
    <row r="21" spans="2:54" ht="16" thickBot="1" x14ac:dyDescent="0.25">
      <c r="B21" s="17" t="str">
        <v>Accumulated Depreciation</v>
      </c>
      <c r="C21" s="100">
        <f>IF(ISBLANK(B21),"",_xlfn.XLOOKUP(B21,BegBalSht[Account],BegBalSht[Amount]))</f>
        <v>0</v>
      </c>
      <c r="E21" s="17"/>
      <c r="F21" s="102">
        <f>-SUMIFS(Journal[CrAmt],Journal[CrAccnt],E21,Journal[ref2],"&lt;&gt;CL")+SUMIFS(Journal[DrAmt],Journal[DrAccnt],E21,Journal[ref2],"&lt;&gt;CL")</f>
        <v>0</v>
      </c>
      <c r="P21" s="11"/>
      <c r="Q21" s="85"/>
      <c r="R21" s="42"/>
      <c r="S21" s="11"/>
      <c r="AA21" s="70"/>
      <c r="AB21" s="48"/>
      <c r="AC21" s="11"/>
      <c r="AD21" s="85"/>
      <c r="AE21" s="42"/>
      <c r="AF21" s="11"/>
      <c r="AL21" s="117"/>
      <c r="AM21" s="45"/>
      <c r="AN21" s="70"/>
      <c r="AO21" s="48"/>
      <c r="AP21" s="45"/>
      <c r="AQ21" s="33" t="e">
        <f ca="1"/>
        <v>#NAME?</v>
      </c>
      <c r="AR21" s="143" t="e">
        <f ca="1"/>
        <v>#NAME?</v>
      </c>
      <c r="AS21" s="42" t="e">
        <f ca="1"/>
        <v>#NAME?</v>
      </c>
      <c r="AT21" s="33" t="e">
        <f ca="1"/>
        <v>#NAME?</v>
      </c>
      <c r="AU21" s="45"/>
      <c r="AV21" s="45"/>
      <c r="AX21" s="17" t="str">
        <f t="shared" si="5"/>
        <v>Accumulated Depreciation</v>
      </c>
      <c r="AY21" s="100">
        <f t="shared" si="6"/>
        <v>0</v>
      </c>
      <c r="AZ21" s="1"/>
      <c r="BA21">
        <f>SUMIF(Journal[DrAccnt],Financial_Statements_3!AX21,Journal[DrAmt])</f>
        <v>0</v>
      </c>
      <c r="BB21">
        <f>SUMIF(Journal[CrAccnt],Financial_Statements_3!AX21,Journal[CrAmt])</f>
        <v>0</v>
      </c>
    </row>
    <row r="22" spans="2:54" ht="17" thickTop="1" thickBot="1" x14ac:dyDescent="0.25">
      <c r="B22" s="17" t="str">
        <v>Intangibles</v>
      </c>
      <c r="C22" s="100">
        <f>IF(ISBLANK(B22),"",_xlfn.XLOOKUP(B22,BegBalSht[Account],BegBalSht[Amount]))</f>
        <v>0</v>
      </c>
      <c r="E22" s="21" t="s">
        <v>421</v>
      </c>
      <c r="F22" s="47">
        <f>SUM(F14:F21)</f>
        <v>0</v>
      </c>
      <c r="P22" s="11"/>
      <c r="Q22" s="88">
        <f>MAX(SUM(Q15:Q21)-SUM(R15:R21),0)</f>
        <v>0</v>
      </c>
      <c r="R22" s="89">
        <f>MAX(SUM(R15:R21)-SUM(Q15:Q21),0)</f>
        <v>0</v>
      </c>
      <c r="S22" s="11"/>
      <c r="AA22" s="70"/>
      <c r="AB22" s="48"/>
      <c r="AC22" s="11"/>
      <c r="AD22" s="85"/>
      <c r="AE22" s="42"/>
      <c r="AF22" s="11"/>
      <c r="AL22" s="118"/>
      <c r="AM22" s="11"/>
      <c r="AN22" s="70"/>
      <c r="AO22" s="48"/>
      <c r="AP22" s="11"/>
      <c r="AQ22" s="33" t="e">
        <f ca="1"/>
        <v>#NAME?</v>
      </c>
      <c r="AR22" s="143" t="e">
        <f ca="1"/>
        <v>#NAME?</v>
      </c>
      <c r="AS22" s="42" t="e">
        <f ca="1"/>
        <v>#NAME?</v>
      </c>
      <c r="AT22" s="33" t="e">
        <f ca="1"/>
        <v>#NAME?</v>
      </c>
      <c r="AU22" s="11"/>
      <c r="AV22" s="11"/>
      <c r="AX22" s="17" t="str">
        <f t="shared" si="5"/>
        <v>Intangibles</v>
      </c>
      <c r="AY22" s="100">
        <f t="shared" si="6"/>
        <v>0</v>
      </c>
      <c r="AZ22" s="1"/>
      <c r="BA22">
        <f>SUMIF(Journal[DrAccnt],Financial_Statements_3!AX22,Journal[DrAmt])</f>
        <v>0</v>
      </c>
      <c r="BB22">
        <f>SUMIF(Journal[CrAccnt],Financial_Statements_3!AX22,Journal[CrAmt])</f>
        <v>0</v>
      </c>
    </row>
    <row r="23" spans="2:54" ht="17" thickTop="1" thickBot="1" x14ac:dyDescent="0.25">
      <c r="B23" s="17" t="str">
        <v>Goodwill</v>
      </c>
      <c r="C23" s="100">
        <f>IF(ISBLANK(B23),"",_xlfn.XLOOKUP(B23,BegBalSht[Account],BegBalSht[Amount]))</f>
        <v>0</v>
      </c>
      <c r="E23" s="19" t="s">
        <v>422</v>
      </c>
      <c r="F23" s="18"/>
      <c r="P23" s="42"/>
      <c r="AA23" s="70"/>
      <c r="AB23" s="48"/>
      <c r="AD23" s="86"/>
      <c r="AE23" s="87"/>
      <c r="AL23" s="118"/>
      <c r="AM23" s="11"/>
      <c r="AN23" s="70"/>
      <c r="AO23" s="48"/>
      <c r="AP23" s="11"/>
      <c r="AQ23" s="33" t="e">
        <f ca="1"/>
        <v>#NAME?</v>
      </c>
      <c r="AR23" s="143" t="e">
        <f ca="1"/>
        <v>#NAME?</v>
      </c>
      <c r="AS23" s="42" t="e">
        <f ca="1"/>
        <v>#NAME?</v>
      </c>
      <c r="AT23" s="33" t="e">
        <f ca="1"/>
        <v>#NAME?</v>
      </c>
      <c r="AU23" s="11"/>
      <c r="AV23" s="11"/>
      <c r="AX23" s="17" t="str">
        <f t="shared" si="5"/>
        <v>Goodwill</v>
      </c>
      <c r="AY23" s="100">
        <f t="shared" si="6"/>
        <v>0</v>
      </c>
      <c r="AZ23" s="1"/>
      <c r="BA23">
        <f>SUMIF(Journal[DrAccnt],Financial_Statements_3!AX23,Journal[DrAmt])</f>
        <v>0</v>
      </c>
      <c r="BB23">
        <f>SUMIF(Journal[CrAccnt],Financial_Statements_3!AX23,Journal[CrAmt])</f>
        <v>0</v>
      </c>
    </row>
    <row r="24" spans="2:54" ht="17" thickTop="1" thickBot="1" x14ac:dyDescent="0.25">
      <c r="B24" s="17" t="str">
        <v>Other Noncurrent Assets</v>
      </c>
      <c r="C24" s="100">
        <f>IF(ISBLANK(B24),"",_xlfn.XLOOKUP(B24,BegBalSht[Account],BegBalSht[Amount]))</f>
        <v>0</v>
      </c>
      <c r="E24" s="17" t="str" cm="1">
        <f t="array" ref="E24">_xlfn._xlws.FILTER(_Gain[Name],NOT(ISBLANK(_Gain[Name])),"")</f>
        <v>Gain on Sale of Subsidiary</v>
      </c>
      <c r="F24" s="82">
        <f>SUMIFS(Journal[CrAmt],Journal[CrAccnt],E24,Journal[ref2],"&lt;&gt;CL")-SUMIFS(Journal[DrAmt],Journal[DrAccnt],E24,Journal[ref2],"&lt;&gt;CL")</f>
        <v>0</v>
      </c>
      <c r="P24" s="43"/>
      <c r="R24" s="103" t="e">
        <f>_xlfn.XLOOKUP(Q25,Equity[Name],Equity[BalType])</f>
        <v>#N/A</v>
      </c>
      <c r="S24" s="43"/>
      <c r="AA24" s="70"/>
      <c r="AB24" s="48"/>
      <c r="AD24" s="88">
        <f>MAX(SUM(AD7:AD23)-SUM(AE7:AE23),0)</f>
        <v>0</v>
      </c>
      <c r="AE24" s="89">
        <f>MAX(SUM(AE7:AE23)-SUM(AD7:AD23),0)</f>
        <v>0</v>
      </c>
      <c r="AL24" s="118"/>
      <c r="AM24" s="11"/>
      <c r="AN24" s="70"/>
      <c r="AO24" s="48"/>
      <c r="AP24" s="11"/>
      <c r="AQ24" s="33" t="e">
        <f ca="1"/>
        <v>#NAME?</v>
      </c>
      <c r="AR24" s="143" t="e">
        <f ca="1"/>
        <v>#NAME?</v>
      </c>
      <c r="AS24" s="42" t="e">
        <f ca="1"/>
        <v>#NAME?</v>
      </c>
      <c r="AT24" s="33" t="e">
        <f ca="1"/>
        <v>#NAME?</v>
      </c>
      <c r="AU24" s="11"/>
      <c r="AV24" s="11"/>
      <c r="AX24" s="17" t="str">
        <f t="shared" si="5"/>
        <v>Other Noncurrent Assets</v>
      </c>
      <c r="AY24" s="100">
        <f t="shared" si="6"/>
        <v>0</v>
      </c>
      <c r="AZ24" s="1"/>
      <c r="BA24">
        <f>SUMIF(Journal[DrAccnt],Financial_Statements_3!AX24,Journal[DrAmt])</f>
        <v>0</v>
      </c>
      <c r="BB24">
        <f>SUMIF(Journal[CrAccnt],Financial_Statements_3!AX24,Journal[CrAmt])</f>
        <v>0</v>
      </c>
    </row>
    <row r="25" spans="2:54" ht="17" thickTop="1" thickBot="1" x14ac:dyDescent="0.25">
      <c r="B25" s="17" t="str">
        <v>Deferred Tax Assets</v>
      </c>
      <c r="C25" s="100">
        <f>IF(ISBLANK(B25),"",_xlfn.XLOOKUP(B25,BegBalSht[Account],BegBalSht[Amount]))</f>
        <v>0</v>
      </c>
      <c r="E25" s="17"/>
      <c r="F25" s="102">
        <f>SUMIFS(Journal[CrAmt],Journal[CrAccnt],E25,Journal[ref2],"&lt;&gt;CL")-SUMIFS(Journal[DrAmt],Journal[DrAccnt],E25,Journal[ref2],"&lt;&gt;CL")</f>
        <v>0</v>
      </c>
      <c r="P25" s="43"/>
      <c r="Q25" s="44" t="str">
        <f>_xlfn.XLOOKUP(K8,Equity[Abbr],Equity[Name],"NA")</f>
        <v>NA</v>
      </c>
      <c r="R25" s="44"/>
      <c r="S25" s="43"/>
      <c r="AA25" s="75" t="s">
        <v>423</v>
      </c>
      <c r="AB25" s="47">
        <f>SUBTOTAL(9,AB18:AB24)</f>
        <v>0</v>
      </c>
      <c r="AL25" s="103"/>
      <c r="AN25" s="70"/>
      <c r="AO25" s="48"/>
      <c r="AQ25" s="33" t="e">
        <f ca="1"/>
        <v>#NAME?</v>
      </c>
      <c r="AR25" s="143" t="e">
        <f ca="1"/>
        <v>#NAME?</v>
      </c>
      <c r="AS25" s="42" t="e">
        <f ca="1"/>
        <v>#NAME?</v>
      </c>
      <c r="AT25" s="33" t="e">
        <f ca="1"/>
        <v>#NAME?</v>
      </c>
      <c r="AX25" s="17" t="str">
        <f t="shared" si="5"/>
        <v>Deferred Tax Assets</v>
      </c>
      <c r="AY25" s="100">
        <f t="shared" si="6"/>
        <v>0</v>
      </c>
      <c r="AZ25" s="1"/>
      <c r="BA25">
        <f>SUMIF(Journal[DrAccnt],Financial_Statements_3!AX25,Journal[DrAmt])</f>
        <v>0</v>
      </c>
      <c r="BB25">
        <f>SUMIF(Journal[CrAccnt],Financial_Statements_3!AX25,Journal[CrAmt])</f>
        <v>0</v>
      </c>
    </row>
    <row r="26" spans="2:54" ht="16" thickTop="1" x14ac:dyDescent="0.2">
      <c r="B26" s="17" t="str">
        <v>Accumulated Amortization</v>
      </c>
      <c r="C26" s="100">
        <f>IF(ISBLANK(B26),"",_xlfn.XLOOKUP(B26,BegBalSht[Account],BegBalSht[Amount]))</f>
        <v>0</v>
      </c>
      <c r="E26" s="17"/>
      <c r="F26" s="102">
        <f>SUMIFS(Journal[CrAmt],Journal[CrAccnt],E26,Journal[ref2],"&lt;&gt;CL")-SUMIFS(Journal[DrAmt],Journal[DrAccnt],E26,Journal[ref2],"&lt;&gt;CL")</f>
        <v>0</v>
      </c>
      <c r="P26" s="11" t="e" cm="1">
        <f t="array" ref="P26">_xlfn.IFS(R24="Debit","BB",AND(R24="Either",_xlfn.XLOOKUP(Q25,BegBalSht[Account],BegBalSht[Amount],0)&lt;0),"BB",TRUE,"")</f>
        <v>#N/A</v>
      </c>
      <c r="Q26" s="90" t="e">
        <f>IF(_xlfn.XLOOKUP(Q25,BegBalSht[Account],BegBalSht[Amount])&lt;0,-_xlfn.XLOOKUP(Q25,BegBalSht[Account],BegBalSht[Amount]),0)</f>
        <v>#N/A</v>
      </c>
      <c r="R26" s="42" t="e">
        <f>IF(_xlfn.XLOOKUP(Q25,BegBalSht[Account],BegBalSht[Amount])&gt;0,_xlfn.XLOOKUP(Q25,BegBalSht[Account],BegBalSht[Amount]),0)</f>
        <v>#N/A</v>
      </c>
      <c r="S26" s="11" t="e" cm="1">
        <f t="array" ref="S26">_xlfn.IFS(R24="Credit","BB",AND(R24="Either",_xlfn.XLOOKUP(Q25,BegBalSht[Account],BegBalSht[Amount],0)&gt;=0),"BB",TRUE,"")</f>
        <v>#N/A</v>
      </c>
      <c r="AA26" s="17"/>
      <c r="AB26" s="18"/>
      <c r="AL26" s="103"/>
      <c r="AN26" s="70"/>
      <c r="AO26" s="48"/>
      <c r="AQ26" s="33" t="e">
        <f ca="1"/>
        <v>#NAME?</v>
      </c>
      <c r="AR26" s="143" t="e">
        <f ca="1"/>
        <v>#NAME?</v>
      </c>
      <c r="AS26" s="42" t="e">
        <f ca="1"/>
        <v>#NAME?</v>
      </c>
      <c r="AT26" s="33" t="e">
        <f ca="1"/>
        <v>#NAME?</v>
      </c>
      <c r="AX26" s="17" t="str">
        <f t="shared" si="5"/>
        <v>Accumulated Amortization</v>
      </c>
      <c r="AY26" s="100">
        <f t="shared" si="6"/>
        <v>0</v>
      </c>
      <c r="AZ26" s="1"/>
      <c r="BA26">
        <f>SUMIF(Journal[DrAccnt],Financial_Statements_3!AX26,Journal[DrAmt])</f>
        <v>0</v>
      </c>
      <c r="BB26">
        <f>SUMIF(Journal[CrAccnt],Financial_Statements_3!AX26,Journal[CrAmt])</f>
        <v>0</v>
      </c>
    </row>
    <row r="27" spans="2:54" x14ac:dyDescent="0.2">
      <c r="B27" s="17"/>
      <c r="C27" s="100" t="str">
        <f>IF(ISBLANK(B27),"",_xlfn.XLOOKUP(B27,BegBalSht[Account],BegBalSht[Amount]))</f>
        <v/>
      </c>
      <c r="E27" s="17"/>
      <c r="F27" s="102">
        <f>SUMIFS(Journal[CrAmt],Journal[CrAccnt],E27,Journal[ref2],"&lt;&gt;CL")-SUMIFS(Journal[DrAmt],Journal[DrAccnt],E27,Journal[ref2],"&lt;&gt;CL")</f>
        <v>0</v>
      </c>
      <c r="P27" s="11" t="str" cm="1">
        <f t="array" ref="P27">_xlfn._xlws.FILTER(Journal[ref],Journal[DrAccnt]=Financial_Statements_3!Q25,"")</f>
        <v/>
      </c>
      <c r="Q27" s="85" t="str" cm="1">
        <f t="array" ref="Q27">_xlfn._xlws.FILTER(Journal[DrAmt],Journal[DrAccnt]=Financial_Statements_3!Q25,"")</f>
        <v/>
      </c>
      <c r="R27" s="42" t="str" cm="1">
        <f t="array" ref="R27">_xlfn._xlws.FILTER(Journal[CrAmt],Journal[CrAccnt]=Financial_Statements_3!Q25,"")</f>
        <v/>
      </c>
      <c r="S27" s="11" t="str" cm="1">
        <f t="array" ref="S27">_xlfn._xlws.FILTER(Journal[ref],Journal[CrAccnt]=Financial_Statements_3!Q25,"")</f>
        <v/>
      </c>
      <c r="AA27" s="19" t="s">
        <v>424</v>
      </c>
      <c r="AB27" s="18"/>
      <c r="AN27" s="75" t="s">
        <v>416</v>
      </c>
      <c r="AO27" s="47">
        <f>SUBTOTAL(9,AO8:AO26)</f>
        <v>5</v>
      </c>
      <c r="AQ27" s="33" t="e">
        <f ca="1"/>
        <v>#NAME?</v>
      </c>
      <c r="AR27" s="143" t="e">
        <f ca="1"/>
        <v>#NAME?</v>
      </c>
      <c r="AS27" s="42" t="e">
        <f ca="1"/>
        <v>#NAME?</v>
      </c>
      <c r="AT27" s="33" t="e">
        <f ca="1"/>
        <v>#NAME?</v>
      </c>
      <c r="AX27" s="17" t="str">
        <f t="shared" si="5"/>
        <v/>
      </c>
      <c r="AY27" s="100">
        <f t="shared" si="6"/>
        <v>0</v>
      </c>
      <c r="AZ27" s="1"/>
      <c r="BA27">
        <f>SUMIF(Journal[DrAccnt],Financial_Statements_3!AX27,Journal[DrAmt])</f>
        <v>0</v>
      </c>
      <c r="BB27">
        <f>SUMIF(Journal[CrAccnt],Financial_Statements_3!AX27,Journal[CrAmt])</f>
        <v>0</v>
      </c>
    </row>
    <row r="28" spans="2:54" x14ac:dyDescent="0.2">
      <c r="B28" s="17"/>
      <c r="C28" s="100" t="str">
        <f>IF(ISBLANK(B28),"",_xlfn.XLOOKUP(B28,BegBalSht[Account],BegBalSht[Amount]))</f>
        <v/>
      </c>
      <c r="E28" s="21" t="s">
        <v>425</v>
      </c>
      <c r="F28" s="47">
        <f>SUM(F24:F27)</f>
        <v>0</v>
      </c>
      <c r="Q28" s="85"/>
      <c r="R28" s="42"/>
      <c r="AA28" s="70"/>
      <c r="AB28" s="81"/>
      <c r="AN28" s="17"/>
      <c r="AO28" s="18"/>
      <c r="AQ28" s="33" t="e">
        <f ca="1"/>
        <v>#NAME?</v>
      </c>
      <c r="AR28" s="143" t="e">
        <f ca="1"/>
        <v>#NAME?</v>
      </c>
      <c r="AS28" s="42" t="e">
        <f ca="1"/>
        <v>#NAME?</v>
      </c>
      <c r="AT28" s="33" t="e">
        <f ca="1"/>
        <v>#NAME?</v>
      </c>
      <c r="AX28" s="17" t="str">
        <f t="shared" si="5"/>
        <v/>
      </c>
      <c r="AY28" s="100">
        <f t="shared" si="6"/>
        <v>0</v>
      </c>
      <c r="AZ28" s="1"/>
      <c r="BA28">
        <f>SUMIF(Journal[DrAccnt],Financial_Statements_3!AX28,Journal[DrAmt])</f>
        <v>0</v>
      </c>
      <c r="BB28">
        <f>SUMIF(Journal[CrAccnt],Financial_Statements_3!AX28,Journal[CrAmt])</f>
        <v>0</v>
      </c>
    </row>
    <row r="29" spans="2:54" x14ac:dyDescent="0.2">
      <c r="B29" s="91"/>
      <c r="C29" s="101" t="str">
        <f>IF(ISBLANK(B29),"",_xlfn.XLOOKUP(B29,BegBalSht[Account],BegBalSht[Amount]))</f>
        <v/>
      </c>
      <c r="E29" s="19" t="s">
        <v>426</v>
      </c>
      <c r="F29" s="18"/>
      <c r="P29" s="11"/>
      <c r="Q29" s="85"/>
      <c r="R29" s="42"/>
      <c r="S29" s="11"/>
      <c r="AA29" s="70"/>
      <c r="AB29" s="48"/>
      <c r="AN29" s="19" t="s">
        <v>418</v>
      </c>
      <c r="AO29" s="18"/>
      <c r="AQ29" s="33" t="e">
        <f ca="1"/>
        <v>#NAME?</v>
      </c>
      <c r="AR29" s="143" t="e">
        <f ca="1"/>
        <v>#NAME?</v>
      </c>
      <c r="AS29" s="42" t="e">
        <f ca="1"/>
        <v>#NAME?</v>
      </c>
      <c r="AT29" s="33" t="e">
        <f ca="1"/>
        <v>#NAME?</v>
      </c>
      <c r="AX29" s="91" t="str">
        <f t="shared" si="5"/>
        <v/>
      </c>
      <c r="AY29" s="101">
        <f t="shared" si="6"/>
        <v>0</v>
      </c>
      <c r="AZ29" s="1"/>
      <c r="BA29">
        <f>SUMIF(Journal[DrAccnt],Financial_Statements_3!AX29,Journal[DrAmt])</f>
        <v>0</v>
      </c>
      <c r="BB29">
        <f>SUMIF(Journal[CrAccnt],Financial_Statements_3!AX29,Journal[CrAmt])</f>
        <v>0</v>
      </c>
    </row>
    <row r="30" spans="2:54" x14ac:dyDescent="0.2">
      <c r="B30" s="53" t="s">
        <v>427</v>
      </c>
      <c r="C30" s="49">
        <f>SUBTOTAL(9,C20:C29)</f>
        <v>0</v>
      </c>
      <c r="E30" s="17" t="str" cm="1">
        <f t="array" ref="E30">_xlfn._xlws.FILTER(_Loss[Name],NOT(ISBLANK(_Loss[Name])),"")</f>
        <v>Loss on Sale of Subsidiary</v>
      </c>
      <c r="F30" s="82">
        <f>-SUMIFS(Journal[CrAmt],Journal[CrAccnt],E30,Journal[ref2],"&lt;&gt;CL")+SUMIFS(Journal[DrAmt],Journal[DrAccnt],E30,Journal[ref2],"&lt;&gt;CL")</f>
        <v>0</v>
      </c>
      <c r="P30" s="11"/>
      <c r="Q30" s="85"/>
      <c r="R30" s="42"/>
      <c r="S30" s="11"/>
      <c r="AA30" s="70"/>
      <c r="AB30" s="48"/>
      <c r="AN30" s="17" t="str">
        <f>IF(ISBLANK(AA18),"",AA18)</f>
        <v/>
      </c>
      <c r="AO30" s="62" t="str">
        <f t="shared" ref="AO30:AO36" si="7">IF(ISBLANK(AB18),"",AB18)</f>
        <v/>
      </c>
      <c r="AQ30" s="33" t="e">
        <f ca="1"/>
        <v>#NAME?</v>
      </c>
      <c r="AR30" s="143" t="e">
        <f ca="1"/>
        <v>#NAME?</v>
      </c>
      <c r="AS30" s="42" t="e">
        <f ca="1"/>
        <v>#NAME?</v>
      </c>
      <c r="AT30" s="33" t="e">
        <f ca="1"/>
        <v>#NAME?</v>
      </c>
      <c r="AX30" s="53" t="s">
        <v>427</v>
      </c>
      <c r="AY30" s="49">
        <f>SUBTOTAL(9,AY20:AY29)</f>
        <v>0</v>
      </c>
    </row>
    <row r="31" spans="2:54" ht="16" thickBot="1" x14ac:dyDescent="0.25">
      <c r="B31" s="58" t="s">
        <v>428</v>
      </c>
      <c r="C31" s="50">
        <f>SUBTOTAL(9,C8:C30)</f>
        <v>0</v>
      </c>
      <c r="E31" s="17"/>
      <c r="F31" s="102">
        <f>-SUMIFS(Journal[CrAmt],Journal[CrAccnt],E31,Journal[ref2],"&lt;&gt;CL")+SUMIFS(Journal[DrAmt],Journal[DrAccnt],E31,Journal[ref2],"&lt;&gt;CL")</f>
        <v>0</v>
      </c>
      <c r="P31" s="11"/>
      <c r="Q31" s="85"/>
      <c r="R31" s="42"/>
      <c r="S31" s="11"/>
      <c r="AA31" s="70"/>
      <c r="AB31" s="48"/>
      <c r="AN31" s="17" t="str">
        <f t="shared" ref="AN31:AN36" si="8">IF(ISBLANK(AA19),"",AA19)</f>
        <v/>
      </c>
      <c r="AO31" s="62" t="str">
        <f t="shared" si="7"/>
        <v/>
      </c>
      <c r="AQ31" s="33" t="e">
        <f ca="1"/>
        <v>#NAME?</v>
      </c>
      <c r="AR31" s="143" t="e">
        <f ca="1"/>
        <v>#NAME?</v>
      </c>
      <c r="AS31" s="42" t="e">
        <f ca="1"/>
        <v>#NAME?</v>
      </c>
      <c r="AT31" s="33" t="e">
        <f ca="1"/>
        <v>#NAME?</v>
      </c>
      <c r="AX31" s="58" t="s">
        <v>428</v>
      </c>
      <c r="AY31" s="50">
        <f>SUBTOTAL(9,AY8:AY30)</f>
        <v>0</v>
      </c>
    </row>
    <row r="32" spans="2:54" ht="16" thickBot="1" x14ac:dyDescent="0.25">
      <c r="B32" s="26" t="s">
        <v>364</v>
      </c>
      <c r="C32" s="29"/>
      <c r="E32" s="17"/>
      <c r="F32" s="102">
        <f>-SUMIFS(Journal[CrAmt],Journal[CrAccnt],E32,Journal[ref2],"&lt;&gt;CL")+SUMIFS(Journal[DrAmt],Journal[DrAccnt],E32,Journal[ref2],"&lt;&gt;CL")</f>
        <v>0</v>
      </c>
      <c r="P32" s="11"/>
      <c r="Q32" s="85"/>
      <c r="R32" s="42"/>
      <c r="S32" s="11"/>
      <c r="AA32" s="70"/>
      <c r="AB32" s="48"/>
      <c r="AN32" s="17" t="str">
        <f t="shared" si="8"/>
        <v/>
      </c>
      <c r="AO32" s="62" t="str">
        <f t="shared" si="7"/>
        <v/>
      </c>
      <c r="AQ32" s="33" t="e">
        <f ca="1"/>
        <v>#NAME?</v>
      </c>
      <c r="AR32" s="143" t="e">
        <f ca="1"/>
        <v>#NAME?</v>
      </c>
      <c r="AS32" s="42" t="e">
        <f ca="1"/>
        <v>#NAME?</v>
      </c>
      <c r="AT32" s="33" t="e">
        <f ca="1"/>
        <v>#NAME?</v>
      </c>
      <c r="AX32" s="26" t="s">
        <v>364</v>
      </c>
      <c r="AY32" s="29"/>
    </row>
    <row r="33" spans="2:54" ht="17" thickTop="1" thickBot="1" x14ac:dyDescent="0.25">
      <c r="B33" s="52" t="s">
        <v>429</v>
      </c>
      <c r="C33" s="46">
        <f>BegDate</f>
        <v>0</v>
      </c>
      <c r="E33" s="17"/>
      <c r="F33" s="102">
        <f>-SUMIFS(Journal[CrAmt],Journal[CrAccnt],E33,Journal[ref2],"&lt;&gt;CL")+SUMIFS(Journal[DrAmt],Journal[DrAccnt],E33,Journal[ref2],"&lt;&gt;CL")</f>
        <v>0</v>
      </c>
      <c r="P33" s="11"/>
      <c r="Q33" s="88" t="e">
        <f>MAX(SUM(Q26:Q32)-SUM(R26:R32),0)</f>
        <v>#N/A</v>
      </c>
      <c r="R33" s="89" t="e">
        <f>MAX(SUM(R26:R32)-SUM(Q26:Q32),0)</f>
        <v>#N/A</v>
      </c>
      <c r="S33" s="11"/>
      <c r="AA33" s="70"/>
      <c r="AB33" s="48"/>
      <c r="AN33" s="17" t="str">
        <f t="shared" si="8"/>
        <v/>
      </c>
      <c r="AO33" s="62" t="str">
        <f t="shared" si="7"/>
        <v/>
      </c>
      <c r="AQ33" s="33" t="e">
        <f ca="1"/>
        <v>#NAME?</v>
      </c>
      <c r="AR33" s="143" t="e">
        <f ca="1"/>
        <v>#NAME?</v>
      </c>
      <c r="AS33" s="42" t="e">
        <f ca="1"/>
        <v>#NAME?</v>
      </c>
      <c r="AT33" s="33" t="e">
        <f ca="1"/>
        <v>#NAME?</v>
      </c>
      <c r="AX33" s="52" t="s">
        <v>429</v>
      </c>
      <c r="AY33" s="46">
        <f>EndDate</f>
        <v>0</v>
      </c>
    </row>
    <row r="34" spans="2:54" ht="16" thickTop="1" x14ac:dyDescent="0.2">
      <c r="B34" s="17" t="str" cm="1">
        <f t="array" ref="B34:B41">_xlfn._xlws.FILTER(Liability[Name],Liability[C/NC]="C")</f>
        <v>Accounts Payable</v>
      </c>
      <c r="C34" s="99">
        <f>IF(ISBLANK(B34),"",_xlfn.XLOOKUP(B34,BegBalSht[Account],BegBalSht[Amount]))</f>
        <v>0</v>
      </c>
      <c r="E34" s="21" t="s">
        <v>430</v>
      </c>
      <c r="F34" s="47">
        <f>SUM(F30:F33)</f>
        <v>0</v>
      </c>
      <c r="AA34" s="75" t="s">
        <v>431</v>
      </c>
      <c r="AB34" s="47">
        <f>SUBTOTAL(9,AB28:AB33)</f>
        <v>0</v>
      </c>
      <c r="AN34" s="17" t="str">
        <f t="shared" si="8"/>
        <v/>
      </c>
      <c r="AO34" s="62" t="str">
        <f t="shared" si="7"/>
        <v/>
      </c>
      <c r="AQ34" s="33" t="e">
        <f ca="1"/>
        <v>#NAME?</v>
      </c>
      <c r="AR34" s="143" t="e">
        <f ca="1"/>
        <v>#NAME?</v>
      </c>
      <c r="AS34" s="42" t="e">
        <f ca="1"/>
        <v>#NAME?</v>
      </c>
      <c r="AT34" s="33" t="e">
        <f ca="1"/>
        <v>#NAME?</v>
      </c>
      <c r="AX34" s="17" t="str">
        <f t="shared" ref="AX34:AX43" si="9">IF(ISBLANK(B34),"",B34)</f>
        <v>Accounts Payable</v>
      </c>
      <c r="AY34" s="99">
        <f t="shared" ref="AY34:AY43" si="10">IFERROR(C34+BB34-BA34,0)</f>
        <v>0</v>
      </c>
      <c r="BA34">
        <f>SUMIF(Journal[DrAccnt],Financial_Statements_3!AX34,Journal[DrAmt])</f>
        <v>0</v>
      </c>
      <c r="BB34">
        <f>SUMIF(Journal[CrAccnt],Financial_Statements_3!AX34,Journal[CrAmt])</f>
        <v>0</v>
      </c>
    </row>
    <row r="35" spans="2:54" ht="16" thickBot="1" x14ac:dyDescent="0.25">
      <c r="B35" s="17" t="str">
        <v>Accrued Expenses</v>
      </c>
      <c r="C35" s="100">
        <f>IF(ISBLANK(B35),"",_xlfn.XLOOKUP(B35,BegBalSht[Account],BegBalSht[Amount]))</f>
        <v>0</v>
      </c>
      <c r="E35" s="19" t="s">
        <v>401</v>
      </c>
      <c r="F35" s="79">
        <f>F12-F22+F28-F34</f>
        <v>0</v>
      </c>
      <c r="P35" s="43"/>
      <c r="R35" s="103" t="e">
        <f>_xlfn.XLOOKUP(Q36,Equity[Name],Equity[BalType])</f>
        <v>#N/A</v>
      </c>
      <c r="S35" s="43"/>
      <c r="AA35" s="17"/>
      <c r="AB35" s="18"/>
      <c r="AN35" s="17" t="str">
        <f t="shared" si="8"/>
        <v/>
      </c>
      <c r="AO35" s="62" t="str">
        <f t="shared" si="7"/>
        <v/>
      </c>
      <c r="AQ35" s="33" t="e">
        <f ca="1"/>
        <v>#NAME?</v>
      </c>
      <c r="AR35" s="143" t="e">
        <f ca="1"/>
        <v>#NAME?</v>
      </c>
      <c r="AS35" s="42" t="e">
        <f ca="1"/>
        <v>#NAME?</v>
      </c>
      <c r="AT35" s="33" t="e">
        <f ca="1"/>
        <v>#NAME?</v>
      </c>
      <c r="AX35" s="17" t="str">
        <f t="shared" si="9"/>
        <v>Accrued Expenses</v>
      </c>
      <c r="AY35" s="100">
        <f t="shared" si="10"/>
        <v>0</v>
      </c>
      <c r="BA35">
        <f>SUMIF(Journal[DrAccnt],Financial_Statements_3!AX35,Journal[DrAmt])</f>
        <v>0</v>
      </c>
      <c r="BB35">
        <f>SUMIF(Journal[CrAccnt],Financial_Statements_3!AX35,Journal[CrAmt])</f>
        <v>0</v>
      </c>
    </row>
    <row r="36" spans="2:54" ht="17" thickTop="1" thickBot="1" x14ac:dyDescent="0.25">
      <c r="B36" s="17" t="str">
        <v>Interest Payable</v>
      </c>
      <c r="C36" s="100">
        <f>IF(ISBLANK(B36),"",_xlfn.XLOOKUP(B36,BegBalSht[Account],BegBalSht[Amount]))</f>
        <v>0</v>
      </c>
      <c r="E36" s="24"/>
      <c r="F36" s="25"/>
      <c r="P36" s="43"/>
      <c r="Q36" s="44" t="str">
        <f>_xlfn.IFNA(_xlfn.XLOOKUP(L8,Equity[Abbr],Equity[Name]),"NA")</f>
        <v>NA</v>
      </c>
      <c r="R36" s="44"/>
      <c r="S36" s="43"/>
      <c r="AA36" s="17" t="s">
        <v>432</v>
      </c>
      <c r="AB36" s="80">
        <f>SUBTOTAL(9,AB8:AB35)</f>
        <v>0</v>
      </c>
      <c r="AN36" s="17" t="str">
        <f t="shared" si="8"/>
        <v/>
      </c>
      <c r="AO36" s="62" t="str">
        <f t="shared" si="7"/>
        <v/>
      </c>
      <c r="AQ36" s="33" t="e">
        <f ca="1"/>
        <v>#NAME?</v>
      </c>
      <c r="AR36" s="143" t="e">
        <f ca="1"/>
        <v>#NAME?</v>
      </c>
      <c r="AS36" s="42" t="e">
        <f ca="1"/>
        <v>#NAME?</v>
      </c>
      <c r="AT36" s="33" t="e">
        <f ca="1"/>
        <v>#NAME?</v>
      </c>
      <c r="AX36" s="17" t="str">
        <f t="shared" si="9"/>
        <v>Interest Payable</v>
      </c>
      <c r="AY36" s="100">
        <f t="shared" si="10"/>
        <v>0</v>
      </c>
      <c r="BA36">
        <f>SUMIF(Journal[DrAccnt],Financial_Statements_3!AX36,Journal[DrAmt])</f>
        <v>0</v>
      </c>
      <c r="BB36">
        <f>SUMIF(Journal[CrAccnt],Financial_Statements_3!AX36,Journal[CrAmt])</f>
        <v>0</v>
      </c>
    </row>
    <row r="37" spans="2:54" ht="16" thickTop="1" x14ac:dyDescent="0.2">
      <c r="B37" s="17" t="str">
        <v>Dividends Payable</v>
      </c>
      <c r="C37" s="100">
        <f>IF(ISBLANK(B37),"",_xlfn.XLOOKUP(B37,BegBalSht[Account],BegBalSht[Amount]))</f>
        <v>0</v>
      </c>
      <c r="P37" s="11" t="e" cm="1">
        <f t="array" ref="P37">_xlfn.IFS(R35="Debit","BB",AND(R35="Either",_xlfn.XLOOKUP(Q36,BegBalSht[Account],BegBalSht[Amount],0)&lt;0),"BB",TRUE,"")</f>
        <v>#N/A</v>
      </c>
      <c r="Q37" s="90" t="e">
        <f>IF(_xlfn.XLOOKUP(Q36,BegBalSht[Account],BegBalSht[Amount])&lt;0,-_xlfn.XLOOKUP(Q36,BegBalSht[Account],BegBalSht[Amount]),0)</f>
        <v>#N/A</v>
      </c>
      <c r="R37" s="42" t="e">
        <f>IF(_xlfn.XLOOKUP(Q36,BegBalSht[Account],BegBalSht[Amount])&gt;0,_xlfn.XLOOKUP(Q36,BegBalSht[Account],BegBalSht[Amount]),0)</f>
        <v>#N/A</v>
      </c>
      <c r="S37" s="11" t="e" cm="1">
        <f t="array" ref="S37">_xlfn.IFS(R35="Credit","BB",AND(R35="Either",_xlfn.XLOOKUP(Q36,BegBalSht[Account],BegBalSht[Amount],0)&gt;=0),"BB",TRUE,"")</f>
        <v>#N/A</v>
      </c>
      <c r="AA37" s="17" t="str">
        <f>"Cash @ "&amp;BegDate</f>
        <v xml:space="preserve">Cash @ </v>
      </c>
      <c r="AB37" s="62">
        <f>_xlfn.XLOOKUP("Cash",B8:B17,C8:C17,0)</f>
        <v>0</v>
      </c>
      <c r="AN37" s="75" t="s">
        <v>423</v>
      </c>
      <c r="AO37" s="47">
        <f>SUBTOTAL(9,AO30:AO36)</f>
        <v>0</v>
      </c>
      <c r="AQ37" s="33" t="e">
        <f ca="1"/>
        <v>#NAME?</v>
      </c>
      <c r="AR37" s="143" t="e">
        <f ca="1"/>
        <v>#NAME?</v>
      </c>
      <c r="AS37" s="42" t="e">
        <f ca="1"/>
        <v>#NAME?</v>
      </c>
      <c r="AT37" s="33" t="e">
        <f ca="1"/>
        <v>#NAME?</v>
      </c>
      <c r="AX37" s="17" t="str">
        <f t="shared" si="9"/>
        <v>Dividends Payable</v>
      </c>
      <c r="AY37" s="100">
        <f t="shared" si="10"/>
        <v>0</v>
      </c>
      <c r="BA37">
        <f>SUMIF(Journal[DrAccnt],Financial_Statements_3!AX37,Journal[DrAmt])</f>
        <v>0</v>
      </c>
      <c r="BB37">
        <f>SUMIF(Journal[CrAccnt],Financial_Statements_3!AX37,Journal[CrAmt])</f>
        <v>0</v>
      </c>
    </row>
    <row r="38" spans="2:54" ht="16" thickBot="1" x14ac:dyDescent="0.25">
      <c r="B38" s="17" t="str">
        <v>Taxes Payable</v>
      </c>
      <c r="C38" s="100">
        <f>IF(ISBLANK(B38),"",_xlfn.XLOOKUP(B38,BegBalSht[Account],BegBalSht[Amount]))</f>
        <v>0</v>
      </c>
      <c r="P38" s="11" t="str" cm="1">
        <f t="array" ref="P38">_xlfn._xlws.FILTER(Journal[ref],Journal[DrAccnt]=Financial_Statements_3!Q36,"")</f>
        <v/>
      </c>
      <c r="Q38" s="85" t="str" cm="1">
        <f t="array" ref="Q38">_xlfn._xlws.FILTER(Journal[DrAmt],Journal[DrAccnt]=Financial_Statements_3!Q36,"")</f>
        <v/>
      </c>
      <c r="R38" s="42" t="str" cm="1">
        <f t="array" ref="R38">_xlfn._xlws.FILTER(Journal[CrAmt],Journal[CrAccnt]=Financial_Statements_3!Q36,"")</f>
        <v/>
      </c>
      <c r="S38" s="11" t="str" cm="1">
        <f t="array" ref="S38">_xlfn._xlws.FILTER(Journal[ref],Journal[CrAccnt]=Financial_Statements_3!Q36,"")</f>
        <v/>
      </c>
      <c r="AA38" s="17" t="str">
        <f>"Cash @ "&amp;EndDate</f>
        <v xml:space="preserve">Cash @ </v>
      </c>
      <c r="AB38" s="79">
        <f>SUM(AB36:AB37)</f>
        <v>0</v>
      </c>
      <c r="AN38" s="17"/>
      <c r="AO38" s="18"/>
      <c r="AQ38" s="33" t="e">
        <f ca="1"/>
        <v>#NAME?</v>
      </c>
      <c r="AR38" s="143" t="e">
        <f ca="1"/>
        <v>#NAME?</v>
      </c>
      <c r="AS38" s="42" t="e">
        <f ca="1"/>
        <v>#NAME?</v>
      </c>
      <c r="AT38" s="33" t="e">
        <f ca="1"/>
        <v>#NAME?</v>
      </c>
      <c r="AX38" s="17" t="str">
        <f t="shared" si="9"/>
        <v>Taxes Payable</v>
      </c>
      <c r="AY38" s="100">
        <f t="shared" si="10"/>
        <v>0</v>
      </c>
      <c r="BA38">
        <f>SUMIF(Journal[DrAccnt],Financial_Statements_3!AX38,Journal[DrAmt])</f>
        <v>0</v>
      </c>
      <c r="BB38">
        <f>SUMIF(Journal[CrAccnt],Financial_Statements_3!AX38,Journal[CrAmt])</f>
        <v>0</v>
      </c>
    </row>
    <row r="39" spans="2:54" ht="17" thickTop="1" thickBot="1" x14ac:dyDescent="0.25">
      <c r="B39" s="17" t="str">
        <v>Deferred Tax Liabilities</v>
      </c>
      <c r="C39" s="100">
        <f>IF(ISBLANK(B39),"",_xlfn.XLOOKUP(B39,BegBalSht[Account],BegBalSht[Amount]))</f>
        <v>0</v>
      </c>
      <c r="Q39" s="85"/>
      <c r="R39" s="42"/>
      <c r="AA39" s="24"/>
      <c r="AB39" s="25"/>
      <c r="AN39" s="19" t="s">
        <v>424</v>
      </c>
      <c r="AO39" s="18"/>
      <c r="AQ39" s="33" t="e">
        <f ca="1"/>
        <v>#NAME?</v>
      </c>
      <c r="AR39" s="143" t="e">
        <f ca="1"/>
        <v>#NAME?</v>
      </c>
      <c r="AS39" s="42" t="e">
        <f ca="1"/>
        <v>#NAME?</v>
      </c>
      <c r="AT39" s="33" t="e">
        <f ca="1"/>
        <v>#NAME?</v>
      </c>
      <c r="AX39" s="17" t="str">
        <f t="shared" si="9"/>
        <v>Deferred Tax Liabilities</v>
      </c>
      <c r="AY39" s="100">
        <f t="shared" si="10"/>
        <v>0</v>
      </c>
      <c r="BA39">
        <f>SUMIF(Journal[DrAccnt],Financial_Statements_3!AX39,Journal[DrAmt])</f>
        <v>0</v>
      </c>
      <c r="BB39">
        <f>SUMIF(Journal[CrAccnt],Financial_Statements_3!AX39,Journal[CrAmt])</f>
        <v>0</v>
      </c>
    </row>
    <row r="40" spans="2:54" ht="16" thickBot="1" x14ac:dyDescent="0.25">
      <c r="B40" s="17" t="str">
        <v>Unearned Revenue</v>
      </c>
      <c r="C40" s="100">
        <f>IF(ISBLANK(B40),"",_xlfn.XLOOKUP(B40,BegBalSht[Account],BegBalSht[Amount]))</f>
        <v>0</v>
      </c>
      <c r="P40" s="11"/>
      <c r="Q40" s="85"/>
      <c r="R40" s="42"/>
      <c r="S40" s="11"/>
      <c r="AN40" s="17" t="str">
        <f>IF(ISBLANK(AA28),"",AA28)</f>
        <v/>
      </c>
      <c r="AO40" s="62"/>
      <c r="AQ40" s="33" t="e">
        <f ca="1"/>
        <v>#NAME?</v>
      </c>
      <c r="AR40" s="143" t="e">
        <f ca="1"/>
        <v>#NAME?</v>
      </c>
      <c r="AS40" s="42" t="e">
        <f ca="1"/>
        <v>#NAME?</v>
      </c>
      <c r="AT40" s="33" t="e">
        <f ca="1"/>
        <v>#NAME?</v>
      </c>
      <c r="AX40" s="17" t="str">
        <f t="shared" si="9"/>
        <v>Unearned Revenue</v>
      </c>
      <c r="AY40" s="100">
        <f t="shared" si="10"/>
        <v>0</v>
      </c>
      <c r="BA40">
        <f>SUMIF(Journal[DrAccnt],Financial_Statements_3!AX40,Journal[DrAmt])</f>
        <v>0</v>
      </c>
      <c r="BB40">
        <f>SUMIF(Journal[CrAccnt],Financial_Statements_3!AX40,Journal[CrAmt])</f>
        <v>0</v>
      </c>
    </row>
    <row r="41" spans="2:54" x14ac:dyDescent="0.2">
      <c r="B41" s="17" t="str">
        <v>Salaries &amp; Wages Payable</v>
      </c>
      <c r="C41" s="100">
        <f>IF(ISBLANK(B41),"",_xlfn.XLOOKUP(B41,BegBalSht[Account],BegBalSht[Amount]))</f>
        <v>0</v>
      </c>
      <c r="P41" s="11"/>
      <c r="Q41" s="85"/>
      <c r="R41" s="42"/>
      <c r="S41" s="11"/>
      <c r="AA41" s="72" t="s">
        <v>433</v>
      </c>
      <c r="AB41" s="71"/>
      <c r="AN41" s="17"/>
      <c r="AO41" s="62"/>
      <c r="AQ41" s="33" t="e">
        <f ca="1"/>
        <v>#NAME?</v>
      </c>
      <c r="AR41" s="143" t="e">
        <f ca="1"/>
        <v>#NAME?</v>
      </c>
      <c r="AS41" s="42" t="e">
        <f ca="1"/>
        <v>#NAME?</v>
      </c>
      <c r="AT41" s="33" t="e">
        <f ca="1"/>
        <v>#NAME?</v>
      </c>
      <c r="AX41" s="17" t="str">
        <f t="shared" si="9"/>
        <v>Salaries &amp; Wages Payable</v>
      </c>
      <c r="AY41" s="100">
        <f t="shared" si="10"/>
        <v>0</v>
      </c>
      <c r="BA41">
        <f>SUMIF(Journal[DrAccnt],Financial_Statements_3!AX41,Journal[DrAmt])</f>
        <v>0</v>
      </c>
      <c r="BB41">
        <f>SUMIF(Journal[CrAccnt],Financial_Statements_3!AX41,Journal[CrAmt])</f>
        <v>0</v>
      </c>
    </row>
    <row r="42" spans="2:54" x14ac:dyDescent="0.2">
      <c r="B42" s="17"/>
      <c r="C42" s="100" t="str">
        <f>IF(ISBLANK(B42),"",_xlfn.XLOOKUP(B42,BegBalSht[Account],BegBalSht[Amount]))</f>
        <v/>
      </c>
      <c r="P42" s="11"/>
      <c r="Q42" s="85"/>
      <c r="R42" s="42"/>
      <c r="S42" s="11"/>
      <c r="AA42" s="70"/>
      <c r="AB42" s="81"/>
      <c r="AN42" s="17"/>
      <c r="AO42" s="62"/>
      <c r="AQ42" s="33" t="e">
        <f ca="1"/>
        <v>#NAME?</v>
      </c>
      <c r="AR42" s="143" t="e">
        <f ca="1"/>
        <v>#NAME?</v>
      </c>
      <c r="AS42" s="42" t="e">
        <f ca="1"/>
        <v>#NAME?</v>
      </c>
      <c r="AT42" s="33" t="e">
        <f ca="1"/>
        <v>#NAME?</v>
      </c>
      <c r="AX42" s="17" t="str">
        <f t="shared" si="9"/>
        <v/>
      </c>
      <c r="AY42" s="100">
        <f t="shared" si="10"/>
        <v>0</v>
      </c>
      <c r="BA42">
        <f>SUMIF(Journal[DrAccnt],Financial_Statements_3!AX42,Journal[DrAmt])</f>
        <v>0</v>
      </c>
      <c r="BB42">
        <f>SUMIF(Journal[CrAccnt],Financial_Statements_3!AX42,Journal[CrAmt])</f>
        <v>0</v>
      </c>
    </row>
    <row r="43" spans="2:54" ht="16" thickBot="1" x14ac:dyDescent="0.25">
      <c r="B43" s="91"/>
      <c r="C43" s="101" t="str">
        <f>IF(ISBLANK(B43),"",_xlfn.XLOOKUP(B43,BegBalSht[Account],BegBalSht[Amount]))</f>
        <v/>
      </c>
      <c r="P43" s="11"/>
      <c r="Q43" s="85"/>
      <c r="R43" s="42"/>
      <c r="S43" s="11"/>
      <c r="AA43" s="70"/>
      <c r="AB43" s="81"/>
      <c r="AN43" s="17"/>
      <c r="AO43" s="62"/>
      <c r="AQ43" s="33" t="e">
        <f ca="1"/>
        <v>#NAME?</v>
      </c>
      <c r="AR43" s="143" t="e">
        <f ca="1"/>
        <v>#NAME?</v>
      </c>
      <c r="AS43" s="42" t="e">
        <f ca="1"/>
        <v>#NAME?</v>
      </c>
      <c r="AT43" s="33" t="e">
        <f ca="1"/>
        <v>#NAME?</v>
      </c>
      <c r="AX43" s="91" t="str">
        <f t="shared" si="9"/>
        <v/>
      </c>
      <c r="AY43" s="101">
        <f t="shared" si="10"/>
        <v>0</v>
      </c>
      <c r="BA43">
        <f>SUMIF(Journal[DrAccnt],Financial_Statements_3!AX43,Journal[DrAmt])</f>
        <v>0</v>
      </c>
      <c r="BB43">
        <f>SUMIF(Journal[CrAccnt],Financial_Statements_3!AX43,Journal[CrAmt])</f>
        <v>0</v>
      </c>
    </row>
    <row r="44" spans="2:54" ht="17" thickTop="1" thickBot="1" x14ac:dyDescent="0.25">
      <c r="B44" s="54" t="s">
        <v>434</v>
      </c>
      <c r="C44" s="51">
        <f>SUBTOTAL(9,C34:C43)</f>
        <v>0</v>
      </c>
      <c r="P44" s="11"/>
      <c r="Q44" s="88" t="e">
        <f>MAX(SUM(Q37:Q43)-SUM(R37:R43),0)</f>
        <v>#N/A</v>
      </c>
      <c r="R44" s="89" t="e">
        <f>MAX(SUM(R37:R43)-SUM(Q37:Q43),0)</f>
        <v>#N/A</v>
      </c>
      <c r="S44" s="11"/>
      <c r="AA44" s="70"/>
      <c r="AB44" s="81"/>
      <c r="AN44" s="17"/>
      <c r="AO44" s="62"/>
      <c r="AQ44" s="33" t="e">
        <f ca="1"/>
        <v>#NAME?</v>
      </c>
      <c r="AR44" s="143" t="e">
        <f ca="1"/>
        <v>#NAME?</v>
      </c>
      <c r="AS44" s="42" t="e">
        <f ca="1"/>
        <v>#NAME?</v>
      </c>
      <c r="AT44" s="33" t="e">
        <f ca="1"/>
        <v>#NAME?</v>
      </c>
      <c r="AX44" s="54" t="s">
        <v>434</v>
      </c>
      <c r="AY44" s="51">
        <f>SUBTOTAL(9,AY34:AY43)</f>
        <v>0</v>
      </c>
    </row>
    <row r="45" spans="2:54" ht="16" thickTop="1" x14ac:dyDescent="0.2">
      <c r="B45" s="55" t="s">
        <v>435</v>
      </c>
      <c r="C45" s="18"/>
      <c r="AA45" s="70"/>
      <c r="AB45" s="81"/>
      <c r="AN45" s="17"/>
      <c r="AO45" s="62"/>
      <c r="AQ45" s="33" t="e">
        <f ca="1"/>
        <v>#NAME?</v>
      </c>
      <c r="AR45" s="143" t="e">
        <f ca="1"/>
        <v>#NAME?</v>
      </c>
      <c r="AS45" s="42" t="e">
        <f ca="1"/>
        <v>#NAME?</v>
      </c>
      <c r="AT45" s="33" t="e">
        <f ca="1"/>
        <v>#NAME?</v>
      </c>
      <c r="AX45" s="55" t="s">
        <v>435</v>
      </c>
      <c r="AY45" s="18"/>
    </row>
    <row r="46" spans="2:54" ht="16" thickBot="1" x14ac:dyDescent="0.25">
      <c r="B46" s="17" t="str" cm="1">
        <f t="array" ref="B46:B49">_xlfn._xlws.FILTER(Liability[Name],Liability[C/NC]="NC")</f>
        <v>Bonds Payable</v>
      </c>
      <c r="C46" s="99">
        <f>IF(ISBLANK(B46),"",_xlfn.XLOOKUP(B46,BegBalSht[Account],BegBalSht[Amount]))</f>
        <v>0</v>
      </c>
      <c r="P46" s="43"/>
      <c r="R46" s="103" t="e">
        <f>_xlfn.XLOOKUP(Q47,Equity[Name],Equity[BalType])</f>
        <v>#N/A</v>
      </c>
      <c r="S46" s="43"/>
      <c r="AA46" s="73"/>
      <c r="AB46" s="78"/>
      <c r="AN46" s="75" t="s">
        <v>431</v>
      </c>
      <c r="AO46" s="47">
        <f>SUBTOTAL(9,AO40:AO45)</f>
        <v>0</v>
      </c>
      <c r="AQ46" s="33"/>
      <c r="AR46" s="143"/>
      <c r="AS46" s="42"/>
      <c r="AT46" s="33"/>
      <c r="AX46" s="17" t="str">
        <f t="shared" ref="AX46:AX55" si="11">IF(ISBLANK(B46),"",B46)</f>
        <v>Bonds Payable</v>
      </c>
      <c r="AY46" s="99">
        <f t="shared" ref="AY46:AY55" si="12">IFERROR(C46+BB46-BA46,0)</f>
        <v>0</v>
      </c>
      <c r="BA46">
        <f>SUMIF(Journal[DrAccnt],Financial_Statements_3!AX46,Journal[DrAmt])</f>
        <v>0</v>
      </c>
      <c r="BB46">
        <f>SUMIF(Journal[CrAccnt],Financial_Statements_3!AX46,Journal[CrAmt])</f>
        <v>0</v>
      </c>
    </row>
    <row r="47" spans="2:54" ht="16" thickBot="1" x14ac:dyDescent="0.25">
      <c r="B47" s="17" t="str">
        <v>Notes Payable</v>
      </c>
      <c r="C47" s="100">
        <f>IF(ISBLANK(B47),"",_xlfn.XLOOKUP(B47,BegBalSht[Account],BegBalSht[Amount]))</f>
        <v>0</v>
      </c>
      <c r="P47" s="43"/>
      <c r="Q47" s="44" t="str">
        <f>_xlfn.XLOOKUP(M8,Equity[Abbr],Equity[Name],"NA")</f>
        <v>NA</v>
      </c>
      <c r="R47" s="44"/>
      <c r="S47" s="43"/>
      <c r="AN47" s="75"/>
      <c r="AO47" s="18"/>
      <c r="AQ47" s="33" t="str">
        <f>IF(ISBLANK(Indirect_CFO_Worksheet_Tool!O181),"",Indirect_CFO_Worksheet_Tool!O181)</f>
        <v>CFO</v>
      </c>
      <c r="AR47" s="258">
        <f ca="1">IF(ISBLANK(Indirect_CFO_Worksheet_Tool!P181),"",Indirect_CFO_Worksheet_Tool!P181)</f>
        <v>5</v>
      </c>
      <c r="AS47" s="259">
        <f ca="1">IF(ISBLANK(Indirect_CFO_Worksheet_Tool!Q181),"",Indirect_CFO_Worksheet_Tool!Q181)</f>
        <v>0</v>
      </c>
      <c r="AT47" s="33" t="str">
        <f>IF(ISBLANK(Indirect_CFO_Worksheet_Tool!R181),"",Indirect_CFO_Worksheet_Tool!R181)</f>
        <v>CFO</v>
      </c>
      <c r="AX47" s="17" t="str">
        <f t="shared" si="11"/>
        <v>Notes Payable</v>
      </c>
      <c r="AY47" s="100">
        <f t="shared" si="12"/>
        <v>0</v>
      </c>
      <c r="BA47">
        <f>SUMIF(Journal[DrAccnt],Financial_Statements_3!AX47,Journal[DrAmt])</f>
        <v>0</v>
      </c>
      <c r="BB47">
        <f>SUMIF(Journal[CrAccnt],Financial_Statements_3!AX47,Journal[CrAmt])</f>
        <v>0</v>
      </c>
    </row>
    <row r="48" spans="2:54" ht="16" thickTop="1" x14ac:dyDescent="0.2">
      <c r="B48" s="17" t="str">
        <v>Senior Debt</v>
      </c>
      <c r="C48" s="100">
        <f>IF(ISBLANK(B48),"",_xlfn.XLOOKUP(B48,BegBalSht[Account],BegBalSht[Amount]))</f>
        <v>0</v>
      </c>
      <c r="P48" s="11" t="e" cm="1">
        <f t="array" ref="P48">_xlfn.IFS(R46="Debit","BB",AND(R46="Either",_xlfn.XLOOKUP(Q47,BegBalSht[Account],BegBalSht[Amount],0)&lt;0),"BB",TRUE,"")</f>
        <v>#N/A</v>
      </c>
      <c r="Q48" s="90" t="e">
        <f>IF(_xlfn.XLOOKUP(Q47,BegBalSht[Account],BegBalSht[Amount])&lt;0,-_xlfn.XLOOKUP(Q47,BegBalSht[Account],BegBalSht[Amount]),0)</f>
        <v>#N/A</v>
      </c>
      <c r="R48" s="42" t="e">
        <f>IF(_xlfn.XLOOKUP(Q47,BegBalSht[Account],BegBalSht[Amount])&gt;0,_xlfn.XLOOKUP(Q47,BegBalSht[Account],BegBalSht[Amount]),0)</f>
        <v>#N/A</v>
      </c>
      <c r="S48" s="11" t="e" cm="1">
        <f t="array" ref="S48">_xlfn.IFS(R46="Credit","BB",AND(R46="Either",_xlfn.XLOOKUP(Q47,BegBalSht[Account],BegBalSht[Amount],0)&gt;=0),"BB",TRUE,"")</f>
        <v>#N/A</v>
      </c>
      <c r="AN48" s="17" t="s">
        <v>437</v>
      </c>
      <c r="AO48" s="80">
        <f>SUBTOTAL(9,AO8:AO46)</f>
        <v>5</v>
      </c>
      <c r="AX48" s="17" t="str">
        <f t="shared" si="11"/>
        <v>Senior Debt</v>
      </c>
      <c r="AY48" s="100">
        <f t="shared" si="12"/>
        <v>0</v>
      </c>
      <c r="BA48">
        <f>SUMIF(Journal[DrAccnt],Financial_Statements_3!AX48,Journal[DrAmt])</f>
        <v>0</v>
      </c>
      <c r="BB48">
        <f>SUMIF(Journal[CrAccnt],Financial_Statements_3!AX48,Journal[CrAmt])</f>
        <v>0</v>
      </c>
    </row>
    <row r="49" spans="1:54" x14ac:dyDescent="0.2">
      <c r="B49" s="17" t="str">
        <v>Subordinated Debt</v>
      </c>
      <c r="C49" s="100">
        <f>IF(ISBLANK(B49),"",_xlfn.XLOOKUP(B49,BegBalSht[Account],BegBalSht[Amount]))</f>
        <v>0</v>
      </c>
      <c r="P49" s="11" t="str" cm="1">
        <f t="array" ref="P49">_xlfn._xlws.FILTER(Journal[ref],Journal[DrAccnt]=Financial_Statements_3!Q47,"")</f>
        <v/>
      </c>
      <c r="Q49" s="85" t="str" cm="1">
        <f t="array" ref="Q49">_xlfn._xlws.FILTER(Journal[DrAmt],Journal[DrAccnt]=Financial_Statements_3!Q47,"")</f>
        <v/>
      </c>
      <c r="R49" s="42" t="str" cm="1">
        <f t="array" ref="R49">_xlfn._xlws.FILTER(Journal[CrAmt],Journal[CrAccnt]=Financial_Statements_3!Q47,"")</f>
        <v/>
      </c>
      <c r="S49" s="11" t="str" cm="1">
        <f t="array" ref="S49">_xlfn._xlws.FILTER(Journal[ref],Journal[CrAccnt]=Financial_Statements_3!Q47,"")</f>
        <v/>
      </c>
      <c r="AN49" s="17" t="str">
        <f>"Cash @ "&amp;BegDate</f>
        <v xml:space="preserve">Cash @ </v>
      </c>
      <c r="AO49" s="62">
        <f>_xlfn.XLOOKUP("Cash",B8:B17,C8:C17,0)</f>
        <v>0</v>
      </c>
      <c r="AX49" s="17" t="str">
        <f t="shared" si="11"/>
        <v>Subordinated Debt</v>
      </c>
      <c r="AY49" s="100">
        <f t="shared" si="12"/>
        <v>0</v>
      </c>
      <c r="BA49">
        <f>SUMIF(Journal[DrAccnt],Financial_Statements_3!AX49,Journal[DrAmt])</f>
        <v>0</v>
      </c>
      <c r="BB49">
        <f>SUMIF(Journal[CrAccnt],Financial_Statements_3!AX49,Journal[CrAmt])</f>
        <v>0</v>
      </c>
    </row>
    <row r="50" spans="1:54" ht="16" thickBot="1" x14ac:dyDescent="0.25">
      <c r="B50" s="17"/>
      <c r="C50" s="100" t="str">
        <f>IF(ISBLANK(B50),"",_xlfn.XLOOKUP(B50,BegBalSht[Account],BegBalSht[Amount]))</f>
        <v/>
      </c>
      <c r="Q50" s="85"/>
      <c r="R50" s="42"/>
      <c r="AN50" s="17" t="str">
        <f>"Cash @ "&amp;EndDate</f>
        <v xml:space="preserve">Cash @ </v>
      </c>
      <c r="AO50" s="79">
        <f>SUM(AO48:AO49)</f>
        <v>5</v>
      </c>
      <c r="AX50" s="17" t="str">
        <f t="shared" si="11"/>
        <v/>
      </c>
      <c r="AY50" s="100">
        <f t="shared" si="12"/>
        <v>0</v>
      </c>
      <c r="BA50">
        <f>SUMIF(Journal[DrAccnt],Financial_Statements_3!AX50,Journal[DrAmt])</f>
        <v>0</v>
      </c>
      <c r="BB50">
        <f>SUMIF(Journal[CrAccnt],Financial_Statements_3!AX50,Journal[CrAmt])</f>
        <v>0</v>
      </c>
    </row>
    <row r="51" spans="1:54" ht="17" thickTop="1" thickBot="1" x14ac:dyDescent="0.25">
      <c r="B51" s="17"/>
      <c r="C51" s="100" t="str">
        <f>IF(ISBLANK(B51),"",_xlfn.XLOOKUP(B51,BegBalSht[Account],BegBalSht[Amount]))</f>
        <v/>
      </c>
      <c r="P51" s="11"/>
      <c r="Q51" s="85"/>
      <c r="R51" s="42"/>
      <c r="S51" s="11"/>
      <c r="AN51" s="24"/>
      <c r="AO51" s="25"/>
      <c r="AX51" s="17" t="str">
        <f t="shared" si="11"/>
        <v/>
      </c>
      <c r="AY51" s="100">
        <f t="shared" si="12"/>
        <v>0</v>
      </c>
      <c r="BA51">
        <f>SUMIF(Journal[DrAccnt],Financial_Statements_3!AX51,Journal[DrAmt])</f>
        <v>0</v>
      </c>
      <c r="BB51">
        <f>SUMIF(Journal[CrAccnt],Financial_Statements_3!AX51,Journal[CrAmt])</f>
        <v>0</v>
      </c>
    </row>
    <row r="52" spans="1:54" ht="16" thickBot="1" x14ac:dyDescent="0.25">
      <c r="B52" s="17"/>
      <c r="C52" s="100" t="str">
        <f>IF(ISBLANK(B52),"",_xlfn.XLOOKUP(B52,BegBalSht[Account],BegBalSht[Amount]))</f>
        <v/>
      </c>
      <c r="P52" s="11"/>
      <c r="Q52" s="85"/>
      <c r="R52" s="42"/>
      <c r="S52" s="11"/>
      <c r="AX52" s="17" t="str">
        <f t="shared" si="11"/>
        <v/>
      </c>
      <c r="AY52" s="100">
        <f t="shared" si="12"/>
        <v>0</v>
      </c>
      <c r="BA52">
        <f>SUMIF(Journal[DrAccnt],Financial_Statements_3!AX52,Journal[DrAmt])</f>
        <v>0</v>
      </c>
      <c r="BB52">
        <f>SUMIF(Journal[CrAccnt],Financial_Statements_3!AX52,Journal[CrAmt])</f>
        <v>0</v>
      </c>
    </row>
    <row r="53" spans="1:54" x14ac:dyDescent="0.2">
      <c r="B53" s="17"/>
      <c r="C53" s="100" t="str">
        <f>IF(ISBLANK(B53),"",_xlfn.XLOOKUP(B53,BegBalSht[Account],BegBalSht[Amount]))</f>
        <v/>
      </c>
      <c r="P53" s="11"/>
      <c r="Q53" s="85"/>
      <c r="R53" s="42"/>
      <c r="S53" s="11"/>
      <c r="AN53" s="76" t="s">
        <v>438</v>
      </c>
      <c r="AO53" s="77"/>
      <c r="AX53" s="17" t="str">
        <f t="shared" si="11"/>
        <v/>
      </c>
      <c r="AY53" s="100">
        <f t="shared" si="12"/>
        <v>0</v>
      </c>
      <c r="BA53">
        <f>SUMIF(Journal[DrAccnt],Financial_Statements_3!AX53,Journal[DrAmt])</f>
        <v>0</v>
      </c>
      <c r="BB53">
        <f>SUMIF(Journal[CrAccnt],Financial_Statements_3!AX53,Journal[CrAmt])</f>
        <v>0</v>
      </c>
    </row>
    <row r="54" spans="1:54" ht="16" thickBot="1" x14ac:dyDescent="0.25">
      <c r="B54" s="17"/>
      <c r="C54" s="100" t="str">
        <f>IF(ISBLANK(B54),"",_xlfn.XLOOKUP(B54,BegBalSht[Account],BegBalSht[Amount]))</f>
        <v/>
      </c>
      <c r="P54" s="11"/>
      <c r="Q54" s="85"/>
      <c r="R54" s="42"/>
      <c r="S54" s="11"/>
      <c r="AN54" s="24" t="s">
        <v>439</v>
      </c>
      <c r="AO54" s="78"/>
      <c r="AX54" s="17" t="str">
        <f t="shared" si="11"/>
        <v/>
      </c>
      <c r="AY54" s="100">
        <f t="shared" si="12"/>
        <v>0</v>
      </c>
      <c r="BA54">
        <f>SUMIF(Journal[DrAccnt],Financial_Statements_3!AX54,Journal[DrAmt])</f>
        <v>0</v>
      </c>
      <c r="BB54">
        <f>SUMIF(Journal[CrAccnt],Financial_Statements_3!AX54,Journal[CrAmt])</f>
        <v>0</v>
      </c>
    </row>
    <row r="55" spans="1:54" ht="17" thickTop="1" thickBot="1" x14ac:dyDescent="0.25">
      <c r="B55" s="91"/>
      <c r="C55" s="101" t="str">
        <f>IF(ISBLANK(B55),"",_xlfn.XLOOKUP(B55,BegBalSht[Account],BegBalSht[Amount]))</f>
        <v/>
      </c>
      <c r="P55" s="11"/>
      <c r="Q55" s="88" t="e">
        <f>MAX(SUM(Q48:Q54)-SUM(R48:R54),0)</f>
        <v>#N/A</v>
      </c>
      <c r="R55" s="89" t="e">
        <f>MAX(SUM(R48:R54)-SUM(Q48:Q54),0)</f>
        <v>#N/A</v>
      </c>
      <c r="S55" s="11"/>
      <c r="AX55" s="91" t="str">
        <f t="shared" si="11"/>
        <v/>
      </c>
      <c r="AY55" s="101">
        <f t="shared" si="12"/>
        <v>0</v>
      </c>
      <c r="BA55">
        <f>SUMIF(Journal[DrAccnt],Financial_Statements_3!AX55,Journal[DrAmt])</f>
        <v>0</v>
      </c>
      <c r="BB55">
        <f>SUMIF(Journal[CrAccnt],Financial_Statements_3!AX55,Journal[CrAmt])</f>
        <v>0</v>
      </c>
    </row>
    <row r="56" spans="1:54" ht="16" thickTop="1" x14ac:dyDescent="0.2">
      <c r="B56" s="53" t="s">
        <v>440</v>
      </c>
      <c r="C56" s="49">
        <f>SUBTOTAL(9,C46:C55)</f>
        <v>0</v>
      </c>
      <c r="AN56" s="72" t="s">
        <v>433</v>
      </c>
      <c r="AO56" s="71"/>
      <c r="AX56" s="53" t="s">
        <v>440</v>
      </c>
      <c r="AY56" s="49">
        <f>SUBTOTAL(9,AY46:AY55)</f>
        <v>0</v>
      </c>
    </row>
    <row r="57" spans="1:54" x14ac:dyDescent="0.2">
      <c r="B57" s="56" t="s">
        <v>297</v>
      </c>
      <c r="C57" s="49">
        <f>SUBTOTAL(9,C34:C56)</f>
        <v>0</v>
      </c>
      <c r="P57" s="43"/>
      <c r="R57" s="103" t="e">
        <f>_xlfn.XLOOKUP(Q58,Equity[Name],Equity[BalType])</f>
        <v>#N/A</v>
      </c>
      <c r="S57" s="43"/>
      <c r="AN57" s="17" t="str">
        <f>IF(ISBLANK(AA42),"",AA42)</f>
        <v/>
      </c>
      <c r="AO57" s="82" t="str">
        <f t="shared" ref="AO57:AO61" si="13">IF(ISBLANK(AB42),"",AB42)</f>
        <v/>
      </c>
      <c r="AX57" s="56" t="s">
        <v>297</v>
      </c>
      <c r="AY57" s="49">
        <f>SUBTOTAL(9,AY34:AY56)</f>
        <v>0</v>
      </c>
    </row>
    <row r="58" spans="1:54" ht="16" thickBot="1" x14ac:dyDescent="0.25">
      <c r="B58" s="57" t="s">
        <v>365</v>
      </c>
      <c r="C58" s="29"/>
      <c r="P58" s="43"/>
      <c r="Q58" s="44" t="str">
        <f>_xlfn.XLOOKUP(N8,Equity[Abbr],Equity[Name],"NA")</f>
        <v>NA</v>
      </c>
      <c r="R58" s="44"/>
      <c r="S58" s="43"/>
      <c r="AN58" s="17" t="str">
        <f t="shared" ref="AN58:AN61" si="14">IF(ISBLANK(AA43),"",AA43)</f>
        <v/>
      </c>
      <c r="AO58" s="82" t="str">
        <f t="shared" si="13"/>
        <v/>
      </c>
      <c r="AX58" s="57" t="s">
        <v>365</v>
      </c>
      <c r="AY58" s="29"/>
    </row>
    <row r="59" spans="1:54" ht="16" thickTop="1" x14ac:dyDescent="0.2">
      <c r="A59" s="199" t="str">
        <f>_xlfn.XLOOKUP(B59,Equity[Name],Equity[Abbr],"")</f>
        <v>PrefStk</v>
      </c>
      <c r="B59" s="17" t="str" cm="1">
        <f t="array" ref="B59:B64">_xlfn._xlws.FILTER(Equity[Name],NOT(ISBLANK(Equity[Name])))</f>
        <v>Preferred Stock</v>
      </c>
      <c r="C59" s="99">
        <f>IF(ISBLANK(B59),"",_xlfn.XLOOKUP(B59,BegBalSht[Account],BegBalSht[Amount]))</f>
        <v>0</v>
      </c>
      <c r="P59" s="11" t="e" cm="1">
        <f t="array" ref="P59">_xlfn.IFS(R57="Debit","BB",AND(R57="Either",_xlfn.XLOOKUP(Q58,BegBalSht[Account],BegBalSht[Amount],0)&lt;0),"BB",TRUE,"")</f>
        <v>#N/A</v>
      </c>
      <c r="Q59" s="90" t="e">
        <f>IF(_xlfn.XLOOKUP(Q58,BegBalSht[Account],BegBalSht[Amount])&lt;0,-_xlfn.XLOOKUP(Q58,BegBalSht[Account],BegBalSht[Amount]),0)</f>
        <v>#N/A</v>
      </c>
      <c r="R59" s="42" t="e">
        <f>IF(_xlfn.XLOOKUP(Q58,BegBalSht[Account],BegBalSht[Amount])&gt;0,_xlfn.XLOOKUP(Q58,BegBalSht[Account],BegBalSht[Amount]),0)</f>
        <v>#N/A</v>
      </c>
      <c r="S59" s="11" t="e" cm="1">
        <f t="array" ref="S59">_xlfn.IFS(R57="Credit","BB",AND(R57="Either",_xlfn.XLOOKUP(Q58,BegBalSht[Account],BegBalSht[Amount],0)&gt;=0),"BB",TRUE,"")</f>
        <v>#N/A</v>
      </c>
      <c r="AN59" s="17" t="str">
        <f t="shared" si="14"/>
        <v/>
      </c>
      <c r="AO59" s="82" t="str">
        <f t="shared" si="13"/>
        <v/>
      </c>
      <c r="AX59" s="17" t="str">
        <f>IF(ISBLANK(B59),"",B59)</f>
        <v>Preferred Stock</v>
      </c>
      <c r="AY59" s="99">
        <f t="shared" ref="AY59:AY62" si="15">IFERROR(C59+BB59-BA59,0)</f>
        <v>0</v>
      </c>
      <c r="BA59">
        <f>SUMIF(Journal[DrAccnt],Financial_Statements_3!AX59,Journal[DrAmt])</f>
        <v>0</v>
      </c>
      <c r="BB59">
        <f>SUMIF(Journal[CrAccnt],Financial_Statements_3!AX59,Journal[CrAmt])</f>
        <v>0</v>
      </c>
    </row>
    <row r="60" spans="1:54" x14ac:dyDescent="0.2">
      <c r="A60" s="199" t="str">
        <f>_xlfn.XLOOKUP(B60,Equity[Name],Equity[Abbr],"")</f>
        <v>CS</v>
      </c>
      <c r="B60" s="17" t="str">
        <v>Common Stock</v>
      </c>
      <c r="C60" s="100">
        <f>IF(ISBLANK(B60),"",_xlfn.XLOOKUP(B60,BegBalSht[Account],BegBalSht[Amount]))</f>
        <v>0</v>
      </c>
      <c r="P60" s="11" t="str" cm="1">
        <f t="array" ref="P60">_xlfn._xlws.FILTER(Journal[ref],Journal[DrAccnt]=Financial_Statements_3!Q58,"")</f>
        <v/>
      </c>
      <c r="Q60" s="85" t="str" cm="1">
        <f t="array" ref="Q60">_xlfn._xlws.FILTER(Journal[DrAmt],Journal[DrAccnt]=Financial_Statements_3!Q58,"")</f>
        <v/>
      </c>
      <c r="R60" s="42" t="str" cm="1">
        <f t="array" ref="R60">_xlfn._xlws.FILTER(Journal[CrAmt],Journal[CrAccnt]=Financial_Statements_3!Q58,"")</f>
        <v/>
      </c>
      <c r="S60" s="11" t="str" cm="1">
        <f t="array" ref="S60">_xlfn._xlws.FILTER(Journal[ref],Journal[CrAccnt]=Financial_Statements_3!Q58,"")</f>
        <v/>
      </c>
      <c r="AN60" s="17" t="str">
        <f t="shared" si="14"/>
        <v/>
      </c>
      <c r="AO60" s="82" t="str">
        <f t="shared" si="13"/>
        <v/>
      </c>
      <c r="AX60" s="17" t="str">
        <f t="shared" ref="AX60:AX62" si="16">IF(ISBLANK(B60),"",B60)</f>
        <v>Common Stock</v>
      </c>
      <c r="AY60" s="100">
        <f t="shared" si="15"/>
        <v>0</v>
      </c>
      <c r="BA60">
        <f>SUMIF(Journal[DrAccnt],Financial_Statements_3!AX60,Journal[DrAmt])</f>
        <v>0</v>
      </c>
      <c r="BB60">
        <f>SUMIF(Journal[CrAccnt],Financial_Statements_3!AX60,Journal[CrAmt])</f>
        <v>0</v>
      </c>
    </row>
    <row r="61" spans="1:54" ht="16" thickBot="1" x14ac:dyDescent="0.25">
      <c r="A61" s="199" t="str">
        <f>_xlfn.XLOOKUP(B61,Equity[Name],Equity[Abbr],"")</f>
        <v>APIC</v>
      </c>
      <c r="B61" s="17" t="str">
        <v>Additional Paid-in Capital</v>
      </c>
      <c r="C61" s="100">
        <f>IF(ISBLANK(B61),"",_xlfn.XLOOKUP(B61,BegBalSht[Account],BegBalSht[Amount]))</f>
        <v>0</v>
      </c>
      <c r="Q61" s="85"/>
      <c r="R61" s="42"/>
      <c r="AN61" s="24" t="str">
        <f t="shared" si="14"/>
        <v/>
      </c>
      <c r="AO61" s="83" t="str">
        <f t="shared" si="13"/>
        <v/>
      </c>
      <c r="AX61" s="17" t="str">
        <f t="shared" si="16"/>
        <v>Additional Paid-in Capital</v>
      </c>
      <c r="AY61" s="100">
        <f t="shared" si="15"/>
        <v>0</v>
      </c>
      <c r="BA61">
        <f>SUMIF(Journal[DrAccnt],Financial_Statements_3!AX61,Journal[DrAmt])</f>
        <v>0</v>
      </c>
      <c r="BB61">
        <f>SUMIF(Journal[CrAccnt],Financial_Statements_3!AX61,Journal[CrAmt])</f>
        <v>0</v>
      </c>
    </row>
    <row r="62" spans="1:54" x14ac:dyDescent="0.2">
      <c r="A62" s="199" t="str">
        <f>_xlfn.XLOOKUP(B62,Equity[Name],Equity[Abbr],"")</f>
        <v>RE</v>
      </c>
      <c r="B62" s="17" t="str">
        <v>Retained Earnings</v>
      </c>
      <c r="C62" s="100">
        <f>IF(ISBLANK(B62),"",_xlfn.XLOOKUP(B62,BegBalSht[Account],BegBalSht[Amount]))</f>
        <v>0</v>
      </c>
      <c r="P62" s="11"/>
      <c r="Q62" s="85"/>
      <c r="R62" s="42"/>
      <c r="S62" s="11"/>
      <c r="AX62" s="17" t="str">
        <f t="shared" si="16"/>
        <v>Retained Earnings</v>
      </c>
      <c r="AY62" s="100">
        <f t="shared" si="15"/>
        <v>0</v>
      </c>
      <c r="BA62">
        <f>SUMIF(Journal[DrAccnt],Financial_Statements_3!AX62,Journal[DrAmt])</f>
        <v>0</v>
      </c>
      <c r="BB62">
        <f>SUMIF(Journal[CrAccnt],Financial_Statements_3!AX62,Journal[CrAmt])</f>
        <v>0</v>
      </c>
    </row>
    <row r="63" spans="1:54" x14ac:dyDescent="0.2">
      <c r="A63" s="199" t="str">
        <f>_xlfn.XLOOKUP(B63,Equity[Name],Equity[Abbr],"")</f>
        <v>AOCI</v>
      </c>
      <c r="B63" s="17" t="str">
        <v>Accumulated Other Comprehensive Income</v>
      </c>
      <c r="C63" s="100"/>
      <c r="P63" s="11"/>
      <c r="Q63" s="85"/>
      <c r="R63" s="42"/>
      <c r="S63" s="11"/>
      <c r="AX63" s="17" t="str">
        <f>IF(ISBLANK(B64),"",B64)</f>
        <v>Treasury Stock</v>
      </c>
      <c r="AY63" s="100">
        <f>IFERROR(C64+BB63-BA63,0)</f>
        <v>0</v>
      </c>
      <c r="BA63">
        <f>SUMIF(Journal[DrAccnt],Financial_Statements_3!AX63,Journal[DrAmt])</f>
        <v>0</v>
      </c>
      <c r="BB63">
        <f>SUMIF(Journal[CrAccnt],Financial_Statements_3!AX63,Journal[CrAmt])</f>
        <v>0</v>
      </c>
    </row>
    <row r="64" spans="1:54" x14ac:dyDescent="0.2">
      <c r="A64" s="199" t="str">
        <f>_xlfn.XLOOKUP(B64,Equity[Name],Equity[Abbr],"")</f>
        <v>TS</v>
      </c>
      <c r="B64" s="17" t="str">
        <v>Treasury Stock</v>
      </c>
      <c r="C64" s="100">
        <f>IF(ISBLANK(B64),"",_xlfn.XLOOKUP(B64,BegBalSht[Account],BegBalSht[Amount]))</f>
        <v>0</v>
      </c>
      <c r="P64" s="11"/>
      <c r="Q64" s="85"/>
      <c r="R64" s="42"/>
      <c r="S64" s="11"/>
      <c r="AX64" s="91" t="str">
        <f>IF(ISBLANK(B65),"",B65)</f>
        <v/>
      </c>
      <c r="AY64" s="101">
        <f>IFERROR(C65+BB64-BA64,0)</f>
        <v>0</v>
      </c>
      <c r="BA64">
        <f>SUMIF(Journal[DrAccnt],Financial_Statements_3!AX64,Journal[DrAmt])</f>
        <v>0</v>
      </c>
      <c r="BB64">
        <f>SUMIF(Journal[CrAccnt],Financial_Statements_3!AX64,Journal[CrAmt])</f>
        <v>0</v>
      </c>
    </row>
    <row r="65" spans="1:51" ht="16" thickBot="1" x14ac:dyDescent="0.25">
      <c r="A65" s="199" t="str">
        <f>_xlfn.XLOOKUP(B65,Equity[Name],Equity[Abbr],"")</f>
        <v/>
      </c>
      <c r="B65" s="91"/>
      <c r="C65" s="101" t="str">
        <f>IF(ISBLANK(B65),"",_xlfn.XLOOKUP(B65,BegBalSht[Account],BegBalSht[Amount]))</f>
        <v/>
      </c>
      <c r="P65" s="11"/>
      <c r="Q65" s="85"/>
      <c r="R65" s="42"/>
      <c r="S65" s="11"/>
      <c r="AX65" s="56" t="s">
        <v>298</v>
      </c>
      <c r="AY65" s="49">
        <f>SUBTOTAL(9,AY59:AY64)</f>
        <v>0</v>
      </c>
    </row>
    <row r="66" spans="1:51" ht="17" thickTop="1" thickBot="1" x14ac:dyDescent="0.25">
      <c r="B66" s="56" t="s">
        <v>298</v>
      </c>
      <c r="C66" s="49">
        <f>SUBTOTAL(9,C59:C65)</f>
        <v>0</v>
      </c>
      <c r="P66" s="11"/>
      <c r="Q66" s="88" t="e">
        <f>MAX(SUM(Q59:Q65)-SUM(R59:R65),0)</f>
        <v>#N/A</v>
      </c>
      <c r="R66" s="89" t="e">
        <f>MAX(SUM(R59:R65)-SUM(Q59:Q65),0)</f>
        <v>#N/A</v>
      </c>
      <c r="S66" s="11"/>
      <c r="AX66" s="58" t="s">
        <v>441</v>
      </c>
      <c r="AY66" s="50">
        <f>SUBTOTAL(9,AY34:AY65)</f>
        <v>0</v>
      </c>
    </row>
    <row r="67" spans="1:51" ht="17" thickTop="1" thickBot="1" x14ac:dyDescent="0.25">
      <c r="B67" s="58" t="s">
        <v>441</v>
      </c>
      <c r="C67" s="50">
        <f>SUBTOTAL(9,C34:C66)</f>
        <v>0</v>
      </c>
      <c r="AX67" s="24"/>
      <c r="AY67" s="25"/>
    </row>
    <row r="68" spans="1:51" ht="16" thickBot="1" x14ac:dyDescent="0.25">
      <c r="B68" s="24"/>
      <c r="C68" s="25"/>
    </row>
  </sheetData>
  <sheetProtection formatColumns="0"/>
  <conditionalFormatting sqref="P62:S66 Q61:R61 P57:S60">
    <cfRule type="expression" dxfId="444" priority="20">
      <formula>$Q$58="NA"</formula>
    </cfRule>
  </conditionalFormatting>
  <conditionalFormatting sqref="P46:S55">
    <cfRule type="expression" dxfId="443" priority="19">
      <formula>$Q$47="NA"</formula>
    </cfRule>
  </conditionalFormatting>
  <conditionalFormatting sqref="P35:S44">
    <cfRule type="expression" dxfId="442" priority="18">
      <formula>$Q$36="NA"</formula>
    </cfRule>
  </conditionalFormatting>
  <conditionalFormatting sqref="P24:S33">
    <cfRule type="expression" dxfId="441" priority="17">
      <formula>$Q$25="NA"</formula>
    </cfRule>
  </conditionalFormatting>
  <conditionalFormatting sqref="P13:S22">
    <cfRule type="expression" dxfId="440" priority="16">
      <formula>$Q$14="NA"</formula>
    </cfRule>
  </conditionalFormatting>
  <conditionalFormatting sqref="P3:S11">
    <cfRule type="expression" dxfId="439" priority="15">
      <formula>$Q$3="NA"</formula>
    </cfRule>
  </conditionalFormatting>
  <conditionalFormatting sqref="AL12:AL24">
    <cfRule type="cellIs" dxfId="438" priority="7" operator="equal">
      <formula>0</formula>
    </cfRule>
  </conditionalFormatting>
  <conditionalFormatting sqref="AQ7:AQ47">
    <cfRule type="expression" dxfId="437" priority="3">
      <formula>ROUND(AR7,2)&lt;&gt;0</formula>
    </cfRule>
  </conditionalFormatting>
  <conditionalFormatting sqref="AT14:AT47">
    <cfRule type="expression" dxfId="436" priority="2">
      <formula>ROUND(AS14,2)&lt;&gt;0</formula>
    </cfRule>
  </conditionalFormatting>
  <conditionalFormatting sqref="AT5">
    <cfRule type="expression" dxfId="435" priority="1">
      <formula>ROUND(AS5,2)&lt;&gt;0</formula>
    </cfRule>
  </conditionalFormatting>
  <conditionalFormatting sqref="U10:X24">
    <cfRule type="cellIs" dxfId="434" priority="31" operator="equal">
      <formula>0</formula>
    </cfRule>
    <cfRule type="expression" dxfId="433" priority="32">
      <formula>OR(NOT(ISBLANK($U10)),NOT(ISBLANK($V10)))</formula>
    </cfRule>
  </conditionalFormatting>
  <conditionalFormatting sqref="AH10:AK24">
    <cfRule type="expression" dxfId="432" priority="233">
      <formula>AND(OR(NOT(ISBLANK($AH10)),NOT(ISBLANK($AI10))),#REF!="Financing")</formula>
    </cfRule>
    <cfRule type="expression" dxfId="431" priority="234">
      <formula>AND(OR(NOT(ISBLANK($AH10)),NOT(ISBLANK($AI10))),#REF!="Investing")</formula>
    </cfRule>
    <cfRule type="expression" dxfId="430" priority="235">
      <formula>AND(OR(NOT(ISBLANK($AH10)),NOT(ISBLANK($AI10))),#REF!="Operating")</formula>
    </cfRule>
    <cfRule type="cellIs" dxfId="429" priority="236" operator="equal">
      <formula>0</formula>
    </cfRule>
  </conditionalFormatting>
  <dataValidations disablePrompts="1" count="1">
    <dataValidation type="list" allowBlank="1" showInputMessage="1" showErrorMessage="1" sqref="AT6" xr:uid="{82A20A19-5B1E-4A25-B174-106570D5BD88}">
      <formula1>INDIRECT(#REF!)</formula1>
    </dataValidation>
  </dataValidations>
  <hyperlinks>
    <hyperlink ref="AQ2:AT2" location="Indirect_CFO_Worksheet_Tool!A1" display="Indirect Method Tool: Worksheet CFO" xr:uid="{02799D32-9465-4C0F-B157-1DE9E2597A71}"/>
  </hyperlinks>
  <pageMargins left="0.7" right="0.7" top="0.75" bottom="0.75" header="0.3" footer="0.3"/>
  <pageSetup orientation="portrait" r:id="rId1"/>
  <ignoredErrors>
    <ignoredError sqref="P40:S48 Q55:S58 R24 P26:S26 P4:S4 P25:S25 P24:Q24 S24 P18:S23 P17:Q17 P29:S37 P28:Q28 Q16:R16 P7:S15 Q5:R5 Q27:R27 P39:S39 Q38:R38 Q62:S66 Q60:R60 Q59:R59 Q61:R61 P6:Q6" evalError="1"/>
  </ignoredErrors>
  <extLst>
    <ext xmlns:x14="http://schemas.microsoft.com/office/spreadsheetml/2009/9/main" uri="{CCE6A557-97BC-4b89-ADB6-D9C93CAAB3DF}">
      <x14:dataValidations xmlns:xm="http://schemas.microsoft.com/office/excel/2006/main" disablePrompts="1" count="7">
        <x14:dataValidation type="list" allowBlank="1" showInputMessage="1" showErrorMessage="1" xr:uid="{AB64D359-D2D4-48A1-BA06-C1EEDC7D046E}">
          <x14:formula1>
            <xm:f>INDIRECT(AccountData!$A$18)</xm:f>
          </x14:formula1>
          <xm:sqref>B8:B17 AX20:AX29 AX8:AX17 B20:B29</xm:sqref>
        </x14:dataValidation>
        <x14:dataValidation type="list" allowBlank="1" showInputMessage="1" showErrorMessage="1" xr:uid="{B3835E2F-9B90-4766-8C6F-2673BCFE00BB}">
          <x14:formula1>
            <xm:f>INDIRECT(AccountData!$A$38)</xm:f>
          </x14:formula1>
          <xm:sqref>B34:B43 AX46:AX55 AX34:AX43 B46:B55</xm:sqref>
        </x14:dataValidation>
        <x14:dataValidation type="list" allowBlank="1" showInputMessage="1" showErrorMessage="1" xr:uid="{7CDA4337-4079-4AA0-8680-F139AACB4320}">
          <x14:formula1>
            <xm:f>INDIRECT(AccountData!$A$56)</xm:f>
          </x14:formula1>
          <xm:sqref>AX59:AX64 B59:B65</xm:sqref>
        </x14:dataValidation>
        <x14:dataValidation type="list" allowBlank="1" showInputMessage="1" showErrorMessage="1" xr:uid="{D61BEA9F-1C7C-472D-A091-04B51A064F26}">
          <x14:formula1>
            <xm:f>INDIRECT(AccountData!$B$56)</xm:f>
          </x14:formula1>
          <xm:sqref>I8:N8</xm:sqref>
        </x14:dataValidation>
        <x14:dataValidation type="list" allowBlank="1" showInputMessage="1" showErrorMessage="1" xr:uid="{17EFA73E-B857-468A-88E1-5D0EB22645DC}">
          <x14:formula1>
            <xm:f>INDIRECT(AccountData!$H$23)</xm:f>
          </x14:formula1>
          <xm:sqref>E14:E21</xm:sqref>
        </x14:dataValidation>
        <x14:dataValidation type="list" allowBlank="1" showInputMessage="1" showErrorMessage="1" xr:uid="{61DE75CC-6875-4F77-B98E-757868890E62}">
          <x14:formula1>
            <xm:f>INDIRECT(AccountData!$H$8)</xm:f>
          </x14:formula1>
          <xm:sqref>E8:E11</xm:sqref>
        </x14:dataValidation>
        <x14:dataValidation type="list" allowBlank="1" showInputMessage="1" showErrorMessage="1" xr:uid="{E348EBD4-4438-4D5E-B074-2C348439C869}">
          <x14:formula1>
            <xm:f>INDIRECT(Trans_Events_Data!$A$53)</xm:f>
          </x14:formula1>
          <xm:sqref>T2 AG3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3BAEC-15E8-44A7-8BD6-9AA7192F186F}">
  <sheetPr>
    <tabColor theme="4" tint="0.39997558519241921"/>
  </sheetPr>
  <dimension ref="A1:BF88"/>
  <sheetViews>
    <sheetView zoomScale="85" zoomScaleNormal="85" workbookViewId="0">
      <selection activeCell="AX17" sqref="AX17"/>
    </sheetView>
  </sheetViews>
  <sheetFormatPr baseColWidth="10" defaultColWidth="8.83203125" defaultRowHeight="15" outlineLevelCol="2" x14ac:dyDescent="0.2"/>
  <cols>
    <col min="1" max="1" width="8.83203125" customWidth="1"/>
    <col min="2" max="2" width="29.6640625" hidden="1" customWidth="1" outlineLevel="1"/>
    <col min="3" max="3" width="8.83203125" hidden="1" customWidth="1" outlineLevel="1"/>
    <col min="4" max="4" width="13.6640625" customWidth="1" collapsed="1"/>
    <col min="5" max="5" width="42.1640625" hidden="1" customWidth="1" outlineLevel="1"/>
    <col min="6" max="6" width="8.83203125" hidden="1" customWidth="1" outlineLevel="1"/>
    <col min="7" max="7" width="16.5" customWidth="1" collapsed="1"/>
    <col min="8" max="8" width="31.5" hidden="1" customWidth="1" outlineLevel="1"/>
    <col min="9" max="9" width="8.83203125" hidden="1" customWidth="1" outlineLevel="1"/>
    <col min="10" max="10" width="9.5" hidden="1" customWidth="1" outlineLevel="1"/>
    <col min="11" max="14" width="8.83203125" hidden="1" customWidth="1" outlineLevel="1"/>
    <col min="15" max="15" width="10.83203125" hidden="1" customWidth="1" outlineLevel="1"/>
    <col min="16" max="16" width="23.6640625" customWidth="1" collapsed="1"/>
    <col min="17" max="17" width="38.6640625" customWidth="1" outlineLevel="1"/>
    <col min="18" max="18" width="8.83203125" customWidth="1" outlineLevel="1"/>
    <col min="19" max="19" width="5.5" hidden="1" customWidth="1" outlineLevel="2"/>
    <col min="20" max="21" width="22.33203125" hidden="1" customWidth="1" outlineLevel="2"/>
    <col min="22" max="22" width="5.5" hidden="1" customWidth="1" outlineLevel="2"/>
    <col min="23" max="23" width="4.83203125" hidden="1" customWidth="1" outlineLevel="2"/>
    <col min="24" max="25" width="37.5" hidden="1" customWidth="1" outlineLevel="2"/>
    <col min="26" max="27" width="8.83203125" hidden="1" customWidth="1" outlineLevel="2"/>
    <col min="28" max="28" width="8.6640625" customWidth="1" outlineLevel="1" collapsed="1"/>
    <col min="29" max="29" width="25.83203125" customWidth="1"/>
    <col min="30" max="30" width="39.1640625" customWidth="1" outlineLevel="1"/>
    <col min="31" max="31" width="8.83203125" customWidth="1" outlineLevel="1"/>
    <col min="32" max="32" width="5.5" customWidth="1" outlineLevel="2"/>
    <col min="33" max="33" width="15.6640625" customWidth="1" outlineLevel="2"/>
    <col min="34" max="36" width="22.33203125" customWidth="1" outlineLevel="2"/>
    <col min="37" max="37" width="5.5" customWidth="1" outlineLevel="2"/>
    <col min="38" max="38" width="9.1640625" customWidth="1" outlineLevel="1"/>
    <col min="39" max="39" width="27.33203125" customWidth="1"/>
    <col min="40" max="40" width="29.6640625" customWidth="1" outlineLevel="1"/>
    <col min="41" max="41" width="10.83203125" customWidth="1" outlineLevel="1"/>
    <col min="42" max="42" width="14" bestFit="1" customWidth="1"/>
    <col min="43" max="44" width="8.83203125" hidden="1" customWidth="1"/>
    <col min="45" max="45" width="0" hidden="1" customWidth="1"/>
    <col min="46" max="47" width="8.83203125" hidden="1" customWidth="1"/>
    <col min="48" max="48" width="22.33203125" hidden="1" customWidth="1"/>
    <col min="49" max="49" width="24.33203125" hidden="1" customWidth="1"/>
    <col min="50" max="51" width="8.83203125" hidden="1" customWidth="1"/>
    <col min="52" max="52" width="0" hidden="1" customWidth="1"/>
    <col min="53" max="54" width="8.83203125" hidden="1" customWidth="1"/>
    <col min="55" max="55" width="22.33203125" hidden="1" customWidth="1"/>
    <col min="56" max="56" width="38" hidden="1" customWidth="1"/>
    <col min="57" max="58" width="8.83203125" hidden="1" customWidth="1"/>
    <col min="59" max="59" width="0" hidden="1" customWidth="1"/>
  </cols>
  <sheetData>
    <row r="1" spans="1:58" ht="16" thickBot="1" x14ac:dyDescent="0.25">
      <c r="A1" s="5" t="s">
        <v>446</v>
      </c>
      <c r="D1" s="5" t="s">
        <v>379</v>
      </c>
      <c r="G1" s="5" t="s">
        <v>381</v>
      </c>
      <c r="P1" s="5" t="s">
        <v>383</v>
      </c>
      <c r="T1" s="103" t="str">
        <f>U3&amp;"[Name]"</f>
        <v>Asset[Name]</v>
      </c>
      <c r="U1" s="103" t="str">
        <f>_xlfn.XLOOKUP(U4,BegBalSht[Account],BegBalSht[BalType])</f>
        <v>Debit</v>
      </c>
      <c r="AB1" s="60" t="s">
        <v>384</v>
      </c>
      <c r="AC1" s="5" t="s">
        <v>385</v>
      </c>
      <c r="AL1" s="60" t="s">
        <v>386</v>
      </c>
      <c r="AM1" s="5" t="s">
        <v>387</v>
      </c>
      <c r="AP1" s="5" t="s">
        <v>388</v>
      </c>
      <c r="AT1" s="5" t="s">
        <v>447</v>
      </c>
      <c r="BA1" s="5" t="s">
        <v>136</v>
      </c>
    </row>
    <row r="2" spans="1:58" x14ac:dyDescent="0.2">
      <c r="B2" s="377">
        <f>Entity</f>
        <v>0</v>
      </c>
      <c r="C2" s="378"/>
      <c r="E2" s="383">
        <f>Entity</f>
        <v>0</v>
      </c>
      <c r="F2" s="384"/>
      <c r="H2" s="383">
        <f>Entity</f>
        <v>0</v>
      </c>
      <c r="I2" s="389"/>
      <c r="J2" s="389"/>
      <c r="K2" s="389"/>
      <c r="L2" s="389"/>
      <c r="M2" s="389"/>
      <c r="N2" s="389"/>
      <c r="O2" s="384"/>
      <c r="Q2" s="383">
        <f>Entity</f>
        <v>0</v>
      </c>
      <c r="R2" s="384"/>
      <c r="T2" s="12" t="s">
        <v>393</v>
      </c>
      <c r="U2" s="13"/>
      <c r="X2" s="12" t="s">
        <v>448</v>
      </c>
      <c r="Y2" s="12"/>
      <c r="Z2" s="12"/>
      <c r="AA2" s="12"/>
      <c r="AD2" s="383">
        <f>Entity</f>
        <v>0</v>
      </c>
      <c r="AE2" s="384"/>
      <c r="AG2" s="333" t="s">
        <v>395</v>
      </c>
      <c r="AH2" s="333"/>
      <c r="AI2" s="333"/>
      <c r="AJ2" s="333"/>
      <c r="AN2" s="377">
        <f>Entity</f>
        <v>0</v>
      </c>
      <c r="AO2" s="378"/>
      <c r="AT2" s="5" t="s">
        <v>449</v>
      </c>
      <c r="AW2" s="4" t="s">
        <v>96</v>
      </c>
      <c r="BA2" s="5" t="s">
        <v>450</v>
      </c>
      <c r="BD2" s="4" t="s">
        <v>135</v>
      </c>
    </row>
    <row r="3" spans="1:58" x14ac:dyDescent="0.2">
      <c r="B3" s="379" t="str">
        <f>"Balance Sheet as of "&amp;BegDate</f>
        <v xml:space="preserve">Balance Sheet as of </v>
      </c>
      <c r="C3" s="380"/>
      <c r="E3" s="385" t="s">
        <v>381</v>
      </c>
      <c r="F3" s="386"/>
      <c r="H3" s="385" t="s">
        <v>397</v>
      </c>
      <c r="I3" s="390"/>
      <c r="J3" s="390"/>
      <c r="K3" s="390"/>
      <c r="L3" s="390"/>
      <c r="M3" s="390"/>
      <c r="N3" s="390"/>
      <c r="O3" s="386"/>
      <c r="Q3" s="385" t="s">
        <v>398</v>
      </c>
      <c r="R3" s="386"/>
      <c r="T3" t="s">
        <v>396</v>
      </c>
      <c r="U3" s="255" t="s">
        <v>154</v>
      </c>
      <c r="W3" s="340">
        <v>20</v>
      </c>
      <c r="X3" s="5" t="str">
        <f>Z3&amp;AA3</f>
        <v/>
      </c>
      <c r="Z3" s="103" t="str">
        <f>IFERROR(_xlfn.XLOOKUP("Cash",X11:X25,$AB$11:$AB$25),"")</f>
        <v/>
      </c>
      <c r="AA3" s="103" t="str">
        <f>IFERROR(_xlfn.XLOOKUP("Cash",Y11:Y25,$AB$11:$AB$25),"")</f>
        <v/>
      </c>
      <c r="AD3" s="385" t="s">
        <v>398</v>
      </c>
      <c r="AE3" s="386"/>
      <c r="AG3" s="11"/>
      <c r="AH3" s="3"/>
      <c r="AI3" s="3"/>
      <c r="AJ3" s="3"/>
      <c r="AN3" s="379" t="str">
        <f>"Balance Sheet as of "&amp;EndDate</f>
        <v xml:space="preserve">Balance Sheet as of </v>
      </c>
      <c r="AO3" s="380"/>
      <c r="AT3" s="110" t="e" cm="1">
        <f t="array" aca="1" ref="AT3" ca="1">_xlfn._xlws.FILTER(Journal[ref]:Journal[CrAmt],Journal[ref2]=AW2,"")</f>
        <v>#NAME?</v>
      </c>
      <c r="AU3" s="31"/>
      <c r="AV3" s="31"/>
      <c r="AW3" s="31"/>
      <c r="AX3" s="31"/>
      <c r="AY3" s="31"/>
      <c r="BA3" s="114" t="e" cm="1">
        <f t="array" aca="1" ref="BA3" ca="1">_xlfn._xlws.FILTER(Journal[ref]:Journal[CrAmt],Journal[ref2]=BD2,"")</f>
        <v>#NAME?</v>
      </c>
      <c r="BB3" s="115"/>
      <c r="BC3" s="115"/>
      <c r="BD3" s="115"/>
      <c r="BE3" s="115"/>
      <c r="BF3" s="115"/>
    </row>
    <row r="4" spans="1:58" ht="16" thickBot="1" x14ac:dyDescent="0.25">
      <c r="B4" s="381" t="str">
        <f>"("&amp;Units&amp;")"</f>
        <v>()</v>
      </c>
      <c r="C4" s="382"/>
      <c r="E4" s="385" t="str">
        <f>"For the "&amp;Period&amp;" Ended "&amp;EndDate</f>
        <v xml:space="preserve">For the  Ended </v>
      </c>
      <c r="F4" s="386"/>
      <c r="H4" s="385" t="str">
        <f>"For the "&amp;Period&amp;" Ended "&amp;EndDate</f>
        <v xml:space="preserve">For the  Ended </v>
      </c>
      <c r="I4" s="390"/>
      <c r="J4" s="390"/>
      <c r="K4" s="390"/>
      <c r="L4" s="390"/>
      <c r="M4" s="390"/>
      <c r="N4" s="390"/>
      <c r="O4" s="386"/>
      <c r="Q4" s="385" t="str">
        <f>"For the "&amp;Period&amp;" Ended "&amp;EndDate</f>
        <v xml:space="preserve">For the  Ended </v>
      </c>
      <c r="R4" s="386"/>
      <c r="T4" t="s">
        <v>399</v>
      </c>
      <c r="U4" s="255" t="s">
        <v>159</v>
      </c>
      <c r="X4" t="e">
        <f>FS4_1_Line1</f>
        <v>#VALUE!</v>
      </c>
      <c r="AD4" s="385" t="str">
        <f>"For the "&amp;Period&amp;" Ended "&amp;EndDate</f>
        <v xml:space="preserve">For the  Ended </v>
      </c>
      <c r="AE4" s="386"/>
      <c r="AH4" s="253" t="s">
        <v>400</v>
      </c>
      <c r="AI4" s="244"/>
      <c r="AN4" s="381" t="str">
        <f>"("&amp;Units&amp;")"</f>
        <v>()</v>
      </c>
      <c r="AO4" s="382"/>
      <c r="AT4" s="110"/>
      <c r="AU4" s="31"/>
      <c r="AV4" s="31"/>
      <c r="AW4" s="31"/>
      <c r="AX4" s="31"/>
      <c r="AY4" s="31"/>
      <c r="BA4" s="114"/>
      <c r="BB4" s="115"/>
      <c r="BC4" s="115"/>
      <c r="BD4" s="115"/>
      <c r="BE4" s="115"/>
      <c r="BF4" s="115"/>
    </row>
    <row r="5" spans="1:58" ht="16" thickBot="1" x14ac:dyDescent="0.25">
      <c r="B5" s="28"/>
      <c r="C5" s="27"/>
      <c r="E5" s="387" t="str">
        <f>"("&amp;Units&amp;")"</f>
        <v>()</v>
      </c>
      <c r="F5" s="388"/>
      <c r="H5" s="387" t="str">
        <f>"("&amp;Units&amp;")"</f>
        <v>()</v>
      </c>
      <c r="I5" s="391"/>
      <c r="J5" s="391"/>
      <c r="K5" s="391"/>
      <c r="L5" s="391"/>
      <c r="M5" s="391"/>
      <c r="N5" s="391"/>
      <c r="O5" s="388"/>
      <c r="Q5" s="387" t="str">
        <f>"("&amp;Units&amp;")"</f>
        <v>()</v>
      </c>
      <c r="R5" s="388"/>
      <c r="X5" t="str">
        <f>FS4_1_Line2</f>
        <v/>
      </c>
      <c r="AD5" s="387" t="str">
        <f>"("&amp;Units&amp;")"</f>
        <v>()</v>
      </c>
      <c r="AE5" s="388"/>
      <c r="AG5" s="4" t="s">
        <v>401</v>
      </c>
      <c r="AH5" s="257">
        <f>Indirect_CFO_Worksheet_Tool!P140</f>
        <v>5</v>
      </c>
      <c r="AI5" s="9">
        <f>Indirect_CFO_Worksheet_Tool!Q140</f>
        <v>0</v>
      </c>
      <c r="AJ5" s="4" t="s">
        <v>402</v>
      </c>
      <c r="AN5" s="28"/>
      <c r="AO5" s="27"/>
      <c r="AT5" s="110"/>
      <c r="AU5" s="31"/>
      <c r="AV5" s="31"/>
      <c r="AW5" s="31"/>
      <c r="AX5" s="31"/>
      <c r="AY5" s="31"/>
      <c r="BA5" s="114"/>
      <c r="BB5" s="115"/>
      <c r="BC5" s="115"/>
      <c r="BD5" s="115"/>
      <c r="BE5" s="115"/>
      <c r="BF5" s="115"/>
    </row>
    <row r="6" spans="1:58" ht="16" thickBot="1" x14ac:dyDescent="0.25">
      <c r="B6" s="26" t="s">
        <v>363</v>
      </c>
      <c r="C6" s="29"/>
      <c r="E6" s="17"/>
      <c r="F6" s="18"/>
      <c r="H6" s="16"/>
      <c r="I6" s="2"/>
      <c r="J6" s="2"/>
      <c r="K6" s="2"/>
      <c r="L6" s="2"/>
      <c r="M6" s="2"/>
      <c r="N6" s="2"/>
      <c r="O6" s="15"/>
      <c r="Q6" s="74"/>
      <c r="R6" s="15"/>
      <c r="S6" s="11"/>
      <c r="T6" s="44" t="str">
        <f>U4</f>
        <v>Cash</v>
      </c>
      <c r="U6" s="44"/>
      <c r="V6" s="11"/>
      <c r="X6" t="str">
        <f>FS4_1_Line3</f>
        <v/>
      </c>
      <c r="AD6" s="17"/>
      <c r="AE6" s="18"/>
      <c r="AF6" s="11"/>
      <c r="AH6" s="256" t="s">
        <v>403</v>
      </c>
      <c r="AI6" s="245"/>
      <c r="AK6" s="11"/>
      <c r="AN6" s="26" t="s">
        <v>363</v>
      </c>
      <c r="AO6" s="29"/>
      <c r="AT6" s="110"/>
      <c r="AU6" s="31"/>
      <c r="AV6" s="31"/>
      <c r="AW6" s="31"/>
      <c r="AX6" s="31"/>
      <c r="AY6" s="31"/>
      <c r="BA6" s="114"/>
      <c r="BB6" s="115"/>
      <c r="BC6" s="115"/>
      <c r="BD6" s="115"/>
      <c r="BE6" s="115"/>
      <c r="BF6" s="115"/>
    </row>
    <row r="7" spans="1:58" ht="16" thickTop="1" x14ac:dyDescent="0.2">
      <c r="B7" s="52" t="s">
        <v>404</v>
      </c>
      <c r="C7" s="46">
        <f>BegDate</f>
        <v>0</v>
      </c>
      <c r="E7" s="19" t="s">
        <v>405</v>
      </c>
      <c r="F7" s="18"/>
      <c r="H7" s="17"/>
      <c r="I7" s="61" t="s">
        <v>406</v>
      </c>
      <c r="J7" s="2"/>
      <c r="K7" s="2"/>
      <c r="L7" s="2"/>
      <c r="M7" s="2"/>
      <c r="N7" s="2"/>
      <c r="O7" s="18"/>
      <c r="Q7" s="19" t="s">
        <v>407</v>
      </c>
      <c r="R7" s="18"/>
      <c r="S7" s="45" t="str" cm="1">
        <f t="array" ref="S7">_xlfn.IFS(U1="Debit","BB",AND(U1="Either",_xlfn.XLOOKUP(U4,BegBalSht[Account],BegBalSht[Amount],0)&lt;0),"BB",TRUE,"")</f>
        <v>BB</v>
      </c>
      <c r="T7" s="84" cm="1">
        <f t="array" ref="T7">_xlfn.IFS(U1="Debit",_xlfn._xlws.FILTER(BegBalSht[Amount],BegBalSht[Account]=U4),AND(U1="Either",_xlfn._xlws.FILTER(BegBalSht[Amount],BegBalSht[Account]=U4)&lt;0),-_xlfn._xlws.FILTER(BegBalSht[Amount],BegBalSht[Account]=U4,""),TRUE,0)</f>
        <v>0</v>
      </c>
      <c r="U7" s="9" cm="1">
        <f t="array" ref="U7">_xlfn.IFS(U1="Credit",_xlfn._xlws.FILTER(BegBalSht[Amount],BegBalSht[Account]=U4),AND(U1="Either",_xlfn._xlws.FILTER(BegBalSht[Amount],BegBalSht[Account]=U4)&gt;0),_xlfn._xlws.FILTER(BegBalSht[Amount],BegBalSht[Account]=U4,""),TRUE,0)</f>
        <v>0</v>
      </c>
      <c r="V7" s="45" t="str" cm="1">
        <f t="array" ref="V7">_xlfn.IFS(U1="Credit","BB",AND(U1="Either",_xlfn.XLOOKUP(U4,BegBalSht[Account],BegBalSht[Amount],0)&gt;=0),"BB",TRUE,"")</f>
        <v/>
      </c>
      <c r="X7" t="str">
        <f>FS4_1_Line4</f>
        <v/>
      </c>
      <c r="AB7" s="11"/>
      <c r="AD7" s="19" t="s">
        <v>408</v>
      </c>
      <c r="AE7" s="18"/>
      <c r="AF7" s="45"/>
      <c r="AG7" t="str">
        <f>IF(ISBLANK(Indirect_CFO_Worksheet_Tool!O142),"",Indirect_CFO_Worksheet_Tool!O142)</f>
        <v/>
      </c>
      <c r="AH7" s="248" t="str">
        <f>IF(ISBLANK(Indirect_CFO_Worksheet_Tool!P142),"",Indirect_CFO_Worksheet_Tool!P142)</f>
        <v/>
      </c>
      <c r="AI7" s="42" t="str">
        <f>IF(ISBLANK(Indirect_CFO_Worksheet_Tool!Q142),"",Indirect_CFO_Worksheet_Tool!Q142)</f>
        <v/>
      </c>
      <c r="AJ7" t="str">
        <f>IF(ISBLANK(Indirect_CFO_Worksheet_Tool!R142),"",Indirect_CFO_Worksheet_Tool!R142)</f>
        <v/>
      </c>
      <c r="AK7" s="45"/>
      <c r="AN7" s="52" t="s">
        <v>404</v>
      </c>
      <c r="AO7" s="46">
        <f>EndDate</f>
        <v>0</v>
      </c>
      <c r="AQ7" t="s">
        <v>301</v>
      </c>
      <c r="AR7" t="s">
        <v>302</v>
      </c>
      <c r="AT7" s="110"/>
      <c r="AU7" s="31"/>
      <c r="AV7" s="31"/>
      <c r="AW7" s="31"/>
      <c r="AX7" s="31"/>
      <c r="AY7" s="31"/>
      <c r="BA7" s="114"/>
      <c r="BB7" s="115"/>
      <c r="BC7" s="115"/>
      <c r="BD7" s="115"/>
      <c r="BE7" s="115"/>
      <c r="BF7" s="115"/>
    </row>
    <row r="8" spans="1:58" ht="17" thickBot="1" x14ac:dyDescent="0.25">
      <c r="B8" s="17" t="e" cm="1">
        <f t="array" aca="1" ref="B8:B15" ca="1">_xlfn._xlws.FILTER(Asset[Name],Asset[C/NC]="C")</f>
        <v>#NAME?</v>
      </c>
      <c r="C8" s="99" t="e">
        <f ca="1">IF(ISBLANK(B8),"",_xlfn.XLOOKUP(B8,BegBalSht[Account],BegBalSht[Amount]))</f>
        <v>#NAME?</v>
      </c>
      <c r="E8" s="17" t="str" cm="1">
        <f t="array" ref="E8">_xlfn._xlws.FILTER(_Revenue[Name],NOT(ISBLANK(_Revenue[Name])),"")</f>
        <v>Sales</v>
      </c>
      <c r="F8" s="82">
        <f>SUMIFS(Journal[CrAmt],Journal[CrAccnt],E8,Journal[ref2],"&lt;&gt;CL")-SUMIFS(Journal[DrAmt],Journal[DrAccnt],E8,Journal[ref2],"&lt;&gt;CL")</f>
        <v>0</v>
      </c>
      <c r="H8" s="17"/>
      <c r="I8" s="336" t="s">
        <v>240</v>
      </c>
      <c r="J8" s="336" t="s">
        <v>241</v>
      </c>
      <c r="K8" s="336" t="s">
        <v>242</v>
      </c>
      <c r="L8" s="336" t="s">
        <v>245</v>
      </c>
      <c r="M8" s="336" t="s">
        <v>243</v>
      </c>
      <c r="N8" s="336" t="s">
        <v>246</v>
      </c>
      <c r="O8" s="63" t="s">
        <v>409</v>
      </c>
      <c r="Q8" s="342"/>
      <c r="R8" s="343"/>
      <c r="S8" s="45" t="str" cm="1">
        <f t="array" ref="S8">_xlfn._xlws.FILTER(Journal[ref],Journal[DrAccnt]=Financial_Statements_4!T6,"")</f>
        <v/>
      </c>
      <c r="T8" s="85" t="str" cm="1">
        <f t="array" ref="T8">_xlfn._xlws.FILTER(Journal[DrAmt],Journal[DrAccnt]=Financial_Statements_4!T6,"")</f>
        <v/>
      </c>
      <c r="U8" s="42" t="str" cm="1">
        <f t="array" ref="U8">_xlfn._xlws.FILTER(Journal[CrAmt],Journal[CrAccnt]=Financial_Statements_4!T6,"")</f>
        <v/>
      </c>
      <c r="V8" s="45" t="str" cm="1">
        <f t="array" ref="V8">_xlfn._xlws.FILTER(Journal[ref],Journal[CrAccnt]=Financial_Statements_4!T6,"")</f>
        <v/>
      </c>
      <c r="X8" t="str">
        <f>FS4_1_Line5</f>
        <v/>
      </c>
      <c r="AB8" s="45"/>
      <c r="AC8" s="11"/>
      <c r="AD8" s="17" t="s">
        <v>401</v>
      </c>
      <c r="AE8" s="80">
        <f>Net_Income</f>
        <v>5</v>
      </c>
      <c r="AF8" s="11"/>
      <c r="AG8" t="str">
        <f>IF(ISBLANK(Indirect_CFO_Worksheet_Tool!O143),"",Indirect_CFO_Worksheet_Tool!O143)</f>
        <v/>
      </c>
      <c r="AH8" s="143" t="str">
        <f>IF(ISBLANK(Indirect_CFO_Worksheet_Tool!P143),"",Indirect_CFO_Worksheet_Tool!P143)</f>
        <v/>
      </c>
      <c r="AI8" s="42" t="str">
        <f>IF(ISBLANK(Indirect_CFO_Worksheet_Tool!Q143),"",Indirect_CFO_Worksheet_Tool!Q143)</f>
        <v/>
      </c>
      <c r="AJ8" t="str">
        <f>IF(ISBLANK(Indirect_CFO_Worksheet_Tool!R143),"",Indirect_CFO_Worksheet_Tool!R143)</f>
        <v/>
      </c>
      <c r="AK8" s="11"/>
      <c r="AL8" s="11"/>
      <c r="AN8" s="17" t="e">
        <f t="shared" ref="AN8:AN17" ca="1" si="0">IF(ISBLANK(B8),"",B8)</f>
        <v>#NAME?</v>
      </c>
      <c r="AO8" s="99">
        <f t="shared" ref="AO8:AO17" ca="1" si="1">IFERROR(C8+AQ8-AR8,0)</f>
        <v>0</v>
      </c>
      <c r="AP8" s="1"/>
      <c r="AQ8">
        <f ca="1">SUMIF(Journal[DrAccnt],Financial_Statements_4!AN8,Journal[DrAmt])</f>
        <v>0</v>
      </c>
      <c r="AR8">
        <f ca="1">SUMIF(Journal[CrAccnt],Financial_Statements_4!AN8,Journal[CrAmt])</f>
        <v>0</v>
      </c>
      <c r="AT8" s="110"/>
      <c r="AU8" s="31"/>
      <c r="AV8" s="31"/>
      <c r="AW8" s="31"/>
      <c r="AX8" s="31"/>
      <c r="AY8" s="31"/>
      <c r="BA8" s="114"/>
      <c r="BB8" s="115"/>
      <c r="BC8" s="115"/>
      <c r="BD8" s="115"/>
      <c r="BE8" s="115"/>
      <c r="BF8" s="115"/>
    </row>
    <row r="9" spans="1:58" x14ac:dyDescent="0.2">
      <c r="B9" s="17" t="e">
        <f ca="1"/>
        <v>#NAME?</v>
      </c>
      <c r="C9" s="100" t="e">
        <f ca="1">IF(ISBLANK(B9),"",_xlfn.XLOOKUP(B9,BegBalSht[Account],BegBalSht[Amount]))</f>
        <v>#NAME?</v>
      </c>
      <c r="E9" s="17"/>
      <c r="F9" s="102">
        <f>SUMIFS(Journal[CrAmt],Journal[CrAccnt],E9,Journal[ref2],"&lt;&gt;CL")-SUMIFS(Journal[DrAmt],Journal[DrAccnt],E9,Journal[ref2],"&lt;&gt;CL")</f>
        <v>0</v>
      </c>
      <c r="H9" s="19" t="str">
        <f>"Balance as of "&amp;BegDate</f>
        <v xml:space="preserve">Balance as of </v>
      </c>
      <c r="I9" s="107" t="e">
        <f t="shared" ref="I9:N9" ca="1" si="2">_xlfn.XLOOKUP(I8,$A59:$A65,$C59:$C65,0)</f>
        <v>#NAME?</v>
      </c>
      <c r="J9" s="107" t="e">
        <f t="shared" ca="1" si="2"/>
        <v>#NAME?</v>
      </c>
      <c r="K9" s="107" t="e">
        <f t="shared" ca="1" si="2"/>
        <v>#NAME?</v>
      </c>
      <c r="L9" s="107" t="e">
        <f t="shared" ca="1" si="2"/>
        <v>#NAME?</v>
      </c>
      <c r="M9" s="107" t="e">
        <f t="shared" ca="1" si="2"/>
        <v>#NAME?</v>
      </c>
      <c r="N9" s="107" t="e">
        <f t="shared" ca="1" si="2"/>
        <v>#NAME?</v>
      </c>
      <c r="O9" s="64" t="e">
        <f ca="1">SUM(I9:N9)</f>
        <v>#NAME?</v>
      </c>
      <c r="Q9" s="342"/>
      <c r="R9" s="344"/>
      <c r="S9" s="45"/>
      <c r="T9" s="85"/>
      <c r="U9" s="42"/>
      <c r="V9" s="45"/>
      <c r="AB9" s="45"/>
      <c r="AC9" s="45"/>
      <c r="AD9" s="75" t="s">
        <v>412</v>
      </c>
      <c r="AE9" s="80"/>
      <c r="AF9" s="45"/>
      <c r="AG9" t="str">
        <f>IF(ISBLANK(Indirect_CFO_Worksheet_Tool!O144),"",Indirect_CFO_Worksheet_Tool!O144)</f>
        <v/>
      </c>
      <c r="AH9" s="143" t="str">
        <f>IF(ISBLANK(Indirect_CFO_Worksheet_Tool!P144),"",Indirect_CFO_Worksheet_Tool!P144)</f>
        <v/>
      </c>
      <c r="AI9" s="42" t="str">
        <f>IF(ISBLANK(Indirect_CFO_Worksheet_Tool!Q144),"",Indirect_CFO_Worksheet_Tool!Q144)</f>
        <v/>
      </c>
      <c r="AJ9" t="str">
        <f>IF(ISBLANK(Indirect_CFO_Worksheet_Tool!R144),"",Indirect_CFO_Worksheet_Tool!R144)</f>
        <v/>
      </c>
      <c r="AK9" s="45"/>
      <c r="AL9" s="45"/>
      <c r="AN9" s="17" t="e">
        <f t="shared" ca="1" si="0"/>
        <v>#NAME?</v>
      </c>
      <c r="AO9" s="100">
        <f t="shared" ca="1" si="1"/>
        <v>0</v>
      </c>
      <c r="AP9" s="1"/>
      <c r="AQ9">
        <f ca="1">SUMIF(Journal[DrAccnt],Financial_Statements_4!AN9,Journal[DrAmt])</f>
        <v>0</v>
      </c>
      <c r="AR9">
        <f ca="1">SUMIF(Journal[CrAccnt],Financial_Statements_4!AN9,Journal[CrAmt])</f>
        <v>0</v>
      </c>
    </row>
    <row r="10" spans="1:58" x14ac:dyDescent="0.2">
      <c r="B10" s="17" t="e">
        <f ca="1"/>
        <v>#NAME?</v>
      </c>
      <c r="C10" s="100" t="e">
        <f ca="1">IF(ISBLANK(B10),"",_xlfn.XLOOKUP(B10,BegBalSht[Account],BegBalSht[Amount]))</f>
        <v>#NAME?</v>
      </c>
      <c r="E10" s="17"/>
      <c r="F10" s="102">
        <f>SUMIFS(Journal[CrAmt],Journal[CrAccnt],E10,Journal[ref2],"&lt;&gt;CL")-SUMIFS(Journal[DrAmt],Journal[DrAccnt],E10,Journal[ref2],"&lt;&gt;CL")</f>
        <v>0</v>
      </c>
      <c r="H10" s="17" t="s">
        <v>451</v>
      </c>
      <c r="I10" s="108" t="str">
        <f>IFERROR(_xlfn.XLOOKUP("Preferred Stock",AW11:AW16,AY11:AY16),"")</f>
        <v/>
      </c>
      <c r="J10" s="108" t="str">
        <f>IFERROR(_xlfn.XLOOKUP("Preferred Stock",AW11:AW16,AY11:AY16),"")</f>
        <v/>
      </c>
      <c r="K10" s="108"/>
      <c r="L10" s="108"/>
      <c r="M10" s="108"/>
      <c r="N10" s="108"/>
      <c r="O10" s="65">
        <f t="shared" ref="O10:O17" si="3">SUM(I10:N10)</f>
        <v>0</v>
      </c>
      <c r="Q10" s="342"/>
      <c r="R10" s="344"/>
      <c r="S10" s="45"/>
      <c r="T10" s="85"/>
      <c r="U10" s="42"/>
      <c r="V10" s="45"/>
      <c r="X10" s="12" t="s">
        <v>452</v>
      </c>
      <c r="Y10" s="12"/>
      <c r="Z10" s="12"/>
      <c r="AA10" s="12"/>
      <c r="AB10" s="104"/>
      <c r="AC10" s="45"/>
      <c r="AD10" s="70"/>
      <c r="AE10" s="81"/>
      <c r="AF10" s="45"/>
      <c r="AG10" t="str">
        <f>IF(ISBLANK(Indirect_CFO_Worksheet_Tool!O145),"",Indirect_CFO_Worksheet_Tool!O145)</f>
        <v/>
      </c>
      <c r="AH10" s="143" t="str">
        <f>IF(ISBLANK(Indirect_CFO_Worksheet_Tool!P145),"",Indirect_CFO_Worksheet_Tool!P145)</f>
        <v/>
      </c>
      <c r="AI10" s="42" t="str">
        <f>IF(ISBLANK(Indirect_CFO_Worksheet_Tool!Q145),"",Indirect_CFO_Worksheet_Tool!Q145)</f>
        <v/>
      </c>
      <c r="AJ10" t="str">
        <f>IF(ISBLANK(Indirect_CFO_Worksheet_Tool!R145),"",Indirect_CFO_Worksheet_Tool!R145)</f>
        <v/>
      </c>
      <c r="AK10" s="45"/>
      <c r="AL10" s="45"/>
      <c r="AN10" s="17" t="e">
        <f t="shared" ca="1" si="0"/>
        <v>#NAME?</v>
      </c>
      <c r="AO10" s="100">
        <f t="shared" ca="1" si="1"/>
        <v>0</v>
      </c>
      <c r="AP10" s="1"/>
      <c r="AQ10">
        <f ca="1">SUMIF(Journal[DrAccnt],Financial_Statements_4!AN10,Journal[DrAmt])</f>
        <v>0</v>
      </c>
      <c r="AR10">
        <f ca="1">SUMIF(Journal[CrAccnt],Financial_Statements_4!AN10,Journal[CrAmt])</f>
        <v>0</v>
      </c>
      <c r="AT10" s="5" t="s">
        <v>453</v>
      </c>
      <c r="AW10" s="4" t="s">
        <v>98</v>
      </c>
      <c r="BA10" s="5" t="s">
        <v>319</v>
      </c>
      <c r="BD10" s="4" t="s">
        <v>122</v>
      </c>
    </row>
    <row r="11" spans="1:58" x14ac:dyDescent="0.2">
      <c r="B11" s="17" t="e">
        <f ca="1"/>
        <v>#NAME?</v>
      </c>
      <c r="C11" s="100" t="e">
        <f ca="1">IF(ISBLANK(B11),"",_xlfn.XLOOKUP(B11,BegBalSht[Account],BegBalSht[Amount]))</f>
        <v>#NAME?</v>
      </c>
      <c r="E11" s="17"/>
      <c r="F11" s="102">
        <f>SUMIFS(Journal[CrAmt],Journal[CrAccnt],E11,Journal[ref2],"&lt;&gt;CL")-SUMIFS(Journal[DrAmt],Journal[DrAccnt],E11,Journal[ref2],"&lt;&gt;CL")</f>
        <v>0</v>
      </c>
      <c r="H11" s="17" t="s">
        <v>454</v>
      </c>
      <c r="I11" s="108"/>
      <c r="J11" s="108" cm="1">
        <f t="array" ref="J11">_xlfn._xlws.FILTER(Journal[CrAmt],(Journal[ref2]="ICS")*(Journal[CrAccnt]="Common Stock"),0)</f>
        <v>0</v>
      </c>
      <c r="K11" s="108" cm="1">
        <f t="array" ref="K11">_xlfn._xlws.FILTER(Journal[CrAmt],(Journal[ref2]="ICS")*(Journal[CrAccnt]="Additional Paid-in Capital"),0)</f>
        <v>0</v>
      </c>
      <c r="L11" s="108"/>
      <c r="M11" s="108"/>
      <c r="N11" s="108"/>
      <c r="O11" s="65">
        <f t="shared" si="3"/>
        <v>0</v>
      </c>
      <c r="Q11" s="342"/>
      <c r="R11" s="344"/>
      <c r="S11" s="45"/>
      <c r="T11" s="85"/>
      <c r="U11" s="42"/>
      <c r="V11" s="45"/>
      <c r="X11" t="str" cm="1">
        <f t="array" ref="X11">_xlfn._xlws.FILTER(Journal[DrAccnt],Journal[ref]=$W$3,"")</f>
        <v/>
      </c>
      <c r="Y11" t="str" cm="1">
        <f t="array" ref="Y11">_xlfn._xlws.FILTER(Journal[CrAccnt],Journal[ref]=$W$3,"")</f>
        <v/>
      </c>
      <c r="Z11" t="str" cm="1">
        <f t="array" ref="Z11">_xlfn._xlws.FILTER(Journal[DrAmt],Journal[ref]=$W$3,"")</f>
        <v/>
      </c>
      <c r="AA11" t="str" cm="1">
        <f t="array" ref="AA11">_xlfn._xlws.FILTER(Journal[CrAmt],Journal[ref]=$W$3,"")</f>
        <v/>
      </c>
      <c r="AB11" s="117" t="str" cm="1">
        <f t="array" ref="AB11">_xlfn._xlws.FILTER(Journal[CFS],Journal[ref]=$W$3,"")</f>
        <v/>
      </c>
      <c r="AC11" s="45"/>
      <c r="AD11" s="70"/>
      <c r="AE11" s="48"/>
      <c r="AF11" s="45"/>
      <c r="AG11" t="str">
        <f>IF(ISBLANK(Indirect_CFO_Worksheet_Tool!O146),"",Indirect_CFO_Worksheet_Tool!O146)</f>
        <v/>
      </c>
      <c r="AH11" s="143" t="str">
        <f>IF(ISBLANK(Indirect_CFO_Worksheet_Tool!P146),"",Indirect_CFO_Worksheet_Tool!P146)</f>
        <v/>
      </c>
      <c r="AI11" s="42" t="str">
        <f>IF(ISBLANK(Indirect_CFO_Worksheet_Tool!Q146),"",Indirect_CFO_Worksheet_Tool!Q146)</f>
        <v/>
      </c>
      <c r="AJ11" t="str">
        <f>IF(ISBLANK(Indirect_CFO_Worksheet_Tool!R146),"",Indirect_CFO_Worksheet_Tool!R146)</f>
        <v/>
      </c>
      <c r="AK11" s="45"/>
      <c r="AL11" s="45"/>
      <c r="AN11" s="17" t="e">
        <f t="shared" ca="1" si="0"/>
        <v>#NAME?</v>
      </c>
      <c r="AO11" s="100">
        <f t="shared" ca="1" si="1"/>
        <v>0</v>
      </c>
      <c r="AP11" s="1"/>
      <c r="AQ11">
        <f ca="1">SUMIF(Journal[DrAccnt],Financial_Statements_4!AN11,Journal[DrAmt])</f>
        <v>0</v>
      </c>
      <c r="AR11">
        <f ca="1">SUMIF(Journal[CrAccnt],Financial_Statements_4!AN11,Journal[CrAmt])</f>
        <v>0</v>
      </c>
      <c r="AT11" s="110" t="e" cm="1">
        <f t="array" aca="1" ref="AT11" ca="1">_xlfn._xlws.FILTER(Journal[ref]:Journal[CrAmt],Journal[ref2]=AW10,"")</f>
        <v>#NAME?</v>
      </c>
      <c r="AU11" s="31"/>
      <c r="AV11" s="31"/>
      <c r="AW11" s="31"/>
      <c r="AX11" s="31"/>
      <c r="AY11" s="31"/>
      <c r="BA11" s="114" t="e" cm="1">
        <f t="array" aca="1" ref="BA11" ca="1">_xlfn._xlws.FILTER(Journal[ref]:Journal[CrAmt],Journal[ref2]=BD10,"")</f>
        <v>#NAME?</v>
      </c>
      <c r="BB11" s="115"/>
      <c r="BC11" s="115"/>
      <c r="BD11" s="115"/>
      <c r="BE11" s="115"/>
      <c r="BF11" s="115"/>
    </row>
    <row r="12" spans="1:58" x14ac:dyDescent="0.2">
      <c r="B12" s="17" t="e">
        <f ca="1"/>
        <v>#NAME?</v>
      </c>
      <c r="C12" s="100" t="e">
        <f ca="1">IF(ISBLANK(B12),"",_xlfn.XLOOKUP(B12,BegBalSht[Account],BegBalSht[Amount]))</f>
        <v>#NAME?</v>
      </c>
      <c r="E12" s="21" t="s">
        <v>413</v>
      </c>
      <c r="F12" s="47">
        <f>SUM(F8:F11)</f>
        <v>0</v>
      </c>
      <c r="H12" s="17" t="s">
        <v>455</v>
      </c>
      <c r="I12" s="108"/>
      <c r="J12" s="108"/>
      <c r="K12" s="108"/>
      <c r="L12" s="108" cm="1">
        <f t="array" ref="L12">-_xlfn._xlws.FILTER(Journal[DrAmt],(Journal[ref2]="DD")*(Journal[DrAccnt]="Retained Earnings"),0)</f>
        <v>0</v>
      </c>
      <c r="M12" s="108"/>
      <c r="N12" s="108"/>
      <c r="O12" s="65">
        <f t="shared" si="3"/>
        <v>0</v>
      </c>
      <c r="Q12" s="342"/>
      <c r="R12" s="344"/>
      <c r="S12" s="45"/>
      <c r="T12" s="85"/>
      <c r="U12" s="42"/>
      <c r="V12" s="45"/>
      <c r="AB12" s="117"/>
      <c r="AC12" s="45"/>
      <c r="AD12" s="70"/>
      <c r="AE12" s="48"/>
      <c r="AF12" s="45"/>
      <c r="AG12" t="str">
        <f>IF(ISBLANK(Indirect_CFO_Worksheet_Tool!O147),"",Indirect_CFO_Worksheet_Tool!O147)</f>
        <v/>
      </c>
      <c r="AH12" s="143" t="str">
        <f>IF(ISBLANK(Indirect_CFO_Worksheet_Tool!P147),"",Indirect_CFO_Worksheet_Tool!P147)</f>
        <v/>
      </c>
      <c r="AI12" s="42" t="str">
        <f>IF(ISBLANK(Indirect_CFO_Worksheet_Tool!Q147),"",Indirect_CFO_Worksheet_Tool!Q147)</f>
        <v/>
      </c>
      <c r="AJ12" t="str">
        <f>IF(ISBLANK(Indirect_CFO_Worksheet_Tool!R147),"",Indirect_CFO_Worksheet_Tool!R147)</f>
        <v/>
      </c>
      <c r="AK12" s="45"/>
      <c r="AL12" s="45"/>
      <c r="AN12" s="17" t="e">
        <f t="shared" ca="1" si="0"/>
        <v>#NAME?</v>
      </c>
      <c r="AO12" s="100">
        <f t="shared" ca="1" si="1"/>
        <v>0</v>
      </c>
      <c r="AP12" s="1"/>
      <c r="AQ12">
        <f ca="1">SUMIF(Journal[DrAccnt],Financial_Statements_4!AN12,Journal[DrAmt])</f>
        <v>0</v>
      </c>
      <c r="AR12">
        <f ca="1">SUMIF(Journal[CrAccnt],Financial_Statements_4!AN12,Journal[CrAmt])</f>
        <v>0</v>
      </c>
      <c r="AT12" s="110"/>
      <c r="AU12" s="31"/>
      <c r="AV12" s="31"/>
      <c r="AW12" s="31"/>
      <c r="AX12" s="31"/>
      <c r="AY12" s="31"/>
      <c r="BA12" s="114"/>
      <c r="BB12" s="115"/>
      <c r="BC12" s="115"/>
      <c r="BD12" s="115"/>
      <c r="BE12" s="115"/>
      <c r="BF12" s="115"/>
    </row>
    <row r="13" spans="1:58" x14ac:dyDescent="0.2">
      <c r="B13" s="17" t="e">
        <f ca="1"/>
        <v>#NAME?</v>
      </c>
      <c r="C13" s="100" t="e">
        <f ca="1">IF(ISBLANK(B13),"",_xlfn.XLOOKUP(B13,BegBalSht[Account],BegBalSht[Amount]))</f>
        <v>#NAME?</v>
      </c>
      <c r="E13" s="19" t="s">
        <v>414</v>
      </c>
      <c r="F13" s="18"/>
      <c r="H13" s="17" t="s">
        <v>456</v>
      </c>
      <c r="I13" s="108"/>
      <c r="J13" s="108"/>
      <c r="K13" s="108"/>
      <c r="L13" s="108">
        <f>L22</f>
        <v>0</v>
      </c>
      <c r="M13" s="108"/>
      <c r="N13" s="108"/>
      <c r="O13" s="65">
        <f t="shared" si="3"/>
        <v>0</v>
      </c>
      <c r="Q13" s="342"/>
      <c r="R13" s="344"/>
      <c r="S13" s="45"/>
      <c r="T13" s="85"/>
      <c r="U13" s="42"/>
      <c r="V13" s="45"/>
      <c r="AB13" s="117"/>
      <c r="AC13" s="45"/>
      <c r="AD13" s="70"/>
      <c r="AE13" s="48"/>
      <c r="AF13" s="45"/>
      <c r="AG13" t="str">
        <f>IF(ISBLANK(Indirect_CFO_Worksheet_Tool!O148),"",Indirect_CFO_Worksheet_Tool!O148)</f>
        <v/>
      </c>
      <c r="AH13" s="143" t="str">
        <f>IF(ISBLANK(Indirect_CFO_Worksheet_Tool!P148),"",Indirect_CFO_Worksheet_Tool!P148)</f>
        <v/>
      </c>
      <c r="AI13" s="42" t="str">
        <f>IF(ISBLANK(Indirect_CFO_Worksheet_Tool!Q148),"",Indirect_CFO_Worksheet_Tool!Q148)</f>
        <v/>
      </c>
      <c r="AJ13" t="str">
        <f>IF(ISBLANK(Indirect_CFO_Worksheet_Tool!R148),"",Indirect_CFO_Worksheet_Tool!R148)</f>
        <v/>
      </c>
      <c r="AK13" s="45"/>
      <c r="AL13" s="45"/>
      <c r="AN13" s="17" t="e">
        <f t="shared" ca="1" si="0"/>
        <v>#NAME?</v>
      </c>
      <c r="AO13" s="100">
        <f t="shared" ca="1" si="1"/>
        <v>0</v>
      </c>
      <c r="AP13" s="1"/>
      <c r="AQ13">
        <f ca="1">SUMIF(Journal[DrAccnt],Financial_Statements_4!AN13,Journal[DrAmt])</f>
        <v>0</v>
      </c>
      <c r="AR13">
        <f ca="1">SUMIF(Journal[CrAccnt],Financial_Statements_4!AN13,Journal[CrAmt])</f>
        <v>0</v>
      </c>
      <c r="AT13" s="110"/>
      <c r="AU13" s="31"/>
      <c r="AV13" s="31"/>
      <c r="AW13" s="31"/>
      <c r="AX13" s="31"/>
      <c r="AY13" s="31"/>
      <c r="BA13" s="114"/>
      <c r="BB13" s="115"/>
      <c r="BC13" s="115"/>
      <c r="BD13" s="115"/>
      <c r="BE13" s="115"/>
      <c r="BF13" s="115"/>
    </row>
    <row r="14" spans="1:58" x14ac:dyDescent="0.2">
      <c r="B14" s="17" t="e">
        <f ca="1"/>
        <v>#NAME?</v>
      </c>
      <c r="C14" s="100" t="e">
        <f ca="1">IF(ISBLANK(B14),"",_xlfn.XLOOKUP(B14,BegBalSht[Account],BegBalSht[Amount]))</f>
        <v>#NAME?</v>
      </c>
      <c r="E14" s="17" t="str" cm="1">
        <f t="array" ref="E14">_xlfn._xlws.FILTER(_Expense[Name],NOT(ISBLANK(_Expense[Name])),"")</f>
        <v>Cost of Goods Sold</v>
      </c>
      <c r="F14" s="82">
        <f>-SUMIFS(Journal[CrAmt],Journal[CrAccnt],E14,Journal[ref2],"&lt;&gt;CL")+SUMIFS(Journal[DrAmt],Journal[DrAccnt],E14,Journal[ref2],"&lt;&gt;CL")</f>
        <v>0</v>
      </c>
      <c r="H14" s="17" t="s">
        <v>457</v>
      </c>
      <c r="I14" s="108"/>
      <c r="J14" s="108"/>
      <c r="K14" s="108"/>
      <c r="L14" s="108"/>
      <c r="M14" s="108"/>
      <c r="N14" s="108" cm="1">
        <f t="array" ref="N14">-_xlfn._xlws.FILTER(Journal[DrAmt],(Journal[ref2]="PTS")*(Journal[DrAccnt]="Treasury Stock"),0)</f>
        <v>0</v>
      </c>
      <c r="O14" s="65">
        <f t="shared" si="3"/>
        <v>0</v>
      </c>
      <c r="Q14" s="342"/>
      <c r="R14" s="344"/>
      <c r="S14" s="45"/>
      <c r="T14" s="85"/>
      <c r="U14" s="42"/>
      <c r="V14" s="45"/>
      <c r="AB14" s="117"/>
      <c r="AC14" s="45"/>
      <c r="AD14" s="70"/>
      <c r="AE14" s="48"/>
      <c r="AF14" s="45"/>
      <c r="AH14" s="256" t="s">
        <v>415</v>
      </c>
      <c r="AI14" s="245"/>
      <c r="AK14" s="45"/>
      <c r="AL14" s="45"/>
      <c r="AN14" s="17" t="e">
        <f t="shared" ca="1" si="0"/>
        <v>#NAME?</v>
      </c>
      <c r="AO14" s="100">
        <f t="shared" ca="1" si="1"/>
        <v>0</v>
      </c>
      <c r="AP14" s="1"/>
      <c r="AQ14">
        <f ca="1">SUMIF(Journal[DrAccnt],Financial_Statements_4!AN14,Journal[DrAmt])</f>
        <v>0</v>
      </c>
      <c r="AR14">
        <f ca="1">SUMIF(Journal[CrAccnt],Financial_Statements_4!AN14,Journal[CrAmt])</f>
        <v>0</v>
      </c>
      <c r="AT14" s="110"/>
      <c r="AU14" s="31"/>
      <c r="AV14" s="31"/>
      <c r="AW14" s="31"/>
      <c r="AX14" s="31"/>
      <c r="AY14" s="31"/>
      <c r="BA14" s="114"/>
      <c r="BB14" s="115"/>
      <c r="BC14" s="115"/>
      <c r="BD14" s="115"/>
      <c r="BE14" s="115"/>
      <c r="BF14" s="115"/>
    </row>
    <row r="15" spans="1:58" x14ac:dyDescent="0.2">
      <c r="B15" s="17" t="e">
        <f ca="1"/>
        <v>#NAME?</v>
      </c>
      <c r="C15" s="100" t="e">
        <f ca="1">IF(ISBLANK(B15),"",_xlfn.XLOOKUP(B15,BegBalSht[Account],BegBalSht[Amount]))</f>
        <v>#NAME?</v>
      </c>
      <c r="E15" s="17"/>
      <c r="F15" s="102">
        <f>-SUMIFS(Journal[CrAmt],Journal[CrAccnt],E15,Journal[ref2],"&lt;&gt;CL")+SUMIFS(Journal[DrAmt],Journal[DrAccnt],E15,Journal[ref2],"&lt;&gt;CL")</f>
        <v>0</v>
      </c>
      <c r="H15" s="17" t="s">
        <v>458</v>
      </c>
      <c r="I15" s="108"/>
      <c r="J15" s="108"/>
      <c r="K15" s="108"/>
      <c r="L15" s="108"/>
      <c r="M15" s="108"/>
      <c r="N15" s="108" cm="1">
        <f t="array" ref="N15">_xlfn._xlws.FILTER(Journal[CrAmt],(Journal[ref2]="STS")*(Journal[CrAccnt]="Treasury Stock"),0)</f>
        <v>0</v>
      </c>
      <c r="O15" s="65">
        <f t="shared" si="3"/>
        <v>0</v>
      </c>
      <c r="Q15" s="75" t="s">
        <v>416</v>
      </c>
      <c r="R15" s="47">
        <f>SUBTOTAL(9,R8:R14)</f>
        <v>0</v>
      </c>
      <c r="S15" s="45"/>
      <c r="T15" s="85"/>
      <c r="U15" s="42"/>
      <c r="V15" s="45"/>
      <c r="AB15" s="117"/>
      <c r="AC15" s="45"/>
      <c r="AD15" s="70"/>
      <c r="AE15" s="48"/>
      <c r="AF15" s="45"/>
      <c r="AG15" s="33" t="e" cm="1">
        <f t="array" aca="1" ref="AG15:AH45" ca="1">_xlfn._xlws.SORT(Indirect_CFO_Worksheet_Tool!O150:P180,2,-1)</f>
        <v>#NAME?</v>
      </c>
      <c r="AH15" s="248" t="e">
        <f ca="1"/>
        <v>#NAME?</v>
      </c>
      <c r="AI15" s="42" t="e" cm="1">
        <f t="array" aca="1" ref="AI15:AJ45" ca="1">_xlfn._xlws.SORT(Indirect_CFO_Worksheet_Tool!Q150:R180,1,-1)</f>
        <v>#NAME?</v>
      </c>
      <c r="AJ15" s="33" t="e">
        <f ca="1"/>
        <v>#NAME?</v>
      </c>
      <c r="AK15" s="45"/>
      <c r="AL15" s="45"/>
      <c r="AN15" s="17" t="e">
        <f t="shared" ca="1" si="0"/>
        <v>#NAME?</v>
      </c>
      <c r="AO15" s="100">
        <f t="shared" ca="1" si="1"/>
        <v>0</v>
      </c>
      <c r="AP15" s="1"/>
      <c r="AQ15">
        <f ca="1">SUMIF(Journal[DrAccnt],Financial_Statements_4!AN15,Journal[DrAmt])</f>
        <v>0</v>
      </c>
      <c r="AR15">
        <f ca="1">SUMIF(Journal[CrAccnt],Financial_Statements_4!AN15,Journal[CrAmt])</f>
        <v>0</v>
      </c>
      <c r="AT15" s="110"/>
      <c r="AU15" s="31"/>
      <c r="AV15" s="31"/>
      <c r="AW15" s="31"/>
      <c r="AX15" s="31"/>
      <c r="AY15" s="31"/>
      <c r="BA15" s="114"/>
      <c r="BB15" s="115"/>
      <c r="BC15" s="115"/>
      <c r="BD15" s="115"/>
      <c r="BE15" s="115"/>
      <c r="BF15" s="115"/>
    </row>
    <row r="16" spans="1:58" x14ac:dyDescent="0.2">
      <c r="B16" s="17"/>
      <c r="C16" s="100" t="str">
        <f>IF(ISBLANK(B16),"",_xlfn.XLOOKUP(B16,BegBalSht[Account],BegBalSht[Amount]))</f>
        <v/>
      </c>
      <c r="E16" s="17"/>
      <c r="F16" s="102">
        <f>-SUMIFS(Journal[CrAmt],Journal[CrAccnt],E16,Journal[ref2],"&lt;&gt;CL")+SUMIFS(Journal[DrAmt],Journal[DrAccnt],E16,Journal[ref2],"&lt;&gt;CL")</f>
        <v>0</v>
      </c>
      <c r="H16" s="17" t="s">
        <v>459</v>
      </c>
      <c r="I16" s="108"/>
      <c r="J16" s="108"/>
      <c r="K16" s="108"/>
      <c r="L16" s="108"/>
      <c r="M16" s="108">
        <f>M23</f>
        <v>0</v>
      </c>
      <c r="N16" s="108"/>
      <c r="O16" s="65">
        <f t="shared" si="3"/>
        <v>0</v>
      </c>
      <c r="Q16" s="17"/>
      <c r="R16" s="18"/>
      <c r="S16" s="45"/>
      <c r="T16" s="85"/>
      <c r="U16" s="42"/>
      <c r="V16" s="45"/>
      <c r="AB16" s="117"/>
      <c r="AC16" s="45"/>
      <c r="AD16" s="75" t="s">
        <v>417</v>
      </c>
      <c r="AE16" s="18"/>
      <c r="AF16" s="45"/>
      <c r="AG16" s="33" t="e">
        <f ca="1"/>
        <v>#NAME?</v>
      </c>
      <c r="AH16" s="143" t="e">
        <f ca="1"/>
        <v>#NAME?</v>
      </c>
      <c r="AI16" s="42" t="e">
        <f ca="1"/>
        <v>#NAME?</v>
      </c>
      <c r="AJ16" s="33" t="e">
        <f ca="1"/>
        <v>#NAME?</v>
      </c>
      <c r="AK16" s="45"/>
      <c r="AL16" s="45"/>
      <c r="AN16" s="17" t="str">
        <f t="shared" si="0"/>
        <v/>
      </c>
      <c r="AO16" s="100">
        <f t="shared" si="1"/>
        <v>0</v>
      </c>
      <c r="AP16" s="1"/>
      <c r="AQ16">
        <f>SUMIF(Journal[DrAccnt],Financial_Statements_4!AN16,Journal[DrAmt])</f>
        <v>0</v>
      </c>
      <c r="AR16">
        <f>SUMIF(Journal[CrAccnt],Financial_Statements_4!AN16,Journal[CrAmt])</f>
        <v>0</v>
      </c>
      <c r="AT16" s="110"/>
      <c r="AU16" s="31"/>
      <c r="AV16" s="31"/>
      <c r="AW16" s="31"/>
      <c r="AX16" s="31"/>
      <c r="AY16" s="31"/>
      <c r="BA16" s="114"/>
      <c r="BB16" s="115"/>
      <c r="BC16" s="115"/>
      <c r="BD16" s="115"/>
      <c r="BE16" s="115"/>
      <c r="BF16" s="115"/>
    </row>
    <row r="17" spans="2:58" ht="16" thickBot="1" x14ac:dyDescent="0.25">
      <c r="B17" s="91"/>
      <c r="C17" s="101" t="str">
        <f>IF(ISBLANK(B17),"",_xlfn.XLOOKUP(B17,BegBalSht[Account],BegBalSht[Amount]))</f>
        <v/>
      </c>
      <c r="E17" s="17"/>
      <c r="F17" s="102">
        <f>-SUMIFS(Journal[CrAmt],Journal[CrAccnt],E17,Journal[ref2],"&lt;&gt;CL")+SUMIFS(Journal[DrAmt],Journal[DrAccnt],E17,Journal[ref2],"&lt;&gt;CL")</f>
        <v>0</v>
      </c>
      <c r="H17" s="17" t="s">
        <v>460</v>
      </c>
      <c r="I17" s="109"/>
      <c r="J17" s="109" cm="1">
        <f t="array" ref="J17">_xlfn._xlws.FILTER(Journal[CrAmt],(Journal[ref2]="PPEfCS")*(Journal[CrAccnt]="Common Stock"),0)</f>
        <v>0</v>
      </c>
      <c r="K17" s="109" cm="1">
        <f t="array" ref="K17">_xlfn._xlws.FILTER(Journal[CrAmt],(Journal[ref2]="PPEfCS")*(Journal[CrAccnt]="Additional Paid-in Capital"),0)</f>
        <v>0</v>
      </c>
      <c r="L17" s="109"/>
      <c r="M17" s="109"/>
      <c r="N17" s="109"/>
      <c r="O17" s="66">
        <f t="shared" si="3"/>
        <v>0</v>
      </c>
      <c r="Q17" s="19" t="s">
        <v>418</v>
      </c>
      <c r="R17" s="18"/>
      <c r="S17" s="45"/>
      <c r="T17" s="85"/>
      <c r="U17" s="42"/>
      <c r="V17" s="45"/>
      <c r="AB17" s="117"/>
      <c r="AC17" s="45"/>
      <c r="AD17" s="70"/>
      <c r="AE17" s="81"/>
      <c r="AF17" s="45"/>
      <c r="AG17" s="33" t="e">
        <f ca="1"/>
        <v>#NAME?</v>
      </c>
      <c r="AH17" s="143" t="e">
        <f ca="1"/>
        <v>#NAME?</v>
      </c>
      <c r="AI17" s="42" t="e">
        <f ca="1"/>
        <v>#NAME?</v>
      </c>
      <c r="AJ17" s="33" t="e">
        <f ca="1"/>
        <v>#NAME?</v>
      </c>
      <c r="AK17" s="45"/>
      <c r="AL17" s="45"/>
      <c r="AN17" s="91" t="str">
        <f t="shared" si="0"/>
        <v/>
      </c>
      <c r="AO17" s="101">
        <f t="shared" si="1"/>
        <v>0</v>
      </c>
      <c r="AP17" s="1"/>
      <c r="AQ17">
        <f>SUMIF(Journal[DrAccnt],Financial_Statements_4!AN17,Journal[DrAmt])</f>
        <v>0</v>
      </c>
      <c r="AR17">
        <f>SUMIF(Journal[CrAccnt],Financial_Statements_4!AN17,Journal[CrAmt])</f>
        <v>0</v>
      </c>
    </row>
    <row r="18" spans="2:58" ht="16" thickBot="1" x14ac:dyDescent="0.25">
      <c r="B18" s="53" t="s">
        <v>419</v>
      </c>
      <c r="C18" s="47" t="e">
        <f ca="1">SUBTOTAL(9,C8:C17)</f>
        <v>#NAME?</v>
      </c>
      <c r="E18" s="17"/>
      <c r="F18" s="102">
        <f>-SUMIFS(Journal[CrAmt],Journal[CrAccnt],E18,Journal[ref2],"&lt;&gt;CL")+SUMIFS(Journal[DrAmt],Journal[DrAccnt],E18,Journal[ref2],"&lt;&gt;CL")</f>
        <v>0</v>
      </c>
      <c r="H18" s="58" t="str">
        <f>"Balance as of "&amp;EndDate</f>
        <v xml:space="preserve">Balance as of </v>
      </c>
      <c r="I18" s="68" t="e">
        <f ca="1">SUM(I9:I17)</f>
        <v>#NAME?</v>
      </c>
      <c r="J18" s="68" t="e">
        <f t="shared" ref="J18:N18" ca="1" si="4">SUM(J9:J17)</f>
        <v>#NAME?</v>
      </c>
      <c r="K18" s="68" t="e">
        <f t="shared" ca="1" si="4"/>
        <v>#NAME?</v>
      </c>
      <c r="L18" s="68" t="e">
        <f t="shared" ca="1" si="4"/>
        <v>#NAME?</v>
      </c>
      <c r="M18" s="68" t="e">
        <f t="shared" ca="1" si="4"/>
        <v>#NAME?</v>
      </c>
      <c r="N18" s="68" t="e">
        <f t="shared" ca="1" si="4"/>
        <v>#NAME?</v>
      </c>
      <c r="O18" s="67" t="e">
        <f ca="1">SUM(O9:O17)</f>
        <v>#NAME?</v>
      </c>
      <c r="Q18" s="342"/>
      <c r="R18" s="343"/>
      <c r="S18" s="45"/>
      <c r="T18" s="85"/>
      <c r="U18" s="42"/>
      <c r="V18" s="45"/>
      <c r="AB18" s="117"/>
      <c r="AC18" s="45"/>
      <c r="AD18" s="70"/>
      <c r="AE18" s="48"/>
      <c r="AF18" s="45"/>
      <c r="AG18" s="33" t="e">
        <f ca="1"/>
        <v>#NAME?</v>
      </c>
      <c r="AH18" s="143" t="e">
        <f ca="1"/>
        <v>#NAME?</v>
      </c>
      <c r="AI18" s="42" t="e">
        <f ca="1"/>
        <v>#NAME?</v>
      </c>
      <c r="AJ18" s="33" t="e">
        <f ca="1"/>
        <v>#NAME?</v>
      </c>
      <c r="AK18" s="45"/>
      <c r="AL18" s="45"/>
      <c r="AN18" s="53" t="s">
        <v>419</v>
      </c>
      <c r="AO18" s="47">
        <f ca="1">SUBTOTAL(9,AO8:AO17)</f>
        <v>0</v>
      </c>
      <c r="AT18" s="5" t="s">
        <v>461</v>
      </c>
      <c r="AW18" s="4" t="s">
        <v>100</v>
      </c>
      <c r="BA18" s="5" t="s">
        <v>138</v>
      </c>
      <c r="BD18" s="4" t="s">
        <v>137</v>
      </c>
    </row>
    <row r="19" spans="2:58" x14ac:dyDescent="0.2">
      <c r="B19" s="52" t="s">
        <v>420</v>
      </c>
      <c r="C19" s="18"/>
      <c r="E19" s="17"/>
      <c r="F19" s="102">
        <f>-SUMIFS(Journal[CrAmt],Journal[CrAccnt],E19,Journal[ref2],"&lt;&gt;CL")+SUMIFS(Journal[DrAmt],Journal[DrAccnt],E19,Journal[ref2],"&lt;&gt;CL")</f>
        <v>0</v>
      </c>
      <c r="Q19" s="342"/>
      <c r="R19" s="344"/>
      <c r="S19" s="45"/>
      <c r="T19" s="85"/>
      <c r="U19" s="42"/>
      <c r="V19" s="45"/>
      <c r="AB19" s="117"/>
      <c r="AC19" s="45"/>
      <c r="AD19" s="70"/>
      <c r="AE19" s="48"/>
      <c r="AF19" s="45"/>
      <c r="AG19" s="33" t="e">
        <f ca="1"/>
        <v>#NAME?</v>
      </c>
      <c r="AH19" s="143" t="e">
        <f ca="1"/>
        <v>#NAME?</v>
      </c>
      <c r="AI19" s="42" t="e">
        <f ca="1"/>
        <v>#NAME?</v>
      </c>
      <c r="AJ19" s="33" t="e">
        <f ca="1"/>
        <v>#NAME?</v>
      </c>
      <c r="AK19" s="45"/>
      <c r="AL19" s="45"/>
      <c r="AN19" s="52" t="s">
        <v>420</v>
      </c>
      <c r="AO19" s="18"/>
      <c r="AT19" s="110" t="e" cm="1">
        <f t="array" aca="1" ref="AT19" ca="1">_xlfn._xlws.FILTER(Journal[ref]:Journal[CrAmt],Journal[ref2]=AW18,"")</f>
        <v>#NAME?</v>
      </c>
      <c r="AU19" s="31"/>
      <c r="AV19" s="31"/>
      <c r="AW19" s="31"/>
      <c r="AX19" s="31"/>
      <c r="AY19" s="31"/>
      <c r="BA19" s="114" t="e" cm="1">
        <f t="array" aca="1" ref="BA19" ca="1">_xlfn._xlws.FILTER(Journal[ref]:Journal[CrAmt],Journal[ref2]=BD18,"")</f>
        <v>#NAME?</v>
      </c>
      <c r="BB19" s="115"/>
      <c r="BC19" s="115"/>
      <c r="BD19" s="115"/>
      <c r="BE19" s="115"/>
      <c r="BF19" s="115"/>
    </row>
    <row r="20" spans="2:58" x14ac:dyDescent="0.2">
      <c r="B20" s="17" t="e" cm="1">
        <f t="array" aca="1" ref="B20:B26" ca="1">_xlfn._xlws.FILTER(Asset[Name],Asset[C/NC]="NC")</f>
        <v>#NAME?</v>
      </c>
      <c r="C20" s="99" t="e">
        <f ca="1">IF(ISBLANK(B20),"",_xlfn.XLOOKUP(B20,BegBalSht[Account],BegBalSht[Amount]))</f>
        <v>#NAME?</v>
      </c>
      <c r="E20" s="17"/>
      <c r="F20" s="102">
        <f>-SUMIFS(Journal[CrAmt],Journal[CrAccnt],E20,Journal[ref2],"&lt;&gt;CL")+SUMIFS(Journal[DrAmt],Journal[DrAccnt],E20,Journal[ref2],"&lt;&gt;CL")</f>
        <v>0</v>
      </c>
      <c r="L20" s="103" cm="1">
        <f t="array" ref="L20">_xlfn._xlws.FILTER(Journal[CrAmt],(Journal[ref2]="CL")*(Journal[CrAccnt]="Retained Earnings"),0)</f>
        <v>0</v>
      </c>
      <c r="Q20" s="342"/>
      <c r="R20" s="344"/>
      <c r="S20" s="45"/>
      <c r="T20" s="85"/>
      <c r="U20" s="42"/>
      <c r="V20" s="45"/>
      <c r="AB20" s="117"/>
      <c r="AC20" s="45"/>
      <c r="AD20" s="70"/>
      <c r="AE20" s="48"/>
      <c r="AF20" s="11"/>
      <c r="AG20" s="33" t="e">
        <f ca="1"/>
        <v>#NAME?</v>
      </c>
      <c r="AH20" s="143" t="e">
        <f ca="1"/>
        <v>#NAME?</v>
      </c>
      <c r="AI20" s="42" t="e">
        <f ca="1"/>
        <v>#NAME?</v>
      </c>
      <c r="AJ20" s="33" t="e">
        <f ca="1"/>
        <v>#NAME?</v>
      </c>
      <c r="AK20" s="11"/>
      <c r="AL20" s="45"/>
      <c r="AN20" s="17" t="e">
        <f t="shared" ref="AN20:AN29" ca="1" si="5">IF(ISBLANK(B20),"",B20)</f>
        <v>#NAME?</v>
      </c>
      <c r="AO20" s="99">
        <f t="shared" ref="AO20:AO29" ca="1" si="6">IFERROR(C20+AQ20-AR20,0)</f>
        <v>0</v>
      </c>
      <c r="AP20" s="1"/>
      <c r="AQ20">
        <f ca="1">SUMIF(Journal[DrAccnt],Financial_Statements_4!AN20,Journal[DrAmt])</f>
        <v>0</v>
      </c>
      <c r="AR20">
        <f ca="1">SUMIF(Journal[CrAccnt],Financial_Statements_4!AN20,Journal[CrAmt])</f>
        <v>0</v>
      </c>
      <c r="AT20" s="110"/>
      <c r="AU20" s="31"/>
      <c r="AV20" s="31"/>
      <c r="AW20" s="31"/>
      <c r="AX20" s="31"/>
      <c r="AY20" s="31"/>
      <c r="BA20" s="114"/>
      <c r="BB20" s="115"/>
      <c r="BC20" s="115"/>
      <c r="BD20" s="115"/>
      <c r="BE20" s="115"/>
      <c r="BF20" s="115"/>
    </row>
    <row r="21" spans="2:58" x14ac:dyDescent="0.2">
      <c r="B21" s="17" t="e">
        <f ca="1"/>
        <v>#NAME?</v>
      </c>
      <c r="C21" s="100" t="e">
        <f ca="1">IF(ISBLANK(B21),"",_xlfn.XLOOKUP(B21,BegBalSht[Account],BegBalSht[Amount]))</f>
        <v>#NAME?</v>
      </c>
      <c r="E21" s="17"/>
      <c r="F21" s="102">
        <f>-SUMIFS(Journal[CrAmt],Journal[CrAccnt],E21,Journal[ref2],"&lt;&gt;CL")+SUMIFS(Journal[DrAmt],Journal[DrAccnt],E21,Journal[ref2],"&lt;&gt;CL")</f>
        <v>0</v>
      </c>
      <c r="L21" s="103" cm="1">
        <f t="array" ref="L21">-_xlfn._xlws.FILTER(Journal[DrAmt],(Journal[ref2]="CL")*(Journal[DrAccnt]="Retained Earnings"),0)</f>
        <v>0</v>
      </c>
      <c r="M21" s="103">
        <f>IFERROR(_xlfn.XLOOKUP("Accumulated Other Comprehensive Income",BD3:BD8,BF3:BF8),0)</f>
        <v>0</v>
      </c>
      <c r="Q21" s="342"/>
      <c r="R21" s="344"/>
      <c r="S21" s="45"/>
      <c r="T21" s="85"/>
      <c r="U21" s="42"/>
      <c r="V21" s="45"/>
      <c r="AB21" s="118"/>
      <c r="AC21" s="45"/>
      <c r="AD21" s="70"/>
      <c r="AE21" s="48"/>
      <c r="AF21" s="11"/>
      <c r="AG21" s="33" t="e">
        <f ca="1"/>
        <v>#NAME?</v>
      </c>
      <c r="AH21" s="143" t="e">
        <f ca="1"/>
        <v>#NAME?</v>
      </c>
      <c r="AI21" s="42" t="e">
        <f ca="1"/>
        <v>#NAME?</v>
      </c>
      <c r="AJ21" s="33" t="e">
        <f ca="1"/>
        <v>#NAME?</v>
      </c>
      <c r="AK21" s="11"/>
      <c r="AL21" s="45"/>
      <c r="AN21" s="17" t="e">
        <f t="shared" ca="1" si="5"/>
        <v>#NAME?</v>
      </c>
      <c r="AO21" s="100">
        <f t="shared" ca="1" si="6"/>
        <v>0</v>
      </c>
      <c r="AP21" s="1"/>
      <c r="AQ21">
        <f ca="1">SUMIF(Journal[DrAccnt],Financial_Statements_4!AN21,Journal[DrAmt])</f>
        <v>0</v>
      </c>
      <c r="AR21">
        <f ca="1">SUMIF(Journal[CrAccnt],Financial_Statements_4!AN21,Journal[CrAmt])</f>
        <v>0</v>
      </c>
      <c r="AT21" s="110"/>
      <c r="AU21" s="31"/>
      <c r="AV21" s="31"/>
      <c r="AW21" s="31"/>
      <c r="AX21" s="31"/>
      <c r="AY21" s="31"/>
      <c r="BA21" s="114"/>
      <c r="BB21" s="115"/>
      <c r="BC21" s="115"/>
      <c r="BD21" s="115"/>
      <c r="BE21" s="115"/>
      <c r="BF21" s="115"/>
    </row>
    <row r="22" spans="2:58" x14ac:dyDescent="0.2">
      <c r="B22" s="17" t="e">
        <f ca="1"/>
        <v>#NAME?</v>
      </c>
      <c r="C22" s="100" t="e">
        <f ca="1">IF(ISBLANK(B22),"",_xlfn.XLOOKUP(B22,BegBalSht[Account],BegBalSht[Amount]))</f>
        <v>#NAME?</v>
      </c>
      <c r="E22" s="21" t="s">
        <v>421</v>
      </c>
      <c r="F22" s="47">
        <f>SUM(F14:F21)</f>
        <v>0</v>
      </c>
      <c r="L22" s="103">
        <f>SUM(L20:L21)</f>
        <v>0</v>
      </c>
      <c r="M22" s="103">
        <f>IFERROR(-_xlfn.XLOOKUP("Accumulated Other Comprehensive Income",BC3:BC8,BE3:BE8),0)</f>
        <v>0</v>
      </c>
      <c r="Q22" s="342"/>
      <c r="R22" s="344"/>
      <c r="S22" s="45"/>
      <c r="T22" s="85"/>
      <c r="U22" s="42"/>
      <c r="V22" s="45"/>
      <c r="AB22" s="118"/>
      <c r="AC22" s="11"/>
      <c r="AD22" s="70"/>
      <c r="AE22" s="48"/>
      <c r="AF22" s="11"/>
      <c r="AG22" s="33" t="e">
        <f ca="1"/>
        <v>#NAME?</v>
      </c>
      <c r="AH22" s="143" t="e">
        <f ca="1"/>
        <v>#NAME?</v>
      </c>
      <c r="AI22" s="42" t="e">
        <f ca="1"/>
        <v>#NAME?</v>
      </c>
      <c r="AJ22" s="33" t="e">
        <f ca="1"/>
        <v>#NAME?</v>
      </c>
      <c r="AK22" s="11"/>
      <c r="AL22" s="11"/>
      <c r="AN22" s="17" t="e">
        <f t="shared" ca="1" si="5"/>
        <v>#NAME?</v>
      </c>
      <c r="AO22" s="100">
        <f t="shared" ca="1" si="6"/>
        <v>0</v>
      </c>
      <c r="AP22" s="1"/>
      <c r="AQ22">
        <f ca="1">SUMIF(Journal[DrAccnt],Financial_Statements_4!AN22,Journal[DrAmt])</f>
        <v>0</v>
      </c>
      <c r="AR22">
        <f ca="1">SUMIF(Journal[CrAccnt],Financial_Statements_4!AN22,Journal[CrAmt])</f>
        <v>0</v>
      </c>
      <c r="AT22" s="110"/>
      <c r="AU22" s="31"/>
      <c r="AV22" s="31"/>
      <c r="AW22" s="31"/>
      <c r="AX22" s="31"/>
      <c r="AY22" s="31"/>
      <c r="BA22" s="114"/>
      <c r="BB22" s="115"/>
      <c r="BC22" s="115"/>
      <c r="BD22" s="115"/>
      <c r="BE22" s="115"/>
      <c r="BF22" s="115"/>
    </row>
    <row r="23" spans="2:58" x14ac:dyDescent="0.2">
      <c r="B23" s="17" t="e">
        <f ca="1"/>
        <v>#NAME?</v>
      </c>
      <c r="C23" s="100" t="e">
        <f ca="1">IF(ISBLANK(B23),"",_xlfn.XLOOKUP(B23,BegBalSht[Account],BegBalSht[Amount]))</f>
        <v>#NAME?</v>
      </c>
      <c r="E23" s="19" t="s">
        <v>422</v>
      </c>
      <c r="F23" s="18"/>
      <c r="M23" s="103">
        <f>M21+M22</f>
        <v>0</v>
      </c>
      <c r="Q23" s="342"/>
      <c r="R23" s="344"/>
      <c r="S23" s="45"/>
      <c r="T23" s="85"/>
      <c r="U23" s="42"/>
      <c r="V23" s="45"/>
      <c r="AB23" s="118"/>
      <c r="AC23" s="11"/>
      <c r="AD23" s="70"/>
      <c r="AE23" s="48"/>
      <c r="AG23" s="33" t="e">
        <f ca="1"/>
        <v>#NAME?</v>
      </c>
      <c r="AH23" s="143" t="e">
        <f ca="1"/>
        <v>#NAME?</v>
      </c>
      <c r="AI23" s="42" t="e">
        <f ca="1"/>
        <v>#NAME?</v>
      </c>
      <c r="AJ23" s="33" t="e">
        <f ca="1"/>
        <v>#NAME?</v>
      </c>
      <c r="AL23" s="11"/>
      <c r="AN23" s="17" t="e">
        <f t="shared" ca="1" si="5"/>
        <v>#NAME?</v>
      </c>
      <c r="AO23" s="100">
        <f t="shared" ca="1" si="6"/>
        <v>0</v>
      </c>
      <c r="AP23" s="1"/>
      <c r="AQ23">
        <f ca="1">SUMIF(Journal[DrAccnt],Financial_Statements_4!AN23,Journal[DrAmt])</f>
        <v>0</v>
      </c>
      <c r="AR23">
        <f ca="1">SUMIF(Journal[CrAccnt],Financial_Statements_4!AN23,Journal[CrAmt])</f>
        <v>0</v>
      </c>
      <c r="AT23" s="110"/>
      <c r="AU23" s="31"/>
      <c r="AV23" s="31"/>
      <c r="AW23" s="31"/>
      <c r="AX23" s="31"/>
      <c r="AY23" s="31"/>
      <c r="BA23" s="114"/>
      <c r="BB23" s="115"/>
      <c r="BC23" s="115"/>
      <c r="BD23" s="115"/>
      <c r="BE23" s="115"/>
      <c r="BF23" s="115"/>
    </row>
    <row r="24" spans="2:58" x14ac:dyDescent="0.2">
      <c r="B24" s="17" t="e">
        <f ca="1"/>
        <v>#NAME?</v>
      </c>
      <c r="C24" s="100" t="e">
        <f ca="1">IF(ISBLANK(B24),"",_xlfn.XLOOKUP(B24,BegBalSht[Account],BegBalSht[Amount]))</f>
        <v>#NAME?</v>
      </c>
      <c r="E24" s="17" t="str" cm="1">
        <f t="array" ref="E24">_xlfn._xlws.FILTER(_Gain[Name],NOT(ISBLANK(_Gain[Name])),"")</f>
        <v>Gain on Sale of Subsidiary</v>
      </c>
      <c r="F24" s="82">
        <f>SUMIFS(Journal[CrAmt],Journal[CrAccnt],E24,Journal[ref2],"&lt;&gt;CL")-SUMIFS(Journal[DrAmt],Journal[DrAccnt],E24,Journal[ref2],"&lt;&gt;CL")</f>
        <v>0</v>
      </c>
      <c r="Q24" s="342"/>
      <c r="R24" s="344"/>
      <c r="S24" s="45"/>
      <c r="T24" s="85"/>
      <c r="U24" s="42"/>
      <c r="V24" s="45"/>
      <c r="AB24" s="103"/>
      <c r="AC24" s="11"/>
      <c r="AD24" s="70"/>
      <c r="AE24" s="48"/>
      <c r="AG24" s="33" t="e">
        <f ca="1"/>
        <v>#NAME?</v>
      </c>
      <c r="AH24" s="143" t="e">
        <f ca="1"/>
        <v>#NAME?</v>
      </c>
      <c r="AI24" s="42" t="e">
        <f ca="1"/>
        <v>#NAME?</v>
      </c>
      <c r="AJ24" s="33" t="e">
        <f ca="1"/>
        <v>#NAME?</v>
      </c>
      <c r="AL24" s="11"/>
      <c r="AN24" s="17" t="e">
        <f t="shared" ca="1" si="5"/>
        <v>#NAME?</v>
      </c>
      <c r="AO24" s="100">
        <f t="shared" ca="1" si="6"/>
        <v>0</v>
      </c>
      <c r="AP24" s="1"/>
      <c r="AQ24">
        <f ca="1">SUMIF(Journal[DrAccnt],Financial_Statements_4!AN24,Journal[DrAmt])</f>
        <v>0</v>
      </c>
      <c r="AR24">
        <f ca="1">SUMIF(Journal[CrAccnt],Financial_Statements_4!AN24,Journal[CrAmt])</f>
        <v>0</v>
      </c>
      <c r="AT24" s="110"/>
      <c r="AU24" s="31"/>
      <c r="AV24" s="31"/>
      <c r="AW24" s="31"/>
      <c r="AX24" s="31"/>
      <c r="AY24" s="31"/>
      <c r="BA24" s="114"/>
      <c r="BB24" s="115"/>
      <c r="BC24" s="115"/>
      <c r="BD24" s="115"/>
      <c r="BE24" s="115"/>
      <c r="BF24" s="115"/>
    </row>
    <row r="25" spans="2:58" x14ac:dyDescent="0.2">
      <c r="B25" s="17" t="e">
        <f ca="1"/>
        <v>#NAME?</v>
      </c>
      <c r="C25" s="100" t="e">
        <f ca="1">IF(ISBLANK(B25),"",_xlfn.XLOOKUP(B25,BegBalSht[Account],BegBalSht[Amount]))</f>
        <v>#NAME?</v>
      </c>
      <c r="E25" s="17"/>
      <c r="F25" s="102">
        <f>SUMIFS(Journal[CrAmt],Journal[CrAccnt],E25,Journal[ref2],"&lt;&gt;CL")-SUMIFS(Journal[DrAmt],Journal[DrAccnt],E25,Journal[ref2],"&lt;&gt;CL")</f>
        <v>0</v>
      </c>
      <c r="Q25" s="75" t="s">
        <v>423</v>
      </c>
      <c r="R25" s="47">
        <f>SUBTOTAL(9,R18:R24)</f>
        <v>0</v>
      </c>
      <c r="S25" s="11"/>
      <c r="T25" s="85"/>
      <c r="U25" s="42"/>
      <c r="V25" s="11"/>
      <c r="AB25" s="103"/>
      <c r="AD25" s="70"/>
      <c r="AE25" s="48"/>
      <c r="AG25" s="33" t="e">
        <f ca="1"/>
        <v>#NAME?</v>
      </c>
      <c r="AH25" s="143" t="e">
        <f ca="1"/>
        <v>#NAME?</v>
      </c>
      <c r="AI25" s="42" t="e">
        <f ca="1"/>
        <v>#NAME?</v>
      </c>
      <c r="AJ25" s="33" t="e">
        <f ca="1"/>
        <v>#NAME?</v>
      </c>
      <c r="AN25" s="17" t="e">
        <f t="shared" ca="1" si="5"/>
        <v>#NAME?</v>
      </c>
      <c r="AO25" s="100">
        <f t="shared" ca="1" si="6"/>
        <v>0</v>
      </c>
      <c r="AP25" s="1"/>
      <c r="AQ25">
        <f ca="1">SUMIF(Journal[DrAccnt],Financial_Statements_4!AN25,Journal[DrAmt])</f>
        <v>0</v>
      </c>
      <c r="AR25">
        <f ca="1">SUMIF(Journal[CrAccnt],Financial_Statements_4!AN25,Journal[CrAmt])</f>
        <v>0</v>
      </c>
    </row>
    <row r="26" spans="2:58" x14ac:dyDescent="0.2">
      <c r="B26" s="17" t="e">
        <f ca="1"/>
        <v>#NAME?</v>
      </c>
      <c r="C26" s="100" t="e">
        <f ca="1">IF(ISBLANK(B26),"",_xlfn.XLOOKUP(B26,BegBalSht[Account],BegBalSht[Amount]))</f>
        <v>#NAME?</v>
      </c>
      <c r="E26" s="17"/>
      <c r="F26" s="102">
        <f>SUMIFS(Journal[CrAmt],Journal[CrAccnt],E26,Journal[ref2],"&lt;&gt;CL")-SUMIFS(Journal[DrAmt],Journal[DrAccnt],E26,Journal[ref2],"&lt;&gt;CL")</f>
        <v>0</v>
      </c>
      <c r="Q26" s="17"/>
      <c r="R26" s="18"/>
      <c r="S26" s="11"/>
      <c r="T26" s="85"/>
      <c r="U26" s="42"/>
      <c r="V26" s="11"/>
      <c r="AD26" s="70"/>
      <c r="AE26" s="48"/>
      <c r="AG26" s="33" t="e">
        <f ca="1"/>
        <v>#NAME?</v>
      </c>
      <c r="AH26" s="143" t="e">
        <f ca="1"/>
        <v>#NAME?</v>
      </c>
      <c r="AI26" s="42" t="e">
        <f ca="1"/>
        <v>#NAME?</v>
      </c>
      <c r="AJ26" s="33" t="e">
        <f ca="1"/>
        <v>#NAME?</v>
      </c>
      <c r="AN26" s="17" t="e">
        <f t="shared" ca="1" si="5"/>
        <v>#NAME?</v>
      </c>
      <c r="AO26" s="100">
        <f t="shared" ca="1" si="6"/>
        <v>0</v>
      </c>
      <c r="AP26" s="1"/>
      <c r="AQ26">
        <f ca="1">SUMIF(Journal[DrAccnt],Financial_Statements_4!AN26,Journal[DrAmt])</f>
        <v>0</v>
      </c>
      <c r="AR26">
        <f ca="1">SUMIF(Journal[CrAccnt],Financial_Statements_4!AN26,Journal[CrAmt])</f>
        <v>0</v>
      </c>
      <c r="AT26" s="5" t="s">
        <v>462</v>
      </c>
      <c r="AW26" s="4" t="s">
        <v>102</v>
      </c>
      <c r="BA26" s="5" t="s">
        <v>463</v>
      </c>
      <c r="BB26" s="5"/>
      <c r="BD26" s="4" t="s">
        <v>106</v>
      </c>
    </row>
    <row r="27" spans="2:58" x14ac:dyDescent="0.2">
      <c r="B27" s="17"/>
      <c r="C27" s="100" t="str">
        <f>IF(ISBLANK(B27),"",_xlfn.XLOOKUP(B27,BegBalSht[Account],BegBalSht[Amount]))</f>
        <v/>
      </c>
      <c r="E27" s="17"/>
      <c r="F27" s="102">
        <f>SUMIFS(Journal[CrAmt],Journal[CrAccnt],E27,Journal[ref2],"&lt;&gt;CL")-SUMIFS(Journal[DrAmt],Journal[DrAccnt],E27,Journal[ref2],"&lt;&gt;CL")</f>
        <v>0</v>
      </c>
      <c r="Q27" s="19" t="s">
        <v>424</v>
      </c>
      <c r="R27" s="18"/>
      <c r="S27" s="11"/>
      <c r="T27" s="85"/>
      <c r="U27" s="42"/>
      <c r="V27" s="11"/>
      <c r="AD27" s="75" t="s">
        <v>416</v>
      </c>
      <c r="AE27" s="47">
        <f>SUBTOTAL(9,AE8:AE26)</f>
        <v>5</v>
      </c>
      <c r="AG27" s="33" t="e">
        <f ca="1"/>
        <v>#NAME?</v>
      </c>
      <c r="AH27" s="143" t="e">
        <f ca="1"/>
        <v>#NAME?</v>
      </c>
      <c r="AI27" s="42" t="e">
        <f ca="1"/>
        <v>#NAME?</v>
      </c>
      <c r="AJ27" s="33" t="e">
        <f ca="1"/>
        <v>#NAME?</v>
      </c>
      <c r="AN27" s="17" t="str">
        <f t="shared" si="5"/>
        <v/>
      </c>
      <c r="AO27" s="100">
        <f t="shared" si="6"/>
        <v>0</v>
      </c>
      <c r="AP27" s="1"/>
      <c r="AQ27">
        <f>SUMIF(Journal[DrAccnt],Financial_Statements_4!AN27,Journal[DrAmt])</f>
        <v>0</v>
      </c>
      <c r="AR27">
        <f>SUMIF(Journal[CrAccnt],Financial_Statements_4!AN27,Journal[CrAmt])</f>
        <v>0</v>
      </c>
      <c r="AT27" s="110" t="e" cm="1">
        <f t="array" aca="1" ref="AT27" ca="1">_xlfn._xlws.FILTER(Journal[ref]:Journal[CrAmt],Journal[ref2]=AW26,"")</f>
        <v>#NAME?</v>
      </c>
      <c r="AU27" s="31"/>
      <c r="AV27" s="31"/>
      <c r="AW27" s="31"/>
      <c r="AX27" s="31"/>
      <c r="AY27" s="31"/>
      <c r="BA27" s="114" t="e" cm="1">
        <f t="array" aca="1" ref="BA27" ca="1">_xlfn._xlws.FILTER(Journal[ref]:Journal[CrAmt],Journal[ref2]=BD26,"")</f>
        <v>#NAME?</v>
      </c>
      <c r="BB27" s="115"/>
      <c r="BC27" s="115"/>
      <c r="BD27" s="115"/>
      <c r="BE27" s="115"/>
      <c r="BF27" s="115"/>
    </row>
    <row r="28" spans="2:58" ht="16" thickBot="1" x14ac:dyDescent="0.25">
      <c r="B28" s="17"/>
      <c r="C28" s="100" t="str">
        <f>IF(ISBLANK(B28),"",_xlfn.XLOOKUP(B28,BegBalSht[Account],BegBalSht[Amount]))</f>
        <v/>
      </c>
      <c r="E28" s="21" t="s">
        <v>425</v>
      </c>
      <c r="F28" s="47">
        <f>SUM(F24:F27)</f>
        <v>0</v>
      </c>
      <c r="Q28" s="342"/>
      <c r="R28" s="343"/>
      <c r="T28" s="86"/>
      <c r="U28" s="87"/>
      <c r="AD28" s="17"/>
      <c r="AE28" s="18"/>
      <c r="AG28" s="33" t="e">
        <f ca="1"/>
        <v>#NAME?</v>
      </c>
      <c r="AH28" s="143" t="e">
        <f ca="1"/>
        <v>#NAME?</v>
      </c>
      <c r="AI28" s="42" t="e">
        <f ca="1"/>
        <v>#NAME?</v>
      </c>
      <c r="AJ28" s="33" t="e">
        <f ca="1"/>
        <v>#NAME?</v>
      </c>
      <c r="AN28" s="17" t="str">
        <f t="shared" si="5"/>
        <v/>
      </c>
      <c r="AO28" s="100">
        <f t="shared" si="6"/>
        <v>0</v>
      </c>
      <c r="AP28" s="1"/>
      <c r="AQ28">
        <f>SUMIF(Journal[DrAccnt],Financial_Statements_4!AN28,Journal[DrAmt])</f>
        <v>0</v>
      </c>
      <c r="AR28">
        <f>SUMIF(Journal[CrAccnt],Financial_Statements_4!AN28,Journal[CrAmt])</f>
        <v>0</v>
      </c>
      <c r="AT28" s="110"/>
      <c r="AU28" s="31"/>
      <c r="AV28" s="31"/>
      <c r="AW28" s="31"/>
      <c r="AX28" s="31"/>
      <c r="AY28" s="31"/>
      <c r="BA28" s="114"/>
      <c r="BB28" s="115"/>
      <c r="BC28" s="115"/>
      <c r="BD28" s="115"/>
      <c r="BE28" s="115"/>
      <c r="BF28" s="115"/>
    </row>
    <row r="29" spans="2:58" ht="17" thickTop="1" thickBot="1" x14ac:dyDescent="0.25">
      <c r="B29" s="91"/>
      <c r="C29" s="101" t="str">
        <f>IF(ISBLANK(B29),"",_xlfn.XLOOKUP(B29,BegBalSht[Account],BegBalSht[Amount]))</f>
        <v/>
      </c>
      <c r="E29" s="19" t="s">
        <v>426</v>
      </c>
      <c r="F29" s="18"/>
      <c r="Q29" s="342"/>
      <c r="R29" s="344"/>
      <c r="T29" s="88">
        <f>MAX(SUM(T7:T28)-SUM(U7:U28),0)</f>
        <v>0</v>
      </c>
      <c r="U29" s="89">
        <f>MAX(SUM(U7:U28)-SUM(T7:T28),0)</f>
        <v>0</v>
      </c>
      <c r="AD29" s="19" t="s">
        <v>418</v>
      </c>
      <c r="AE29" s="18"/>
      <c r="AG29" s="33" t="e">
        <f ca="1"/>
        <v>#NAME?</v>
      </c>
      <c r="AH29" s="143" t="e">
        <f ca="1"/>
        <v>#NAME?</v>
      </c>
      <c r="AI29" s="42" t="e">
        <f ca="1"/>
        <v>#NAME?</v>
      </c>
      <c r="AJ29" s="33" t="e">
        <f ca="1"/>
        <v>#NAME?</v>
      </c>
      <c r="AN29" s="91" t="str">
        <f t="shared" si="5"/>
        <v/>
      </c>
      <c r="AO29" s="101">
        <f t="shared" si="6"/>
        <v>0</v>
      </c>
      <c r="AP29" s="1"/>
      <c r="AQ29">
        <f>SUMIF(Journal[DrAccnt],Financial_Statements_4!AN29,Journal[DrAmt])</f>
        <v>0</v>
      </c>
      <c r="AR29">
        <f>SUMIF(Journal[CrAccnt],Financial_Statements_4!AN29,Journal[CrAmt])</f>
        <v>0</v>
      </c>
      <c r="AT29" s="110"/>
      <c r="AU29" s="31"/>
      <c r="AV29" s="31"/>
      <c r="AW29" s="31"/>
      <c r="AX29" s="31"/>
      <c r="AY29" s="31"/>
      <c r="BA29" s="114"/>
      <c r="BB29" s="115"/>
      <c r="BC29" s="115"/>
      <c r="BD29" s="115"/>
      <c r="BE29" s="115"/>
      <c r="BF29" s="115"/>
    </row>
    <row r="30" spans="2:58" ht="16" thickTop="1" x14ac:dyDescent="0.2">
      <c r="B30" s="53" t="s">
        <v>427</v>
      </c>
      <c r="C30" s="49" t="e">
        <f ca="1">SUBTOTAL(9,C20:C29)</f>
        <v>#NAME?</v>
      </c>
      <c r="E30" s="17" t="str" cm="1">
        <f t="array" ref="E30">_xlfn._xlws.FILTER(_Loss[Name],NOT(ISBLANK(_Loss[Name])),"")</f>
        <v>Loss on Sale of Subsidiary</v>
      </c>
      <c r="F30" s="82">
        <f>-SUMIFS(Journal[CrAmt],Journal[CrAccnt],E30,Journal[ref2],"&lt;&gt;CL")+SUMIFS(Journal[DrAmt],Journal[DrAccnt],E30,Journal[ref2],"&lt;&gt;CL")</f>
        <v>0</v>
      </c>
      <c r="Q30" s="342"/>
      <c r="R30" s="344"/>
      <c r="AD30" s="17" t="str">
        <f>IF(ISBLANK(Q18),"",Q18)</f>
        <v/>
      </c>
      <c r="AE30" s="62" t="str">
        <f t="shared" ref="AE30:AE36" si="7">IF(ISBLANK(R18),"",R18)</f>
        <v/>
      </c>
      <c r="AG30" s="33" t="e">
        <f ca="1"/>
        <v>#NAME?</v>
      </c>
      <c r="AH30" s="143" t="e">
        <f ca="1"/>
        <v>#NAME?</v>
      </c>
      <c r="AI30" s="42" t="e">
        <f ca="1"/>
        <v>#NAME?</v>
      </c>
      <c r="AJ30" s="33" t="e">
        <f ca="1"/>
        <v>#NAME?</v>
      </c>
      <c r="AN30" s="53" t="s">
        <v>427</v>
      </c>
      <c r="AO30" s="49">
        <f ca="1">SUBTOTAL(9,AO20:AO29)</f>
        <v>0</v>
      </c>
      <c r="AT30" s="110"/>
      <c r="AU30" s="31"/>
      <c r="AV30" s="31"/>
      <c r="AW30" s="31"/>
      <c r="AX30" s="31"/>
      <c r="AY30" s="31"/>
      <c r="BA30" s="114"/>
      <c r="BB30" s="115"/>
      <c r="BC30" s="115"/>
      <c r="BD30" s="115"/>
      <c r="BE30" s="115"/>
      <c r="BF30" s="115"/>
    </row>
    <row r="31" spans="2:58" ht="16" thickBot="1" x14ac:dyDescent="0.25">
      <c r="B31" s="58" t="s">
        <v>428</v>
      </c>
      <c r="C31" s="50" t="e">
        <f ca="1">SUBTOTAL(9,C8:C30)</f>
        <v>#NAME?</v>
      </c>
      <c r="E31" s="17"/>
      <c r="F31" s="102">
        <f>-SUMIFS(Journal[CrAmt],Journal[CrAccnt],E31,Journal[ref2],"&lt;&gt;CL")+SUMIFS(Journal[DrAmt],Journal[DrAccnt],E31,Journal[ref2],"&lt;&gt;CL")</f>
        <v>0</v>
      </c>
      <c r="Q31" s="342"/>
      <c r="R31" s="344"/>
      <c r="AD31" s="17" t="str">
        <f t="shared" ref="AD31:AD36" si="8">IF(ISBLANK(Q19),"",Q19)</f>
        <v/>
      </c>
      <c r="AE31" s="62" t="str">
        <f t="shared" si="7"/>
        <v/>
      </c>
      <c r="AG31" s="33" t="e">
        <f ca="1"/>
        <v>#NAME?</v>
      </c>
      <c r="AH31" s="143" t="e">
        <f ca="1"/>
        <v>#NAME?</v>
      </c>
      <c r="AI31" s="42" t="e">
        <f ca="1"/>
        <v>#NAME?</v>
      </c>
      <c r="AJ31" s="33" t="e">
        <f ca="1"/>
        <v>#NAME?</v>
      </c>
      <c r="AN31" s="58" t="s">
        <v>428</v>
      </c>
      <c r="AO31" s="50">
        <f ca="1">SUBTOTAL(9,AO8:AO30)</f>
        <v>0</v>
      </c>
      <c r="AT31" s="110"/>
      <c r="AU31" s="31"/>
      <c r="AV31" s="31"/>
      <c r="AW31" s="31"/>
      <c r="AX31" s="31"/>
      <c r="AY31" s="31"/>
      <c r="BA31" s="114"/>
      <c r="BB31" s="115"/>
      <c r="BC31" s="115"/>
      <c r="BD31" s="115"/>
      <c r="BE31" s="115"/>
      <c r="BF31" s="115"/>
    </row>
    <row r="32" spans="2:58" x14ac:dyDescent="0.2">
      <c r="B32" s="26" t="s">
        <v>364</v>
      </c>
      <c r="C32" s="29"/>
      <c r="E32" s="17"/>
      <c r="F32" s="102">
        <f>-SUMIFS(Journal[CrAmt],Journal[CrAccnt],E32,Journal[ref2],"&lt;&gt;CL")+SUMIFS(Journal[DrAmt],Journal[DrAccnt],E32,Journal[ref2],"&lt;&gt;CL")</f>
        <v>0</v>
      </c>
      <c r="Q32" s="342"/>
      <c r="R32" s="344"/>
      <c r="AD32" s="17" t="str">
        <f t="shared" si="8"/>
        <v/>
      </c>
      <c r="AE32" s="62" t="str">
        <f t="shared" si="7"/>
        <v/>
      </c>
      <c r="AG32" s="33" t="e">
        <f ca="1"/>
        <v>#NAME?</v>
      </c>
      <c r="AH32" s="143" t="e">
        <f ca="1"/>
        <v>#NAME?</v>
      </c>
      <c r="AI32" s="42" t="e">
        <f ca="1"/>
        <v>#NAME?</v>
      </c>
      <c r="AJ32" s="33" t="e">
        <f ca="1"/>
        <v>#NAME?</v>
      </c>
      <c r="AN32" s="26" t="s">
        <v>364</v>
      </c>
      <c r="AO32" s="29"/>
      <c r="AT32" s="110"/>
      <c r="AU32" s="31"/>
      <c r="AV32" s="31"/>
      <c r="AW32" s="31"/>
      <c r="AX32" s="31"/>
      <c r="AY32" s="31"/>
      <c r="BA32" s="114"/>
      <c r="BB32" s="115"/>
      <c r="BC32" s="115"/>
      <c r="BD32" s="115"/>
      <c r="BE32" s="115"/>
      <c r="BF32" s="115"/>
    </row>
    <row r="33" spans="2:58" x14ac:dyDescent="0.2">
      <c r="B33" s="52" t="s">
        <v>429</v>
      </c>
      <c r="C33" s="46">
        <f>BegDate</f>
        <v>0</v>
      </c>
      <c r="E33" s="17"/>
      <c r="F33" s="102">
        <f>-SUMIFS(Journal[CrAmt],Journal[CrAccnt],E33,Journal[ref2],"&lt;&gt;CL")+SUMIFS(Journal[DrAmt],Journal[DrAccnt],E33,Journal[ref2],"&lt;&gt;CL")</f>
        <v>0</v>
      </c>
      <c r="Q33" s="342"/>
      <c r="R33" s="344"/>
      <c r="AD33" s="17" t="str">
        <f t="shared" si="8"/>
        <v/>
      </c>
      <c r="AE33" s="62" t="str">
        <f t="shared" si="7"/>
        <v/>
      </c>
      <c r="AG33" s="33" t="e">
        <f ca="1"/>
        <v>#NAME?</v>
      </c>
      <c r="AH33" s="143" t="e">
        <f ca="1"/>
        <v>#NAME?</v>
      </c>
      <c r="AI33" s="42" t="e">
        <f ca="1"/>
        <v>#NAME?</v>
      </c>
      <c r="AJ33" s="33" t="e">
        <f ca="1"/>
        <v>#NAME?</v>
      </c>
      <c r="AN33" s="52" t="s">
        <v>429</v>
      </c>
      <c r="AO33" s="46">
        <f>EndDate</f>
        <v>0</v>
      </c>
    </row>
    <row r="34" spans="2:58" x14ac:dyDescent="0.2">
      <c r="B34" s="17" t="e" cm="1">
        <f t="array" aca="1" ref="B34:B41" ca="1">_xlfn._xlws.FILTER(Liability[Name],Liability[C/NC]="C")</f>
        <v>#NAME?</v>
      </c>
      <c r="C34" s="99" t="e">
        <f ca="1">IF(ISBLANK(B34),"",_xlfn.XLOOKUP(B34,BegBalSht[Account],BegBalSht[Amount]))</f>
        <v>#NAME?</v>
      </c>
      <c r="E34" s="21" t="s">
        <v>430</v>
      </c>
      <c r="F34" s="47">
        <f>SUM(F30:F33)</f>
        <v>0</v>
      </c>
      <c r="Q34" s="75" t="s">
        <v>431</v>
      </c>
      <c r="R34" s="47">
        <f>SUBTOTAL(9,R28:R33)</f>
        <v>0</v>
      </c>
      <c r="AD34" s="17" t="str">
        <f t="shared" si="8"/>
        <v/>
      </c>
      <c r="AE34" s="62" t="str">
        <f t="shared" si="7"/>
        <v/>
      </c>
      <c r="AG34" s="33" t="e">
        <f ca="1"/>
        <v>#NAME?</v>
      </c>
      <c r="AH34" s="143" t="e">
        <f ca="1"/>
        <v>#NAME?</v>
      </c>
      <c r="AI34" s="42" t="e">
        <f ca="1"/>
        <v>#NAME?</v>
      </c>
      <c r="AJ34" s="33" t="e">
        <f ca="1"/>
        <v>#NAME?</v>
      </c>
      <c r="AN34" s="17" t="e">
        <f t="shared" ref="AN34:AN43" ca="1" si="9">IF(ISBLANK(B34),"",B34)</f>
        <v>#NAME?</v>
      </c>
      <c r="AO34" s="99">
        <f t="shared" ref="AO34:AO43" ca="1" si="10">IFERROR(C34+AR34-AQ34,0)</f>
        <v>0</v>
      </c>
      <c r="AQ34">
        <f ca="1">SUMIF(Journal[DrAccnt],Financial_Statements_4!AN34,Journal[DrAmt])</f>
        <v>0</v>
      </c>
      <c r="AR34">
        <f ca="1">SUMIF(Journal[CrAccnt],Financial_Statements_4!AN34,Journal[CrAmt])</f>
        <v>0</v>
      </c>
      <c r="AT34" s="5" t="s">
        <v>105</v>
      </c>
      <c r="AU34" s="5"/>
      <c r="AW34" s="4" t="s">
        <v>104</v>
      </c>
      <c r="BA34" s="5" t="s">
        <v>464</v>
      </c>
      <c r="BB34" s="5"/>
      <c r="BD34" s="4" t="s">
        <v>141</v>
      </c>
    </row>
    <row r="35" spans="2:58" ht="16" thickBot="1" x14ac:dyDescent="0.25">
      <c r="B35" s="17" t="e">
        <f ca="1"/>
        <v>#NAME?</v>
      </c>
      <c r="C35" s="100" t="e">
        <f ca="1">IF(ISBLANK(B35),"",_xlfn.XLOOKUP(B35,BegBalSht[Account],BegBalSht[Amount]))</f>
        <v>#NAME?</v>
      </c>
      <c r="E35" s="19" t="s">
        <v>401</v>
      </c>
      <c r="F35" s="79">
        <f>F12-F22+F28-F34</f>
        <v>0</v>
      </c>
      <c r="Q35" s="17"/>
      <c r="R35" s="18"/>
      <c r="AD35" s="17" t="str">
        <f t="shared" si="8"/>
        <v/>
      </c>
      <c r="AE35" s="62" t="str">
        <f t="shared" si="7"/>
        <v/>
      </c>
      <c r="AG35" s="33" t="e">
        <f ca="1"/>
        <v>#NAME?</v>
      </c>
      <c r="AH35" s="143" t="e">
        <f ca="1"/>
        <v>#NAME?</v>
      </c>
      <c r="AI35" s="42" t="e">
        <f ca="1"/>
        <v>#NAME?</v>
      </c>
      <c r="AJ35" s="33" t="e">
        <f ca="1"/>
        <v>#NAME?</v>
      </c>
      <c r="AN35" s="17" t="e">
        <f t="shared" ca="1" si="9"/>
        <v>#NAME?</v>
      </c>
      <c r="AO35" s="100">
        <f t="shared" ca="1" si="10"/>
        <v>0</v>
      </c>
      <c r="AQ35">
        <f ca="1">SUMIF(Journal[DrAccnt],Financial_Statements_4!AN35,Journal[DrAmt])</f>
        <v>0</v>
      </c>
      <c r="AR35">
        <f ca="1">SUMIF(Journal[CrAccnt],Financial_Statements_4!AN35,Journal[CrAmt])</f>
        <v>0</v>
      </c>
      <c r="AT35" s="110" t="e" cm="1">
        <f t="array" aca="1" ref="AT35" ca="1">_xlfn._xlws.FILTER(Journal[ref]:Journal[CrAmt],Journal[ref2]=AW34,"")</f>
        <v>#NAME?</v>
      </c>
      <c r="AU35" s="31"/>
      <c r="AV35" s="31"/>
      <c r="AW35" s="31"/>
      <c r="AX35" s="31"/>
      <c r="AY35" s="31"/>
      <c r="BA35" s="114" t="e" cm="1">
        <f t="array" aca="1" ref="BA35" ca="1">_xlfn._xlws.FILTER(Journal[ref]:Journal[CrAmt],Journal[ref2]=BD34,"")</f>
        <v>#NAME?</v>
      </c>
      <c r="BB35" s="115"/>
      <c r="BC35" s="115"/>
      <c r="BD35" s="115"/>
      <c r="BE35" s="115"/>
      <c r="BF35" s="115"/>
    </row>
    <row r="36" spans="2:58" ht="17" thickTop="1" thickBot="1" x14ac:dyDescent="0.25">
      <c r="B36" s="17" t="e">
        <f ca="1"/>
        <v>#NAME?</v>
      </c>
      <c r="C36" s="100" t="e">
        <f ca="1">IF(ISBLANK(B36),"",_xlfn.XLOOKUP(B36,BegBalSht[Account],BegBalSht[Amount]))</f>
        <v>#NAME?</v>
      </c>
      <c r="E36" s="24"/>
      <c r="F36" s="25"/>
      <c r="Q36" s="17" t="s">
        <v>432</v>
      </c>
      <c r="R36" s="80">
        <f>SUBTOTAL(9,R8:R35)</f>
        <v>0</v>
      </c>
      <c r="AD36" s="17" t="str">
        <f t="shared" si="8"/>
        <v/>
      </c>
      <c r="AE36" s="62" t="str">
        <f t="shared" si="7"/>
        <v/>
      </c>
      <c r="AG36" s="33" t="e">
        <f ca="1"/>
        <v>#NAME?</v>
      </c>
      <c r="AH36" s="143" t="e">
        <f ca="1"/>
        <v>#NAME?</v>
      </c>
      <c r="AI36" s="42" t="e">
        <f ca="1"/>
        <v>#NAME?</v>
      </c>
      <c r="AJ36" s="33" t="e">
        <f ca="1"/>
        <v>#NAME?</v>
      </c>
      <c r="AN36" s="17" t="e">
        <f t="shared" ca="1" si="9"/>
        <v>#NAME?</v>
      </c>
      <c r="AO36" s="100">
        <f t="shared" ca="1" si="10"/>
        <v>0</v>
      </c>
      <c r="AQ36">
        <f ca="1">SUMIF(Journal[DrAccnt],Financial_Statements_4!AN36,Journal[DrAmt])</f>
        <v>0</v>
      </c>
      <c r="AR36">
        <f ca="1">SUMIF(Journal[CrAccnt],Financial_Statements_4!AN36,Journal[CrAmt])</f>
        <v>0</v>
      </c>
      <c r="AT36" s="110"/>
      <c r="AU36" s="31"/>
      <c r="AV36" s="31"/>
      <c r="AW36" s="31"/>
      <c r="AX36" s="31"/>
      <c r="AY36" s="31"/>
      <c r="BA36" s="114"/>
      <c r="BB36" s="115"/>
      <c r="BC36" s="115"/>
      <c r="BD36" s="115"/>
      <c r="BE36" s="115"/>
      <c r="BF36" s="115"/>
    </row>
    <row r="37" spans="2:58" x14ac:dyDescent="0.2">
      <c r="B37" s="17" t="e">
        <f ca="1"/>
        <v>#NAME?</v>
      </c>
      <c r="C37" s="100" t="e">
        <f ca="1">IF(ISBLANK(B37),"",_xlfn.XLOOKUP(B37,BegBalSht[Account],BegBalSht[Amount]))</f>
        <v>#NAME?</v>
      </c>
      <c r="Q37" s="17" t="str">
        <f>"Cash @ "&amp;BegDate</f>
        <v xml:space="preserve">Cash @ </v>
      </c>
      <c r="R37" s="62" t="e">
        <f ca="1">_xlfn.XLOOKUP("Cash",B8:B17,C8:C17,0)</f>
        <v>#NAME?</v>
      </c>
      <c r="AD37" s="75" t="s">
        <v>423</v>
      </c>
      <c r="AE37" s="47">
        <f>SUBTOTAL(9,AE30:AE36)</f>
        <v>0</v>
      </c>
      <c r="AG37" s="33" t="e">
        <f ca="1"/>
        <v>#NAME?</v>
      </c>
      <c r="AH37" s="143" t="e">
        <f ca="1"/>
        <v>#NAME?</v>
      </c>
      <c r="AI37" s="42" t="e">
        <f ca="1"/>
        <v>#NAME?</v>
      </c>
      <c r="AJ37" s="33" t="e">
        <f ca="1"/>
        <v>#NAME?</v>
      </c>
      <c r="AN37" s="17" t="e">
        <f t="shared" ca="1" si="9"/>
        <v>#NAME?</v>
      </c>
      <c r="AO37" s="100">
        <f t="shared" ca="1" si="10"/>
        <v>0</v>
      </c>
      <c r="AQ37">
        <f ca="1">SUMIF(Journal[DrAccnt],Financial_Statements_4!AN37,Journal[DrAmt])</f>
        <v>0</v>
      </c>
      <c r="AR37">
        <f ca="1">SUMIF(Journal[CrAccnt],Financial_Statements_4!AN37,Journal[CrAmt])</f>
        <v>0</v>
      </c>
      <c r="AT37" s="110"/>
      <c r="AU37" s="31"/>
      <c r="AV37" s="31"/>
      <c r="AW37" s="31"/>
      <c r="AX37" s="31"/>
      <c r="AY37" s="31"/>
      <c r="BA37" s="114"/>
      <c r="BB37" s="115"/>
      <c r="BC37" s="115"/>
      <c r="BD37" s="115"/>
      <c r="BE37" s="115"/>
      <c r="BF37" s="115"/>
    </row>
    <row r="38" spans="2:58" ht="16" thickBot="1" x14ac:dyDescent="0.25">
      <c r="B38" s="17" t="e">
        <f ca="1"/>
        <v>#NAME?</v>
      </c>
      <c r="C38" s="100" t="e">
        <f ca="1">IF(ISBLANK(B38),"",_xlfn.XLOOKUP(B38,BegBalSht[Account],BegBalSht[Amount]))</f>
        <v>#NAME?</v>
      </c>
      <c r="Q38" s="17" t="str">
        <f>"Cash @ "&amp;EndDate</f>
        <v xml:space="preserve">Cash @ </v>
      </c>
      <c r="R38" s="79" t="e">
        <f ca="1">SUM(R36:R37)</f>
        <v>#NAME?</v>
      </c>
      <c r="AD38" s="17"/>
      <c r="AE38" s="18"/>
      <c r="AG38" s="33" t="e">
        <f ca="1"/>
        <v>#NAME?</v>
      </c>
      <c r="AH38" s="143" t="e">
        <f ca="1"/>
        <v>#NAME?</v>
      </c>
      <c r="AI38" s="42" t="e">
        <f ca="1"/>
        <v>#NAME?</v>
      </c>
      <c r="AJ38" s="33" t="e">
        <f ca="1"/>
        <v>#NAME?</v>
      </c>
      <c r="AN38" s="17" t="e">
        <f t="shared" ca="1" si="9"/>
        <v>#NAME?</v>
      </c>
      <c r="AO38" s="100">
        <f t="shared" ca="1" si="10"/>
        <v>0</v>
      </c>
      <c r="AQ38">
        <f ca="1">SUMIF(Journal[DrAccnt],Financial_Statements_4!AN38,Journal[DrAmt])</f>
        <v>0</v>
      </c>
      <c r="AR38">
        <f ca="1">SUMIF(Journal[CrAccnt],Financial_Statements_4!AN38,Journal[CrAmt])</f>
        <v>0</v>
      </c>
      <c r="AT38" s="110"/>
      <c r="AU38" s="31"/>
      <c r="AV38" s="31"/>
      <c r="AW38" s="31"/>
      <c r="AX38" s="31"/>
      <c r="AY38" s="31"/>
      <c r="BA38" s="114"/>
      <c r="BB38" s="115"/>
      <c r="BC38" s="115"/>
      <c r="BD38" s="115"/>
      <c r="BE38" s="115"/>
      <c r="BF38" s="115"/>
    </row>
    <row r="39" spans="2:58" ht="17" thickTop="1" thickBot="1" x14ac:dyDescent="0.25">
      <c r="B39" s="17" t="e">
        <f ca="1"/>
        <v>#NAME?</v>
      </c>
      <c r="C39" s="100" t="e">
        <f ca="1">IF(ISBLANK(B39),"",_xlfn.XLOOKUP(B39,BegBalSht[Account],BegBalSht[Amount]))</f>
        <v>#NAME?</v>
      </c>
      <c r="Q39" s="24"/>
      <c r="R39" s="25"/>
      <c r="AD39" s="19" t="s">
        <v>424</v>
      </c>
      <c r="AE39" s="18"/>
      <c r="AG39" s="33" t="e">
        <f ca="1"/>
        <v>#NAME?</v>
      </c>
      <c r="AH39" s="143" t="e">
        <f ca="1"/>
        <v>#NAME?</v>
      </c>
      <c r="AI39" s="42" t="e">
        <f ca="1"/>
        <v>#NAME?</v>
      </c>
      <c r="AJ39" s="33" t="e">
        <f ca="1"/>
        <v>#NAME?</v>
      </c>
      <c r="AN39" s="17" t="e">
        <f t="shared" ca="1" si="9"/>
        <v>#NAME?</v>
      </c>
      <c r="AO39" s="100">
        <f t="shared" ca="1" si="10"/>
        <v>0</v>
      </c>
      <c r="AQ39">
        <f ca="1">SUMIF(Journal[DrAccnt],Financial_Statements_4!AN39,Journal[DrAmt])</f>
        <v>0</v>
      </c>
      <c r="AR39">
        <f ca="1">SUMIF(Journal[CrAccnt],Financial_Statements_4!AN39,Journal[CrAmt])</f>
        <v>0</v>
      </c>
      <c r="AT39" s="110"/>
      <c r="AU39" s="31"/>
      <c r="AV39" s="31"/>
      <c r="AW39" s="31"/>
      <c r="AX39" s="31"/>
      <c r="AY39" s="31"/>
      <c r="BA39" s="114"/>
      <c r="BB39" s="115"/>
      <c r="BC39" s="115"/>
      <c r="BD39" s="115"/>
      <c r="BE39" s="115"/>
      <c r="BF39" s="115"/>
    </row>
    <row r="40" spans="2:58" ht="16" thickBot="1" x14ac:dyDescent="0.25">
      <c r="B40" s="17" t="e">
        <f ca="1"/>
        <v>#NAME?</v>
      </c>
      <c r="C40" s="100" t="e">
        <f ca="1">IF(ISBLANK(B40),"",_xlfn.XLOOKUP(B40,BegBalSht[Account],BegBalSht[Amount]))</f>
        <v>#NAME?</v>
      </c>
      <c r="AD40" s="17" t="str">
        <f t="shared" ref="AD40:AE40" si="11">IF(ISBLANK(Q28),"",Q28)</f>
        <v/>
      </c>
      <c r="AE40" s="62" t="str">
        <f t="shared" si="11"/>
        <v/>
      </c>
      <c r="AG40" s="33" t="e">
        <f ca="1"/>
        <v>#NAME?</v>
      </c>
      <c r="AH40" s="143" t="e">
        <f ca="1"/>
        <v>#NAME?</v>
      </c>
      <c r="AI40" s="42" t="e">
        <f ca="1"/>
        <v>#NAME?</v>
      </c>
      <c r="AJ40" s="33" t="e">
        <f ca="1"/>
        <v>#NAME?</v>
      </c>
      <c r="AN40" s="17" t="e">
        <f t="shared" ca="1" si="9"/>
        <v>#NAME?</v>
      </c>
      <c r="AO40" s="100">
        <f t="shared" ca="1" si="10"/>
        <v>0</v>
      </c>
      <c r="AQ40">
        <f ca="1">SUMIF(Journal[DrAccnt],Financial_Statements_4!AN40,Journal[DrAmt])</f>
        <v>0</v>
      </c>
      <c r="AR40">
        <f ca="1">SUMIF(Journal[CrAccnt],Financial_Statements_4!AN40,Journal[CrAmt])</f>
        <v>0</v>
      </c>
      <c r="AT40" s="110"/>
      <c r="AU40" s="31"/>
      <c r="AV40" s="31"/>
      <c r="AW40" s="31"/>
      <c r="AX40" s="31"/>
      <c r="AY40" s="31"/>
      <c r="BA40" s="114"/>
      <c r="BB40" s="115"/>
      <c r="BC40" s="115"/>
      <c r="BD40" s="115"/>
      <c r="BE40" s="115"/>
      <c r="BF40" s="115"/>
    </row>
    <row r="41" spans="2:58" x14ac:dyDescent="0.2">
      <c r="B41" s="17" t="e">
        <f ca="1"/>
        <v>#NAME?</v>
      </c>
      <c r="C41" s="100" t="e">
        <f ca="1">IF(ISBLANK(B41),"",_xlfn.XLOOKUP(B41,BegBalSht[Account],BegBalSht[Amount]))</f>
        <v>#NAME?</v>
      </c>
      <c r="Q41" s="72" t="s">
        <v>433</v>
      </c>
      <c r="R41" s="71"/>
      <c r="AD41" s="17" t="str">
        <f t="shared" ref="AD41:AE41" si="12">IF(ISBLANK(Q29),"",Q29)</f>
        <v/>
      </c>
      <c r="AE41" s="62" t="str">
        <f t="shared" si="12"/>
        <v/>
      </c>
      <c r="AG41" s="33" t="e">
        <f ca="1"/>
        <v>#NAME?</v>
      </c>
      <c r="AH41" s="143" t="e">
        <f ca="1"/>
        <v>#NAME?</v>
      </c>
      <c r="AI41" s="42" t="e">
        <f ca="1"/>
        <v>#NAME?</v>
      </c>
      <c r="AJ41" s="33" t="e">
        <f ca="1"/>
        <v>#NAME?</v>
      </c>
      <c r="AN41" s="17" t="e">
        <f t="shared" ca="1" si="9"/>
        <v>#NAME?</v>
      </c>
      <c r="AO41" s="100">
        <f t="shared" ca="1" si="10"/>
        <v>0</v>
      </c>
      <c r="AQ41">
        <f ca="1">SUMIF(Journal[DrAccnt],Financial_Statements_4!AN41,Journal[DrAmt])</f>
        <v>0</v>
      </c>
      <c r="AR41">
        <f ca="1">SUMIF(Journal[CrAccnt],Financial_Statements_4!AN41,Journal[CrAmt])</f>
        <v>0</v>
      </c>
    </row>
    <row r="42" spans="2:58" x14ac:dyDescent="0.2">
      <c r="B42" s="17"/>
      <c r="C42" s="100" t="str">
        <f>IF(ISBLANK(B42),"",_xlfn.XLOOKUP(B42,BegBalSht[Account],BegBalSht[Amount]))</f>
        <v/>
      </c>
      <c r="Q42" s="342"/>
      <c r="R42" s="343"/>
      <c r="AD42" s="17" t="str">
        <f t="shared" ref="AD42:AE42" si="13">IF(ISBLANK(Q30),"",Q30)</f>
        <v/>
      </c>
      <c r="AE42" s="62" t="str">
        <f t="shared" si="13"/>
        <v/>
      </c>
      <c r="AG42" s="33" t="e">
        <f ca="1"/>
        <v>#NAME?</v>
      </c>
      <c r="AH42" s="143" t="e">
        <f ca="1"/>
        <v>#NAME?</v>
      </c>
      <c r="AI42" s="42" t="e">
        <f ca="1"/>
        <v>#NAME?</v>
      </c>
      <c r="AJ42" s="33" t="e">
        <f ca="1"/>
        <v>#NAME?</v>
      </c>
      <c r="AN42" s="17" t="str">
        <f t="shared" si="9"/>
        <v/>
      </c>
      <c r="AO42" s="100">
        <f t="shared" si="10"/>
        <v>0</v>
      </c>
      <c r="AQ42">
        <f>SUMIF(Journal[DrAccnt],Financial_Statements_4!AN42,Journal[DrAmt])</f>
        <v>0</v>
      </c>
      <c r="AR42">
        <f>SUMIF(Journal[CrAccnt],Financial_Statements_4!AN42,Journal[CrAmt])</f>
        <v>0</v>
      </c>
      <c r="AT42" s="5"/>
      <c r="AU42" s="5"/>
      <c r="AW42" s="4"/>
      <c r="BA42" s="5" t="s">
        <v>465</v>
      </c>
      <c r="BB42" s="5"/>
      <c r="BD42" s="4" t="s">
        <v>149</v>
      </c>
    </row>
    <row r="43" spans="2:58" x14ac:dyDescent="0.2">
      <c r="B43" s="91"/>
      <c r="C43" s="101" t="str">
        <f>IF(ISBLANK(B43),"",_xlfn.XLOOKUP(B43,BegBalSht[Account],BegBalSht[Amount]))</f>
        <v/>
      </c>
      <c r="Q43" s="342"/>
      <c r="R43" s="343"/>
      <c r="AD43" s="17" t="str">
        <f t="shared" ref="AD43:AE43" si="14">IF(ISBLANK(Q31),"",Q31)</f>
        <v/>
      </c>
      <c r="AE43" s="62" t="str">
        <f t="shared" si="14"/>
        <v/>
      </c>
      <c r="AG43" s="33" t="e">
        <f ca="1"/>
        <v>#NAME?</v>
      </c>
      <c r="AH43" s="143" t="e">
        <f ca="1"/>
        <v>#NAME?</v>
      </c>
      <c r="AI43" s="42" t="e">
        <f ca="1"/>
        <v>#NAME?</v>
      </c>
      <c r="AJ43" s="33" t="e">
        <f ca="1"/>
        <v>#NAME?</v>
      </c>
      <c r="AN43" s="91" t="str">
        <f t="shared" si="9"/>
        <v/>
      </c>
      <c r="AO43" s="101">
        <f t="shared" si="10"/>
        <v>0</v>
      </c>
      <c r="AQ43">
        <f>SUMIF(Journal[DrAccnt],Financial_Statements_4!AN43,Journal[DrAmt])</f>
        <v>0</v>
      </c>
      <c r="AR43">
        <f>SUMIF(Journal[CrAccnt],Financial_Statements_4!AN43,Journal[CrAmt])</f>
        <v>0</v>
      </c>
      <c r="AT43" s="110"/>
      <c r="AU43" s="31"/>
      <c r="AV43" s="31"/>
      <c r="AW43" s="31"/>
      <c r="AX43" s="31"/>
      <c r="AY43" s="31"/>
      <c r="BA43" s="114" t="e" cm="1">
        <f t="array" aca="1" ref="BA43" ca="1">_xlfn._xlws.FILTER(Journal[ref]:Journal[CrAmt],Journal[ref2]=BD42,"")</f>
        <v>#NAME?</v>
      </c>
      <c r="BB43" s="115"/>
      <c r="BC43" s="115"/>
      <c r="BD43" s="115"/>
      <c r="BE43" s="115"/>
      <c r="BF43" s="115"/>
    </row>
    <row r="44" spans="2:58" x14ac:dyDescent="0.2">
      <c r="B44" s="54" t="s">
        <v>434</v>
      </c>
      <c r="C44" s="51" t="e">
        <f ca="1">SUBTOTAL(9,C34:C43)</f>
        <v>#NAME?</v>
      </c>
      <c r="Q44" s="342"/>
      <c r="R44" s="343"/>
      <c r="AD44" s="17" t="str">
        <f t="shared" ref="AD44:AE44" si="15">IF(ISBLANK(Q32),"",Q32)</f>
        <v/>
      </c>
      <c r="AE44" s="62" t="str">
        <f t="shared" si="15"/>
        <v/>
      </c>
      <c r="AG44" s="33" t="e">
        <f ca="1"/>
        <v>#NAME?</v>
      </c>
      <c r="AH44" s="143" t="e">
        <f ca="1"/>
        <v>#NAME?</v>
      </c>
      <c r="AI44" s="42" t="e">
        <f ca="1"/>
        <v>#NAME?</v>
      </c>
      <c r="AJ44" s="33" t="e">
        <f ca="1"/>
        <v>#NAME?</v>
      </c>
      <c r="AN44" s="54" t="s">
        <v>434</v>
      </c>
      <c r="AO44" s="51">
        <f ca="1">SUBTOTAL(9,AO34:AO43)</f>
        <v>0</v>
      </c>
      <c r="AT44" s="110"/>
      <c r="AU44" s="31"/>
      <c r="AV44" s="31"/>
      <c r="AW44" s="31"/>
      <c r="AX44" s="31"/>
      <c r="AY44" s="31"/>
      <c r="BA44" s="114"/>
      <c r="BB44" s="115"/>
      <c r="BC44" s="115"/>
      <c r="BD44" s="115"/>
      <c r="BE44" s="115"/>
      <c r="BF44" s="115"/>
    </row>
    <row r="45" spans="2:58" x14ac:dyDescent="0.2">
      <c r="B45" s="55" t="s">
        <v>435</v>
      </c>
      <c r="C45" s="18"/>
      <c r="Q45" s="342"/>
      <c r="R45" s="343"/>
      <c r="AD45" s="17" t="str">
        <f t="shared" ref="AD45:AE45" si="16">IF(ISBLANK(Q33),"",Q33)</f>
        <v/>
      </c>
      <c r="AE45" s="62" t="str">
        <f t="shared" si="16"/>
        <v/>
      </c>
      <c r="AG45" s="33" t="e">
        <f ca="1"/>
        <v>#NAME?</v>
      </c>
      <c r="AH45" s="143" t="e">
        <f ca="1"/>
        <v>#NAME?</v>
      </c>
      <c r="AI45" s="42" t="e">
        <f ca="1"/>
        <v>#NAME?</v>
      </c>
      <c r="AJ45" s="33" t="e">
        <f ca="1"/>
        <v>#NAME?</v>
      </c>
      <c r="AN45" s="55" t="s">
        <v>435</v>
      </c>
      <c r="AO45" s="18"/>
      <c r="AT45" s="110"/>
      <c r="AU45" s="31"/>
      <c r="AV45" s="31"/>
      <c r="AW45" s="31"/>
      <c r="AX45" s="31"/>
      <c r="AY45" s="31"/>
      <c r="BA45" s="114"/>
      <c r="BB45" s="115"/>
      <c r="BC45" s="115"/>
      <c r="BD45" s="115"/>
      <c r="BE45" s="115"/>
      <c r="BF45" s="115"/>
    </row>
    <row r="46" spans="2:58" ht="16" thickBot="1" x14ac:dyDescent="0.25">
      <c r="B46" s="17" t="str" cm="1">
        <f t="array" ref="B46:B49">_xlfn._xlws.FILTER(Liability[Name],Liability[C/NC]="NC")</f>
        <v>Bonds Payable</v>
      </c>
      <c r="C46" s="99">
        <f>IF(ISBLANK(B46),"",_xlfn.XLOOKUP(B46,BegBalSht[Account],BegBalSht[Amount]))</f>
        <v>0</v>
      </c>
      <c r="Q46" s="345"/>
      <c r="R46" s="346"/>
      <c r="AD46" s="75" t="s">
        <v>431</v>
      </c>
      <c r="AE46" s="47">
        <f>SUBTOTAL(9,AE40:AE45)</f>
        <v>0</v>
      </c>
      <c r="AG46" s="33"/>
      <c r="AH46" s="143"/>
      <c r="AI46" s="42"/>
      <c r="AJ46" s="33"/>
      <c r="AN46" s="17" t="str">
        <f t="shared" ref="AN46:AN55" si="17">IF(ISBLANK(B46),"",B46)</f>
        <v>Bonds Payable</v>
      </c>
      <c r="AO46" s="99">
        <f t="shared" ref="AO46:AO55" si="18">IFERROR(C46+AR46-AQ46,0)</f>
        <v>0</v>
      </c>
      <c r="AQ46">
        <f>SUMIF(Journal[DrAccnt],Financial_Statements_4!AN46,Journal[DrAmt])</f>
        <v>0</v>
      </c>
      <c r="AR46">
        <f>SUMIF(Journal[CrAccnt],Financial_Statements_4!AN46,Journal[CrAmt])</f>
        <v>0</v>
      </c>
      <c r="AT46" s="110"/>
      <c r="AU46" s="31"/>
      <c r="AV46" s="31"/>
      <c r="AW46" s="31"/>
      <c r="AX46" s="31"/>
      <c r="AY46" s="31"/>
      <c r="BA46" s="114"/>
      <c r="BB46" s="115"/>
      <c r="BC46" s="115"/>
      <c r="BD46" s="115"/>
      <c r="BE46" s="115"/>
      <c r="BF46" s="115"/>
    </row>
    <row r="47" spans="2:58" x14ac:dyDescent="0.2">
      <c r="B47" s="17" t="str">
        <v>Notes Payable</v>
      </c>
      <c r="C47" s="100">
        <f>IF(ISBLANK(B47),"",_xlfn.XLOOKUP(B47,BegBalSht[Account],BegBalSht[Amount]))</f>
        <v>0</v>
      </c>
      <c r="AD47" s="75"/>
      <c r="AE47" s="18"/>
      <c r="AH47" s="258">
        <f ca="1">IF(ISBLANK(Indirect_CFO_Worksheet_Tool!P181),"",Indirect_CFO_Worksheet_Tool!P181)</f>
        <v>5</v>
      </c>
      <c r="AI47" s="259">
        <f ca="1">IF(ISBLANK(Indirect_CFO_Worksheet_Tool!Q181),"",Indirect_CFO_Worksheet_Tool!Q181)</f>
        <v>0</v>
      </c>
      <c r="AN47" s="17" t="str">
        <f t="shared" si="17"/>
        <v>Notes Payable</v>
      </c>
      <c r="AO47" s="100">
        <f t="shared" si="18"/>
        <v>0</v>
      </c>
      <c r="AQ47">
        <f>SUMIF(Journal[DrAccnt],Financial_Statements_4!AN47,Journal[DrAmt])</f>
        <v>0</v>
      </c>
      <c r="AR47">
        <f>SUMIF(Journal[CrAccnt],Financial_Statements_4!AN47,Journal[CrAmt])</f>
        <v>0</v>
      </c>
      <c r="AT47" s="110"/>
      <c r="AU47" s="31"/>
      <c r="AV47" s="31"/>
      <c r="AW47" s="31"/>
      <c r="AX47" s="31"/>
      <c r="AY47" s="31"/>
      <c r="BA47" s="114"/>
      <c r="BB47" s="115"/>
      <c r="BC47" s="115"/>
      <c r="BD47" s="115"/>
      <c r="BE47" s="115"/>
      <c r="BF47" s="115"/>
    </row>
    <row r="48" spans="2:58" x14ac:dyDescent="0.2">
      <c r="B48" s="17" t="str">
        <v>Senior Debt</v>
      </c>
      <c r="C48" s="100">
        <f>IF(ISBLANK(B48),"",_xlfn.XLOOKUP(B48,BegBalSht[Account],BegBalSht[Amount]))</f>
        <v>0</v>
      </c>
      <c r="AD48" s="17" t="s">
        <v>437</v>
      </c>
      <c r="AE48" s="80">
        <f>SUBTOTAL(9,AE8:AE47)</f>
        <v>5</v>
      </c>
      <c r="AN48" s="17" t="str">
        <f t="shared" si="17"/>
        <v>Senior Debt</v>
      </c>
      <c r="AO48" s="100">
        <f t="shared" si="18"/>
        <v>0</v>
      </c>
      <c r="AQ48">
        <f>SUMIF(Journal[DrAccnt],Financial_Statements_4!AN48,Journal[DrAmt])</f>
        <v>0</v>
      </c>
      <c r="AR48">
        <f>SUMIF(Journal[CrAccnt],Financial_Statements_4!AN48,Journal[CrAmt])</f>
        <v>0</v>
      </c>
      <c r="AT48" s="110"/>
      <c r="AU48" s="31"/>
      <c r="AV48" s="31"/>
      <c r="AW48" s="31"/>
      <c r="AX48" s="31"/>
      <c r="AY48" s="31"/>
      <c r="BA48" s="114"/>
      <c r="BB48" s="115"/>
      <c r="BC48" s="115"/>
      <c r="BD48" s="115"/>
      <c r="BE48" s="115"/>
      <c r="BF48" s="115"/>
    </row>
    <row r="49" spans="1:58" x14ac:dyDescent="0.2">
      <c r="B49" s="17" t="str">
        <v>Subordinated Debt</v>
      </c>
      <c r="C49" s="100">
        <f>IF(ISBLANK(B49),"",_xlfn.XLOOKUP(B49,BegBalSht[Account],BegBalSht[Amount]))</f>
        <v>0</v>
      </c>
      <c r="AD49" s="17" t="str">
        <f>"Cash @ "&amp;BegDate</f>
        <v xml:space="preserve">Cash @ </v>
      </c>
      <c r="AE49" s="62" t="e">
        <f ca="1">_xlfn.XLOOKUP("Cash",B8:B17,C8:C17,0)</f>
        <v>#NAME?</v>
      </c>
      <c r="AN49" s="17" t="str">
        <f t="shared" si="17"/>
        <v>Subordinated Debt</v>
      </c>
      <c r="AO49" s="100">
        <f t="shared" si="18"/>
        <v>0</v>
      </c>
      <c r="AQ49">
        <f>SUMIF(Journal[DrAccnt],Financial_Statements_4!AN49,Journal[DrAmt])</f>
        <v>0</v>
      </c>
      <c r="AR49">
        <f>SUMIF(Journal[CrAccnt],Financial_Statements_4!AN49,Journal[CrAmt])</f>
        <v>0</v>
      </c>
    </row>
    <row r="50" spans="1:58" ht="16" thickBot="1" x14ac:dyDescent="0.25">
      <c r="B50" s="17"/>
      <c r="C50" s="100" t="str">
        <f>IF(ISBLANK(B50),"",_xlfn.XLOOKUP(B50,BegBalSht[Account],BegBalSht[Amount]))</f>
        <v/>
      </c>
      <c r="AD50" s="17" t="str">
        <f>"Cash @ "&amp;EndDate</f>
        <v xml:space="preserve">Cash @ </v>
      </c>
      <c r="AE50" s="79" t="e">
        <f ca="1">SUM(AE48:AE49)</f>
        <v>#NAME?</v>
      </c>
      <c r="AN50" s="17" t="str">
        <f t="shared" si="17"/>
        <v/>
      </c>
      <c r="AO50" s="100">
        <f t="shared" si="18"/>
        <v>0</v>
      </c>
      <c r="AQ50">
        <f>SUMIF(Journal[DrAccnt],Financial_Statements_4!AN50,Journal[DrAmt])</f>
        <v>0</v>
      </c>
      <c r="AR50">
        <f>SUMIF(Journal[CrAccnt],Financial_Statements_4!AN50,Journal[CrAmt])</f>
        <v>0</v>
      </c>
      <c r="AT50" s="5" t="s">
        <v>466</v>
      </c>
      <c r="AW50" s="4" t="s">
        <v>108</v>
      </c>
      <c r="BA50" s="5" t="s">
        <v>467</v>
      </c>
      <c r="BB50" s="5"/>
      <c r="BD50" s="4" t="s">
        <v>151</v>
      </c>
    </row>
    <row r="51" spans="1:58" ht="17" thickTop="1" thickBot="1" x14ac:dyDescent="0.25">
      <c r="B51" s="17"/>
      <c r="C51" s="100" t="str">
        <f>IF(ISBLANK(B51),"",_xlfn.XLOOKUP(B51,BegBalSht[Account],BegBalSht[Amount]))</f>
        <v/>
      </c>
      <c r="AD51" s="24"/>
      <c r="AE51" s="25"/>
      <c r="AN51" s="17" t="str">
        <f t="shared" si="17"/>
        <v/>
      </c>
      <c r="AO51" s="100">
        <f t="shared" si="18"/>
        <v>0</v>
      </c>
      <c r="AQ51">
        <f>SUMIF(Journal[DrAccnt],Financial_Statements_4!AN51,Journal[DrAmt])</f>
        <v>0</v>
      </c>
      <c r="AR51">
        <f>SUMIF(Journal[CrAccnt],Financial_Statements_4!AN51,Journal[CrAmt])</f>
        <v>0</v>
      </c>
      <c r="AT51" s="110" t="e" cm="1">
        <f t="array" aca="1" ref="AT51" ca="1">_xlfn._xlws.FILTER(Journal[ref]:Journal[CrAmt],Journal[ref2]=AW50,"")</f>
        <v>#NAME?</v>
      </c>
      <c r="AU51" s="31"/>
      <c r="AV51" s="31"/>
      <c r="AW51" s="31"/>
      <c r="AX51" s="31"/>
      <c r="AY51" s="31"/>
      <c r="BA51" s="114" t="e" cm="1">
        <f t="array" aca="1" ref="BA51" ca="1">_xlfn._xlws.FILTER(Journal[ref]:Journal[CrAmt],Journal[ref2]=BD50,"")</f>
        <v>#NAME?</v>
      </c>
      <c r="BB51" s="115"/>
      <c r="BC51" s="115"/>
      <c r="BD51" s="115"/>
      <c r="BE51" s="115"/>
      <c r="BF51" s="115"/>
    </row>
    <row r="52" spans="1:58" ht="16" thickBot="1" x14ac:dyDescent="0.25">
      <c r="B52" s="17"/>
      <c r="C52" s="100" t="str">
        <f>IF(ISBLANK(B52),"",_xlfn.XLOOKUP(B52,BegBalSht[Account],BegBalSht[Amount]))</f>
        <v/>
      </c>
      <c r="AN52" s="17" t="str">
        <f t="shared" si="17"/>
        <v/>
      </c>
      <c r="AO52" s="100">
        <f t="shared" si="18"/>
        <v>0</v>
      </c>
      <c r="AQ52">
        <f>SUMIF(Journal[DrAccnt],Financial_Statements_4!AN52,Journal[DrAmt])</f>
        <v>0</v>
      </c>
      <c r="AR52">
        <f>SUMIF(Journal[CrAccnt],Financial_Statements_4!AN52,Journal[CrAmt])</f>
        <v>0</v>
      </c>
      <c r="AT52" s="110"/>
      <c r="AU52" s="31"/>
      <c r="AV52" s="31"/>
      <c r="AW52" s="31"/>
      <c r="AX52" s="31"/>
      <c r="AY52" s="31"/>
      <c r="BA52" s="114"/>
      <c r="BB52" s="115"/>
      <c r="BC52" s="115"/>
      <c r="BD52" s="115"/>
      <c r="BE52" s="115"/>
      <c r="BF52" s="115"/>
    </row>
    <row r="53" spans="1:58" x14ac:dyDescent="0.2">
      <c r="B53" s="17"/>
      <c r="C53" s="100" t="str">
        <f>IF(ISBLANK(B53),"",_xlfn.XLOOKUP(B53,BegBalSht[Account],BegBalSht[Amount]))</f>
        <v/>
      </c>
      <c r="AD53" s="76" t="s">
        <v>438</v>
      </c>
      <c r="AE53" s="77"/>
      <c r="AN53" s="17" t="str">
        <f t="shared" si="17"/>
        <v/>
      </c>
      <c r="AO53" s="100">
        <f t="shared" si="18"/>
        <v>0</v>
      </c>
      <c r="AQ53">
        <f>SUMIF(Journal[DrAccnt],Financial_Statements_4!AN53,Journal[DrAmt])</f>
        <v>0</v>
      </c>
      <c r="AR53">
        <f>SUMIF(Journal[CrAccnt],Financial_Statements_4!AN53,Journal[CrAmt])</f>
        <v>0</v>
      </c>
      <c r="AT53" s="110"/>
      <c r="AU53" s="31"/>
      <c r="AV53" s="31"/>
      <c r="AW53" s="31"/>
      <c r="AX53" s="31"/>
      <c r="AY53" s="31"/>
      <c r="BA53" s="114"/>
      <c r="BB53" s="115"/>
      <c r="BC53" s="115"/>
      <c r="BD53" s="115"/>
      <c r="BE53" s="115"/>
      <c r="BF53" s="115"/>
    </row>
    <row r="54" spans="1:58" ht="16" thickBot="1" x14ac:dyDescent="0.25">
      <c r="B54" s="17"/>
      <c r="C54" s="100" t="str">
        <f>IF(ISBLANK(B54),"",_xlfn.XLOOKUP(B54,BegBalSht[Account],BegBalSht[Amount]))</f>
        <v/>
      </c>
      <c r="AD54" s="24" t="s">
        <v>439</v>
      </c>
      <c r="AE54" s="78"/>
      <c r="AN54" s="17" t="str">
        <f t="shared" si="17"/>
        <v/>
      </c>
      <c r="AO54" s="100">
        <f t="shared" si="18"/>
        <v>0</v>
      </c>
      <c r="AQ54">
        <f>SUMIF(Journal[DrAccnt],Financial_Statements_4!AN54,Journal[DrAmt])</f>
        <v>0</v>
      </c>
      <c r="AR54">
        <f>SUMIF(Journal[CrAccnt],Financial_Statements_4!AN54,Journal[CrAmt])</f>
        <v>0</v>
      </c>
      <c r="AT54" s="110"/>
      <c r="AU54" s="31"/>
      <c r="AV54" s="31"/>
      <c r="AW54" s="31"/>
      <c r="AX54" s="31"/>
      <c r="AY54" s="31"/>
      <c r="BA54" s="114"/>
      <c r="BB54" s="115"/>
      <c r="BC54" s="115"/>
      <c r="BD54" s="115"/>
      <c r="BE54" s="115"/>
      <c r="BF54" s="115"/>
    </row>
    <row r="55" spans="1:58" ht="16" thickBot="1" x14ac:dyDescent="0.25">
      <c r="B55" s="91"/>
      <c r="C55" s="101" t="str">
        <f>IF(ISBLANK(B55),"",_xlfn.XLOOKUP(B55,BegBalSht[Account],BegBalSht[Amount]))</f>
        <v/>
      </c>
      <c r="AN55" s="91" t="str">
        <f t="shared" si="17"/>
        <v/>
      </c>
      <c r="AO55" s="101">
        <f t="shared" si="18"/>
        <v>0</v>
      </c>
      <c r="AQ55">
        <f>SUMIF(Journal[DrAccnt],Financial_Statements_4!AN55,Journal[DrAmt])</f>
        <v>0</v>
      </c>
      <c r="AR55">
        <f>SUMIF(Journal[CrAccnt],Financial_Statements_4!AN55,Journal[CrAmt])</f>
        <v>0</v>
      </c>
      <c r="AT55" s="110"/>
      <c r="AU55" s="31"/>
      <c r="AV55" s="31"/>
      <c r="AW55" s="31"/>
      <c r="AX55" s="31"/>
      <c r="AY55" s="31"/>
      <c r="BA55" s="114"/>
      <c r="BB55" s="115"/>
      <c r="BC55" s="115"/>
      <c r="BD55" s="115"/>
      <c r="BE55" s="115"/>
      <c r="BF55" s="115"/>
    </row>
    <row r="56" spans="1:58" x14ac:dyDescent="0.2">
      <c r="B56" s="53" t="s">
        <v>440</v>
      </c>
      <c r="C56" s="49">
        <f>SUBTOTAL(9,C46:C55)</f>
        <v>0</v>
      </c>
      <c r="AD56" s="72" t="s">
        <v>433</v>
      </c>
      <c r="AE56" s="71"/>
      <c r="AN56" s="53" t="s">
        <v>440</v>
      </c>
      <c r="AO56" s="49">
        <f>SUBTOTAL(9,AO46:AO55)</f>
        <v>0</v>
      </c>
      <c r="AT56" s="110"/>
      <c r="AU56" s="31"/>
      <c r="AV56" s="31"/>
      <c r="AW56" s="31"/>
      <c r="AX56" s="31"/>
      <c r="AY56" s="31"/>
      <c r="BA56" s="114"/>
      <c r="BB56" s="115"/>
      <c r="BC56" s="115"/>
      <c r="BD56" s="115"/>
      <c r="BE56" s="115"/>
      <c r="BF56" s="115"/>
    </row>
    <row r="57" spans="1:58" x14ac:dyDescent="0.2">
      <c r="B57" s="56" t="s">
        <v>297</v>
      </c>
      <c r="C57" s="49" t="e">
        <f ca="1">SUBTOTAL(9,C34:C56)</f>
        <v>#NAME?</v>
      </c>
      <c r="AD57" s="17" t="str">
        <f>IF(ISBLANK(Q42),"",Q42)</f>
        <v/>
      </c>
      <c r="AE57" s="82" t="str">
        <f t="shared" ref="AE57:AE61" si="19">IF(ISBLANK(R42),"",R42)</f>
        <v/>
      </c>
      <c r="AN57" s="56" t="s">
        <v>297</v>
      </c>
      <c r="AO57" s="49">
        <f ca="1">SUBTOTAL(9,AO34:AO56)</f>
        <v>0</v>
      </c>
    </row>
    <row r="58" spans="1:58" x14ac:dyDescent="0.2">
      <c r="B58" s="57" t="s">
        <v>365</v>
      </c>
      <c r="C58" s="29"/>
      <c r="AD58" s="17" t="str">
        <f t="shared" ref="AD58:AD60" si="20">IF(ISBLANK(Q43),"",Q43)</f>
        <v/>
      </c>
      <c r="AE58" s="82" t="str">
        <f t="shared" si="19"/>
        <v/>
      </c>
      <c r="AN58" s="57" t="s">
        <v>365</v>
      </c>
      <c r="AO58" s="29"/>
      <c r="AT58" s="5" t="s">
        <v>468</v>
      </c>
      <c r="AW58" s="4" t="s">
        <v>110</v>
      </c>
      <c r="BA58" s="5" t="s">
        <v>469</v>
      </c>
      <c r="BB58" s="5"/>
      <c r="BD58" s="4" t="s">
        <v>139</v>
      </c>
    </row>
    <row r="59" spans="1:58" x14ac:dyDescent="0.2">
      <c r="A59" s="199" t="str">
        <f>_xlfn.XLOOKUP(B59,Equity[Name],Equity[Abbr],"")</f>
        <v>PrefStk</v>
      </c>
      <c r="B59" s="17" t="str" cm="1">
        <f t="array" ref="B59:B64">_xlfn._xlws.FILTER(Equity[Name],NOT(ISBLANK(Equity[Name])))</f>
        <v>Preferred Stock</v>
      </c>
      <c r="C59" s="99">
        <f>IF(ISBLANK(B59),"",_xlfn.XLOOKUP(B59,BegBalSht[Account],BegBalSht[Amount]))</f>
        <v>0</v>
      </c>
      <c r="AD59" s="17" t="str">
        <f t="shared" si="20"/>
        <v/>
      </c>
      <c r="AE59" s="82" t="str">
        <f t="shared" si="19"/>
        <v/>
      </c>
      <c r="AN59" s="17" t="str">
        <f>IF(ISBLANK(B59),"",B59)</f>
        <v>Preferred Stock</v>
      </c>
      <c r="AO59" s="99">
        <f t="shared" ref="AO59:AO62" si="21">IFERROR(C59+AR59-AQ59,0)</f>
        <v>0</v>
      </c>
      <c r="AQ59">
        <f>SUMIF(Journal[DrAccnt],Financial_Statements_4!AN59,Journal[DrAmt])</f>
        <v>0</v>
      </c>
      <c r="AR59">
        <f>SUMIF(Journal[CrAccnt],Financial_Statements_4!AN59,Journal[CrAmt])</f>
        <v>0</v>
      </c>
      <c r="AT59" s="110" t="e" cm="1">
        <f t="array" aca="1" ref="AT59" ca="1">_xlfn._xlws.FILTER(Journal[ref]:Journal[CrAmt],Journal[ref2]=AW58,"")</f>
        <v>#NAME?</v>
      </c>
      <c r="AU59" s="31"/>
      <c r="AV59" s="31"/>
      <c r="AW59" s="31"/>
      <c r="AX59" s="31"/>
      <c r="AY59" s="31"/>
      <c r="BA59" s="114" t="e" cm="1">
        <f t="array" aca="1" ref="BA59" ca="1">_xlfn._xlws.FILTER(Journal[ref]:Journal[CrAmt],Journal[ref2]=BD58,"")</f>
        <v>#NAME?</v>
      </c>
      <c r="BB59" s="115"/>
      <c r="BC59" s="115"/>
      <c r="BD59" s="115"/>
      <c r="BE59" s="115"/>
      <c r="BF59" s="115"/>
    </row>
    <row r="60" spans="1:58" x14ac:dyDescent="0.2">
      <c r="A60" s="199" t="e">
        <f ca="1">_xlfn.XLOOKUP(B60,Equity[Name],Equity[Abbr],"")</f>
        <v>#NAME?</v>
      </c>
      <c r="B60" s="17" t="str">
        <v>Common Stock</v>
      </c>
      <c r="C60" s="100">
        <f>IF(ISBLANK(B60),"",_xlfn.XLOOKUP(B60,BegBalSht[Account],BegBalSht[Amount]))</f>
        <v>0</v>
      </c>
      <c r="AD60" s="17" t="str">
        <f t="shared" si="20"/>
        <v/>
      </c>
      <c r="AE60" s="82" t="str">
        <f t="shared" si="19"/>
        <v/>
      </c>
      <c r="AN60" s="17" t="str">
        <f t="shared" ref="AN60:AN62" si="22">IF(ISBLANK(B60),"",B60)</f>
        <v>Common Stock</v>
      </c>
      <c r="AO60" s="100">
        <f t="shared" si="21"/>
        <v>0</v>
      </c>
      <c r="AQ60">
        <f>SUMIF(Journal[DrAccnt],Financial_Statements_4!AN60,Journal[DrAmt])</f>
        <v>0</v>
      </c>
      <c r="AR60">
        <f>SUMIF(Journal[CrAccnt],Financial_Statements_4!AN60,Journal[CrAmt])</f>
        <v>0</v>
      </c>
      <c r="AT60" s="110"/>
      <c r="AU60" s="31"/>
      <c r="AV60" s="31"/>
      <c r="AW60" s="31"/>
      <c r="AX60" s="31"/>
      <c r="AY60" s="31"/>
      <c r="BA60" s="114"/>
      <c r="BB60" s="115"/>
      <c r="BC60" s="115"/>
      <c r="BD60" s="115"/>
      <c r="BE60" s="115"/>
      <c r="BF60" s="115"/>
    </row>
    <row r="61" spans="1:58" ht="16" thickBot="1" x14ac:dyDescent="0.25">
      <c r="A61" s="199" t="str">
        <f>_xlfn.XLOOKUP(B61,Equity[Name],Equity[Abbr],"")</f>
        <v>APIC</v>
      </c>
      <c r="B61" s="17" t="str">
        <v>Additional Paid-in Capital</v>
      </c>
      <c r="C61" s="100">
        <f>IF(ISBLANK(B61),"",_xlfn.XLOOKUP(B61,BegBalSht[Account],BegBalSht[Amount]))</f>
        <v>0</v>
      </c>
      <c r="AD61" s="24" t="str">
        <f>IF(ISBLANK(Q46),"",Q46)</f>
        <v/>
      </c>
      <c r="AE61" s="83" t="str">
        <f t="shared" si="19"/>
        <v/>
      </c>
      <c r="AN61" s="17" t="str">
        <f t="shared" si="22"/>
        <v>Additional Paid-in Capital</v>
      </c>
      <c r="AO61" s="100">
        <f t="shared" si="21"/>
        <v>0</v>
      </c>
      <c r="AQ61">
        <f>SUMIF(Journal[DrAccnt],Financial_Statements_4!AN61,Journal[DrAmt])</f>
        <v>0</v>
      </c>
      <c r="AR61">
        <f>SUMIF(Journal[CrAccnt],Financial_Statements_4!AN61,Journal[CrAmt])</f>
        <v>0</v>
      </c>
      <c r="AT61" s="110"/>
      <c r="AU61" s="31"/>
      <c r="AV61" s="31"/>
      <c r="AW61" s="31"/>
      <c r="AX61" s="31"/>
      <c r="AY61" s="31"/>
      <c r="BA61" s="114"/>
      <c r="BB61" s="115"/>
      <c r="BC61" s="115"/>
      <c r="BD61" s="115"/>
      <c r="BE61" s="115"/>
      <c r="BF61" s="115"/>
    </row>
    <row r="62" spans="1:58" x14ac:dyDescent="0.2">
      <c r="A62" s="199" t="str">
        <f>_xlfn.XLOOKUP(B62,Equity[Name],Equity[Abbr],"")</f>
        <v>RE</v>
      </c>
      <c r="B62" s="17" t="str">
        <v>Retained Earnings</v>
      </c>
      <c r="C62" s="100">
        <f>IF(ISBLANK(B62),"",_xlfn.XLOOKUP(B62,BegBalSht[Account],BegBalSht[Amount]))</f>
        <v>0</v>
      </c>
      <c r="AN62" s="17" t="str">
        <f t="shared" si="22"/>
        <v>Retained Earnings</v>
      </c>
      <c r="AO62" s="100">
        <f t="shared" si="21"/>
        <v>0</v>
      </c>
      <c r="AQ62">
        <f>SUMIF(Journal[DrAccnt],Financial_Statements_4!AN62,Journal[DrAmt])</f>
        <v>0</v>
      </c>
      <c r="AR62">
        <f>SUMIF(Journal[CrAccnt],Financial_Statements_4!AN62,Journal[CrAmt])</f>
        <v>0</v>
      </c>
      <c r="AT62" s="110"/>
      <c r="AU62" s="31"/>
      <c r="AV62" s="31"/>
      <c r="AW62" s="31"/>
      <c r="AX62" s="31"/>
      <c r="AY62" s="31"/>
      <c r="BA62" s="114"/>
      <c r="BB62" s="115"/>
      <c r="BC62" s="115"/>
      <c r="BD62" s="115"/>
      <c r="BE62" s="115"/>
      <c r="BF62" s="115"/>
    </row>
    <row r="63" spans="1:58" x14ac:dyDescent="0.2">
      <c r="A63" s="199" t="str">
        <f>_xlfn.XLOOKUP(B63,Equity[Name],Equity[Abbr],"")</f>
        <v>AOCI</v>
      </c>
      <c r="B63" s="17" t="str">
        <v>Accumulated Other Comprehensive Income</v>
      </c>
      <c r="C63" s="100">
        <f>IF(ISBLANK(B63),"",_xlfn.XLOOKUP(B63,BegBalSht[Account],BegBalSht[Amount]))</f>
        <v>0</v>
      </c>
      <c r="AN63" s="17" t="str">
        <f>IF(ISBLANK(B64),"",B64)</f>
        <v>Treasury Stock</v>
      </c>
      <c r="AO63" s="100">
        <f>IFERROR(C64+AR63-AQ63,0)</f>
        <v>0</v>
      </c>
      <c r="AQ63">
        <f>SUMIF(Journal[DrAccnt],Financial_Statements_4!AN63,Journal[DrAmt])</f>
        <v>0</v>
      </c>
      <c r="AR63">
        <f>SUMIF(Journal[CrAccnt],Financial_Statements_4!AN63,Journal[CrAmt])</f>
        <v>0</v>
      </c>
      <c r="AT63" s="110"/>
      <c r="AU63" s="31"/>
      <c r="AV63" s="31"/>
      <c r="AW63" s="31"/>
      <c r="AX63" s="31"/>
      <c r="AY63" s="31"/>
      <c r="BA63" s="114"/>
      <c r="BB63" s="115"/>
      <c r="BC63" s="115"/>
      <c r="BD63" s="115"/>
      <c r="BE63" s="115"/>
      <c r="BF63" s="115"/>
    </row>
    <row r="64" spans="1:58" x14ac:dyDescent="0.2">
      <c r="A64" s="199" t="str">
        <f>_xlfn.XLOOKUP(B64,Equity[Name],Equity[Abbr],"")</f>
        <v>TS</v>
      </c>
      <c r="B64" s="17" t="str">
        <v>Treasury Stock</v>
      </c>
      <c r="C64" s="100">
        <f>IF(ISBLANK(B64),"",_xlfn.XLOOKUP(B64,BegBalSht[Account],BegBalSht[Amount]))</f>
        <v>0</v>
      </c>
      <c r="AN64" s="91" t="str">
        <f>IF(ISBLANK(B65),"",B65)</f>
        <v/>
      </c>
      <c r="AO64" s="101">
        <f>IFERROR(C65+AR64-AQ64,0)</f>
        <v>0</v>
      </c>
      <c r="AQ64">
        <f>SUMIF(Journal[DrAccnt],Financial_Statements_4!AN64,Journal[DrAmt])</f>
        <v>0</v>
      </c>
      <c r="AR64">
        <f>SUMIF(Journal[CrAccnt],Financial_Statements_4!AN64,Journal[CrAmt])</f>
        <v>0</v>
      </c>
      <c r="AT64" s="110"/>
      <c r="AU64" s="31"/>
      <c r="AV64" s="31"/>
      <c r="AW64" s="31"/>
      <c r="AX64" s="31"/>
      <c r="AY64" s="31"/>
      <c r="BA64" s="114"/>
      <c r="BB64" s="115"/>
      <c r="BC64" s="115"/>
      <c r="BD64" s="115"/>
      <c r="BE64" s="115"/>
      <c r="BF64" s="115"/>
    </row>
    <row r="65" spans="1:58" x14ac:dyDescent="0.2">
      <c r="A65" s="199" t="str">
        <f>_xlfn.XLOOKUP(B65,Equity[Name],Equity[Abbr],"")</f>
        <v/>
      </c>
      <c r="B65" s="91"/>
      <c r="C65" s="101" t="str">
        <f>IF(ISBLANK(B65),"",_xlfn.XLOOKUP(B65,BegBalSht[Account],BegBalSht[Amount]))</f>
        <v/>
      </c>
      <c r="AN65" s="56" t="s">
        <v>298</v>
      </c>
      <c r="AO65" s="49">
        <f>SUBTOTAL(9,AO59:AO64)</f>
        <v>0</v>
      </c>
    </row>
    <row r="66" spans="1:58" ht="16" thickBot="1" x14ac:dyDescent="0.25">
      <c r="B66" s="56" t="s">
        <v>298</v>
      </c>
      <c r="C66" s="49">
        <f>SUBTOTAL(9,C59:C65)</f>
        <v>0</v>
      </c>
      <c r="AN66" s="58" t="s">
        <v>441</v>
      </c>
      <c r="AO66" s="50">
        <f ca="1">SUBTOTAL(9,AO34:AO65)</f>
        <v>0</v>
      </c>
      <c r="AT66" s="5" t="s">
        <v>113</v>
      </c>
      <c r="AW66" s="4" t="s">
        <v>112</v>
      </c>
      <c r="BA66" s="5" t="s">
        <v>470</v>
      </c>
      <c r="BB66" s="5"/>
      <c r="BD66" s="4" t="s">
        <v>143</v>
      </c>
    </row>
    <row r="67" spans="1:58" ht="16" thickBot="1" x14ac:dyDescent="0.25">
      <c r="B67" s="58" t="s">
        <v>441</v>
      </c>
      <c r="C67" s="50" t="e">
        <f ca="1">SUBTOTAL(9,C34:C66)</f>
        <v>#NAME?</v>
      </c>
      <c r="AN67" s="24"/>
      <c r="AO67" s="25"/>
      <c r="AT67" s="110" t="e" cm="1">
        <f t="array" aca="1" ref="AT67" ca="1">_xlfn._xlws.FILTER(Journal[ref]:Journal[CrAmt],Journal[ref2]=AW66,"")</f>
        <v>#NAME?</v>
      </c>
      <c r="AU67" s="31"/>
      <c r="AV67" s="31"/>
      <c r="AW67" s="31"/>
      <c r="AX67" s="31"/>
      <c r="AY67" s="31"/>
      <c r="BA67" s="114" t="e" cm="1">
        <f t="array" aca="1" ref="BA67" ca="1">_xlfn._xlws.FILTER(Journal[ref]:Journal[CrAmt],Journal[ref2]=BD66,"")</f>
        <v>#NAME?</v>
      </c>
      <c r="BB67" s="115"/>
      <c r="BC67" s="115"/>
      <c r="BD67" s="115"/>
      <c r="BE67" s="115"/>
      <c r="BF67" s="115"/>
    </row>
    <row r="68" spans="1:58" ht="16" thickBot="1" x14ac:dyDescent="0.25">
      <c r="B68" s="24"/>
      <c r="C68" s="25"/>
      <c r="AT68" s="110"/>
      <c r="AU68" s="31"/>
      <c r="AV68" s="31"/>
      <c r="AW68" s="31"/>
      <c r="AX68" s="31"/>
      <c r="AY68" s="31"/>
      <c r="BA68" s="114"/>
      <c r="BB68" s="115"/>
      <c r="BC68" s="115"/>
      <c r="BD68" s="115"/>
      <c r="BE68" s="115"/>
      <c r="BF68" s="115"/>
    </row>
    <row r="69" spans="1:58" x14ac:dyDescent="0.2">
      <c r="AT69" s="110"/>
      <c r="AU69" s="31"/>
      <c r="AV69" s="31"/>
      <c r="AW69" s="31"/>
      <c r="AX69" s="31"/>
      <c r="AY69" s="31"/>
      <c r="BA69" s="114"/>
      <c r="BB69" s="115"/>
      <c r="BC69" s="115"/>
      <c r="BD69" s="115"/>
      <c r="BE69" s="115"/>
      <c r="BF69" s="115"/>
    </row>
    <row r="70" spans="1:58" x14ac:dyDescent="0.2">
      <c r="AT70" s="110"/>
      <c r="AU70" s="31"/>
      <c r="AV70" s="31"/>
      <c r="AW70" s="31"/>
      <c r="AX70" s="31"/>
      <c r="AY70" s="31"/>
      <c r="BA70" s="114"/>
      <c r="BB70" s="115"/>
      <c r="BC70" s="115"/>
      <c r="BD70" s="115"/>
      <c r="BE70" s="115"/>
      <c r="BF70" s="115"/>
    </row>
    <row r="71" spans="1:58" x14ac:dyDescent="0.2">
      <c r="AT71" s="110"/>
      <c r="AU71" s="31"/>
      <c r="AV71" s="31"/>
      <c r="AW71" s="31"/>
      <c r="AX71" s="31"/>
      <c r="AY71" s="31"/>
      <c r="BA71" s="114"/>
      <c r="BB71" s="115"/>
      <c r="BC71" s="115"/>
      <c r="BD71" s="115"/>
      <c r="BE71" s="115"/>
      <c r="BF71" s="115"/>
    </row>
    <row r="72" spans="1:58" x14ac:dyDescent="0.2">
      <c r="AT72" s="110"/>
      <c r="AU72" s="31"/>
      <c r="AV72" s="31"/>
      <c r="AW72" s="31"/>
      <c r="AX72" s="31"/>
      <c r="AY72" s="31"/>
      <c r="BA72" s="114"/>
      <c r="BB72" s="115"/>
      <c r="BC72" s="115"/>
      <c r="BD72" s="115"/>
      <c r="BE72" s="115"/>
      <c r="BF72" s="115"/>
    </row>
    <row r="74" spans="1:58" x14ac:dyDescent="0.2">
      <c r="AT74" s="5" t="s">
        <v>115</v>
      </c>
      <c r="AW74" s="4" t="s">
        <v>114</v>
      </c>
      <c r="BA74" s="5" t="s">
        <v>148</v>
      </c>
      <c r="BB74" s="5"/>
      <c r="BD74" s="4" t="s">
        <v>147</v>
      </c>
    </row>
    <row r="75" spans="1:58" x14ac:dyDescent="0.2">
      <c r="AT75" s="110" t="e" cm="1">
        <f t="array" aca="1" ref="AT75" ca="1">_xlfn._xlws.FILTER(Journal[ref]:Journal[CrAmt],Journal[ref2]=AW74,"")</f>
        <v>#NAME?</v>
      </c>
      <c r="AU75" s="31"/>
      <c r="AV75" s="31"/>
      <c r="AW75" s="31"/>
      <c r="AX75" s="31"/>
      <c r="AY75" s="31"/>
      <c r="BA75" s="114" t="e" cm="1">
        <f t="array" aca="1" ref="BA75" ca="1">_xlfn._xlws.FILTER(Journal[ref]:Journal[CrAmt],Journal[ref2]=BD74,"")</f>
        <v>#NAME?</v>
      </c>
      <c r="BB75" s="115"/>
      <c r="BC75" s="115"/>
      <c r="BD75" s="115"/>
      <c r="BE75" s="115"/>
      <c r="BF75" s="115"/>
    </row>
    <row r="76" spans="1:58" x14ac:dyDescent="0.2">
      <c r="AT76" s="110"/>
      <c r="AU76" s="31"/>
      <c r="AV76" s="31"/>
      <c r="AW76" s="31"/>
      <c r="AX76" s="31"/>
      <c r="AY76" s="31"/>
      <c r="BA76" s="114"/>
      <c r="BB76" s="115"/>
      <c r="BC76" s="115"/>
      <c r="BD76" s="115"/>
      <c r="BE76" s="115"/>
      <c r="BF76" s="115"/>
    </row>
    <row r="77" spans="1:58" x14ac:dyDescent="0.2">
      <c r="AT77" s="110"/>
      <c r="AU77" s="31"/>
      <c r="AV77" s="31"/>
      <c r="AW77" s="31"/>
      <c r="AX77" s="31"/>
      <c r="AY77" s="31"/>
      <c r="BA77" s="114"/>
      <c r="BB77" s="115"/>
      <c r="BC77" s="115"/>
      <c r="BD77" s="115"/>
      <c r="BE77" s="115"/>
      <c r="BF77" s="115"/>
    </row>
    <row r="78" spans="1:58" x14ac:dyDescent="0.2">
      <c r="AT78" s="110"/>
      <c r="AU78" s="31"/>
      <c r="AV78" s="31"/>
      <c r="AW78" s="31"/>
      <c r="AX78" s="31"/>
      <c r="AY78" s="31"/>
      <c r="BA78" s="114"/>
      <c r="BB78" s="115"/>
      <c r="BC78" s="115"/>
      <c r="BD78" s="115"/>
      <c r="BE78" s="115"/>
      <c r="BF78" s="115"/>
    </row>
    <row r="79" spans="1:58" x14ac:dyDescent="0.2">
      <c r="AT79" s="110"/>
      <c r="AU79" s="31"/>
      <c r="AV79" s="31"/>
      <c r="AW79" s="31"/>
      <c r="AX79" s="31"/>
      <c r="AY79" s="31"/>
      <c r="BA79" s="114"/>
      <c r="BB79" s="115"/>
      <c r="BC79" s="115"/>
      <c r="BD79" s="115"/>
      <c r="BE79" s="115"/>
      <c r="BF79" s="115"/>
    </row>
    <row r="80" spans="1:58" x14ac:dyDescent="0.2">
      <c r="AT80" s="110"/>
      <c r="AU80" s="31"/>
      <c r="AV80" s="31"/>
      <c r="AW80" s="31"/>
      <c r="AX80" s="31"/>
      <c r="AY80" s="31"/>
      <c r="BA80" s="114"/>
      <c r="BB80" s="115"/>
      <c r="BC80" s="115"/>
      <c r="BD80" s="115"/>
      <c r="BE80" s="115"/>
      <c r="BF80" s="115"/>
    </row>
    <row r="82" spans="53:58" x14ac:dyDescent="0.2">
      <c r="BA82" s="5" t="s">
        <v>471</v>
      </c>
      <c r="BB82" s="5"/>
      <c r="BD82" s="4" t="s">
        <v>145</v>
      </c>
    </row>
    <row r="83" spans="53:58" x14ac:dyDescent="0.2">
      <c r="BA83" s="114" t="e" cm="1">
        <f t="array" aca="1" ref="BA83" ca="1">_xlfn._xlws.FILTER(Journal[ref]:Journal[CrAmt],Journal[ref2]=BD82,"")</f>
        <v>#NAME?</v>
      </c>
      <c r="BB83" s="115"/>
      <c r="BC83" s="115"/>
      <c r="BD83" s="115"/>
      <c r="BE83" s="115"/>
      <c r="BF83" s="115"/>
    </row>
    <row r="84" spans="53:58" x14ac:dyDescent="0.2">
      <c r="BA84" s="114"/>
      <c r="BB84" s="115"/>
      <c r="BC84" s="115"/>
      <c r="BD84" s="115"/>
      <c r="BE84" s="115"/>
      <c r="BF84" s="115"/>
    </row>
    <row r="85" spans="53:58" x14ac:dyDescent="0.2">
      <c r="BA85" s="114"/>
      <c r="BB85" s="115"/>
      <c r="BC85" s="115"/>
      <c r="BD85" s="115"/>
      <c r="BE85" s="115"/>
      <c r="BF85" s="115"/>
    </row>
    <row r="86" spans="53:58" x14ac:dyDescent="0.2">
      <c r="BA86" s="114"/>
      <c r="BB86" s="115"/>
      <c r="BC86" s="115"/>
      <c r="BD86" s="115"/>
      <c r="BE86" s="115"/>
      <c r="BF86" s="115"/>
    </row>
    <row r="87" spans="53:58" x14ac:dyDescent="0.2">
      <c r="BA87" s="114"/>
      <c r="BB87" s="115"/>
      <c r="BC87" s="115"/>
      <c r="BD87" s="115"/>
      <c r="BE87" s="115"/>
      <c r="BF87" s="115"/>
    </row>
    <row r="88" spans="53:58" x14ac:dyDescent="0.2">
      <c r="BA88" s="114"/>
      <c r="BB88" s="115"/>
      <c r="BC88" s="115"/>
      <c r="BD88" s="115"/>
      <c r="BE88" s="115"/>
      <c r="BF88" s="115"/>
    </row>
  </sheetData>
  <sheetProtection formatColumns="0"/>
  <conditionalFormatting sqref="AT3:AY8">
    <cfRule type="cellIs" dxfId="428" priority="58" operator="equal">
      <formula>0</formula>
    </cfRule>
  </conditionalFormatting>
  <conditionalFormatting sqref="AT12:AY16 AU11:AY11">
    <cfRule type="cellIs" dxfId="427" priority="57" operator="equal">
      <formula>0</formula>
    </cfRule>
  </conditionalFormatting>
  <conditionalFormatting sqref="AT20:AY24 AU19:AY19">
    <cfRule type="cellIs" dxfId="426" priority="56" operator="equal">
      <formula>0</formula>
    </cfRule>
  </conditionalFormatting>
  <conditionalFormatting sqref="AT28:AY32 AU27:AY27">
    <cfRule type="cellIs" dxfId="425" priority="55" operator="equal">
      <formula>0</formula>
    </cfRule>
  </conditionalFormatting>
  <conditionalFormatting sqref="AT36:AY40 AU35:AY35">
    <cfRule type="cellIs" dxfId="424" priority="54" operator="equal">
      <formula>0</formula>
    </cfRule>
  </conditionalFormatting>
  <conditionalFormatting sqref="AT44:AY48 AU43:AY43">
    <cfRule type="cellIs" dxfId="423" priority="53" operator="equal">
      <formula>0</formula>
    </cfRule>
  </conditionalFormatting>
  <conditionalFormatting sqref="AT52:AY56 AU51:AY51">
    <cfRule type="cellIs" dxfId="422" priority="52" operator="equal">
      <formula>0</formula>
    </cfRule>
  </conditionalFormatting>
  <conditionalFormatting sqref="AT60:AY64 AU59:AY59">
    <cfRule type="cellIs" dxfId="421" priority="51" operator="equal">
      <formula>0</formula>
    </cfRule>
  </conditionalFormatting>
  <conditionalFormatting sqref="AT68:AY72 AU67:AY67">
    <cfRule type="cellIs" dxfId="420" priority="49" operator="equal">
      <formula>0</formula>
    </cfRule>
  </conditionalFormatting>
  <conditionalFormatting sqref="AT76:AY80 AU75:AY75">
    <cfRule type="cellIs" dxfId="419" priority="48" operator="equal">
      <formula>0</formula>
    </cfRule>
  </conditionalFormatting>
  <conditionalFormatting sqref="AB12:AB23">
    <cfRule type="cellIs" dxfId="418" priority="41" operator="equal">
      <formula>0</formula>
    </cfRule>
  </conditionalFormatting>
  <conditionalFormatting sqref="X3">
    <cfRule type="cellIs" dxfId="417" priority="38" operator="equal">
      <formula>"Financing"</formula>
    </cfRule>
    <cfRule type="cellIs" dxfId="416" priority="39" operator="equal">
      <formula>"Investing"</formula>
    </cfRule>
    <cfRule type="cellIs" dxfId="415" priority="40" operator="equal">
      <formula>"Operating"</formula>
    </cfRule>
  </conditionalFormatting>
  <conditionalFormatting sqref="X11:AA21 X23:AA25">
    <cfRule type="expression" dxfId="414" priority="42">
      <formula>AND(OR(NOT(ISBLANK($X11)),NOT(ISBLANK($Y11))),$X$3="Financing")</formula>
    </cfRule>
    <cfRule type="expression" dxfId="413" priority="43">
      <formula>AND(OR(NOT(ISBLANK($X11)),NOT(ISBLANK($Y11))),$X$3="Investing")</formula>
    </cfRule>
    <cfRule type="expression" dxfId="412" priority="44">
      <formula>AND(OR(NOT(ISBLANK($X11)),NOT(ISBLANK($Y11))),$X$3="Operating")</formula>
    </cfRule>
    <cfRule type="cellIs" dxfId="411" priority="45" operator="equal">
      <formula>0</formula>
    </cfRule>
  </conditionalFormatting>
  <conditionalFormatting sqref="AB11">
    <cfRule type="cellIs" dxfId="410" priority="37" operator="equal">
      <formula>0</formula>
    </cfRule>
  </conditionalFormatting>
  <conditionalFormatting sqref="AT11">
    <cfRule type="cellIs" dxfId="409" priority="34" operator="equal">
      <formula>0</formula>
    </cfRule>
  </conditionalFormatting>
  <conditionalFormatting sqref="AT19">
    <cfRule type="cellIs" dxfId="408" priority="33" operator="equal">
      <formula>0</formula>
    </cfRule>
  </conditionalFormatting>
  <conditionalFormatting sqref="AT27">
    <cfRule type="cellIs" dxfId="407" priority="32" operator="equal">
      <formula>0</formula>
    </cfRule>
  </conditionalFormatting>
  <conditionalFormatting sqref="AT35">
    <cfRule type="cellIs" dxfId="406" priority="31" operator="equal">
      <formula>0</formula>
    </cfRule>
  </conditionalFormatting>
  <conditionalFormatting sqref="AT43">
    <cfRule type="cellIs" dxfId="405" priority="30" operator="equal">
      <formula>0</formula>
    </cfRule>
  </conditionalFormatting>
  <conditionalFormatting sqref="AT51">
    <cfRule type="cellIs" dxfId="404" priority="29" operator="equal">
      <formula>0</formula>
    </cfRule>
  </conditionalFormatting>
  <conditionalFormatting sqref="AT59">
    <cfRule type="cellIs" dxfId="403" priority="28" operator="equal">
      <formula>0</formula>
    </cfRule>
  </conditionalFormatting>
  <conditionalFormatting sqref="AT67">
    <cfRule type="cellIs" dxfId="402" priority="27" operator="equal">
      <formula>0</formula>
    </cfRule>
  </conditionalFormatting>
  <conditionalFormatting sqref="AT75">
    <cfRule type="cellIs" dxfId="401" priority="26" operator="equal">
      <formula>0</formula>
    </cfRule>
  </conditionalFormatting>
  <conditionalFormatting sqref="BA3">
    <cfRule type="cellIs" dxfId="400" priority="25" operator="equal">
      <formula>0</formula>
    </cfRule>
  </conditionalFormatting>
  <conditionalFormatting sqref="BA3:BF8">
    <cfRule type="cellIs" dxfId="399" priority="24" operator="equal">
      <formula>0</formula>
    </cfRule>
  </conditionalFormatting>
  <conditionalFormatting sqref="BA11">
    <cfRule type="cellIs" dxfId="398" priority="23" operator="equal">
      <formula>0</formula>
    </cfRule>
  </conditionalFormatting>
  <conditionalFormatting sqref="BA11:BF16">
    <cfRule type="cellIs" dxfId="397" priority="22" operator="equal">
      <formula>0</formula>
    </cfRule>
  </conditionalFormatting>
  <conditionalFormatting sqref="BA19">
    <cfRule type="cellIs" dxfId="396" priority="21" operator="equal">
      <formula>0</formula>
    </cfRule>
  </conditionalFormatting>
  <conditionalFormatting sqref="BA19:BF24">
    <cfRule type="cellIs" dxfId="395" priority="20" operator="equal">
      <formula>0</formula>
    </cfRule>
  </conditionalFormatting>
  <conditionalFormatting sqref="BA27">
    <cfRule type="cellIs" dxfId="394" priority="19" operator="equal">
      <formula>0</formula>
    </cfRule>
  </conditionalFormatting>
  <conditionalFormatting sqref="BA27:BF32">
    <cfRule type="cellIs" dxfId="393" priority="18" operator="equal">
      <formula>0</formula>
    </cfRule>
  </conditionalFormatting>
  <conditionalFormatting sqref="BA35">
    <cfRule type="cellIs" dxfId="392" priority="17" operator="equal">
      <formula>0</formula>
    </cfRule>
  </conditionalFormatting>
  <conditionalFormatting sqref="BA35:BF40">
    <cfRule type="cellIs" dxfId="391" priority="16" operator="equal">
      <formula>0</formula>
    </cfRule>
  </conditionalFormatting>
  <conditionalFormatting sqref="BA43">
    <cfRule type="cellIs" dxfId="390" priority="15" operator="equal">
      <formula>0</formula>
    </cfRule>
  </conditionalFormatting>
  <conditionalFormatting sqref="BA43:BF48">
    <cfRule type="cellIs" dxfId="389" priority="14" operator="equal">
      <formula>0</formula>
    </cfRule>
  </conditionalFormatting>
  <conditionalFormatting sqref="BA51">
    <cfRule type="cellIs" dxfId="388" priority="13" operator="equal">
      <formula>0</formula>
    </cfRule>
  </conditionalFormatting>
  <conditionalFormatting sqref="BA51:BF56">
    <cfRule type="cellIs" dxfId="387" priority="12" operator="equal">
      <formula>0</formula>
    </cfRule>
  </conditionalFormatting>
  <conditionalFormatting sqref="BA59">
    <cfRule type="cellIs" dxfId="386" priority="11" operator="equal">
      <formula>0</formula>
    </cfRule>
  </conditionalFormatting>
  <conditionalFormatting sqref="BA59:BF64">
    <cfRule type="cellIs" dxfId="385" priority="10" operator="equal">
      <formula>0</formula>
    </cfRule>
  </conditionalFormatting>
  <conditionalFormatting sqref="BA67">
    <cfRule type="cellIs" dxfId="384" priority="9" operator="equal">
      <formula>0</formula>
    </cfRule>
  </conditionalFormatting>
  <conditionalFormatting sqref="BA67:BF72">
    <cfRule type="cellIs" dxfId="383" priority="8" operator="equal">
      <formula>0</formula>
    </cfRule>
  </conditionalFormatting>
  <conditionalFormatting sqref="BA75">
    <cfRule type="cellIs" dxfId="382" priority="7" operator="equal">
      <formula>0</formula>
    </cfRule>
  </conditionalFormatting>
  <conditionalFormatting sqref="BA75:BF80">
    <cfRule type="cellIs" dxfId="381" priority="6" operator="equal">
      <formula>0</formula>
    </cfRule>
  </conditionalFormatting>
  <conditionalFormatting sqref="BA83">
    <cfRule type="cellIs" dxfId="380" priority="5" operator="equal">
      <formula>0</formula>
    </cfRule>
  </conditionalFormatting>
  <conditionalFormatting sqref="BA83:BF88">
    <cfRule type="cellIs" dxfId="379" priority="4" operator="equal">
      <formula>0</formula>
    </cfRule>
  </conditionalFormatting>
  <conditionalFormatting sqref="AG7:AG14">
    <cfRule type="expression" dxfId="378" priority="3">
      <formula>ROUND(AH7,2)&lt;&gt;0</formula>
    </cfRule>
  </conditionalFormatting>
  <conditionalFormatting sqref="AJ7:AJ46">
    <cfRule type="expression" dxfId="377" priority="2">
      <formula>ROUND(AI7,2)&lt;&gt;0</formula>
    </cfRule>
  </conditionalFormatting>
  <conditionalFormatting sqref="AG15:AG46">
    <cfRule type="expression" dxfId="376" priority="1">
      <formula>ROUND(AH15,2)&lt;&gt;0</formula>
    </cfRule>
  </conditionalFormatting>
  <conditionalFormatting sqref="Y22:AA22">
    <cfRule type="expression" dxfId="375" priority="180">
      <formula>AND(OR(NOT(ISBLANK($Y22)),NOT(ISBLANK(#REF!))),$X$3="Financing")</formula>
    </cfRule>
    <cfRule type="expression" dxfId="374" priority="181">
      <formula>AND(OR(NOT(ISBLANK($Y22)),NOT(ISBLANK(#REF!))),$X$3="Investing")</formula>
    </cfRule>
    <cfRule type="expression" dxfId="373" priority="182">
      <formula>AND(OR(NOT(ISBLANK($Y22)),NOT(ISBLANK(#REF!))),$X$3="Operating")</formula>
    </cfRule>
    <cfRule type="cellIs" dxfId="372" priority="183" operator="equal">
      <formula>0</formula>
    </cfRule>
  </conditionalFormatting>
  <hyperlinks>
    <hyperlink ref="AG2:AJ2" location="Indirect_CFO_Worksheet_Tool!A1" display="Indirect Method Tool: Worksheet CFO" xr:uid="{82F46D7B-D7F1-41A8-98F4-946D5EDD7628}"/>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7">
        <x14:dataValidation type="list" allowBlank="1" showInputMessage="1" showErrorMessage="1" xr:uid="{5F30348F-D9C2-4B13-A0C2-9ABD6184D7F7}">
          <x14:formula1>
            <xm:f>INDIRECT(AccountData!$A$18)</xm:f>
          </x14:formula1>
          <xm:sqref>B8:B17 AN20:AN29 AN8:AN17 B20:B29</xm:sqref>
        </x14:dataValidation>
        <x14:dataValidation type="list" allowBlank="1" showInputMessage="1" showErrorMessage="1" xr:uid="{1937206B-C0CA-4988-9566-707A19B45081}">
          <x14:formula1>
            <xm:f>INDIRECT(AccountData!$A$38)</xm:f>
          </x14:formula1>
          <xm:sqref>B34:B43 AN46:AN55 AN34:AN43 B46:B55</xm:sqref>
        </x14:dataValidation>
        <x14:dataValidation type="list" allowBlank="1" showInputMessage="1" showErrorMessage="1" xr:uid="{09B4C609-7000-4C22-AD6E-61F9DF92D71B}">
          <x14:formula1>
            <xm:f>INDIRECT(AccountData!$A$56)</xm:f>
          </x14:formula1>
          <xm:sqref>AN59:AN64 B59:B65</xm:sqref>
        </x14:dataValidation>
        <x14:dataValidation type="list" allowBlank="1" showInputMessage="1" showErrorMessage="1" xr:uid="{57D02A40-DFE3-43AE-B299-4C8A321136C0}">
          <x14:formula1>
            <xm:f>INDIRECT(AccountData!$B$56)</xm:f>
          </x14:formula1>
          <xm:sqref>I8:N8</xm:sqref>
        </x14:dataValidation>
        <x14:dataValidation type="list" allowBlank="1" showInputMessage="1" showErrorMessage="1" xr:uid="{F66A8B08-25E5-4483-9BB3-0704512ABB62}">
          <x14:formula1>
            <xm:f>INDIRECT(AccountData!$H$23)</xm:f>
          </x14:formula1>
          <xm:sqref>E14:E21</xm:sqref>
        </x14:dataValidation>
        <x14:dataValidation type="list" allowBlank="1" showInputMessage="1" showErrorMessage="1" xr:uid="{8F31FC46-C1E5-4F2A-8EF4-737CEE561EF2}">
          <x14:formula1>
            <xm:f>INDIRECT(AccountData!$H$8)</xm:f>
          </x14:formula1>
          <xm:sqref>E8:E11</xm:sqref>
        </x14:dataValidation>
        <x14:dataValidation type="list" allowBlank="1" showInputMessage="1" showErrorMessage="1" xr:uid="{00D5896E-BB40-42A2-85BB-63525DDEC9C7}">
          <x14:formula1>
            <xm:f>INDIRECT(Trans_Events_Data!$A$53)</xm:f>
          </x14:formula1>
          <xm:sqref>W3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A814A-9623-463E-B6E1-0F78D254ED11}">
  <sheetPr>
    <tabColor theme="4" tint="0.39997558519241921"/>
  </sheetPr>
  <dimension ref="A1:BC96"/>
  <sheetViews>
    <sheetView topLeftCell="Q1" zoomScale="33" zoomScaleNormal="85" workbookViewId="0">
      <selection activeCell="BA105" sqref="BA105"/>
    </sheetView>
  </sheetViews>
  <sheetFormatPr baseColWidth="10" defaultColWidth="8.83203125" defaultRowHeight="15" outlineLevelCol="2" x14ac:dyDescent="0.2"/>
  <cols>
    <col min="2" max="2" width="29.6640625" customWidth="1" outlineLevel="1"/>
    <col min="3" max="3" width="9.5" customWidth="1" outlineLevel="1"/>
    <col min="4" max="4" width="13.6640625" customWidth="1"/>
    <col min="5" max="5" width="42.1640625" customWidth="1" outlineLevel="1"/>
    <col min="6" max="6" width="8.83203125" customWidth="1" outlineLevel="1"/>
    <col min="7" max="7" width="16.5" customWidth="1"/>
    <col min="8" max="8" width="31.5" customWidth="1" outlineLevel="1"/>
    <col min="9" max="9" width="8.83203125" customWidth="1" outlineLevel="1"/>
    <col min="10" max="10" width="9.5" customWidth="1" outlineLevel="1"/>
    <col min="11" max="14" width="8.83203125" customWidth="1" outlineLevel="1"/>
    <col min="15" max="15" width="10.83203125" customWidth="1" outlineLevel="1"/>
    <col min="16" max="16" width="23.6640625" bestFit="1" customWidth="1"/>
    <col min="17" max="17" width="38.6640625" customWidth="1" outlineLevel="1"/>
    <col min="18" max="18" width="10.33203125" customWidth="1" outlineLevel="1"/>
    <col min="19" max="19" width="25.83203125" bestFit="1" customWidth="1"/>
    <col min="20" max="20" width="39.1640625" customWidth="1" outlineLevel="1"/>
    <col min="21" max="21" width="10.33203125" customWidth="1" outlineLevel="1"/>
    <col min="22" max="22" width="5.5" hidden="1" customWidth="1" outlineLevel="2"/>
    <col min="23" max="23" width="16.1640625" hidden="1" customWidth="1" outlineLevel="2"/>
    <col min="24" max="24" width="15" hidden="1" customWidth="1" outlineLevel="2"/>
    <col min="25" max="25" width="13.6640625" hidden="1" customWidth="1" outlineLevel="2"/>
    <col min="26" max="26" width="18.1640625" hidden="1" customWidth="1" outlineLevel="2"/>
    <col min="27" max="27" width="5.5" hidden="1" customWidth="1" outlineLevel="2"/>
    <col min="28" max="28" width="9.1640625" customWidth="1" outlineLevel="1" collapsed="1"/>
    <col min="29" max="29" width="27.33203125" bestFit="1" customWidth="1"/>
    <col min="30" max="30" width="29.6640625" customWidth="1" outlineLevel="1"/>
    <col min="31" max="31" width="10.83203125" customWidth="1" outlineLevel="1"/>
    <col min="32" max="32" width="14" bestFit="1" customWidth="1"/>
    <col min="33" max="34" width="8.83203125" customWidth="1"/>
    <col min="35" max="35" width="9.1640625" customWidth="1"/>
    <col min="36" max="37" width="8.83203125" customWidth="1"/>
    <col min="38" max="39" width="22.33203125" customWidth="1"/>
    <col min="40" max="41" width="8.83203125" customWidth="1"/>
    <col min="42" max="42" width="9.1640625" customWidth="1"/>
    <col min="43" max="44" width="8.83203125" customWidth="1"/>
    <col min="45" max="46" width="22.33203125" customWidth="1"/>
    <col min="47" max="48" width="8.83203125" customWidth="1"/>
    <col min="49" max="49" width="9.1640625" customWidth="1"/>
    <col min="50" max="51" width="8.83203125" customWidth="1"/>
    <col min="52" max="52" width="35.33203125" customWidth="1"/>
    <col min="53" max="53" width="38" customWidth="1"/>
    <col min="54" max="55" width="8.83203125" customWidth="1"/>
    <col min="56" max="56" width="9.1640625" customWidth="1"/>
  </cols>
  <sheetData>
    <row r="1" spans="1:55" ht="16" thickBot="1" x14ac:dyDescent="0.25">
      <c r="A1" s="5" t="s">
        <v>472</v>
      </c>
      <c r="D1" s="5" t="s">
        <v>379</v>
      </c>
      <c r="G1" s="5" t="s">
        <v>381</v>
      </c>
      <c r="P1" s="5" t="s">
        <v>383</v>
      </c>
      <c r="S1" s="5" t="s">
        <v>385</v>
      </c>
      <c r="X1" s="103"/>
      <c r="Y1" s="103"/>
      <c r="Z1" s="103"/>
      <c r="AB1" s="60" t="s">
        <v>386</v>
      </c>
      <c r="AC1" s="5" t="s">
        <v>387</v>
      </c>
      <c r="AF1" s="5" t="s">
        <v>388</v>
      </c>
      <c r="AJ1" s="5" t="s">
        <v>447</v>
      </c>
      <c r="AQ1" s="5" t="s">
        <v>473</v>
      </c>
      <c r="AX1" s="5" t="s">
        <v>136</v>
      </c>
    </row>
    <row r="2" spans="1:55" x14ac:dyDescent="0.2">
      <c r="B2" s="377">
        <f>Entity</f>
        <v>0</v>
      </c>
      <c r="C2" s="378"/>
      <c r="E2" s="383">
        <f>Entity</f>
        <v>0</v>
      </c>
      <c r="F2" s="384"/>
      <c r="H2" s="383">
        <f>Entity</f>
        <v>0</v>
      </c>
      <c r="I2" s="389"/>
      <c r="J2" s="389"/>
      <c r="K2" s="389"/>
      <c r="L2" s="389"/>
      <c r="M2" s="389"/>
      <c r="N2" s="389"/>
      <c r="O2" s="384"/>
      <c r="Q2" s="383">
        <f>Entity</f>
        <v>0</v>
      </c>
      <c r="R2" s="384"/>
      <c r="T2" s="383">
        <f>Entity</f>
        <v>0</v>
      </c>
      <c r="U2" s="384"/>
      <c r="W2" s="333" t="s">
        <v>395</v>
      </c>
      <c r="X2" s="333"/>
      <c r="Y2" s="333"/>
      <c r="Z2" s="333"/>
      <c r="AD2" s="377">
        <f>Entity</f>
        <v>0</v>
      </c>
      <c r="AE2" s="378"/>
      <c r="AJ2" s="5" t="s">
        <v>449</v>
      </c>
      <c r="AM2" s="4" t="s">
        <v>96</v>
      </c>
      <c r="AQ2" s="5" t="s">
        <v>474</v>
      </c>
      <c r="AT2" s="4" t="s">
        <v>116</v>
      </c>
      <c r="AX2" s="5" t="s">
        <v>450</v>
      </c>
      <c r="BA2" s="4" t="s">
        <v>135</v>
      </c>
    </row>
    <row r="3" spans="1:55" x14ac:dyDescent="0.2">
      <c r="B3" s="379" t="str">
        <f>"Balance Sheet as of "&amp;BegDate</f>
        <v xml:space="preserve">Balance Sheet as of </v>
      </c>
      <c r="C3" s="380"/>
      <c r="E3" s="385" t="s">
        <v>381</v>
      </c>
      <c r="F3" s="386"/>
      <c r="H3" s="385" t="s">
        <v>397</v>
      </c>
      <c r="I3" s="390"/>
      <c r="J3" s="390"/>
      <c r="K3" s="390"/>
      <c r="L3" s="390"/>
      <c r="M3" s="390"/>
      <c r="N3" s="390"/>
      <c r="O3" s="386"/>
      <c r="Q3" s="385" t="s">
        <v>398</v>
      </c>
      <c r="R3" s="386"/>
      <c r="T3" s="385" t="s">
        <v>398</v>
      </c>
      <c r="U3" s="386"/>
      <c r="W3" s="11"/>
      <c r="X3" s="3"/>
      <c r="Y3" s="3"/>
      <c r="Z3" s="3"/>
      <c r="AD3" s="379" t="str">
        <f>"Balance Sheet as of "&amp;EndDate</f>
        <v xml:space="preserve">Balance Sheet as of </v>
      </c>
      <c r="AE3" s="380"/>
      <c r="AJ3" s="110" t="e" cm="1">
        <f t="array" aca="1" ref="AJ3" ca="1">_xlfn._xlws.FILTER(Journal[ref]:Journal[CrAmt],Journal[ref2]=AM2,"")</f>
        <v>#NAME?</v>
      </c>
      <c r="AK3" s="31"/>
      <c r="AL3" s="31"/>
      <c r="AM3" s="31"/>
      <c r="AN3" s="31"/>
      <c r="AO3" s="31"/>
      <c r="AQ3" s="111" t="e" cm="1">
        <f t="array" aca="1" ref="AQ3" ca="1">_xlfn._xlws.FILTER(Journal[ref]:Journal[CrAmt],Journal[ref2]=AT2,"")</f>
        <v>#NAME?</v>
      </c>
      <c r="AR3" s="112"/>
      <c r="AS3" s="112"/>
      <c r="AT3" s="112"/>
      <c r="AU3" s="112"/>
      <c r="AV3" s="112"/>
      <c r="AX3" s="114" t="e" cm="1">
        <f t="array" aca="1" ref="AX3" ca="1">_xlfn._xlws.FILTER(Journal[ref]:Journal[CrAmt],Journal[ref2]=BA2,"")</f>
        <v>#NAME?</v>
      </c>
      <c r="AY3" s="115"/>
      <c r="AZ3" s="115"/>
      <c r="BA3" s="115"/>
      <c r="BB3" s="115"/>
      <c r="BC3" s="115"/>
    </row>
    <row r="4" spans="1:55" ht="16" thickBot="1" x14ac:dyDescent="0.25">
      <c r="B4" s="381" t="str">
        <f>"("&amp;Units&amp;")"</f>
        <v>()</v>
      </c>
      <c r="C4" s="382"/>
      <c r="E4" s="385" t="str">
        <f>"For the "&amp;Period&amp;" Ended "&amp;EndDate</f>
        <v xml:space="preserve">For the  Ended </v>
      </c>
      <c r="F4" s="386"/>
      <c r="H4" s="385" t="str">
        <f>"For the "&amp;Period&amp;" Ended "&amp;EndDate</f>
        <v xml:space="preserve">For the  Ended </v>
      </c>
      <c r="I4" s="390"/>
      <c r="J4" s="390"/>
      <c r="K4" s="390"/>
      <c r="L4" s="390"/>
      <c r="M4" s="390"/>
      <c r="N4" s="390"/>
      <c r="O4" s="386"/>
      <c r="Q4" s="385" t="str">
        <f>"For the "&amp;Period&amp;" Ended "&amp;EndDate</f>
        <v xml:space="preserve">For the  Ended </v>
      </c>
      <c r="R4" s="386"/>
      <c r="T4" s="385" t="str">
        <f>"For the "&amp;Period&amp;" Ended "&amp;EndDate</f>
        <v xml:space="preserve">For the  Ended </v>
      </c>
      <c r="U4" s="386"/>
      <c r="X4" s="253" t="s">
        <v>400</v>
      </c>
      <c r="Y4" s="244"/>
      <c r="AD4" s="381" t="str">
        <f>"("&amp;Units&amp;")"</f>
        <v>()</v>
      </c>
      <c r="AE4" s="382"/>
      <c r="AJ4" s="110"/>
      <c r="AK4" s="31"/>
      <c r="AL4" s="31"/>
      <c r="AM4" s="31"/>
      <c r="AN4" s="31"/>
      <c r="AO4" s="31"/>
      <c r="AQ4" s="111"/>
      <c r="AR4" s="112"/>
      <c r="AS4" s="112"/>
      <c r="AT4" s="112"/>
      <c r="AU4" s="112"/>
      <c r="AV4" s="112"/>
      <c r="AX4" s="114"/>
      <c r="AY4" s="115"/>
      <c r="AZ4" s="115"/>
      <c r="BA4" s="115"/>
      <c r="BB4" s="115"/>
      <c r="BC4" s="115"/>
    </row>
    <row r="5" spans="1:55" ht="16" thickBot="1" x14ac:dyDescent="0.25">
      <c r="B5" s="28"/>
      <c r="C5" s="27"/>
      <c r="E5" s="393" t="str">
        <f>"("&amp;Units&amp;")"</f>
        <v>()</v>
      </c>
      <c r="F5" s="386"/>
      <c r="H5" s="387" t="str">
        <f>"("&amp;Units&amp;")"</f>
        <v>()</v>
      </c>
      <c r="I5" s="391"/>
      <c r="J5" s="391"/>
      <c r="K5" s="391"/>
      <c r="L5" s="391"/>
      <c r="M5" s="391"/>
      <c r="N5" s="391"/>
      <c r="O5" s="388"/>
      <c r="Q5" s="387" t="str">
        <f>"("&amp;Units&amp;")"</f>
        <v>()</v>
      </c>
      <c r="R5" s="388"/>
      <c r="T5" s="387" t="str">
        <f>"("&amp;Units&amp;")"</f>
        <v>()</v>
      </c>
      <c r="U5" s="388"/>
      <c r="W5" s="33" t="s">
        <v>401</v>
      </c>
      <c r="X5" s="257">
        <f>Indirect_CFO_Worksheet_Tool!P140</f>
        <v>5</v>
      </c>
      <c r="Y5" s="9">
        <f>Indirect_CFO_Worksheet_Tool!Q140</f>
        <v>0</v>
      </c>
      <c r="Z5" s="33" t="s">
        <v>402</v>
      </c>
      <c r="AD5" s="28"/>
      <c r="AE5" s="27"/>
      <c r="AJ5" s="110"/>
      <c r="AK5" s="31"/>
      <c r="AL5" s="31"/>
      <c r="AM5" s="31"/>
      <c r="AN5" s="31"/>
      <c r="AO5" s="31"/>
      <c r="AQ5" s="111"/>
      <c r="AR5" s="112"/>
      <c r="AS5" s="112"/>
      <c r="AT5" s="112"/>
      <c r="AU5" s="112"/>
      <c r="AV5" s="112"/>
      <c r="AX5" s="114"/>
      <c r="AY5" s="115"/>
      <c r="AZ5" s="115"/>
      <c r="BA5" s="115"/>
      <c r="BB5" s="115"/>
      <c r="BC5" s="115"/>
    </row>
    <row r="6" spans="1:55" x14ac:dyDescent="0.2">
      <c r="B6" s="26" t="s">
        <v>363</v>
      </c>
      <c r="C6" s="29"/>
      <c r="E6" s="17"/>
      <c r="F6" s="18"/>
      <c r="H6" s="16"/>
      <c r="I6" s="2"/>
      <c r="J6" s="2"/>
      <c r="K6" s="2"/>
      <c r="L6" s="2"/>
      <c r="M6" s="2"/>
      <c r="N6" s="2"/>
      <c r="O6" s="15"/>
      <c r="Q6" s="74"/>
      <c r="R6" s="15"/>
      <c r="T6" s="17"/>
      <c r="U6" s="18"/>
      <c r="V6" s="11"/>
      <c r="X6" s="256" t="s">
        <v>403</v>
      </c>
      <c r="Y6" s="245"/>
      <c r="AA6" s="11"/>
      <c r="AD6" s="26" t="s">
        <v>363</v>
      </c>
      <c r="AE6" s="29"/>
      <c r="AJ6" s="110"/>
      <c r="AK6" s="31"/>
      <c r="AL6" s="31"/>
      <c r="AM6" s="31"/>
      <c r="AN6" s="31"/>
      <c r="AO6" s="31"/>
      <c r="AQ6" s="111"/>
      <c r="AR6" s="112"/>
      <c r="AS6" s="112"/>
      <c r="AT6" s="112"/>
      <c r="AU6" s="112"/>
      <c r="AV6" s="112"/>
      <c r="AX6" s="114"/>
      <c r="AY6" s="115"/>
      <c r="AZ6" s="115"/>
      <c r="BA6" s="115"/>
      <c r="BB6" s="115"/>
      <c r="BC6" s="115"/>
    </row>
    <row r="7" spans="1:55" x14ac:dyDescent="0.2">
      <c r="B7" s="52" t="s">
        <v>404</v>
      </c>
      <c r="C7" s="46">
        <f>BegDate</f>
        <v>0</v>
      </c>
      <c r="E7" s="19" t="s">
        <v>405</v>
      </c>
      <c r="F7" s="18"/>
      <c r="H7" s="17"/>
      <c r="I7" s="61" t="s">
        <v>406</v>
      </c>
      <c r="J7" s="2"/>
      <c r="K7" s="2"/>
      <c r="L7" s="2"/>
      <c r="M7" s="2"/>
      <c r="N7" s="2"/>
      <c r="O7" s="18"/>
      <c r="Q7" s="19" t="s">
        <v>407</v>
      </c>
      <c r="R7" s="18"/>
      <c r="T7" s="19" t="s">
        <v>408</v>
      </c>
      <c r="U7" s="18"/>
      <c r="V7" s="45"/>
      <c r="W7" s="1" t="str">
        <f>IF(ISBLANK(Indirect_CFO_Worksheet_Tool!O142),"",Indirect_CFO_Worksheet_Tool!O142)</f>
        <v/>
      </c>
      <c r="X7" s="248" t="str">
        <f>IF(ISBLANK(Indirect_CFO_Worksheet_Tool!P142),"",Indirect_CFO_Worksheet_Tool!P142)</f>
        <v/>
      </c>
      <c r="Y7" s="42" t="str">
        <f>IF(ISBLANK(Indirect_CFO_Worksheet_Tool!Q142),"",Indirect_CFO_Worksheet_Tool!Q142)</f>
        <v/>
      </c>
      <c r="Z7" s="1" t="str">
        <f>IF(ISBLANK(Indirect_CFO_Worksheet_Tool!R142),"",Indirect_CFO_Worksheet_Tool!R142)</f>
        <v/>
      </c>
      <c r="AA7" s="45"/>
      <c r="AD7" s="52" t="s">
        <v>404</v>
      </c>
      <c r="AE7" s="46">
        <f>EndDate</f>
        <v>0</v>
      </c>
      <c r="AG7" t="s">
        <v>301</v>
      </c>
      <c r="AH7" t="s">
        <v>302</v>
      </c>
      <c r="AJ7" s="110"/>
      <c r="AK7" s="31"/>
      <c r="AL7" s="31"/>
      <c r="AM7" s="31"/>
      <c r="AN7" s="31"/>
      <c r="AO7" s="31"/>
      <c r="AQ7" s="111"/>
      <c r="AR7" s="112"/>
      <c r="AS7" s="112"/>
      <c r="AT7" s="112"/>
      <c r="AU7" s="112"/>
      <c r="AV7" s="112"/>
      <c r="AX7" s="114"/>
      <c r="AY7" s="115"/>
      <c r="AZ7" s="115"/>
      <c r="BA7" s="115"/>
      <c r="BB7" s="115"/>
      <c r="BC7" s="115"/>
    </row>
    <row r="8" spans="1:55" ht="17" thickBot="1" x14ac:dyDescent="0.25">
      <c r="B8" s="17" t="e" cm="1">
        <f t="array" aca="1" ref="B8:B15" ca="1">_xlfn._xlws.FILTER(Asset[Name],Asset[C/NC]="C")</f>
        <v>#NAME?</v>
      </c>
      <c r="C8" s="99" t="e">
        <f ca="1">IF(ISBLANK(B8),"",_xlfn.XLOOKUP(B8,BegBalSht[Account],BegBalSht[Amount]))</f>
        <v>#NAME?</v>
      </c>
      <c r="E8" s="17" t="str" cm="1">
        <f t="array" ref="E8">_xlfn._xlws.FILTER(_Revenue[Name],NOT(ISBLANK(_Revenue[Name])),"")</f>
        <v>Sales</v>
      </c>
      <c r="F8" s="82">
        <f>SUMIFS(Journal[CrAmt],Journal[CrAccnt],E8,Journal[ref2],"&lt;&gt;CL")-SUMIFS(Journal[DrAmt],Journal[DrAccnt],E8,Journal[ref2],"&lt;&gt;CL")</f>
        <v>0</v>
      </c>
      <c r="H8" s="17"/>
      <c r="I8" s="336" t="s">
        <v>240</v>
      </c>
      <c r="J8" s="336" t="s">
        <v>241</v>
      </c>
      <c r="K8" s="336" t="s">
        <v>242</v>
      </c>
      <c r="L8" s="336" t="s">
        <v>245</v>
      </c>
      <c r="M8" s="336" t="s">
        <v>243</v>
      </c>
      <c r="N8" s="336" t="s">
        <v>246</v>
      </c>
      <c r="O8" s="63" t="s">
        <v>409</v>
      </c>
      <c r="Q8" s="17" t="s">
        <v>464</v>
      </c>
      <c r="R8" s="82">
        <f>IFERROR(_xlfn.XLOOKUP("Cash",AZ35:AZ40,BB35:BB40),0)</f>
        <v>0</v>
      </c>
      <c r="S8" s="11"/>
      <c r="T8" s="17" t="s">
        <v>401</v>
      </c>
      <c r="U8" s="80">
        <f>Net_Income</f>
        <v>5</v>
      </c>
      <c r="V8" s="11"/>
      <c r="W8" s="1" t="str">
        <f>IF(ISBLANK(Indirect_CFO_Worksheet_Tool!O143),"",Indirect_CFO_Worksheet_Tool!O143)</f>
        <v/>
      </c>
      <c r="X8" s="143" t="str">
        <f>IF(ISBLANK(Indirect_CFO_Worksheet_Tool!P143),"",Indirect_CFO_Worksheet_Tool!P143)</f>
        <v/>
      </c>
      <c r="Y8" s="42" t="str">
        <f>IF(ISBLANK(Indirect_CFO_Worksheet_Tool!Q143),"",Indirect_CFO_Worksheet_Tool!Q143)</f>
        <v/>
      </c>
      <c r="Z8" s="1" t="str">
        <f>IF(ISBLANK(Indirect_CFO_Worksheet_Tool!R143),"",Indirect_CFO_Worksheet_Tool!R143)</f>
        <v/>
      </c>
      <c r="AA8" s="11"/>
      <c r="AB8" s="11"/>
      <c r="AD8" s="17" t="e">
        <f t="shared" ref="AD8:AD17" ca="1" si="0">IF(ISBLANK(B8),"",B8)</f>
        <v>#NAME?</v>
      </c>
      <c r="AE8" s="99">
        <f t="shared" ref="AE8:AE17" ca="1" si="1">IFERROR(C8+AG8-AH8,0)</f>
        <v>0</v>
      </c>
      <c r="AF8" s="1"/>
      <c r="AG8">
        <f ca="1">SUMIF(Journal[DrAccnt],Financial_Statements_5!AD8,Journal[DrAmt])</f>
        <v>0</v>
      </c>
      <c r="AH8">
        <f ca="1">SUMIF(Journal[CrAccnt],Financial_Statements_5!AD8,Journal[CrAmt])</f>
        <v>0</v>
      </c>
      <c r="AJ8" s="110"/>
      <c r="AK8" s="31"/>
      <c r="AL8" s="31"/>
      <c r="AM8" s="31"/>
      <c r="AN8" s="31"/>
      <c r="AO8" s="31"/>
      <c r="AQ8" s="111"/>
      <c r="AR8" s="112"/>
      <c r="AS8" s="112"/>
      <c r="AT8" s="112"/>
      <c r="AU8" s="112"/>
      <c r="AV8" s="112"/>
      <c r="AX8" s="114"/>
      <c r="AY8" s="115"/>
      <c r="AZ8" s="115"/>
      <c r="BA8" s="115"/>
      <c r="BB8" s="115"/>
      <c r="BC8" s="115"/>
    </row>
    <row r="9" spans="1:55" x14ac:dyDescent="0.2">
      <c r="B9" s="17" t="e">
        <f ca="1"/>
        <v>#NAME?</v>
      </c>
      <c r="C9" s="100" t="e">
        <f ca="1">IF(ISBLANK(B9),"",_xlfn.XLOOKUP(B9,BegBalSht[Account],BegBalSht[Amount]))</f>
        <v>#NAME?</v>
      </c>
      <c r="E9" s="17"/>
      <c r="F9" s="102">
        <f>SUMIFS(Journal[CrAmt],Journal[CrAccnt],E9,Journal[ref2],"&lt;&gt;CL")-SUMIFS(Journal[DrAmt],Journal[DrAccnt],E9,Journal[ref2],"&lt;&gt;CL")</f>
        <v>0</v>
      </c>
      <c r="H9" s="19" t="str">
        <f>"Balance as of "&amp;BegDate</f>
        <v xml:space="preserve">Balance as of </v>
      </c>
      <c r="I9" s="107" t="e">
        <f ca="1">_xlfn.XLOOKUP(I8,$A59:$A64,$C59:$C64,0)</f>
        <v>#NAME?</v>
      </c>
      <c r="J9" s="107" t="e">
        <f t="shared" ref="J9:N9" ca="1" si="2">_xlfn.XLOOKUP(J8,$A59:$A64,$C59:$C64,0)</f>
        <v>#NAME?</v>
      </c>
      <c r="K9" s="107" t="e">
        <f t="shared" ca="1" si="2"/>
        <v>#NAME?</v>
      </c>
      <c r="L9" s="107" t="e">
        <f t="shared" ca="1" si="2"/>
        <v>#NAME?</v>
      </c>
      <c r="M9" s="107" t="e">
        <f t="shared" ca="1" si="2"/>
        <v>#NAME?</v>
      </c>
      <c r="N9" s="107" t="e">
        <f t="shared" ca="1" si="2"/>
        <v>#NAME?</v>
      </c>
      <c r="O9" s="64" t="e">
        <f ca="1">SUM(I9:N9)</f>
        <v>#NAME?</v>
      </c>
      <c r="Q9" s="17" t="s">
        <v>475</v>
      </c>
      <c r="R9" s="102">
        <f>IFERROR(-SUMIF(BA67:BA88,"Cash",BC67:BC88),0)</f>
        <v>0</v>
      </c>
      <c r="S9" s="45"/>
      <c r="T9" s="75" t="s">
        <v>412</v>
      </c>
      <c r="U9" s="18"/>
      <c r="V9" s="45"/>
      <c r="W9" s="1" t="str">
        <f>IF(ISBLANK(Indirect_CFO_Worksheet_Tool!O144),"",Indirect_CFO_Worksheet_Tool!O144)</f>
        <v/>
      </c>
      <c r="X9" s="143" t="str">
        <f>IF(ISBLANK(Indirect_CFO_Worksheet_Tool!P144),"",Indirect_CFO_Worksheet_Tool!P144)</f>
        <v/>
      </c>
      <c r="Y9" s="42" t="str">
        <f>IF(ISBLANK(Indirect_CFO_Worksheet_Tool!Q144),"",Indirect_CFO_Worksheet_Tool!Q144)</f>
        <v/>
      </c>
      <c r="Z9" s="1" t="str">
        <f>IF(ISBLANK(Indirect_CFO_Worksheet_Tool!R144),"",Indirect_CFO_Worksheet_Tool!R144)</f>
        <v/>
      </c>
      <c r="AA9" s="45"/>
      <c r="AB9" s="45"/>
      <c r="AD9" s="17" t="e">
        <f t="shared" ca="1" si="0"/>
        <v>#NAME?</v>
      </c>
      <c r="AE9" s="100">
        <f t="shared" ca="1" si="1"/>
        <v>0</v>
      </c>
      <c r="AF9" s="1"/>
      <c r="AG9">
        <f ca="1">SUMIF(Journal[DrAccnt],Financial_Statements_5!AD9,Journal[DrAmt])</f>
        <v>0</v>
      </c>
      <c r="AH9">
        <f ca="1">SUMIF(Journal[CrAccnt],Financial_Statements_5!AD9,Journal[CrAmt])</f>
        <v>0</v>
      </c>
    </row>
    <row r="10" spans="1:55" x14ac:dyDescent="0.2">
      <c r="B10" s="17" t="e">
        <f ca="1"/>
        <v>#NAME?</v>
      </c>
      <c r="C10" s="100" t="e">
        <f ca="1">IF(ISBLANK(B10),"",_xlfn.XLOOKUP(B10,BegBalSht[Account],BegBalSht[Amount]))</f>
        <v>#NAME?</v>
      </c>
      <c r="E10" s="17"/>
      <c r="F10" s="102">
        <f>SUMIFS(Journal[CrAmt],Journal[CrAccnt],E10,Journal[ref2],"&lt;&gt;CL")-SUMIFS(Journal[DrAmt],Journal[DrAccnt],E10,Journal[ref2],"&lt;&gt;CL")</f>
        <v>0</v>
      </c>
      <c r="H10" s="17" t="s">
        <v>451</v>
      </c>
      <c r="I10" s="108" t="str">
        <f>IFERROR(_xlfn.XLOOKUP("Preferred Stock",AM11:AM16,AO11:AO16),"")</f>
        <v/>
      </c>
      <c r="J10" s="108" t="str">
        <f>IFERROR(_xlfn.XLOOKUP("Preferred Stock",AM11:AM16,AO11:AO16),"")</f>
        <v/>
      </c>
      <c r="K10" s="108"/>
      <c r="L10" s="108"/>
      <c r="M10" s="108"/>
      <c r="N10" s="108"/>
      <c r="O10" s="65">
        <f t="shared" ref="O10:O17" si="3">SUM(I10:N10)</f>
        <v>0</v>
      </c>
      <c r="Q10" s="17" t="s">
        <v>476</v>
      </c>
      <c r="R10" s="102" cm="1">
        <f t="array" ref="R10">IFERROR(_xlfn.XLOOKUP("Cash",BA59:BA64,-BC59:BC64),0)</f>
        <v>0</v>
      </c>
      <c r="S10" s="45"/>
      <c r="T10" s="342"/>
      <c r="U10" s="344"/>
      <c r="V10" s="45"/>
      <c r="W10" s="1" t="str">
        <f>IF(ISBLANK(Indirect_CFO_Worksheet_Tool!O145),"",Indirect_CFO_Worksheet_Tool!O145)</f>
        <v/>
      </c>
      <c r="X10" s="143" t="str">
        <f>IF(ISBLANK(Indirect_CFO_Worksheet_Tool!P145),"",Indirect_CFO_Worksheet_Tool!P145)</f>
        <v/>
      </c>
      <c r="Y10" s="42" t="str">
        <f>IF(ISBLANK(Indirect_CFO_Worksheet_Tool!Q145),"",Indirect_CFO_Worksheet_Tool!Q145)</f>
        <v/>
      </c>
      <c r="Z10" s="1" t="str">
        <f>IF(ISBLANK(Indirect_CFO_Worksheet_Tool!R145),"",Indirect_CFO_Worksheet_Tool!R145)</f>
        <v/>
      </c>
      <c r="AA10" s="45"/>
      <c r="AB10" s="45"/>
      <c r="AD10" s="17" t="e">
        <f t="shared" ca="1" si="0"/>
        <v>#NAME?</v>
      </c>
      <c r="AE10" s="100">
        <f t="shared" ca="1" si="1"/>
        <v>0</v>
      </c>
      <c r="AF10" s="1"/>
      <c r="AG10">
        <f ca="1">SUMIF(Journal[DrAccnt],Financial_Statements_5!AD10,Journal[DrAmt])</f>
        <v>0</v>
      </c>
      <c r="AH10">
        <f ca="1">SUMIF(Journal[CrAccnt],Financial_Statements_5!AD10,Journal[CrAmt])</f>
        <v>0</v>
      </c>
      <c r="AJ10" s="5" t="s">
        <v>453</v>
      </c>
      <c r="AM10" s="4" t="s">
        <v>98</v>
      </c>
      <c r="AQ10" s="5" t="s">
        <v>477</v>
      </c>
      <c r="AT10" s="4" t="s">
        <v>478</v>
      </c>
      <c r="AX10" s="5" t="s">
        <v>319</v>
      </c>
      <c r="BA10" s="4" t="s">
        <v>122</v>
      </c>
    </row>
    <row r="11" spans="1:55" x14ac:dyDescent="0.2">
      <c r="B11" s="17" t="e">
        <f ca="1"/>
        <v>#NAME?</v>
      </c>
      <c r="C11" s="100" t="e">
        <f ca="1">IF(ISBLANK(B11),"",_xlfn.XLOOKUP(B11,BegBalSht[Account],BegBalSht[Amount]))</f>
        <v>#NAME?</v>
      </c>
      <c r="E11" s="17"/>
      <c r="F11" s="102">
        <f>SUMIFS(Journal[CrAmt],Journal[CrAccnt],E11,Journal[ref2],"&lt;&gt;CL")-SUMIFS(Journal[DrAmt],Journal[DrAccnt],E11,Journal[ref2],"&lt;&gt;CL")</f>
        <v>0</v>
      </c>
      <c r="H11" s="17" t="s">
        <v>454</v>
      </c>
      <c r="I11" s="108"/>
      <c r="J11" s="108" cm="1">
        <f t="array" ref="J11">_xlfn._xlws.FILTER(Journal[CrAmt],(Journal[ref2]="ICS")*(Journal[CrAccnt]="Common Stock"),0)</f>
        <v>0</v>
      </c>
      <c r="K11" s="108" cm="1">
        <f t="array" ref="K11">_xlfn._xlws.FILTER(Journal[CrAmt],(Journal[ref2]="ICS")*(Journal[CrAccnt]="Additional Paid-in Capital"),0)</f>
        <v>0</v>
      </c>
      <c r="L11" s="108"/>
      <c r="M11" s="108"/>
      <c r="N11" s="108"/>
      <c r="O11" s="65">
        <f t="shared" si="3"/>
        <v>0</v>
      </c>
      <c r="Q11" s="17" t="s">
        <v>479</v>
      </c>
      <c r="R11" s="102" cm="1">
        <f t="array" ref="R11">IFERROR(_xlfn.XLOOKUP("Cash",BA51:BA56,-BC51:BC56),0)</f>
        <v>0</v>
      </c>
      <c r="S11" s="45"/>
      <c r="T11" s="342"/>
      <c r="U11" s="344"/>
      <c r="V11" s="45"/>
      <c r="W11" s="1" t="str">
        <f>IF(ISBLANK(Indirect_CFO_Worksheet_Tool!O146),"",Indirect_CFO_Worksheet_Tool!O146)</f>
        <v/>
      </c>
      <c r="X11" s="143" t="str">
        <f>IF(ISBLANK(Indirect_CFO_Worksheet_Tool!P146),"",Indirect_CFO_Worksheet_Tool!P146)</f>
        <v/>
      </c>
      <c r="Y11" s="42" t="str">
        <f>IF(ISBLANK(Indirect_CFO_Worksheet_Tool!Q146),"",Indirect_CFO_Worksheet_Tool!Q146)</f>
        <v/>
      </c>
      <c r="Z11" s="1" t="str">
        <f>IF(ISBLANK(Indirect_CFO_Worksheet_Tool!R146),"",Indirect_CFO_Worksheet_Tool!R146)</f>
        <v/>
      </c>
      <c r="AA11" s="45"/>
      <c r="AB11" s="45"/>
      <c r="AD11" s="17" t="e">
        <f t="shared" ca="1" si="0"/>
        <v>#NAME?</v>
      </c>
      <c r="AE11" s="100">
        <f t="shared" ca="1" si="1"/>
        <v>0</v>
      </c>
      <c r="AF11" s="1"/>
      <c r="AG11">
        <f ca="1">SUMIF(Journal[DrAccnt],Financial_Statements_5!AD11,Journal[DrAmt])</f>
        <v>0</v>
      </c>
      <c r="AH11">
        <f ca="1">SUMIF(Journal[CrAccnt],Financial_Statements_5!AD11,Journal[CrAmt])</f>
        <v>0</v>
      </c>
      <c r="AJ11" s="110" t="e" cm="1">
        <f t="array" aca="1" ref="AJ11" ca="1">_xlfn._xlws.FILTER(Journal[ref]:Journal[CrAmt],Journal[ref2]=AM10,"")</f>
        <v>#NAME?</v>
      </c>
      <c r="AK11" s="31"/>
      <c r="AL11" s="31"/>
      <c r="AM11" s="31"/>
      <c r="AN11" s="31"/>
      <c r="AO11" s="31"/>
      <c r="AQ11" s="111" t="e" cm="1">
        <f t="array" aca="1" ref="AQ11" ca="1">_xlfn._xlws.FILTER(Journal[ref]:Journal[CrAmt],Journal[ref2]=AT10,"")</f>
        <v>#NAME?</v>
      </c>
      <c r="AR11" s="112"/>
      <c r="AS11" s="112"/>
      <c r="AT11" s="112"/>
      <c r="AU11" s="112"/>
      <c r="AV11" s="112"/>
      <c r="AX11" s="114" t="e" cm="1">
        <f t="array" aca="1" ref="AX11" ca="1">_xlfn._xlws.FILTER(Journal[ref]:Journal[CrAmt],Journal[ref2]=BA10,"")</f>
        <v>#NAME?</v>
      </c>
      <c r="AY11" s="115"/>
      <c r="AZ11" s="115"/>
      <c r="BA11" s="115"/>
      <c r="BB11" s="115"/>
      <c r="BC11" s="115"/>
    </row>
    <row r="12" spans="1:55" x14ac:dyDescent="0.2">
      <c r="B12" s="17" t="e">
        <f ca="1"/>
        <v>#NAME?</v>
      </c>
      <c r="C12" s="100" t="e">
        <f ca="1">IF(ISBLANK(B12),"",_xlfn.XLOOKUP(B12,BegBalSht[Account],BegBalSht[Amount]))</f>
        <v>#NAME?</v>
      </c>
      <c r="E12" s="21" t="s">
        <v>413</v>
      </c>
      <c r="F12" s="47">
        <f>SUM(F8:F11)</f>
        <v>0</v>
      </c>
      <c r="H12" s="17" t="s">
        <v>480</v>
      </c>
      <c r="I12" s="108"/>
      <c r="J12" s="108"/>
      <c r="K12" s="108"/>
      <c r="L12" s="108" cm="1">
        <f t="array" ref="L12">-_xlfn._xlws.FILTER(Journal[DrAmt],(Journal[ref2]="DD")*(Journal[DrAccnt]="Retained Earnings"),0)</f>
        <v>0</v>
      </c>
      <c r="M12" s="108"/>
      <c r="N12" s="108"/>
      <c r="O12" s="65">
        <f t="shared" si="3"/>
        <v>0</v>
      </c>
      <c r="Q12" s="17" t="s">
        <v>481</v>
      </c>
      <c r="R12" s="102" cm="1">
        <f t="array" ref="R12">IFERROR(_xlfn.XLOOKUP("Cash",BA43:BA48,-BC43:BC48),0)</f>
        <v>0</v>
      </c>
      <c r="S12" s="45"/>
      <c r="T12" s="342"/>
      <c r="U12" s="344"/>
      <c r="V12" s="45"/>
      <c r="W12" s="1" t="str">
        <f>IF(ISBLANK(Indirect_CFO_Worksheet_Tool!O147),"",Indirect_CFO_Worksheet_Tool!O147)</f>
        <v/>
      </c>
      <c r="X12" s="143" t="str">
        <f>IF(ISBLANK(Indirect_CFO_Worksheet_Tool!P147),"",Indirect_CFO_Worksheet_Tool!P147)</f>
        <v/>
      </c>
      <c r="Y12" s="42" t="str">
        <f>IF(ISBLANK(Indirect_CFO_Worksheet_Tool!Q147),"",Indirect_CFO_Worksheet_Tool!Q147)</f>
        <v/>
      </c>
      <c r="Z12" s="1" t="str">
        <f>IF(ISBLANK(Indirect_CFO_Worksheet_Tool!R147),"",Indirect_CFO_Worksheet_Tool!R147)</f>
        <v/>
      </c>
      <c r="AA12" s="45"/>
      <c r="AB12" s="45"/>
      <c r="AD12" s="17" t="e">
        <f t="shared" ca="1" si="0"/>
        <v>#NAME?</v>
      </c>
      <c r="AE12" s="100">
        <f t="shared" ca="1" si="1"/>
        <v>0</v>
      </c>
      <c r="AF12" s="1"/>
      <c r="AG12">
        <f ca="1">SUMIF(Journal[DrAccnt],Financial_Statements_5!AD12,Journal[DrAmt])</f>
        <v>0</v>
      </c>
      <c r="AH12">
        <f ca="1">SUMIF(Journal[CrAccnt],Financial_Statements_5!AD12,Journal[CrAmt])</f>
        <v>0</v>
      </c>
      <c r="AJ12" s="110"/>
      <c r="AK12" s="31"/>
      <c r="AL12" s="31"/>
      <c r="AM12" s="31"/>
      <c r="AN12" s="31"/>
      <c r="AO12" s="31"/>
      <c r="AQ12" s="111"/>
      <c r="AR12" s="112"/>
      <c r="AS12" s="112"/>
      <c r="AT12" s="112"/>
      <c r="AU12" s="112"/>
      <c r="AV12" s="112"/>
      <c r="AX12" s="114"/>
      <c r="AY12" s="115"/>
      <c r="AZ12" s="115"/>
      <c r="BA12" s="115"/>
      <c r="BB12" s="115"/>
      <c r="BC12" s="115"/>
    </row>
    <row r="13" spans="1:55" x14ac:dyDescent="0.2">
      <c r="B13" s="17" t="e">
        <f ca="1"/>
        <v>#NAME?</v>
      </c>
      <c r="C13" s="100" t="e">
        <f ca="1">IF(ISBLANK(B13),"",_xlfn.XLOOKUP(B13,BegBalSht[Account],BegBalSht[Amount]))</f>
        <v>#NAME?</v>
      </c>
      <c r="E13" s="19" t="s">
        <v>414</v>
      </c>
      <c r="F13" s="18"/>
      <c r="H13" s="17" t="s">
        <v>456</v>
      </c>
      <c r="I13" s="108"/>
      <c r="J13" s="108"/>
      <c r="K13" s="108"/>
      <c r="L13" s="108">
        <f>L22</f>
        <v>0</v>
      </c>
      <c r="M13" s="108"/>
      <c r="N13" s="108"/>
      <c r="O13" s="65">
        <f t="shared" si="3"/>
        <v>0</v>
      </c>
      <c r="Q13" s="75" t="s">
        <v>416</v>
      </c>
      <c r="R13" s="47">
        <f>SUBTOTAL(9,R8:R12)</f>
        <v>0</v>
      </c>
      <c r="S13" s="45"/>
      <c r="T13" s="342"/>
      <c r="U13" s="344"/>
      <c r="V13" s="45"/>
      <c r="W13" s="1" t="str">
        <f>IF(ISBLANK(Indirect_CFO_Worksheet_Tool!O148),"",Indirect_CFO_Worksheet_Tool!O148)</f>
        <v/>
      </c>
      <c r="X13" s="143" t="str">
        <f>IF(ISBLANK(Indirect_CFO_Worksheet_Tool!P148),"",Indirect_CFO_Worksheet_Tool!P148)</f>
        <v/>
      </c>
      <c r="Y13" s="42" t="str">
        <f>IF(ISBLANK(Indirect_CFO_Worksheet_Tool!Q148),"",Indirect_CFO_Worksheet_Tool!Q148)</f>
        <v/>
      </c>
      <c r="Z13" s="1" t="str">
        <f>IF(ISBLANK(Indirect_CFO_Worksheet_Tool!R148),"",Indirect_CFO_Worksheet_Tool!R148)</f>
        <v/>
      </c>
      <c r="AA13" s="45"/>
      <c r="AB13" s="45"/>
      <c r="AD13" s="17" t="e">
        <f t="shared" ca="1" si="0"/>
        <v>#NAME?</v>
      </c>
      <c r="AE13" s="100">
        <f t="shared" ca="1" si="1"/>
        <v>0</v>
      </c>
      <c r="AF13" s="1"/>
      <c r="AG13">
        <f ca="1">SUMIF(Journal[DrAccnt],Financial_Statements_5!AD13,Journal[DrAmt])</f>
        <v>0</v>
      </c>
      <c r="AH13">
        <f ca="1">SUMIF(Journal[CrAccnt],Financial_Statements_5!AD13,Journal[CrAmt])</f>
        <v>0</v>
      </c>
      <c r="AJ13" s="110"/>
      <c r="AK13" s="31"/>
      <c r="AL13" s="31"/>
      <c r="AM13" s="31"/>
      <c r="AN13" s="31"/>
      <c r="AO13" s="31"/>
      <c r="AQ13" s="111"/>
      <c r="AR13" s="112"/>
      <c r="AS13" s="112"/>
      <c r="AT13" s="112"/>
      <c r="AU13" s="112"/>
      <c r="AV13" s="112"/>
      <c r="AX13" s="114"/>
      <c r="AY13" s="115"/>
      <c r="AZ13" s="115"/>
      <c r="BA13" s="115"/>
      <c r="BB13" s="115"/>
      <c r="BC13" s="115"/>
    </row>
    <row r="14" spans="1:55" x14ac:dyDescent="0.2">
      <c r="B14" s="17" t="e">
        <f ca="1"/>
        <v>#NAME?</v>
      </c>
      <c r="C14" s="100" t="e">
        <f ca="1">IF(ISBLANK(B14),"",_xlfn.XLOOKUP(B14,BegBalSht[Account],BegBalSht[Amount]))</f>
        <v>#NAME?</v>
      </c>
      <c r="E14" s="17" t="str" cm="1">
        <f t="array" ref="E14">_xlfn._xlws.FILTER(_Expense[Name],NOT(ISBLANK(_Expense[Name])),"")</f>
        <v>Cost of Goods Sold</v>
      </c>
      <c r="F14" s="82">
        <f>-SUMIFS(Journal[CrAmt],Journal[CrAccnt],E14,Journal[ref2],"&lt;&gt;CL")+SUMIFS(Journal[DrAmt],Journal[DrAccnt],E14,Journal[ref2],"&lt;&gt;CL")</f>
        <v>0</v>
      </c>
      <c r="H14" s="17" t="s">
        <v>457</v>
      </c>
      <c r="I14" s="108"/>
      <c r="J14" s="108"/>
      <c r="K14" s="108"/>
      <c r="L14" s="108"/>
      <c r="M14" s="108"/>
      <c r="N14" s="108" cm="1">
        <f t="array" ref="N14">-_xlfn._xlws.FILTER(Journal[DrAmt],(Journal[ref2]="PTS")*(Journal[DrAccnt]="Treasury Stock"),0)</f>
        <v>0</v>
      </c>
      <c r="O14" s="65">
        <f t="shared" si="3"/>
        <v>0</v>
      </c>
      <c r="Q14" s="17"/>
      <c r="R14" s="18"/>
      <c r="S14" s="45"/>
      <c r="T14" s="342"/>
      <c r="U14" s="344"/>
      <c r="V14" s="45"/>
      <c r="W14" t="str">
        <f>IF(ISBLANK(Indirect_CFO_Worksheet_Tool!O149),"",Indirect_CFO_Worksheet_Tool!O149)</f>
        <v/>
      </c>
      <c r="X14" s="256" t="s">
        <v>415</v>
      </c>
      <c r="Y14" s="245"/>
      <c r="AA14" s="45"/>
      <c r="AB14" s="45"/>
      <c r="AD14" s="17" t="e">
        <f t="shared" ca="1" si="0"/>
        <v>#NAME?</v>
      </c>
      <c r="AE14" s="100">
        <f t="shared" ca="1" si="1"/>
        <v>0</v>
      </c>
      <c r="AF14" s="1"/>
      <c r="AG14">
        <f ca="1">SUMIF(Journal[DrAccnt],Financial_Statements_5!AD14,Journal[DrAmt])</f>
        <v>0</v>
      </c>
      <c r="AH14">
        <f ca="1">SUMIF(Journal[CrAccnt],Financial_Statements_5!AD14,Journal[CrAmt])</f>
        <v>0</v>
      </c>
      <c r="AJ14" s="110"/>
      <c r="AK14" s="31"/>
      <c r="AL14" s="31"/>
      <c r="AM14" s="31"/>
      <c r="AN14" s="31"/>
      <c r="AO14" s="31"/>
      <c r="AQ14" s="111"/>
      <c r="AR14" s="112"/>
      <c r="AS14" s="112"/>
      <c r="AT14" s="112"/>
      <c r="AU14" s="112"/>
      <c r="AV14" s="112"/>
      <c r="AX14" s="114"/>
      <c r="AY14" s="115"/>
      <c r="AZ14" s="115"/>
      <c r="BA14" s="115"/>
      <c r="BB14" s="115"/>
      <c r="BC14" s="115"/>
    </row>
    <row r="15" spans="1:55" x14ac:dyDescent="0.2">
      <c r="B15" s="17" t="e">
        <f ca="1"/>
        <v>#NAME?</v>
      </c>
      <c r="C15" s="100" t="e">
        <f ca="1">IF(ISBLANK(B15),"",_xlfn.XLOOKUP(B15,BegBalSht[Account],BegBalSht[Amount]))</f>
        <v>#NAME?</v>
      </c>
      <c r="E15" s="17"/>
      <c r="F15" s="102">
        <f>-SUMIFS(Journal[CrAmt],Journal[CrAccnt],E15,Journal[ref2],"&lt;&gt;CL")+SUMIFS(Journal[DrAmt],Journal[DrAccnt],E15,Journal[ref2],"&lt;&gt;CL")</f>
        <v>0</v>
      </c>
      <c r="H15" s="17" t="s">
        <v>458</v>
      </c>
      <c r="I15" s="108"/>
      <c r="J15" s="108"/>
      <c r="K15" s="108"/>
      <c r="L15" s="108"/>
      <c r="M15" s="108"/>
      <c r="N15" s="108" cm="1">
        <f t="array" ref="N15">_xlfn._xlws.FILTER(Journal[CrAmt],(Journal[ref2]="STS")*(Journal[CrAccnt]="Treasury Stock"),0)</f>
        <v>0</v>
      </c>
      <c r="O15" s="65">
        <f t="shared" si="3"/>
        <v>0</v>
      </c>
      <c r="Q15" s="19" t="s">
        <v>418</v>
      </c>
      <c r="R15" s="18"/>
      <c r="S15" s="45"/>
      <c r="T15" s="342"/>
      <c r="U15" s="344"/>
      <c r="V15" s="45"/>
      <c r="W15" s="33" t="e" cm="1">
        <f t="array" aca="1" ref="W15:X45" ca="1">_xlfn._xlws.SORT(Indirect_CFO_Worksheet_Tool!O150:P180,2,-1)</f>
        <v>#NAME?</v>
      </c>
      <c r="X15" s="248" t="e">
        <f ca="1"/>
        <v>#NAME?</v>
      </c>
      <c r="Y15" s="42" t="e" cm="1">
        <f t="array" aca="1" ref="Y15:Z45" ca="1">_xlfn._xlws.SORT(Indirect_CFO_Worksheet_Tool!Q150:R180,1,-1)</f>
        <v>#NAME?</v>
      </c>
      <c r="Z15" s="33" t="e">
        <f ca="1"/>
        <v>#NAME?</v>
      </c>
      <c r="AA15" s="45"/>
      <c r="AB15" s="45"/>
      <c r="AD15" s="17" t="e">
        <f t="shared" ca="1" si="0"/>
        <v>#NAME?</v>
      </c>
      <c r="AE15" s="100">
        <f t="shared" ca="1" si="1"/>
        <v>0</v>
      </c>
      <c r="AF15" s="1"/>
      <c r="AG15">
        <f ca="1">SUMIF(Journal[DrAccnt],Financial_Statements_5!AD15,Journal[DrAmt])</f>
        <v>0</v>
      </c>
      <c r="AH15">
        <f ca="1">SUMIF(Journal[CrAccnt],Financial_Statements_5!AD15,Journal[CrAmt])</f>
        <v>0</v>
      </c>
      <c r="AJ15" s="110"/>
      <c r="AK15" s="31"/>
      <c r="AL15" s="31"/>
      <c r="AM15" s="31"/>
      <c r="AN15" s="31"/>
      <c r="AO15" s="31"/>
      <c r="AQ15" s="111"/>
      <c r="AR15" s="112"/>
      <c r="AS15" s="112"/>
      <c r="AT15" s="112"/>
      <c r="AU15" s="112"/>
      <c r="AV15" s="112"/>
      <c r="AX15" s="114"/>
      <c r="AY15" s="115"/>
      <c r="AZ15" s="115"/>
      <c r="BA15" s="115"/>
      <c r="BB15" s="115"/>
      <c r="BC15" s="115"/>
    </row>
    <row r="16" spans="1:55" x14ac:dyDescent="0.2">
      <c r="B16" s="17"/>
      <c r="C16" s="100" t="str">
        <f>IF(ISBLANK(B16),"",_xlfn.XLOOKUP(B16,BegBalSht[Account],BegBalSht[Amount]))</f>
        <v/>
      </c>
      <c r="E16" s="17"/>
      <c r="F16" s="102">
        <f>-SUMIFS(Journal[CrAmt],Journal[CrAccnt],E16,Journal[ref2],"&lt;&gt;CL")+SUMIFS(Journal[DrAmt],Journal[DrAccnt],E16,Journal[ref2],"&lt;&gt;CL")</f>
        <v>0</v>
      </c>
      <c r="H16" s="17" t="s">
        <v>459</v>
      </c>
      <c r="I16" s="108"/>
      <c r="J16" s="108"/>
      <c r="K16" s="108"/>
      <c r="L16" s="108"/>
      <c r="M16" s="108">
        <f>M23</f>
        <v>0</v>
      </c>
      <c r="N16" s="108"/>
      <c r="O16" s="65">
        <f t="shared" si="3"/>
        <v>0</v>
      </c>
      <c r="Q16" s="17" t="s">
        <v>482</v>
      </c>
      <c r="R16" s="82">
        <f>IFERROR(_xlfn.XLOOKUP("Cash",AS27:AS32,AU27:AU32),0)</f>
        <v>0</v>
      </c>
      <c r="S16" s="45"/>
      <c r="T16" s="75" t="s">
        <v>417</v>
      </c>
      <c r="U16" s="18"/>
      <c r="V16" s="45"/>
      <c r="W16" s="33" t="e">
        <f ca="1"/>
        <v>#NAME?</v>
      </c>
      <c r="X16" s="143" t="e">
        <f ca="1"/>
        <v>#NAME?</v>
      </c>
      <c r="Y16" s="42" t="e">
        <f ca="1"/>
        <v>#NAME?</v>
      </c>
      <c r="Z16" s="33" t="e">
        <f ca="1"/>
        <v>#NAME?</v>
      </c>
      <c r="AA16" s="45"/>
      <c r="AB16" s="45"/>
      <c r="AD16" s="17" t="str">
        <f t="shared" si="0"/>
        <v/>
      </c>
      <c r="AE16" s="100">
        <f t="shared" si="1"/>
        <v>0</v>
      </c>
      <c r="AF16" s="1"/>
      <c r="AG16">
        <f>SUMIF(Journal[DrAccnt],Financial_Statements_5!AD16,Journal[DrAmt])</f>
        <v>0</v>
      </c>
      <c r="AH16">
        <f>SUMIF(Journal[CrAccnt],Financial_Statements_5!AD16,Journal[CrAmt])</f>
        <v>0</v>
      </c>
      <c r="AJ16" s="110"/>
      <c r="AK16" s="31"/>
      <c r="AL16" s="31"/>
      <c r="AM16" s="31"/>
      <c r="AN16" s="31"/>
      <c r="AO16" s="31"/>
      <c r="AQ16" s="111"/>
      <c r="AR16" s="112"/>
      <c r="AS16" s="112"/>
      <c r="AT16" s="112"/>
      <c r="AU16" s="112"/>
      <c r="AV16" s="112"/>
      <c r="AX16" s="114"/>
      <c r="AY16" s="115"/>
      <c r="AZ16" s="115"/>
      <c r="BA16" s="115"/>
      <c r="BB16" s="115"/>
      <c r="BC16" s="115"/>
    </row>
    <row r="17" spans="2:55" ht="16" thickBot="1" x14ac:dyDescent="0.25">
      <c r="B17" s="91"/>
      <c r="C17" s="101" t="str">
        <f>IF(ISBLANK(B17),"",_xlfn.XLOOKUP(B17,BegBalSht[Account],BegBalSht[Amount]))</f>
        <v/>
      </c>
      <c r="E17" s="17"/>
      <c r="F17" s="102">
        <f>-SUMIFS(Journal[CrAmt],Journal[CrAccnt],E17,Journal[ref2],"&lt;&gt;CL")+SUMIFS(Journal[DrAmt],Journal[DrAccnt],E17,Journal[ref2],"&lt;&gt;CL")</f>
        <v>0</v>
      </c>
      <c r="H17" s="17" t="s">
        <v>460</v>
      </c>
      <c r="I17" s="109"/>
      <c r="J17" s="109" cm="1">
        <f t="array" ref="J17">_xlfn._xlws.FILTER(Journal[CrAmt],(Journal[ref2]="PPEfCS")*(Journal[CrAccnt]="Common Stock"),0)</f>
        <v>0</v>
      </c>
      <c r="K17" s="109" cm="1">
        <f t="array" ref="K17">_xlfn._xlws.FILTER(Journal[CrAmt],(Journal[ref2]="PPEfCS")*(Journal[CrAccnt]="Additional Paid-in Capital"),0)</f>
        <v>0</v>
      </c>
      <c r="L17" s="109"/>
      <c r="M17" s="109"/>
      <c r="N17" s="109"/>
      <c r="O17" s="66">
        <f t="shared" si="3"/>
        <v>0</v>
      </c>
      <c r="Q17" s="17" t="s">
        <v>483</v>
      </c>
      <c r="R17" s="102">
        <f>IFERROR(_xlfn.XLOOKUP("Cash",AS67:AS80,AU67:AU80),0)</f>
        <v>0</v>
      </c>
      <c r="S17" s="45"/>
      <c r="T17" s="342"/>
      <c r="U17" s="344"/>
      <c r="V17" s="45"/>
      <c r="W17" s="33" t="e">
        <f ca="1"/>
        <v>#NAME?</v>
      </c>
      <c r="X17" s="143" t="e">
        <f ca="1"/>
        <v>#NAME?</v>
      </c>
      <c r="Y17" s="42" t="e">
        <f ca="1"/>
        <v>#NAME?</v>
      </c>
      <c r="Z17" s="33" t="e">
        <f ca="1"/>
        <v>#NAME?</v>
      </c>
      <c r="AA17" s="45"/>
      <c r="AB17" s="45"/>
      <c r="AD17" s="91" t="str">
        <f t="shared" si="0"/>
        <v/>
      </c>
      <c r="AE17" s="101">
        <f t="shared" si="1"/>
        <v>0</v>
      </c>
      <c r="AF17" s="1"/>
      <c r="AG17">
        <f>SUMIF(Journal[DrAccnt],Financial_Statements_5!AD17,Journal[DrAmt])</f>
        <v>0</v>
      </c>
      <c r="AH17">
        <f>SUMIF(Journal[CrAccnt],Financial_Statements_5!AD17,Journal[CrAmt])</f>
        <v>0</v>
      </c>
    </row>
    <row r="18" spans="2:55" ht="16" thickBot="1" x14ac:dyDescent="0.25">
      <c r="B18" s="53" t="s">
        <v>419</v>
      </c>
      <c r="C18" s="47" t="e">
        <f ca="1">SUBTOTAL(9,C8:C17)</f>
        <v>#NAME?</v>
      </c>
      <c r="E18" s="17"/>
      <c r="F18" s="102">
        <f>-SUMIFS(Journal[CrAmt],Journal[CrAccnt],E18,Journal[ref2],"&lt;&gt;CL")+SUMIFS(Journal[DrAmt],Journal[DrAccnt],E18,Journal[ref2],"&lt;&gt;CL")</f>
        <v>0</v>
      </c>
      <c r="H18" s="58" t="str">
        <f>"Balance as of "&amp;EndDate</f>
        <v xml:space="preserve">Balance as of </v>
      </c>
      <c r="I18" s="68" t="e">
        <f ca="1">SUM(I9:I17)</f>
        <v>#NAME?</v>
      </c>
      <c r="J18" s="68" t="e">
        <f t="shared" ref="J18:N18" ca="1" si="4">SUM(J9:J17)</f>
        <v>#NAME?</v>
      </c>
      <c r="K18" s="68" t="e">
        <f t="shared" ca="1" si="4"/>
        <v>#NAME?</v>
      </c>
      <c r="L18" s="68" t="e">
        <f t="shared" ca="1" si="4"/>
        <v>#NAME?</v>
      </c>
      <c r="M18" s="68" t="e">
        <f t="shared" ca="1" si="4"/>
        <v>#NAME?</v>
      </c>
      <c r="N18" s="68" t="e">
        <f t="shared" ca="1" si="4"/>
        <v>#NAME?</v>
      </c>
      <c r="O18" s="67" t="e">
        <f ca="1">SUM(O9:O17)</f>
        <v>#NAME?</v>
      </c>
      <c r="Q18" s="17" t="s">
        <v>484</v>
      </c>
      <c r="R18" s="102">
        <f>IFERROR(_xlfn.XLOOKUP("Cash",AS11:AS16,AU11:AU16),0)</f>
        <v>0</v>
      </c>
      <c r="S18" s="45"/>
      <c r="T18" s="342"/>
      <c r="U18" s="344"/>
      <c r="V18" s="45"/>
      <c r="W18" s="33" t="e">
        <f ca="1"/>
        <v>#NAME?</v>
      </c>
      <c r="X18" s="143" t="e">
        <f ca="1"/>
        <v>#NAME?</v>
      </c>
      <c r="Y18" s="42" t="e">
        <f ca="1"/>
        <v>#NAME?</v>
      </c>
      <c r="Z18" s="33" t="e">
        <f ca="1"/>
        <v>#NAME?</v>
      </c>
      <c r="AA18" s="45"/>
      <c r="AB18" s="45"/>
      <c r="AD18" s="53" t="s">
        <v>419</v>
      </c>
      <c r="AE18" s="47">
        <f ca="1">SUBTOTAL(9,AE8:AE17)</f>
        <v>0</v>
      </c>
      <c r="AJ18" s="5" t="s">
        <v>461</v>
      </c>
      <c r="AM18" s="4" t="s">
        <v>100</v>
      </c>
      <c r="AQ18" s="5" t="s">
        <v>119</v>
      </c>
      <c r="AT18" s="4" t="s">
        <v>118</v>
      </c>
      <c r="AX18" s="5" t="s">
        <v>138</v>
      </c>
      <c r="BA18" s="4" t="s">
        <v>137</v>
      </c>
    </row>
    <row r="19" spans="2:55" x14ac:dyDescent="0.2">
      <c r="B19" s="52" t="s">
        <v>420</v>
      </c>
      <c r="C19" s="18"/>
      <c r="E19" s="17"/>
      <c r="F19" s="102">
        <f>-SUMIFS(Journal[CrAmt],Journal[CrAccnt],E19,Journal[ref2],"&lt;&gt;CL")+SUMIFS(Journal[DrAmt],Journal[DrAccnt],E19,Journal[ref2],"&lt;&gt;CL")</f>
        <v>0</v>
      </c>
      <c r="Q19" s="17" t="s">
        <v>485</v>
      </c>
      <c r="R19" s="102">
        <f>IFERROR(_xlfn.XLOOKUP("Cash",AS43:AS48,AU43:AU48),0)</f>
        <v>0</v>
      </c>
      <c r="S19" s="45"/>
      <c r="T19" s="342"/>
      <c r="U19" s="344"/>
      <c r="V19" s="45"/>
      <c r="W19" s="33" t="e">
        <f ca="1"/>
        <v>#NAME?</v>
      </c>
      <c r="X19" s="143" t="e">
        <f ca="1"/>
        <v>#NAME?</v>
      </c>
      <c r="Y19" s="42" t="e">
        <f ca="1"/>
        <v>#NAME?</v>
      </c>
      <c r="Z19" s="33" t="e">
        <f ca="1"/>
        <v>#NAME?</v>
      </c>
      <c r="AA19" s="45"/>
      <c r="AB19" s="45"/>
      <c r="AD19" s="52" t="s">
        <v>420</v>
      </c>
      <c r="AE19" s="18"/>
      <c r="AJ19" s="110" t="e" cm="1">
        <f t="array" aca="1" ref="AJ19" ca="1">_xlfn._xlws.FILTER(Journal[ref]:Journal[CrAmt],Journal[ref2]="IB","")</f>
        <v>#NAME?</v>
      </c>
      <c r="AK19" s="31"/>
      <c r="AL19" s="31"/>
      <c r="AM19" s="31"/>
      <c r="AN19" s="31"/>
      <c r="AO19" s="31"/>
      <c r="AQ19" s="111" t="e" cm="1">
        <f t="array" aca="1" ref="AQ19" ca="1">_xlfn._xlws.FILTER(Journal[ref]:Journal[CrAmt],Journal[ref2]=AT18,"")</f>
        <v>#NAME?</v>
      </c>
      <c r="AR19" s="112"/>
      <c r="AS19" s="112"/>
      <c r="AT19" s="112"/>
      <c r="AU19" s="112"/>
      <c r="AV19" s="112"/>
      <c r="AX19" s="114" t="e" cm="1">
        <f t="array" aca="1" ref="AX19" ca="1">_xlfn._xlws.FILTER(Journal[ref]:Journal[CrAmt],Journal[ref2]=BA18,"")</f>
        <v>#NAME?</v>
      </c>
      <c r="AY19" s="115"/>
      <c r="AZ19" s="115"/>
      <c r="BA19" s="115"/>
      <c r="BB19" s="115"/>
      <c r="BC19" s="115"/>
    </row>
    <row r="20" spans="2:55" x14ac:dyDescent="0.2">
      <c r="B20" s="17" t="e" cm="1">
        <f t="array" aca="1" ref="B20:B26" ca="1">_xlfn._xlws.FILTER(Asset[Name],Asset[C/NC]="NC")</f>
        <v>#NAME?</v>
      </c>
      <c r="C20" s="99" t="e">
        <f ca="1">IF(ISBLANK(B20),"",_xlfn.XLOOKUP(B20,BegBalSht[Account],BegBalSht[Amount]))</f>
        <v>#NAME?</v>
      </c>
      <c r="E20" s="17"/>
      <c r="F20" s="102">
        <f>-SUMIFS(Journal[CrAmt],Journal[CrAccnt],E20,Journal[ref2],"&lt;&gt;CL")+SUMIFS(Journal[DrAmt],Journal[DrAccnt],E20,Journal[ref2],"&lt;&gt;CL")</f>
        <v>0</v>
      </c>
      <c r="L20" s="103" cm="1">
        <f t="array" ref="L20">_xlfn._xlws.FILTER(Journal[CrAmt],(Journal[ref2]="CL")*(Journal[CrAccnt]="Retained Earnings"),0)</f>
        <v>0</v>
      </c>
      <c r="Q20" s="17" t="s">
        <v>486</v>
      </c>
      <c r="R20" s="102">
        <f>IFERROR(_xlfn.XLOOKUP("Cash",AS91:AS96,AU91:AU96),0)</f>
        <v>0</v>
      </c>
      <c r="S20" s="45"/>
      <c r="T20" s="342"/>
      <c r="U20" s="344"/>
      <c r="V20" s="11"/>
      <c r="W20" s="33" t="e">
        <f ca="1"/>
        <v>#NAME?</v>
      </c>
      <c r="X20" s="143" t="e">
        <f ca="1"/>
        <v>#NAME?</v>
      </c>
      <c r="Y20" s="42" t="e">
        <f ca="1"/>
        <v>#NAME?</v>
      </c>
      <c r="Z20" s="33" t="e">
        <f ca="1"/>
        <v>#NAME?</v>
      </c>
      <c r="AA20" s="11"/>
      <c r="AB20" s="45"/>
      <c r="AD20" s="17" t="e">
        <f t="shared" ref="AD20:AD29" ca="1" si="5">IF(ISBLANK(B20),"",B20)</f>
        <v>#NAME?</v>
      </c>
      <c r="AE20" s="99">
        <f t="shared" ref="AE20:AE29" ca="1" si="6">IFERROR(C20+AG20-AH20,0)</f>
        <v>0</v>
      </c>
      <c r="AF20" s="1"/>
      <c r="AG20">
        <f ca="1">SUMIF(Journal[DrAccnt],Financial_Statements_5!AD20,Journal[DrAmt])</f>
        <v>0</v>
      </c>
      <c r="AH20">
        <f ca="1">SUMIF(Journal[CrAccnt],Financial_Statements_5!AD20,Journal[CrAmt])</f>
        <v>0</v>
      </c>
      <c r="AJ20" s="110"/>
      <c r="AK20" s="31"/>
      <c r="AL20" s="31"/>
      <c r="AM20" s="31"/>
      <c r="AN20" s="31"/>
      <c r="AO20" s="31"/>
      <c r="AQ20" s="111"/>
      <c r="AR20" s="112"/>
      <c r="AS20" s="112"/>
      <c r="AT20" s="112"/>
      <c r="AU20" s="112"/>
      <c r="AV20" s="112"/>
      <c r="AX20" s="114"/>
      <c r="AY20" s="115"/>
      <c r="AZ20" s="115"/>
      <c r="BA20" s="115"/>
      <c r="BB20" s="115"/>
      <c r="BC20" s="115"/>
    </row>
    <row r="21" spans="2:55" x14ac:dyDescent="0.2">
      <c r="B21" s="17" t="e">
        <f ca="1"/>
        <v>#NAME?</v>
      </c>
      <c r="C21" s="100" t="e">
        <f ca="1">IF(ISBLANK(B21),"",_xlfn.XLOOKUP(B21,BegBalSht[Account],BegBalSht[Amount]))</f>
        <v>#NAME?</v>
      </c>
      <c r="E21" s="17"/>
      <c r="F21" s="102">
        <f>-SUMIFS(Journal[CrAmt],Journal[CrAccnt],E21,Journal[ref2],"&lt;&gt;CL")+SUMIFS(Journal[DrAmt],Journal[DrAccnt],E21,Journal[ref2],"&lt;&gt;CL")</f>
        <v>0</v>
      </c>
      <c r="L21" s="103" cm="1">
        <f t="array" ref="L21">-_xlfn._xlws.FILTER(Journal[DrAmt],(Journal[ref2]="CL")*(Journal[DrAccnt]="Retained Earnings"),0)</f>
        <v>0</v>
      </c>
      <c r="M21" s="103">
        <f>IFERROR(_xlfn.XLOOKUP("Accumulated Other Comprehensive Income",AT3:AT8,AV3:AV8),0)</f>
        <v>0</v>
      </c>
      <c r="Q21" s="17" t="s">
        <v>487</v>
      </c>
      <c r="R21" s="102" cm="1">
        <f t="array" ref="R21">IFERROR(_xlfn.XLOOKUP("Cash",AT19:AT24,-AV19:AV24),0)</f>
        <v>0</v>
      </c>
      <c r="S21" s="45"/>
      <c r="T21" s="342"/>
      <c r="U21" s="344"/>
      <c r="V21" s="11"/>
      <c r="W21" s="33" t="e">
        <f ca="1"/>
        <v>#NAME?</v>
      </c>
      <c r="X21" s="143" t="e">
        <f ca="1"/>
        <v>#NAME?</v>
      </c>
      <c r="Y21" s="42" t="e">
        <f ca="1"/>
        <v>#NAME?</v>
      </c>
      <c r="Z21" s="33" t="e">
        <f ca="1"/>
        <v>#NAME?</v>
      </c>
      <c r="AA21" s="11"/>
      <c r="AB21" s="45"/>
      <c r="AD21" s="17" t="e">
        <f t="shared" ca="1" si="5"/>
        <v>#NAME?</v>
      </c>
      <c r="AE21" s="100">
        <f t="shared" ca="1" si="6"/>
        <v>0</v>
      </c>
      <c r="AF21" s="1"/>
      <c r="AG21">
        <f ca="1">SUMIF(Journal[DrAccnt],Financial_Statements_5!AD21,Journal[DrAmt])</f>
        <v>0</v>
      </c>
      <c r="AH21">
        <f ca="1">SUMIF(Journal[CrAccnt],Financial_Statements_5!AD21,Journal[CrAmt])</f>
        <v>0</v>
      </c>
      <c r="AJ21" s="110"/>
      <c r="AK21" s="31"/>
      <c r="AL21" s="31"/>
      <c r="AM21" s="31"/>
      <c r="AN21" s="31"/>
      <c r="AO21" s="31"/>
      <c r="AQ21" s="111"/>
      <c r="AR21" s="112"/>
      <c r="AS21" s="112"/>
      <c r="AT21" s="112"/>
      <c r="AU21" s="112"/>
      <c r="AV21" s="112"/>
      <c r="AX21" s="114"/>
      <c r="AY21" s="115"/>
      <c r="AZ21" s="115"/>
      <c r="BA21" s="115"/>
      <c r="BB21" s="115"/>
      <c r="BC21" s="115"/>
    </row>
    <row r="22" spans="2:55" x14ac:dyDescent="0.2">
      <c r="B22" s="17" t="e">
        <f ca="1"/>
        <v>#NAME?</v>
      </c>
      <c r="C22" s="100" t="e">
        <f ca="1">IF(ISBLANK(B22),"",_xlfn.XLOOKUP(B22,BegBalSht[Account],BegBalSht[Amount]))</f>
        <v>#NAME?</v>
      </c>
      <c r="E22" s="21" t="s">
        <v>421</v>
      </c>
      <c r="F22" s="47">
        <f>SUM(F14:F21)</f>
        <v>0</v>
      </c>
      <c r="L22" s="103">
        <f>SUM(L20:L21)</f>
        <v>0</v>
      </c>
      <c r="M22" s="103">
        <f>IFERROR(-_xlfn.XLOOKUP("Accumulated Other Comprehensive Income",AS3:AS8,AU3:AU8),0)</f>
        <v>0</v>
      </c>
      <c r="Q22" s="17" t="s">
        <v>488</v>
      </c>
      <c r="R22" s="102" cm="1">
        <f t="array" ref="R22">IFERROR(_xlfn.XLOOKUP("Cash",AT51:AT64,-AV51:AV64),0)</f>
        <v>0</v>
      </c>
      <c r="S22" s="11"/>
      <c r="T22" s="342"/>
      <c r="U22" s="344"/>
      <c r="V22" s="11"/>
      <c r="W22" s="33" t="e">
        <f ca="1"/>
        <v>#NAME?</v>
      </c>
      <c r="X22" s="143" t="e">
        <f ca="1"/>
        <v>#NAME?</v>
      </c>
      <c r="Y22" s="42" t="e">
        <f ca="1"/>
        <v>#NAME?</v>
      </c>
      <c r="Z22" s="33" t="e">
        <f ca="1"/>
        <v>#NAME?</v>
      </c>
      <c r="AA22" s="11"/>
      <c r="AB22" s="11"/>
      <c r="AD22" s="17" t="e">
        <f t="shared" ca="1" si="5"/>
        <v>#NAME?</v>
      </c>
      <c r="AE22" s="100">
        <f t="shared" ca="1" si="6"/>
        <v>0</v>
      </c>
      <c r="AF22" s="1"/>
      <c r="AG22">
        <f ca="1">SUMIF(Journal[DrAccnt],Financial_Statements_5!AD22,Journal[DrAmt])</f>
        <v>0</v>
      </c>
      <c r="AH22">
        <f ca="1">SUMIF(Journal[CrAccnt],Financial_Statements_5!AD22,Journal[CrAmt])</f>
        <v>0</v>
      </c>
      <c r="AJ22" s="110"/>
      <c r="AK22" s="31"/>
      <c r="AL22" s="31"/>
      <c r="AM22" s="31"/>
      <c r="AN22" s="31"/>
      <c r="AO22" s="31"/>
      <c r="AQ22" s="111"/>
      <c r="AR22" s="112"/>
      <c r="AS22" s="112"/>
      <c r="AT22" s="112"/>
      <c r="AU22" s="112"/>
      <c r="AV22" s="112"/>
      <c r="AX22" s="114"/>
      <c r="AY22" s="115"/>
      <c r="AZ22" s="115"/>
      <c r="BA22" s="115"/>
      <c r="BB22" s="115"/>
      <c r="BC22" s="115"/>
    </row>
    <row r="23" spans="2:55" x14ac:dyDescent="0.2">
      <c r="B23" s="17" t="e">
        <f ca="1"/>
        <v>#NAME?</v>
      </c>
      <c r="C23" s="100" t="e">
        <f ca="1">IF(ISBLANK(B23),"",_xlfn.XLOOKUP(B23,BegBalSht[Account],BegBalSht[Amount]))</f>
        <v>#NAME?</v>
      </c>
      <c r="E23" s="19" t="s">
        <v>422</v>
      </c>
      <c r="F23" s="18"/>
      <c r="M23" s="103">
        <f>M21+M22</f>
        <v>0</v>
      </c>
      <c r="Q23" s="17" t="s">
        <v>489</v>
      </c>
      <c r="R23" s="102" cm="1">
        <f t="array" ref="R23">IFERROR(_xlfn.XLOOKUP("Cash",AT3:AT8,-AV3:AV8),0)</f>
        <v>0</v>
      </c>
      <c r="S23" s="11"/>
      <c r="T23" s="342"/>
      <c r="U23" s="344"/>
      <c r="W23" s="33" t="e">
        <f ca="1"/>
        <v>#NAME?</v>
      </c>
      <c r="X23" s="143" t="e">
        <f ca="1"/>
        <v>#NAME?</v>
      </c>
      <c r="Y23" s="42" t="e">
        <f ca="1"/>
        <v>#NAME?</v>
      </c>
      <c r="Z23" s="33" t="e">
        <f ca="1"/>
        <v>#NAME?</v>
      </c>
      <c r="AB23" s="11"/>
      <c r="AD23" s="17" t="e">
        <f t="shared" ca="1" si="5"/>
        <v>#NAME?</v>
      </c>
      <c r="AE23" s="100">
        <f t="shared" ca="1" si="6"/>
        <v>0</v>
      </c>
      <c r="AF23" s="1"/>
      <c r="AG23">
        <f ca="1">SUMIF(Journal[DrAccnt],Financial_Statements_5!AD23,Journal[DrAmt])</f>
        <v>0</v>
      </c>
      <c r="AH23">
        <f ca="1">SUMIF(Journal[CrAccnt],Financial_Statements_5!AD23,Journal[CrAmt])</f>
        <v>0</v>
      </c>
      <c r="AJ23" s="110"/>
      <c r="AK23" s="31"/>
      <c r="AL23" s="31"/>
      <c r="AM23" s="31"/>
      <c r="AN23" s="31"/>
      <c r="AO23" s="31"/>
      <c r="AQ23" s="111"/>
      <c r="AR23" s="112"/>
      <c r="AS23" s="112"/>
      <c r="AT23" s="112"/>
      <c r="AU23" s="112"/>
      <c r="AV23" s="112"/>
      <c r="AX23" s="114"/>
      <c r="AY23" s="115"/>
      <c r="AZ23" s="115"/>
      <c r="BA23" s="115"/>
      <c r="BB23" s="115"/>
      <c r="BC23" s="115"/>
    </row>
    <row r="24" spans="2:55" x14ac:dyDescent="0.2">
      <c r="B24" s="17" t="e">
        <f ca="1"/>
        <v>#NAME?</v>
      </c>
      <c r="C24" s="100" t="e">
        <f ca="1">IF(ISBLANK(B24),"",_xlfn.XLOOKUP(B24,BegBalSht[Account],BegBalSht[Amount]))</f>
        <v>#NAME?</v>
      </c>
      <c r="E24" s="17" t="str" cm="1">
        <f t="array" ref="E24">_xlfn._xlws.FILTER(_Gain[Name],NOT(ISBLANK(_Gain[Name])),"")</f>
        <v>Gain on Sale of Subsidiary</v>
      </c>
      <c r="F24" s="82">
        <f>SUMIFS(Journal[CrAmt],Journal[CrAccnt],E24,Journal[ref2],"&lt;&gt;CL")-SUMIFS(Journal[DrAmt],Journal[DrAccnt],E24,Journal[ref2],"&lt;&gt;CL")</f>
        <v>0</v>
      </c>
      <c r="Q24" s="17" t="s">
        <v>490</v>
      </c>
      <c r="R24" s="102" cm="1">
        <f t="array" ref="R24">IFERROR(_xlfn.XLOOKUP("Cash",AT35:AT40,-AV35:AV40),0)</f>
        <v>0</v>
      </c>
      <c r="S24" s="11"/>
      <c r="T24" s="342"/>
      <c r="U24" s="344"/>
      <c r="W24" s="33" t="e">
        <f ca="1"/>
        <v>#NAME?</v>
      </c>
      <c r="X24" s="143" t="e">
        <f ca="1"/>
        <v>#NAME?</v>
      </c>
      <c r="Y24" s="42" t="e">
        <f ca="1"/>
        <v>#NAME?</v>
      </c>
      <c r="Z24" s="33" t="e">
        <f ca="1"/>
        <v>#NAME?</v>
      </c>
      <c r="AB24" s="11"/>
      <c r="AD24" s="17" t="e">
        <f t="shared" ca="1" si="5"/>
        <v>#NAME?</v>
      </c>
      <c r="AE24" s="100">
        <f t="shared" ca="1" si="6"/>
        <v>0</v>
      </c>
      <c r="AF24" s="1"/>
      <c r="AG24">
        <f ca="1">SUMIF(Journal[DrAccnt],Financial_Statements_5!AD24,Journal[DrAmt])</f>
        <v>0</v>
      </c>
      <c r="AH24">
        <f ca="1">SUMIF(Journal[CrAccnt],Financial_Statements_5!AD24,Journal[CrAmt])</f>
        <v>0</v>
      </c>
      <c r="AJ24" s="110"/>
      <c r="AK24" s="31"/>
      <c r="AL24" s="31"/>
      <c r="AM24" s="31"/>
      <c r="AN24" s="31"/>
      <c r="AO24" s="31"/>
      <c r="AQ24" s="111"/>
      <c r="AR24" s="112"/>
      <c r="AS24" s="112"/>
      <c r="AT24" s="112"/>
      <c r="AU24" s="112"/>
      <c r="AV24" s="112"/>
      <c r="AX24" s="114"/>
      <c r="AY24" s="115"/>
      <c r="AZ24" s="115"/>
      <c r="BA24" s="115"/>
      <c r="BB24" s="115"/>
      <c r="BC24" s="115"/>
    </row>
    <row r="25" spans="2:55" x14ac:dyDescent="0.2">
      <c r="B25" s="17" t="e">
        <f ca="1"/>
        <v>#NAME?</v>
      </c>
      <c r="C25" s="100" t="e">
        <f ca="1">IF(ISBLANK(B25),"",_xlfn.XLOOKUP(B25,BegBalSht[Account],BegBalSht[Amount]))</f>
        <v>#NAME?</v>
      </c>
      <c r="E25" s="17"/>
      <c r="F25" s="102">
        <f>SUMIFS(Journal[CrAmt],Journal[CrAccnt],E25,Journal[ref2],"&lt;&gt;CL")-SUMIFS(Journal[DrAmt],Journal[DrAccnt],E25,Journal[ref2],"&lt;&gt;CL")</f>
        <v>0</v>
      </c>
      <c r="Q25" s="17" t="s">
        <v>491</v>
      </c>
      <c r="R25" s="102" cm="1">
        <f t="array" ref="R25">IFERROR(_xlfn.XLOOKUP("Cash",AT83:AT88,-AV83:AV88),0)</f>
        <v>0</v>
      </c>
      <c r="T25" s="342"/>
      <c r="U25" s="344"/>
      <c r="W25" s="33" t="e">
        <f ca="1"/>
        <v>#NAME?</v>
      </c>
      <c r="X25" s="143" t="e">
        <f ca="1"/>
        <v>#NAME?</v>
      </c>
      <c r="Y25" s="42" t="e">
        <f ca="1"/>
        <v>#NAME?</v>
      </c>
      <c r="Z25" s="33" t="e">
        <f ca="1"/>
        <v>#NAME?</v>
      </c>
      <c r="AD25" s="17" t="e">
        <f t="shared" ca="1" si="5"/>
        <v>#NAME?</v>
      </c>
      <c r="AE25" s="100">
        <f t="shared" ca="1" si="6"/>
        <v>0</v>
      </c>
      <c r="AF25" s="1"/>
      <c r="AG25">
        <f ca="1">SUMIF(Journal[DrAccnt],Financial_Statements_5!AD25,Journal[DrAmt])</f>
        <v>0</v>
      </c>
      <c r="AH25">
        <f ca="1">SUMIF(Journal[CrAccnt],Financial_Statements_5!AD25,Journal[CrAmt])</f>
        <v>0</v>
      </c>
    </row>
    <row r="26" spans="2:55" x14ac:dyDescent="0.2">
      <c r="B26" s="17" t="e">
        <f ca="1"/>
        <v>#NAME?</v>
      </c>
      <c r="C26" s="100" t="e">
        <f ca="1">IF(ISBLANK(B26),"",_xlfn.XLOOKUP(B26,BegBalSht[Account],BegBalSht[Amount]))</f>
        <v>#NAME?</v>
      </c>
      <c r="E26" s="17"/>
      <c r="F26" s="102">
        <f>SUMIFS(Journal[CrAmt],Journal[CrAccnt],E26,Journal[ref2],"&lt;&gt;CL")-SUMIFS(Journal[DrAmt],Journal[DrAccnt],E26,Journal[ref2],"&lt;&gt;CL")</f>
        <v>0</v>
      </c>
      <c r="Q26" s="75" t="s">
        <v>423</v>
      </c>
      <c r="R26" s="47">
        <f>SUBTOTAL(9,R16:R25)</f>
        <v>0</v>
      </c>
      <c r="T26" s="342"/>
      <c r="U26" s="344"/>
      <c r="W26" s="33" t="e">
        <f ca="1"/>
        <v>#NAME?</v>
      </c>
      <c r="X26" s="143" t="e">
        <f ca="1"/>
        <v>#NAME?</v>
      </c>
      <c r="Y26" s="42" t="e">
        <f ca="1"/>
        <v>#NAME?</v>
      </c>
      <c r="Z26" s="33" t="e">
        <f ca="1"/>
        <v>#NAME?</v>
      </c>
      <c r="AD26" s="17" t="e">
        <f t="shared" ca="1" si="5"/>
        <v>#NAME?</v>
      </c>
      <c r="AE26" s="100">
        <f t="shared" ca="1" si="6"/>
        <v>0</v>
      </c>
      <c r="AF26" s="1"/>
      <c r="AG26">
        <f ca="1">SUMIF(Journal[DrAccnt],Financial_Statements_5!AD26,Journal[DrAmt])</f>
        <v>0</v>
      </c>
      <c r="AH26">
        <f ca="1">SUMIF(Journal[CrAccnt],Financial_Statements_5!AD26,Journal[CrAmt])</f>
        <v>0</v>
      </c>
      <c r="AJ26" s="5" t="s">
        <v>462</v>
      </c>
      <c r="AM26" s="4" t="s">
        <v>102</v>
      </c>
      <c r="AQ26" s="5" t="s">
        <v>121</v>
      </c>
      <c r="AT26" s="4" t="s">
        <v>120</v>
      </c>
      <c r="AX26" s="5" t="s">
        <v>463</v>
      </c>
      <c r="AY26" s="5"/>
      <c r="BA26" s="4" t="s">
        <v>106</v>
      </c>
    </row>
    <row r="27" spans="2:55" x14ac:dyDescent="0.2">
      <c r="B27" s="17"/>
      <c r="C27" s="100" t="str">
        <f>IF(ISBLANK(B27),"",_xlfn.XLOOKUP(B27,BegBalSht[Account],BegBalSht[Amount]))</f>
        <v/>
      </c>
      <c r="E27" s="17"/>
      <c r="F27" s="102">
        <f>SUMIFS(Journal[CrAmt],Journal[CrAccnt],E27,Journal[ref2],"&lt;&gt;CL")-SUMIFS(Journal[DrAmt],Journal[DrAccnt],E27,Journal[ref2],"&lt;&gt;CL")</f>
        <v>0</v>
      </c>
      <c r="Q27" s="17"/>
      <c r="R27" s="18"/>
      <c r="T27" s="75" t="s">
        <v>416</v>
      </c>
      <c r="U27" s="47">
        <f>SUBTOTAL(9,U8:U26)</f>
        <v>5</v>
      </c>
      <c r="W27" s="33" t="e">
        <f ca="1"/>
        <v>#NAME?</v>
      </c>
      <c r="X27" s="143" t="e">
        <f ca="1"/>
        <v>#NAME?</v>
      </c>
      <c r="Y27" s="42" t="e">
        <f ca="1"/>
        <v>#NAME?</v>
      </c>
      <c r="Z27" s="33" t="e">
        <f ca="1"/>
        <v>#NAME?</v>
      </c>
      <c r="AD27" s="17" t="str">
        <f t="shared" si="5"/>
        <v/>
      </c>
      <c r="AE27" s="100">
        <f t="shared" si="6"/>
        <v>0</v>
      </c>
      <c r="AF27" s="1"/>
      <c r="AG27">
        <f>SUMIF(Journal[DrAccnt],Financial_Statements_5!AD27,Journal[DrAmt])</f>
        <v>0</v>
      </c>
      <c r="AH27">
        <f>SUMIF(Journal[CrAccnt],Financial_Statements_5!AD27,Journal[CrAmt])</f>
        <v>0</v>
      </c>
      <c r="AJ27" s="110" t="e" cm="1">
        <f t="array" aca="1" ref="AJ27" ca="1">_xlfn._xlws.FILTER(Journal[ref]:Journal[CrAmt],Journal[ref2]=AM26,"")</f>
        <v>#NAME?</v>
      </c>
      <c r="AK27" s="31"/>
      <c r="AL27" s="31"/>
      <c r="AM27" s="31"/>
      <c r="AN27" s="31"/>
      <c r="AO27" s="31"/>
      <c r="AQ27" s="111" t="e" cm="1">
        <f t="array" aca="1" ref="AQ27" ca="1">_xlfn._xlws.FILTER(Journal[ref]:Journal[CrAmt],Journal[ref2]=AT26,"")</f>
        <v>#NAME?</v>
      </c>
      <c r="AR27" s="112"/>
      <c r="AS27" s="112"/>
      <c r="AT27" s="112"/>
      <c r="AU27" s="112"/>
      <c r="AV27" s="112"/>
      <c r="AX27" s="114" t="e" cm="1">
        <f t="array" aca="1" ref="AX27" ca="1">_xlfn._xlws.FILTER(Journal[ref]:Journal[CrAmt],Journal[ref2]=BA26,"")</f>
        <v>#NAME?</v>
      </c>
      <c r="AY27" s="115"/>
      <c r="AZ27" s="115"/>
      <c r="BA27" s="115"/>
      <c r="BB27" s="115"/>
      <c r="BC27" s="115"/>
    </row>
    <row r="28" spans="2:55" x14ac:dyDescent="0.2">
      <c r="B28" s="17"/>
      <c r="C28" s="100" t="str">
        <f>IF(ISBLANK(B28),"",_xlfn.XLOOKUP(B28,BegBalSht[Account],BegBalSht[Amount]))</f>
        <v/>
      </c>
      <c r="E28" s="21" t="s">
        <v>425</v>
      </c>
      <c r="F28" s="47">
        <f>SUM(F24:F27)</f>
        <v>0</v>
      </c>
      <c r="Q28" s="19" t="s">
        <v>424</v>
      </c>
      <c r="R28" s="18"/>
      <c r="T28" s="17"/>
      <c r="U28" s="18"/>
      <c r="W28" s="33" t="e">
        <f ca="1"/>
        <v>#NAME?</v>
      </c>
      <c r="X28" s="143" t="e">
        <f ca="1"/>
        <v>#NAME?</v>
      </c>
      <c r="Y28" s="42" t="e">
        <f ca="1"/>
        <v>#NAME?</v>
      </c>
      <c r="Z28" s="33" t="e">
        <f ca="1"/>
        <v>#NAME?</v>
      </c>
      <c r="AD28" s="17" t="str">
        <f t="shared" si="5"/>
        <v/>
      </c>
      <c r="AE28" s="100">
        <f t="shared" si="6"/>
        <v>0</v>
      </c>
      <c r="AF28" s="1"/>
      <c r="AG28">
        <f>SUMIF(Journal[DrAccnt],Financial_Statements_5!AD28,Journal[DrAmt])</f>
        <v>0</v>
      </c>
      <c r="AH28">
        <f>SUMIF(Journal[CrAccnt],Financial_Statements_5!AD28,Journal[CrAmt])</f>
        <v>0</v>
      </c>
      <c r="AJ28" s="110"/>
      <c r="AK28" s="31"/>
      <c r="AL28" s="31"/>
      <c r="AM28" s="31"/>
      <c r="AN28" s="31"/>
      <c r="AO28" s="31"/>
      <c r="AQ28" s="111"/>
      <c r="AR28" s="112"/>
      <c r="AS28" s="112"/>
      <c r="AT28" s="112"/>
      <c r="AU28" s="112"/>
      <c r="AV28" s="112"/>
      <c r="AX28" s="114"/>
      <c r="AY28" s="115"/>
      <c r="AZ28" s="115"/>
      <c r="BA28" s="115"/>
      <c r="BB28" s="115"/>
      <c r="BC28" s="115"/>
    </row>
    <row r="29" spans="2:55" x14ac:dyDescent="0.2">
      <c r="B29" s="91"/>
      <c r="C29" s="101" t="str">
        <f>IF(ISBLANK(B29),"",_xlfn.XLOOKUP(B29,BegBalSht[Account],BegBalSht[Amount]))</f>
        <v/>
      </c>
      <c r="E29" s="19" t="s">
        <v>426</v>
      </c>
      <c r="F29" s="18"/>
      <c r="Q29" s="17" t="s">
        <v>454</v>
      </c>
      <c r="R29" s="82">
        <f>IFERROR(_xlfn.XLOOKUP("Cash",AL3:AL8,AN3:AN8),0)</f>
        <v>0</v>
      </c>
      <c r="T29" s="19" t="s">
        <v>418</v>
      </c>
      <c r="U29" s="18"/>
      <c r="W29" s="33" t="e">
        <f ca="1"/>
        <v>#NAME?</v>
      </c>
      <c r="X29" s="143" t="e">
        <f ca="1"/>
        <v>#NAME?</v>
      </c>
      <c r="Y29" s="42" t="e">
        <f ca="1"/>
        <v>#NAME?</v>
      </c>
      <c r="Z29" s="33" t="e">
        <f ca="1"/>
        <v>#NAME?</v>
      </c>
      <c r="AD29" s="91" t="str">
        <f t="shared" si="5"/>
        <v/>
      </c>
      <c r="AE29" s="101">
        <f t="shared" si="6"/>
        <v>0</v>
      </c>
      <c r="AF29" s="1"/>
      <c r="AG29">
        <f>SUMIF(Journal[DrAccnt],Financial_Statements_5!AD29,Journal[DrAmt])</f>
        <v>0</v>
      </c>
      <c r="AH29">
        <f>SUMIF(Journal[CrAccnt],Financial_Statements_5!AD29,Journal[CrAmt])</f>
        <v>0</v>
      </c>
      <c r="AJ29" s="110"/>
      <c r="AK29" s="31"/>
      <c r="AL29" s="31"/>
      <c r="AM29" s="31"/>
      <c r="AN29" s="31"/>
      <c r="AO29" s="31"/>
      <c r="AQ29" s="111"/>
      <c r="AR29" s="112"/>
      <c r="AS29" s="112"/>
      <c r="AT29" s="112"/>
      <c r="AU29" s="112"/>
      <c r="AV29" s="112"/>
      <c r="AX29" s="114"/>
      <c r="AY29" s="115"/>
      <c r="AZ29" s="115"/>
      <c r="BA29" s="115"/>
      <c r="BB29" s="115"/>
      <c r="BC29" s="115"/>
    </row>
    <row r="30" spans="2:55" x14ac:dyDescent="0.2">
      <c r="B30" s="53" t="s">
        <v>427</v>
      </c>
      <c r="C30" s="49" t="e">
        <f ca="1">SUBTOTAL(9,C20:C29)</f>
        <v>#NAME?</v>
      </c>
      <c r="E30" s="17" t="str" cm="1">
        <f t="array" ref="E30">_xlfn._xlws.FILTER(_Loss[Name],NOT(ISBLANK(_Loss[Name])),"")</f>
        <v>Loss on Sale of Subsidiary</v>
      </c>
      <c r="F30" s="82">
        <f>-SUMIFS(Journal[CrAmt],Journal[CrAccnt],E30,Journal[ref2],"&lt;&gt;CL")+SUMIFS(Journal[DrAmt],Journal[DrAccnt],E30,Journal[ref2],"&lt;&gt;CL")</f>
        <v>0</v>
      </c>
      <c r="Q30" s="17" t="s">
        <v>451</v>
      </c>
      <c r="R30" s="102">
        <f>IFERROR(_xlfn.XLOOKUP("Cash",AL11:AL16,AN11:AN16),0)</f>
        <v>0</v>
      </c>
      <c r="T30" s="17" t="str">
        <f t="shared" ref="T30:T39" si="7">IF(ISBLANK(Q16),"",Q16)</f>
        <v>Proceeds from sales of PP&amp;E</v>
      </c>
      <c r="U30" s="62">
        <f t="shared" ref="U30:U39" si="8">IF(ISBLANK(R16),"",R16)</f>
        <v>0</v>
      </c>
      <c r="W30" s="33" t="e">
        <f ca="1"/>
        <v>#NAME?</v>
      </c>
      <c r="X30" s="143" t="e">
        <f ca="1"/>
        <v>#NAME?</v>
      </c>
      <c r="Y30" s="42" t="e">
        <f ca="1"/>
        <v>#NAME?</v>
      </c>
      <c r="Z30" s="33" t="e">
        <f ca="1"/>
        <v>#NAME?</v>
      </c>
      <c r="AD30" s="53" t="s">
        <v>427</v>
      </c>
      <c r="AE30" s="49">
        <f ca="1">SUBTOTAL(9,AE20:AE29)</f>
        <v>0</v>
      </c>
      <c r="AJ30" s="110"/>
      <c r="AK30" s="31"/>
      <c r="AL30" s="31"/>
      <c r="AM30" s="31"/>
      <c r="AN30" s="31"/>
      <c r="AO30" s="31"/>
      <c r="AQ30" s="111"/>
      <c r="AR30" s="112"/>
      <c r="AS30" s="112"/>
      <c r="AT30" s="112"/>
      <c r="AU30" s="112"/>
      <c r="AV30" s="112"/>
      <c r="AX30" s="114"/>
      <c r="AY30" s="115"/>
      <c r="AZ30" s="115"/>
      <c r="BA30" s="115"/>
      <c r="BB30" s="115"/>
      <c r="BC30" s="115"/>
    </row>
    <row r="31" spans="2:55" ht="16" thickBot="1" x14ac:dyDescent="0.25">
      <c r="B31" s="58" t="s">
        <v>428</v>
      </c>
      <c r="C31" s="50" t="e">
        <f ca="1">SUBTOTAL(9,C8:C30)</f>
        <v>#NAME?</v>
      </c>
      <c r="E31" s="17"/>
      <c r="F31" s="102">
        <f>-SUMIFS(Journal[CrAmt],Journal[CrAccnt],E31,Journal[ref2],"&lt;&gt;CL")+SUMIFS(Journal[DrAmt],Journal[DrAccnt],E31,Journal[ref2],"&lt;&gt;CL")</f>
        <v>0</v>
      </c>
      <c r="Q31" s="17" t="s">
        <v>492</v>
      </c>
      <c r="R31" s="102">
        <f>IFERROR(_xlfn.XLOOKUP("Cash",AL19:AL24,AN19:AN24),0)</f>
        <v>0</v>
      </c>
      <c r="T31" s="17" t="str">
        <f t="shared" si="7"/>
        <v>Proceeds from sale of business unit</v>
      </c>
      <c r="U31" s="62">
        <f t="shared" si="8"/>
        <v>0</v>
      </c>
      <c r="W31" s="33" t="e">
        <f ca="1"/>
        <v>#NAME?</v>
      </c>
      <c r="X31" s="143" t="e">
        <f ca="1"/>
        <v>#NAME?</v>
      </c>
      <c r="Y31" s="42" t="e">
        <f ca="1"/>
        <v>#NAME?</v>
      </c>
      <c r="Z31" s="33" t="e">
        <f ca="1"/>
        <v>#NAME?</v>
      </c>
      <c r="AD31" s="58" t="s">
        <v>428</v>
      </c>
      <c r="AE31" s="50">
        <f ca="1">SUBTOTAL(9,AE8:AE30)</f>
        <v>0</v>
      </c>
      <c r="AJ31" s="110"/>
      <c r="AK31" s="31"/>
      <c r="AL31" s="31"/>
      <c r="AM31" s="31"/>
      <c r="AN31" s="31"/>
      <c r="AO31" s="31"/>
      <c r="AQ31" s="111"/>
      <c r="AR31" s="112"/>
      <c r="AS31" s="112"/>
      <c r="AT31" s="112"/>
      <c r="AU31" s="112"/>
      <c r="AV31" s="112"/>
      <c r="AX31" s="114"/>
      <c r="AY31" s="115"/>
      <c r="AZ31" s="115"/>
      <c r="BA31" s="115"/>
      <c r="BB31" s="115"/>
      <c r="BC31" s="115"/>
    </row>
    <row r="32" spans="2:55" x14ac:dyDescent="0.2">
      <c r="B32" s="26" t="s">
        <v>364</v>
      </c>
      <c r="C32" s="29"/>
      <c r="E32" s="17"/>
      <c r="F32" s="102">
        <f>-SUMIFS(Journal[CrAmt],Journal[CrAccnt],E32,Journal[ref2],"&lt;&gt;CL")+SUMIFS(Journal[DrAmt],Journal[DrAccnt],E32,Journal[ref2],"&lt;&gt;CL")</f>
        <v>0</v>
      </c>
      <c r="Q32" s="17" t="s">
        <v>493</v>
      </c>
      <c r="R32" s="102">
        <f>IFERROR(_xlfn.XLOOKUP("Cash",AL27:AL32,AN27:AN32),0)</f>
        <v>0</v>
      </c>
      <c r="T32" s="17" t="str">
        <f t="shared" si="7"/>
        <v>Proceeds from sales of marketable securities</v>
      </c>
      <c r="U32" s="62">
        <f t="shared" si="8"/>
        <v>0</v>
      </c>
      <c r="W32" s="33" t="e">
        <f ca="1"/>
        <v>#NAME?</v>
      </c>
      <c r="X32" s="143" t="e">
        <f ca="1"/>
        <v>#NAME?</v>
      </c>
      <c r="Y32" s="42" t="e">
        <f ca="1"/>
        <v>#NAME?</v>
      </c>
      <c r="Z32" s="33" t="e">
        <f ca="1"/>
        <v>#NAME?</v>
      </c>
      <c r="AD32" s="26" t="s">
        <v>364</v>
      </c>
      <c r="AE32" s="29"/>
      <c r="AJ32" s="110"/>
      <c r="AK32" s="31"/>
      <c r="AL32" s="31"/>
      <c r="AM32" s="31"/>
      <c r="AN32" s="31"/>
      <c r="AO32" s="31"/>
      <c r="AQ32" s="111"/>
      <c r="AR32" s="112"/>
      <c r="AS32" s="112"/>
      <c r="AT32" s="112"/>
      <c r="AU32" s="112"/>
      <c r="AV32" s="112"/>
      <c r="AX32" s="114"/>
      <c r="AY32" s="115"/>
      <c r="AZ32" s="115"/>
      <c r="BA32" s="115"/>
      <c r="BB32" s="115"/>
      <c r="BC32" s="115"/>
    </row>
    <row r="33" spans="2:55" x14ac:dyDescent="0.2">
      <c r="B33" s="52" t="s">
        <v>429</v>
      </c>
      <c r="C33" s="46">
        <f>BegDate</f>
        <v>0</v>
      </c>
      <c r="E33" s="17"/>
      <c r="F33" s="102">
        <f>-SUMIFS(Journal[CrAmt],Journal[CrAccnt],E33,Journal[ref2],"&lt;&gt;CL")+SUMIFS(Journal[DrAmt],Journal[DrAccnt],E33,Journal[ref2],"&lt;&gt;CL")</f>
        <v>0</v>
      </c>
      <c r="Q33" s="17" t="s">
        <v>494</v>
      </c>
      <c r="R33" s="102">
        <f>IFERROR(_xlfn.XLOOKUP("Cash",AL35:AL40,AN35:AN40),0)</f>
        <v>0</v>
      </c>
      <c r="T33" s="17" t="str">
        <f t="shared" si="7"/>
        <v>Proceeds from sales of other assets</v>
      </c>
      <c r="U33" s="62">
        <f t="shared" si="8"/>
        <v>0</v>
      </c>
      <c r="W33" s="33" t="e">
        <f ca="1"/>
        <v>#NAME?</v>
      </c>
      <c r="X33" s="143" t="e">
        <f ca="1"/>
        <v>#NAME?</v>
      </c>
      <c r="Y33" s="42" t="e">
        <f ca="1"/>
        <v>#NAME?</v>
      </c>
      <c r="Z33" s="33" t="e">
        <f ca="1"/>
        <v>#NAME?</v>
      </c>
      <c r="AD33" s="52" t="s">
        <v>429</v>
      </c>
      <c r="AE33" s="46">
        <f>EndDate</f>
        <v>0</v>
      </c>
    </row>
    <row r="34" spans="2:55" x14ac:dyDescent="0.2">
      <c r="B34" s="17" t="e" cm="1">
        <f t="array" aca="1" ref="B34:B41" ca="1">_xlfn._xlws.FILTER(Liability[Name],Liability[C/NC]="C")</f>
        <v>#NAME?</v>
      </c>
      <c r="C34" s="99" t="e">
        <f ca="1">IF(ISBLANK(B34),"",_xlfn.XLOOKUP(B34,BegBalSht[Account],BegBalSht[Amount]))</f>
        <v>#NAME?</v>
      </c>
      <c r="E34" s="21" t="s">
        <v>430</v>
      </c>
      <c r="F34" s="47">
        <f>SUM(F30:F33)</f>
        <v>0</v>
      </c>
      <c r="Q34" s="17" t="s">
        <v>495</v>
      </c>
      <c r="R34" s="102">
        <f>IFERROR(_xlfn.XLOOKUP("Cash",AL75:AL80,AN75:AN80),0)</f>
        <v>0</v>
      </c>
      <c r="T34" s="17" t="str">
        <f t="shared" si="7"/>
        <v>Proceeds from sales of intangibles</v>
      </c>
      <c r="U34" s="62">
        <f t="shared" si="8"/>
        <v>0</v>
      </c>
      <c r="W34" s="33" t="e">
        <f ca="1"/>
        <v>#NAME?</v>
      </c>
      <c r="X34" s="143" t="e">
        <f ca="1"/>
        <v>#NAME?</v>
      </c>
      <c r="Y34" s="42" t="e">
        <f ca="1"/>
        <v>#NAME?</v>
      </c>
      <c r="Z34" s="33" t="e">
        <f ca="1"/>
        <v>#NAME?</v>
      </c>
      <c r="AD34" s="17" t="e">
        <f t="shared" ref="AD34:AD43" ca="1" si="9">IF(ISBLANK(B34),"",B34)</f>
        <v>#NAME?</v>
      </c>
      <c r="AE34" s="99">
        <f t="shared" ref="AE34:AE43" ca="1" si="10">IFERROR(C34+AH34-AG34,0)</f>
        <v>0</v>
      </c>
      <c r="AG34">
        <f ca="1">SUMIF(Journal[DrAccnt],Financial_Statements_5!AD34,Journal[DrAmt])</f>
        <v>0</v>
      </c>
      <c r="AH34">
        <f ca="1">SUMIF(Journal[CrAccnt],Financial_Statements_5!AD34,Journal[CrAmt])</f>
        <v>0</v>
      </c>
      <c r="AJ34" s="5" t="s">
        <v>105</v>
      </c>
      <c r="AK34" s="5"/>
      <c r="AM34" s="4" t="s">
        <v>104</v>
      </c>
      <c r="AQ34" s="5" t="s">
        <v>125</v>
      </c>
      <c r="AT34" s="4" t="s">
        <v>124</v>
      </c>
      <c r="AX34" s="5" t="s">
        <v>464</v>
      </c>
      <c r="AY34" s="5"/>
      <c r="BA34" s="4" t="s">
        <v>141</v>
      </c>
    </row>
    <row r="35" spans="2:55" ht="16" thickBot="1" x14ac:dyDescent="0.25">
      <c r="B35" s="17" t="e">
        <f ca="1"/>
        <v>#NAME?</v>
      </c>
      <c r="C35" s="100" t="e">
        <f ca="1">IF(ISBLANK(B35),"",_xlfn.XLOOKUP(B35,BegBalSht[Account],BegBalSht[Amount]))</f>
        <v>#NAME?</v>
      </c>
      <c r="E35" s="19" t="s">
        <v>401</v>
      </c>
      <c r="F35" s="79">
        <f>F12-F22+F28-F34</f>
        <v>0</v>
      </c>
      <c r="Q35" s="17" t="s">
        <v>496</v>
      </c>
      <c r="R35" s="102" cm="1">
        <f t="array" ref="R35">IFERROR(_xlfn.XLOOKUP("Cash",AM51:AM56,-AO51:AO56),0)</f>
        <v>0</v>
      </c>
      <c r="T35" s="17" t="str">
        <f t="shared" si="7"/>
        <v>Acquired PP&amp;E</v>
      </c>
      <c r="U35" s="62">
        <f t="shared" si="8"/>
        <v>0</v>
      </c>
      <c r="W35" s="33" t="e">
        <f ca="1"/>
        <v>#NAME?</v>
      </c>
      <c r="X35" s="143" t="e">
        <f ca="1"/>
        <v>#NAME?</v>
      </c>
      <c r="Y35" s="42" t="e">
        <f ca="1"/>
        <v>#NAME?</v>
      </c>
      <c r="Z35" s="33" t="e">
        <f ca="1"/>
        <v>#NAME?</v>
      </c>
      <c r="AD35" s="17" t="e">
        <f t="shared" ca="1" si="9"/>
        <v>#NAME?</v>
      </c>
      <c r="AE35" s="100">
        <f t="shared" ca="1" si="10"/>
        <v>0</v>
      </c>
      <c r="AG35">
        <f ca="1">SUMIF(Journal[DrAccnt],Financial_Statements_5!AD35,Journal[DrAmt])</f>
        <v>0</v>
      </c>
      <c r="AH35">
        <f ca="1">SUMIF(Journal[CrAccnt],Financial_Statements_5!AD35,Journal[CrAmt])</f>
        <v>0</v>
      </c>
      <c r="AJ35" s="110" t="e" cm="1">
        <f t="array" aca="1" ref="AJ35" ca="1">_xlfn._xlws.FILTER(Journal[ref]:Journal[CrAmt],Journal[ref2]=AM34,"")</f>
        <v>#NAME?</v>
      </c>
      <c r="AK35" s="31"/>
      <c r="AL35" s="31"/>
      <c r="AM35" s="31"/>
      <c r="AN35" s="31"/>
      <c r="AO35" s="31"/>
      <c r="AQ35" s="111" t="e" cm="1">
        <f t="array" aca="1" ref="AQ35" ca="1">_xlfn._xlws.FILTER(Journal[ref]:Journal[CrAmt],Journal[ref2]=AT34,"")</f>
        <v>#NAME?</v>
      </c>
      <c r="AR35" s="112"/>
      <c r="AS35" s="112"/>
      <c r="AT35" s="112"/>
      <c r="AU35" s="112"/>
      <c r="AV35" s="112"/>
      <c r="AX35" s="114" t="e" cm="1">
        <f t="array" aca="1" ref="AX35" ca="1">_xlfn._xlws.FILTER(Journal[ref]:Journal[CrAmt],Journal[ref2]=BA34,"")</f>
        <v>#NAME?</v>
      </c>
      <c r="AY35" s="115"/>
      <c r="AZ35" s="115"/>
      <c r="BA35" s="115"/>
      <c r="BB35" s="115"/>
      <c r="BC35" s="115"/>
    </row>
    <row r="36" spans="2:55" ht="17" thickTop="1" thickBot="1" x14ac:dyDescent="0.25">
      <c r="B36" s="17" t="e">
        <f ca="1"/>
        <v>#NAME?</v>
      </c>
      <c r="C36" s="100" t="e">
        <f ca="1">IF(ISBLANK(B36),"",_xlfn.XLOOKUP(B36,BegBalSht[Account],BegBalSht[Amount]))</f>
        <v>#NAME?</v>
      </c>
      <c r="E36" s="24"/>
      <c r="F36" s="25"/>
      <c r="Q36" s="17" t="s">
        <v>497</v>
      </c>
      <c r="R36" s="102" cm="1">
        <f t="array" ref="R36">IFERROR(_xlfn.XLOOKUP("Cash",AM59:AM64,-AO59:AO64),0)</f>
        <v>0</v>
      </c>
      <c r="T36" s="17" t="str">
        <f t="shared" si="7"/>
        <v>Acquired business unit</v>
      </c>
      <c r="U36" s="62">
        <f t="shared" si="8"/>
        <v>0</v>
      </c>
      <c r="W36" s="33" t="e">
        <f ca="1"/>
        <v>#NAME?</v>
      </c>
      <c r="X36" s="143" t="e">
        <f ca="1"/>
        <v>#NAME?</v>
      </c>
      <c r="Y36" s="42" t="e">
        <f ca="1"/>
        <v>#NAME?</v>
      </c>
      <c r="Z36" s="33" t="e">
        <f ca="1"/>
        <v>#NAME?</v>
      </c>
      <c r="AD36" s="17" t="e">
        <f t="shared" ca="1" si="9"/>
        <v>#NAME?</v>
      </c>
      <c r="AE36" s="100">
        <f t="shared" ca="1" si="10"/>
        <v>0</v>
      </c>
      <c r="AG36">
        <f ca="1">SUMIF(Journal[DrAccnt],Financial_Statements_5!AD36,Journal[DrAmt])</f>
        <v>0</v>
      </c>
      <c r="AH36">
        <f ca="1">SUMIF(Journal[CrAccnt],Financial_Statements_5!AD36,Journal[CrAmt])</f>
        <v>0</v>
      </c>
      <c r="AJ36" s="110"/>
      <c r="AK36" s="31"/>
      <c r="AL36" s="31"/>
      <c r="AM36" s="31"/>
      <c r="AN36" s="31"/>
      <c r="AO36" s="31"/>
      <c r="AQ36" s="111"/>
      <c r="AR36" s="112"/>
      <c r="AS36" s="112"/>
      <c r="AT36" s="112"/>
      <c r="AU36" s="112"/>
      <c r="AV36" s="112"/>
      <c r="AX36" s="114"/>
      <c r="AY36" s="115"/>
      <c r="AZ36" s="115"/>
      <c r="BA36" s="115"/>
      <c r="BB36" s="115"/>
      <c r="BC36" s="115"/>
    </row>
    <row r="37" spans="2:55" x14ac:dyDescent="0.2">
      <c r="B37" s="17" t="e">
        <f ca="1"/>
        <v>#NAME?</v>
      </c>
      <c r="C37" s="100" t="e">
        <f ca="1">IF(ISBLANK(B37),"",_xlfn.XLOOKUP(B37,BegBalSht[Account],BegBalSht[Amount]))</f>
        <v>#NAME?</v>
      </c>
      <c r="Q37" s="17" t="s">
        <v>457</v>
      </c>
      <c r="R37" s="102" cm="1">
        <f t="array" ref="R37">IFERROR(_xlfn.XLOOKUP("Cash",AM67:AM72,-AO67:AO72),0)</f>
        <v>0</v>
      </c>
      <c r="T37" s="17" t="str">
        <f t="shared" si="7"/>
        <v>Acquired marketable securities</v>
      </c>
      <c r="U37" s="62">
        <f t="shared" si="8"/>
        <v>0</v>
      </c>
      <c r="W37" s="33" t="e">
        <f ca="1"/>
        <v>#NAME?</v>
      </c>
      <c r="X37" s="143" t="e">
        <f ca="1"/>
        <v>#NAME?</v>
      </c>
      <c r="Y37" s="42" t="e">
        <f ca="1"/>
        <v>#NAME?</v>
      </c>
      <c r="Z37" s="33" t="e">
        <f ca="1"/>
        <v>#NAME?</v>
      </c>
      <c r="AD37" s="17" t="e">
        <f t="shared" ca="1" si="9"/>
        <v>#NAME?</v>
      </c>
      <c r="AE37" s="100">
        <f t="shared" ca="1" si="10"/>
        <v>0</v>
      </c>
      <c r="AG37">
        <f ca="1">SUMIF(Journal[DrAccnt],Financial_Statements_5!AD37,Journal[DrAmt])</f>
        <v>0</v>
      </c>
      <c r="AH37">
        <f ca="1">SUMIF(Journal[CrAccnt],Financial_Statements_5!AD37,Journal[CrAmt])</f>
        <v>0</v>
      </c>
      <c r="AJ37" s="110"/>
      <c r="AK37" s="31"/>
      <c r="AL37" s="31"/>
      <c r="AM37" s="31"/>
      <c r="AN37" s="31"/>
      <c r="AO37" s="31"/>
      <c r="AQ37" s="111"/>
      <c r="AR37" s="112"/>
      <c r="AS37" s="112"/>
      <c r="AT37" s="112"/>
      <c r="AU37" s="112"/>
      <c r="AV37" s="112"/>
      <c r="AX37" s="114"/>
      <c r="AY37" s="115"/>
      <c r="AZ37" s="115"/>
      <c r="BA37" s="115"/>
      <c r="BB37" s="115"/>
      <c r="BC37" s="115"/>
    </row>
    <row r="38" spans="2:55" x14ac:dyDescent="0.2">
      <c r="B38" s="17" t="e">
        <f ca="1"/>
        <v>#NAME?</v>
      </c>
      <c r="C38" s="100" t="e">
        <f ca="1">IF(ISBLANK(B38),"",_xlfn.XLOOKUP(B38,BegBalSht[Account],BegBalSht[Amount]))</f>
        <v>#NAME?</v>
      </c>
      <c r="Q38" s="75" t="s">
        <v>431</v>
      </c>
      <c r="R38" s="47">
        <f>SUBTOTAL(9,R29:R37)</f>
        <v>0</v>
      </c>
      <c r="T38" s="17" t="str">
        <f t="shared" si="7"/>
        <v>Acquired other assets</v>
      </c>
      <c r="U38" s="62">
        <f t="shared" si="8"/>
        <v>0</v>
      </c>
      <c r="W38" s="33" t="e">
        <f ca="1"/>
        <v>#NAME?</v>
      </c>
      <c r="X38" s="143" t="e">
        <f ca="1"/>
        <v>#NAME?</v>
      </c>
      <c r="Y38" s="42" t="e">
        <f ca="1"/>
        <v>#NAME?</v>
      </c>
      <c r="Z38" s="33" t="e">
        <f ca="1"/>
        <v>#NAME?</v>
      </c>
      <c r="AD38" s="17" t="e">
        <f t="shared" ca="1" si="9"/>
        <v>#NAME?</v>
      </c>
      <c r="AE38" s="100">
        <f t="shared" ca="1" si="10"/>
        <v>0</v>
      </c>
      <c r="AG38">
        <f ca="1">SUMIF(Journal[DrAccnt],Financial_Statements_5!AD38,Journal[DrAmt])</f>
        <v>0</v>
      </c>
      <c r="AH38">
        <f ca="1">SUMIF(Journal[CrAccnt],Financial_Statements_5!AD38,Journal[CrAmt])</f>
        <v>0</v>
      </c>
      <c r="AJ38" s="110"/>
      <c r="AK38" s="31"/>
      <c r="AL38" s="31"/>
      <c r="AM38" s="31"/>
      <c r="AN38" s="31"/>
      <c r="AO38" s="31"/>
      <c r="AQ38" s="111"/>
      <c r="AR38" s="112"/>
      <c r="AS38" s="112"/>
      <c r="AT38" s="112"/>
      <c r="AU38" s="112"/>
      <c r="AV38" s="112"/>
      <c r="AX38" s="114"/>
      <c r="AY38" s="115"/>
      <c r="AZ38" s="115"/>
      <c r="BA38" s="115"/>
      <c r="BB38" s="115"/>
      <c r="BC38" s="115"/>
    </row>
    <row r="39" spans="2:55" x14ac:dyDescent="0.2">
      <c r="B39" s="17" t="e">
        <f ca="1"/>
        <v>#NAME?</v>
      </c>
      <c r="C39" s="100" t="e">
        <f ca="1">IF(ISBLANK(B39),"",_xlfn.XLOOKUP(B39,BegBalSht[Account],BegBalSht[Amount]))</f>
        <v>#NAME?</v>
      </c>
      <c r="Q39" s="17"/>
      <c r="R39" s="18"/>
      <c r="T39" s="17" t="str">
        <f t="shared" si="7"/>
        <v>Acquired intangibles</v>
      </c>
      <c r="U39" s="62">
        <f t="shared" si="8"/>
        <v>0</v>
      </c>
      <c r="W39" s="33" t="e">
        <f ca="1"/>
        <v>#NAME?</v>
      </c>
      <c r="X39" s="143" t="e">
        <f ca="1"/>
        <v>#NAME?</v>
      </c>
      <c r="Y39" s="42" t="e">
        <f ca="1"/>
        <v>#NAME?</v>
      </c>
      <c r="Z39" s="33" t="e">
        <f ca="1"/>
        <v>#NAME?</v>
      </c>
      <c r="AD39" s="17" t="e">
        <f t="shared" ca="1" si="9"/>
        <v>#NAME?</v>
      </c>
      <c r="AE39" s="100">
        <f t="shared" ca="1" si="10"/>
        <v>0</v>
      </c>
      <c r="AG39">
        <f ca="1">SUMIF(Journal[DrAccnt],Financial_Statements_5!AD39,Journal[DrAmt])</f>
        <v>0</v>
      </c>
      <c r="AH39">
        <f ca="1">SUMIF(Journal[CrAccnt],Financial_Statements_5!AD39,Journal[CrAmt])</f>
        <v>0</v>
      </c>
      <c r="AJ39" s="110"/>
      <c r="AK39" s="31"/>
      <c r="AL39" s="31"/>
      <c r="AM39" s="31"/>
      <c r="AN39" s="31"/>
      <c r="AO39" s="31"/>
      <c r="AQ39" s="111"/>
      <c r="AR39" s="112"/>
      <c r="AS39" s="112"/>
      <c r="AT39" s="112"/>
      <c r="AU39" s="112"/>
      <c r="AV39" s="112"/>
      <c r="AX39" s="114"/>
      <c r="AY39" s="115"/>
      <c r="AZ39" s="115"/>
      <c r="BA39" s="115"/>
      <c r="BB39" s="115"/>
      <c r="BC39" s="115"/>
    </row>
    <row r="40" spans="2:55" x14ac:dyDescent="0.2">
      <c r="B40" s="17" t="e">
        <f ca="1"/>
        <v>#NAME?</v>
      </c>
      <c r="C40" s="100" t="e">
        <f ca="1">IF(ISBLANK(B40),"",_xlfn.XLOOKUP(B40,BegBalSht[Account],BegBalSht[Amount]))</f>
        <v>#NAME?</v>
      </c>
      <c r="Q40" s="17" t="s">
        <v>432</v>
      </c>
      <c r="R40" s="80">
        <f>SUBTOTAL(9,R8:R39)</f>
        <v>0</v>
      </c>
      <c r="T40" s="75" t="s">
        <v>423</v>
      </c>
      <c r="U40" s="47">
        <f>SUBTOTAL(9,U30:U37)</f>
        <v>0</v>
      </c>
      <c r="W40" s="33" t="e">
        <f ca="1"/>
        <v>#NAME?</v>
      </c>
      <c r="X40" s="143" t="e">
        <f ca="1"/>
        <v>#NAME?</v>
      </c>
      <c r="Y40" s="42" t="e">
        <f ca="1"/>
        <v>#NAME?</v>
      </c>
      <c r="Z40" s="33" t="e">
        <f ca="1"/>
        <v>#NAME?</v>
      </c>
      <c r="AD40" s="17" t="e">
        <f t="shared" ca="1" si="9"/>
        <v>#NAME?</v>
      </c>
      <c r="AE40" s="100">
        <f t="shared" ca="1" si="10"/>
        <v>0</v>
      </c>
      <c r="AG40">
        <f ca="1">SUMIF(Journal[DrAccnt],Financial_Statements_5!AD40,Journal[DrAmt])</f>
        <v>0</v>
      </c>
      <c r="AH40">
        <f ca="1">SUMIF(Journal[CrAccnt],Financial_Statements_5!AD40,Journal[CrAmt])</f>
        <v>0</v>
      </c>
      <c r="AJ40" s="110"/>
      <c r="AK40" s="31"/>
      <c r="AL40" s="31"/>
      <c r="AM40" s="31"/>
      <c r="AN40" s="31"/>
      <c r="AO40" s="31"/>
      <c r="AQ40" s="111"/>
      <c r="AR40" s="112"/>
      <c r="AS40" s="112"/>
      <c r="AT40" s="112"/>
      <c r="AU40" s="112"/>
      <c r="AV40" s="112"/>
      <c r="AX40" s="114"/>
      <c r="AY40" s="115"/>
      <c r="AZ40" s="115"/>
      <c r="BA40" s="115"/>
      <c r="BB40" s="115"/>
      <c r="BC40" s="115"/>
    </row>
    <row r="41" spans="2:55" x14ac:dyDescent="0.2">
      <c r="B41" s="17" t="e">
        <f ca="1"/>
        <v>#NAME?</v>
      </c>
      <c r="C41" s="100" t="e">
        <f ca="1">IF(ISBLANK(B41),"",_xlfn.XLOOKUP(B41,BegBalSht[Account],BegBalSht[Amount]))</f>
        <v>#NAME?</v>
      </c>
      <c r="Q41" s="17" t="str">
        <f>"Cash @ "&amp;BegDate</f>
        <v xml:space="preserve">Cash @ </v>
      </c>
      <c r="R41" s="62" t="e">
        <f ca="1">_xlfn.XLOOKUP("Cash",B8:B17,C8:C17,0)</f>
        <v>#NAME?</v>
      </c>
      <c r="T41" s="17"/>
      <c r="U41" s="18"/>
      <c r="W41" s="33" t="e">
        <f ca="1"/>
        <v>#NAME?</v>
      </c>
      <c r="X41" s="143" t="e">
        <f ca="1"/>
        <v>#NAME?</v>
      </c>
      <c r="Y41" s="42" t="e">
        <f ca="1"/>
        <v>#NAME?</v>
      </c>
      <c r="Z41" s="33" t="e">
        <f ca="1"/>
        <v>#NAME?</v>
      </c>
      <c r="AD41" s="17" t="e">
        <f t="shared" ca="1" si="9"/>
        <v>#NAME?</v>
      </c>
      <c r="AE41" s="100">
        <f t="shared" ca="1" si="10"/>
        <v>0</v>
      </c>
      <c r="AG41">
        <f ca="1">SUMIF(Journal[DrAccnt],Financial_Statements_5!AD41,Journal[DrAmt])</f>
        <v>0</v>
      </c>
      <c r="AH41">
        <f ca="1">SUMIF(Journal[CrAccnt],Financial_Statements_5!AD41,Journal[CrAmt])</f>
        <v>0</v>
      </c>
    </row>
    <row r="42" spans="2:55" ht="16" thickBot="1" x14ac:dyDescent="0.25">
      <c r="B42" s="17"/>
      <c r="C42" s="100" t="str">
        <f>IF(ISBLANK(B42),"",_xlfn.XLOOKUP(B42,BegBalSht[Account],BegBalSht[Amount]))</f>
        <v/>
      </c>
      <c r="Q42" s="17" t="str">
        <f>"Cash @ "&amp;EndDate</f>
        <v xml:space="preserve">Cash @ </v>
      </c>
      <c r="R42" s="79" t="e">
        <f ca="1">SUM(R40:R41)</f>
        <v>#NAME?</v>
      </c>
      <c r="T42" s="19" t="s">
        <v>424</v>
      </c>
      <c r="U42" s="18"/>
      <c r="W42" s="33" t="e">
        <f ca="1"/>
        <v>#NAME?</v>
      </c>
      <c r="X42" s="143" t="e">
        <f ca="1"/>
        <v>#NAME?</v>
      </c>
      <c r="Y42" s="42" t="e">
        <f ca="1"/>
        <v>#NAME?</v>
      </c>
      <c r="Z42" s="33" t="e">
        <f ca="1"/>
        <v>#NAME?</v>
      </c>
      <c r="AD42" s="17" t="str">
        <f t="shared" si="9"/>
        <v/>
      </c>
      <c r="AE42" s="100">
        <f t="shared" si="10"/>
        <v>0</v>
      </c>
      <c r="AG42">
        <f>SUMIF(Journal[DrAccnt],Financial_Statements_5!AD42,Journal[DrAmt])</f>
        <v>0</v>
      </c>
      <c r="AH42">
        <f>SUMIF(Journal[CrAccnt],Financial_Statements_5!AD42,Journal[CrAmt])</f>
        <v>0</v>
      </c>
      <c r="AJ42" s="5"/>
      <c r="AK42" s="5"/>
      <c r="AM42" s="4"/>
      <c r="AQ42" s="5" t="s">
        <v>127</v>
      </c>
      <c r="AT42" s="4" t="s">
        <v>126</v>
      </c>
      <c r="AX42" s="5" t="s">
        <v>465</v>
      </c>
      <c r="AY42" s="5"/>
      <c r="BA42" s="4" t="s">
        <v>149</v>
      </c>
    </row>
    <row r="43" spans="2:55" ht="17" thickTop="1" thickBot="1" x14ac:dyDescent="0.25">
      <c r="B43" s="91"/>
      <c r="C43" s="101" t="str">
        <f>IF(ISBLANK(B43),"",_xlfn.XLOOKUP(B43,BegBalSht[Account],BegBalSht[Amount]))</f>
        <v/>
      </c>
      <c r="Q43" s="24"/>
      <c r="R43" s="25"/>
      <c r="T43" s="17" t="str">
        <f t="shared" ref="T43:T51" si="11">IF(ISBLANK(Q29),"",Q29)</f>
        <v>Issued common stock</v>
      </c>
      <c r="U43" s="62">
        <f t="shared" ref="U43:U51" si="12">IF(ISBLANK(R29),"",R29)</f>
        <v>0</v>
      </c>
      <c r="W43" s="33" t="e">
        <f ca="1"/>
        <v>#NAME?</v>
      </c>
      <c r="X43" s="143" t="e">
        <f ca="1"/>
        <v>#NAME?</v>
      </c>
      <c r="Y43" s="42" t="e">
        <f ca="1"/>
        <v>#NAME?</v>
      </c>
      <c r="Z43" s="33" t="e">
        <f ca="1"/>
        <v>#NAME?</v>
      </c>
      <c r="AD43" s="91" t="str">
        <f t="shared" si="9"/>
        <v/>
      </c>
      <c r="AE43" s="101">
        <f t="shared" si="10"/>
        <v>0</v>
      </c>
      <c r="AG43">
        <f>SUMIF(Journal[DrAccnt],Financial_Statements_5!AD43,Journal[DrAmt])</f>
        <v>0</v>
      </c>
      <c r="AH43">
        <f>SUMIF(Journal[CrAccnt],Financial_Statements_5!AD43,Journal[CrAmt])</f>
        <v>0</v>
      </c>
      <c r="AJ43" s="110"/>
      <c r="AK43" s="31"/>
      <c r="AL43" s="31"/>
      <c r="AM43" s="31"/>
      <c r="AN43" s="31"/>
      <c r="AO43" s="31"/>
      <c r="AQ43" s="111" t="e" cm="1">
        <f t="array" aca="1" ref="AQ43" ca="1">_xlfn._xlws.FILTER(Journal[ref]:Journal[CrAmt],Journal[ref2]=AT42,"")</f>
        <v>#NAME?</v>
      </c>
      <c r="AR43" s="112"/>
      <c r="AS43" s="112"/>
      <c r="AT43" s="112"/>
      <c r="AU43" s="112"/>
      <c r="AV43" s="112"/>
      <c r="AX43" s="114" t="e" cm="1">
        <f t="array" aca="1" ref="AX43" ca="1">_xlfn._xlws.FILTER(Journal[ref]:Journal[CrAmt],Journal[ref2]=BA42,"")</f>
        <v>#NAME?</v>
      </c>
      <c r="AY43" s="115"/>
      <c r="AZ43" s="115"/>
      <c r="BA43" s="115"/>
      <c r="BB43" s="115"/>
      <c r="BC43" s="115"/>
    </row>
    <row r="44" spans="2:55" ht="16" thickBot="1" x14ac:dyDescent="0.25">
      <c r="B44" s="54" t="s">
        <v>434</v>
      </c>
      <c r="C44" s="51" t="e">
        <f ca="1">SUBTOTAL(9,C34:C43)</f>
        <v>#NAME?</v>
      </c>
      <c r="T44" s="17" t="str">
        <f t="shared" si="11"/>
        <v>Issued preferred stock</v>
      </c>
      <c r="U44" s="62">
        <f t="shared" si="12"/>
        <v>0</v>
      </c>
      <c r="W44" s="33" t="e">
        <f ca="1"/>
        <v>#NAME?</v>
      </c>
      <c r="X44" s="143" t="e">
        <f ca="1"/>
        <v>#NAME?</v>
      </c>
      <c r="Y44" s="42" t="e">
        <f ca="1"/>
        <v>#NAME?</v>
      </c>
      <c r="Z44" s="33" t="e">
        <f ca="1"/>
        <v>#NAME?</v>
      </c>
      <c r="AD44" s="54" t="s">
        <v>434</v>
      </c>
      <c r="AE44" s="51">
        <f ca="1">SUBTOTAL(9,AE34:AE43)</f>
        <v>0</v>
      </c>
      <c r="AJ44" s="110"/>
      <c r="AK44" s="31"/>
      <c r="AL44" s="31"/>
      <c r="AM44" s="31"/>
      <c r="AN44" s="31"/>
      <c r="AO44" s="31"/>
      <c r="AQ44" s="111"/>
      <c r="AR44" s="112"/>
      <c r="AS44" s="112"/>
      <c r="AT44" s="112"/>
      <c r="AU44" s="112"/>
      <c r="AV44" s="112"/>
      <c r="AX44" s="114"/>
      <c r="AY44" s="115"/>
      <c r="AZ44" s="115"/>
      <c r="BA44" s="115"/>
      <c r="BB44" s="115"/>
      <c r="BC44" s="115"/>
    </row>
    <row r="45" spans="2:55" x14ac:dyDescent="0.2">
      <c r="B45" s="55" t="s">
        <v>435</v>
      </c>
      <c r="C45" s="18"/>
      <c r="Q45" s="72" t="s">
        <v>433</v>
      </c>
      <c r="R45" s="71"/>
      <c r="T45" s="17" t="str">
        <f t="shared" si="11"/>
        <v>Issued bonds</v>
      </c>
      <c r="U45" s="62">
        <f t="shared" si="12"/>
        <v>0</v>
      </c>
      <c r="W45" s="33" t="e">
        <f ca="1"/>
        <v>#NAME?</v>
      </c>
      <c r="X45" s="143" t="e">
        <f ca="1"/>
        <v>#NAME?</v>
      </c>
      <c r="Y45" s="42" t="e">
        <f ca="1"/>
        <v>#NAME?</v>
      </c>
      <c r="Z45" s="33" t="e">
        <f ca="1"/>
        <v>#NAME?</v>
      </c>
      <c r="AD45" s="55" t="s">
        <v>435</v>
      </c>
      <c r="AE45" s="18"/>
      <c r="AJ45" s="110"/>
      <c r="AK45" s="31"/>
      <c r="AL45" s="31"/>
      <c r="AM45" s="31"/>
      <c r="AN45" s="31"/>
      <c r="AO45" s="31"/>
      <c r="AQ45" s="111"/>
      <c r="AR45" s="112"/>
      <c r="AS45" s="112"/>
      <c r="AT45" s="112"/>
      <c r="AU45" s="112"/>
      <c r="AV45" s="112"/>
      <c r="AX45" s="114"/>
      <c r="AY45" s="115"/>
      <c r="AZ45" s="115"/>
      <c r="BA45" s="115"/>
      <c r="BB45" s="115"/>
      <c r="BC45" s="115"/>
    </row>
    <row r="46" spans="2:55" x14ac:dyDescent="0.2">
      <c r="B46" s="17" t="str" cm="1">
        <f t="array" ref="B46:B49">_xlfn._xlws.FILTER(Liability[Name],Liability[C/NC]="NC")</f>
        <v>Bonds Payable</v>
      </c>
      <c r="C46" s="99">
        <f>IF(ISBLANK(B46),"",_xlfn.XLOOKUP(B46,BegBalSht[Account],BegBalSht[Amount]))</f>
        <v>0</v>
      </c>
      <c r="Q46" s="17" t="s">
        <v>498</v>
      </c>
      <c r="R46" s="82">
        <f>IFERROR(_xlfn.XLOOKUP("Common Stock",BA11:BA16,BC11:BC16),0)</f>
        <v>0</v>
      </c>
      <c r="T46" s="17" t="str">
        <f t="shared" si="11"/>
        <v>Issued notes</v>
      </c>
      <c r="U46" s="62">
        <f t="shared" si="12"/>
        <v>0</v>
      </c>
      <c r="W46" s="33"/>
      <c r="X46" s="143"/>
      <c r="Y46" s="42"/>
      <c r="Z46" s="33"/>
      <c r="AD46" s="17" t="str">
        <f t="shared" ref="AD46:AD55" si="13">IF(ISBLANK(B46),"",B46)</f>
        <v>Bonds Payable</v>
      </c>
      <c r="AE46" s="99">
        <f t="shared" ref="AE46:AE55" si="14">IFERROR(C46+AH46-AG46,0)</f>
        <v>0</v>
      </c>
      <c r="AG46">
        <f>SUMIF(Journal[DrAccnt],Financial_Statements_5!AD46,Journal[DrAmt])</f>
        <v>0</v>
      </c>
      <c r="AH46">
        <f>SUMIF(Journal[CrAccnt],Financial_Statements_5!AD46,Journal[CrAmt])</f>
        <v>0</v>
      </c>
      <c r="AJ46" s="110"/>
      <c r="AK46" s="31"/>
      <c r="AL46" s="31"/>
      <c r="AM46" s="31"/>
      <c r="AN46" s="31"/>
      <c r="AO46" s="31"/>
      <c r="AQ46" s="111"/>
      <c r="AR46" s="112"/>
      <c r="AS46" s="112"/>
      <c r="AT46" s="112"/>
      <c r="AU46" s="112"/>
      <c r="AV46" s="112"/>
      <c r="AX46" s="114"/>
      <c r="AY46" s="115"/>
      <c r="AZ46" s="115"/>
      <c r="BA46" s="115"/>
      <c r="BB46" s="115"/>
      <c r="BC46" s="115"/>
    </row>
    <row r="47" spans="2:55" x14ac:dyDescent="0.2">
      <c r="B47" s="17" t="str">
        <v>Notes Payable</v>
      </c>
      <c r="C47" s="100">
        <f>IF(ISBLANK(B47),"",_xlfn.XLOOKUP(B47,BegBalSht[Account],BegBalSht[Amount]))</f>
        <v>0</v>
      </c>
      <c r="Q47" s="17"/>
      <c r="R47" s="82"/>
      <c r="T47" s="17" t="str">
        <f t="shared" si="11"/>
        <v>Issued other noncurrent liabilities</v>
      </c>
      <c r="U47" s="62">
        <f t="shared" si="12"/>
        <v>0</v>
      </c>
      <c r="W47" s="33" t="str">
        <f>IF(ISBLANK(Indirect_CFO_Worksheet_Tool!O181),"",Indirect_CFO_Worksheet_Tool!O181)</f>
        <v>CFO</v>
      </c>
      <c r="X47" s="258">
        <f ca="1">IF(ISBLANK(Indirect_CFO_Worksheet_Tool!P181),"",Indirect_CFO_Worksheet_Tool!P181)</f>
        <v>5</v>
      </c>
      <c r="Y47" s="259">
        <f ca="1">IF(ISBLANK(Indirect_CFO_Worksheet_Tool!Q181),"",Indirect_CFO_Worksheet_Tool!Q181)</f>
        <v>0</v>
      </c>
      <c r="Z47" s="33" t="str">
        <f>IF(ISBLANK(Indirect_CFO_Worksheet_Tool!R181),"",Indirect_CFO_Worksheet_Tool!R181)</f>
        <v>CFO</v>
      </c>
      <c r="AD47" s="17" t="str">
        <f t="shared" si="13"/>
        <v>Notes Payable</v>
      </c>
      <c r="AE47" s="100">
        <f t="shared" si="14"/>
        <v>0</v>
      </c>
      <c r="AG47">
        <f>SUMIF(Journal[DrAccnt],Financial_Statements_5!AD47,Journal[DrAmt])</f>
        <v>0</v>
      </c>
      <c r="AH47">
        <f>SUMIF(Journal[CrAccnt],Financial_Statements_5!AD47,Journal[CrAmt])</f>
        <v>0</v>
      </c>
      <c r="AJ47" s="110"/>
      <c r="AK47" s="31"/>
      <c r="AL47" s="31"/>
      <c r="AM47" s="31"/>
      <c r="AN47" s="31"/>
      <c r="AO47" s="31"/>
      <c r="AQ47" s="111"/>
      <c r="AR47" s="112"/>
      <c r="AS47" s="112"/>
      <c r="AT47" s="112"/>
      <c r="AU47" s="112"/>
      <c r="AV47" s="112"/>
      <c r="AX47" s="114"/>
      <c r="AY47" s="115"/>
      <c r="AZ47" s="115"/>
      <c r="BA47" s="115"/>
      <c r="BB47" s="115"/>
      <c r="BC47" s="115"/>
    </row>
    <row r="48" spans="2:55" x14ac:dyDescent="0.2">
      <c r="B48" s="17" t="str">
        <v>Senior Debt</v>
      </c>
      <c r="C48" s="100">
        <f>IF(ISBLANK(B48),"",_xlfn.XLOOKUP(B48,BegBalSht[Account],BegBalSht[Amount]))</f>
        <v>0</v>
      </c>
      <c r="Q48" s="17"/>
      <c r="R48" s="82"/>
      <c r="T48" s="17" t="str">
        <f t="shared" si="11"/>
        <v>Sold  treasury stock</v>
      </c>
      <c r="U48" s="62">
        <f t="shared" si="12"/>
        <v>0</v>
      </c>
      <c r="AD48" s="17" t="str">
        <f t="shared" si="13"/>
        <v>Senior Debt</v>
      </c>
      <c r="AE48" s="100">
        <f t="shared" si="14"/>
        <v>0</v>
      </c>
      <c r="AG48">
        <f>SUMIF(Journal[DrAccnt],Financial_Statements_5!AD48,Journal[DrAmt])</f>
        <v>0</v>
      </c>
      <c r="AH48">
        <f>SUMIF(Journal[CrAccnt],Financial_Statements_5!AD48,Journal[CrAmt])</f>
        <v>0</v>
      </c>
      <c r="AJ48" s="110"/>
      <c r="AK48" s="31"/>
      <c r="AL48" s="31"/>
      <c r="AM48" s="31"/>
      <c r="AN48" s="31"/>
      <c r="AO48" s="31"/>
      <c r="AQ48" s="111"/>
      <c r="AR48" s="112"/>
      <c r="AS48" s="112"/>
      <c r="AT48" s="112"/>
      <c r="AU48" s="112"/>
      <c r="AV48" s="112"/>
      <c r="AX48" s="114"/>
      <c r="AY48" s="115"/>
      <c r="AZ48" s="115"/>
      <c r="BA48" s="115"/>
      <c r="BB48" s="115"/>
      <c r="BC48" s="115"/>
    </row>
    <row r="49" spans="1:55" x14ac:dyDescent="0.2">
      <c r="B49" s="17" t="str">
        <v>Subordinated Debt</v>
      </c>
      <c r="C49" s="100">
        <f>IF(ISBLANK(B49),"",_xlfn.XLOOKUP(B49,BegBalSht[Account],BegBalSht[Amount]))</f>
        <v>0</v>
      </c>
      <c r="Q49" s="17"/>
      <c r="R49" s="82"/>
      <c r="T49" s="17" t="str">
        <f t="shared" si="11"/>
        <v>Paid dividends</v>
      </c>
      <c r="U49" s="62">
        <f t="shared" si="12"/>
        <v>0</v>
      </c>
      <c r="AD49" s="17" t="str">
        <f t="shared" si="13"/>
        <v>Subordinated Debt</v>
      </c>
      <c r="AE49" s="100">
        <f t="shared" si="14"/>
        <v>0</v>
      </c>
      <c r="AG49">
        <f>SUMIF(Journal[DrAccnt],Financial_Statements_5!AD49,Journal[DrAmt])</f>
        <v>0</v>
      </c>
      <c r="AH49">
        <f>SUMIF(Journal[CrAccnt],Financial_Statements_5!AD49,Journal[CrAmt])</f>
        <v>0</v>
      </c>
    </row>
    <row r="50" spans="1:55" ht="16" thickBot="1" x14ac:dyDescent="0.25">
      <c r="B50" s="17"/>
      <c r="C50" s="100" t="str">
        <f>IF(ISBLANK(B50),"",_xlfn.XLOOKUP(B50,BegBalSht[Account],BegBalSht[Amount]))</f>
        <v/>
      </c>
      <c r="Q50" s="24"/>
      <c r="R50" s="83"/>
      <c r="T50" s="17" t="str">
        <f t="shared" si="11"/>
        <v>Retired debt</v>
      </c>
      <c r="U50" s="62">
        <f t="shared" si="12"/>
        <v>0</v>
      </c>
      <c r="AD50" s="17" t="str">
        <f t="shared" si="13"/>
        <v/>
      </c>
      <c r="AE50" s="100">
        <f t="shared" si="14"/>
        <v>0</v>
      </c>
      <c r="AG50">
        <f>SUMIF(Journal[DrAccnt],Financial_Statements_5!AD50,Journal[DrAmt])</f>
        <v>0</v>
      </c>
      <c r="AH50">
        <f>SUMIF(Journal[CrAccnt],Financial_Statements_5!AD50,Journal[CrAmt])</f>
        <v>0</v>
      </c>
      <c r="AJ50" s="5" t="s">
        <v>466</v>
      </c>
      <c r="AM50" s="4" t="s">
        <v>108</v>
      </c>
      <c r="AQ50" s="5" t="s">
        <v>499</v>
      </c>
      <c r="AT50" s="4" t="s">
        <v>128</v>
      </c>
      <c r="AX50" s="5" t="s">
        <v>467</v>
      </c>
      <c r="AY50" s="5"/>
      <c r="BA50" s="4" t="s">
        <v>151</v>
      </c>
    </row>
    <row r="51" spans="1:55" x14ac:dyDescent="0.2">
      <c r="B51" s="17"/>
      <c r="C51" s="100" t="str">
        <f>IF(ISBLANK(B51),"",_xlfn.XLOOKUP(B51,BegBalSht[Account],BegBalSht[Amount]))</f>
        <v/>
      </c>
      <c r="T51" s="17" t="str">
        <f t="shared" si="11"/>
        <v>Purchased treasury stock</v>
      </c>
      <c r="U51" s="62">
        <f t="shared" si="12"/>
        <v>0</v>
      </c>
      <c r="AD51" s="17" t="str">
        <f t="shared" si="13"/>
        <v/>
      </c>
      <c r="AE51" s="100">
        <f t="shared" si="14"/>
        <v>0</v>
      </c>
      <c r="AG51">
        <f>SUMIF(Journal[DrAccnt],Financial_Statements_5!AD51,Journal[DrAmt])</f>
        <v>0</v>
      </c>
      <c r="AH51">
        <f>SUMIF(Journal[CrAccnt],Financial_Statements_5!AD51,Journal[CrAmt])</f>
        <v>0</v>
      </c>
      <c r="AJ51" s="110" t="e" cm="1">
        <f t="array" aca="1" ref="AJ51" ca="1">_xlfn._xlws.FILTER(Journal[ref]:Journal[CrAmt],Journal[ref2]=AM50,"")</f>
        <v>#NAME?</v>
      </c>
      <c r="AK51" s="31"/>
      <c r="AL51" s="31"/>
      <c r="AM51" s="31"/>
      <c r="AN51" s="31"/>
      <c r="AO51" s="31"/>
      <c r="AQ51" s="111" t="e" cm="1">
        <f t="array" aca="1" ref="AQ51" ca="1">_xlfn._xlws.FILTER(Journal[ref]:Journal[CrAmt],Journal[ref2]=AT50,"")</f>
        <v>#NAME?</v>
      </c>
      <c r="AR51" s="112"/>
      <c r="AS51" s="112"/>
      <c r="AT51" s="112"/>
      <c r="AU51" s="112"/>
      <c r="AV51" s="112"/>
      <c r="AX51" s="114" t="e" cm="1">
        <f t="array" aca="1" ref="AX51" ca="1">_xlfn._xlws.FILTER(Journal[ref]:Journal[CrAmt],Journal[ref2]=BA50,"")</f>
        <v>#NAME?</v>
      </c>
      <c r="AY51" s="115"/>
      <c r="AZ51" s="115"/>
      <c r="BA51" s="115"/>
      <c r="BB51" s="115"/>
      <c r="BC51" s="115"/>
    </row>
    <row r="52" spans="1:55" x14ac:dyDescent="0.2">
      <c r="B52" s="17"/>
      <c r="C52" s="100" t="str">
        <f>IF(ISBLANK(B52),"",_xlfn.XLOOKUP(B52,BegBalSht[Account],BegBalSht[Amount]))</f>
        <v/>
      </c>
      <c r="T52" s="75" t="s">
        <v>431</v>
      </c>
      <c r="U52" s="47">
        <f>SUBTOTAL(9,U42:U51)</f>
        <v>0</v>
      </c>
      <c r="AD52" s="17" t="str">
        <f t="shared" si="13"/>
        <v/>
      </c>
      <c r="AE52" s="100">
        <f t="shared" si="14"/>
        <v>0</v>
      </c>
      <c r="AG52">
        <f>SUMIF(Journal[DrAccnt],Financial_Statements_5!AD52,Journal[DrAmt])</f>
        <v>0</v>
      </c>
      <c r="AH52">
        <f>SUMIF(Journal[CrAccnt],Financial_Statements_5!AD52,Journal[CrAmt])</f>
        <v>0</v>
      </c>
      <c r="AJ52" s="110"/>
      <c r="AK52" s="31"/>
      <c r="AL52" s="31"/>
      <c r="AM52" s="31"/>
      <c r="AN52" s="31"/>
      <c r="AO52" s="31"/>
      <c r="AQ52" s="111"/>
      <c r="AR52" s="112"/>
      <c r="AS52" s="112"/>
      <c r="AT52" s="112"/>
      <c r="AU52" s="112"/>
      <c r="AV52" s="112"/>
      <c r="AX52" s="114"/>
      <c r="AY52" s="115"/>
      <c r="AZ52" s="115"/>
      <c r="BA52" s="115"/>
      <c r="BB52" s="115"/>
      <c r="BC52" s="115"/>
    </row>
    <row r="53" spans="1:55" x14ac:dyDescent="0.2">
      <c r="B53" s="17"/>
      <c r="C53" s="100" t="str">
        <f>IF(ISBLANK(B53),"",_xlfn.XLOOKUP(B53,BegBalSht[Account],BegBalSht[Amount]))</f>
        <v/>
      </c>
      <c r="T53" s="75"/>
      <c r="U53" s="18"/>
      <c r="AD53" s="17" t="str">
        <f t="shared" si="13"/>
        <v/>
      </c>
      <c r="AE53" s="100">
        <f t="shared" si="14"/>
        <v>0</v>
      </c>
      <c r="AG53">
        <f>SUMIF(Journal[DrAccnt],Financial_Statements_5!AD53,Journal[DrAmt])</f>
        <v>0</v>
      </c>
      <c r="AH53">
        <f>SUMIF(Journal[CrAccnt],Financial_Statements_5!AD53,Journal[CrAmt])</f>
        <v>0</v>
      </c>
      <c r="AJ53" s="110"/>
      <c r="AK53" s="31"/>
      <c r="AL53" s="31"/>
      <c r="AM53" s="31"/>
      <c r="AN53" s="31"/>
      <c r="AO53" s="31"/>
      <c r="AQ53" s="111"/>
      <c r="AR53" s="112"/>
      <c r="AS53" s="112"/>
      <c r="AT53" s="112"/>
      <c r="AU53" s="112"/>
      <c r="AV53" s="112"/>
      <c r="AX53" s="114"/>
      <c r="AY53" s="115"/>
      <c r="AZ53" s="115"/>
      <c r="BA53" s="115"/>
      <c r="BB53" s="115"/>
      <c r="BC53" s="115"/>
    </row>
    <row r="54" spans="1:55" x14ac:dyDescent="0.2">
      <c r="B54" s="17"/>
      <c r="C54" s="100" t="str">
        <f>IF(ISBLANK(B54),"",_xlfn.XLOOKUP(B54,BegBalSht[Account],BegBalSht[Amount]))</f>
        <v/>
      </c>
      <c r="T54" s="17" t="s">
        <v>437</v>
      </c>
      <c r="U54" s="80">
        <f>SUBTOTAL(9,U8:U53)</f>
        <v>5</v>
      </c>
      <c r="AD54" s="17" t="str">
        <f t="shared" si="13"/>
        <v/>
      </c>
      <c r="AE54" s="100">
        <f t="shared" si="14"/>
        <v>0</v>
      </c>
      <c r="AG54">
        <f>SUMIF(Journal[DrAccnt],Financial_Statements_5!AD54,Journal[DrAmt])</f>
        <v>0</v>
      </c>
      <c r="AH54">
        <f>SUMIF(Journal[CrAccnt],Financial_Statements_5!AD54,Journal[CrAmt])</f>
        <v>0</v>
      </c>
      <c r="AJ54" s="110"/>
      <c r="AK54" s="31"/>
      <c r="AL54" s="31"/>
      <c r="AM54" s="31"/>
      <c r="AN54" s="31"/>
      <c r="AO54" s="31"/>
      <c r="AQ54" s="111"/>
      <c r="AR54" s="112"/>
      <c r="AS54" s="112"/>
      <c r="AT54" s="112"/>
      <c r="AU54" s="112"/>
      <c r="AV54" s="112"/>
      <c r="AX54" s="114"/>
      <c r="AY54" s="115"/>
      <c r="AZ54" s="115"/>
      <c r="BA54" s="115"/>
      <c r="BB54" s="115"/>
      <c r="BC54" s="115"/>
    </row>
    <row r="55" spans="1:55" x14ac:dyDescent="0.2">
      <c r="B55" s="91"/>
      <c r="C55" s="101" t="str">
        <f>IF(ISBLANK(B55),"",_xlfn.XLOOKUP(B55,BegBalSht[Account],BegBalSht[Amount]))</f>
        <v/>
      </c>
      <c r="T55" s="17" t="str">
        <f>"Cash @ "&amp;BegDate</f>
        <v xml:space="preserve">Cash @ </v>
      </c>
      <c r="U55" s="62" t="e">
        <f ca="1">_xlfn.XLOOKUP("Cash",B8:B17,C8:C17,0)</f>
        <v>#NAME?</v>
      </c>
      <c r="AD55" s="91" t="str">
        <f t="shared" si="13"/>
        <v/>
      </c>
      <c r="AE55" s="101">
        <f t="shared" si="14"/>
        <v>0</v>
      </c>
      <c r="AG55">
        <f>SUMIF(Journal[DrAccnt],Financial_Statements_5!AD55,Journal[DrAmt])</f>
        <v>0</v>
      </c>
      <c r="AH55">
        <f>SUMIF(Journal[CrAccnt],Financial_Statements_5!AD55,Journal[CrAmt])</f>
        <v>0</v>
      </c>
      <c r="AJ55" s="110"/>
      <c r="AK55" s="31"/>
      <c r="AL55" s="31"/>
      <c r="AM55" s="31"/>
      <c r="AN55" s="31"/>
      <c r="AO55" s="31"/>
      <c r="AQ55" s="111"/>
      <c r="AR55" s="112"/>
      <c r="AS55" s="112"/>
      <c r="AT55" s="112"/>
      <c r="AU55" s="112"/>
      <c r="AV55" s="112"/>
      <c r="AX55" s="114"/>
      <c r="AY55" s="115"/>
      <c r="AZ55" s="115"/>
      <c r="BA55" s="115"/>
      <c r="BB55" s="115"/>
      <c r="BC55" s="115"/>
    </row>
    <row r="56" spans="1:55" ht="16" thickBot="1" x14ac:dyDescent="0.25">
      <c r="B56" s="53" t="s">
        <v>440</v>
      </c>
      <c r="C56" s="49">
        <f>SUBTOTAL(9,C46:C55)</f>
        <v>0</v>
      </c>
      <c r="T56" s="17" t="str">
        <f>"Cash @ "&amp;EndDate</f>
        <v xml:space="preserve">Cash @ </v>
      </c>
      <c r="U56" s="79" t="e">
        <f ca="1">SUM(U54:U55)</f>
        <v>#NAME?</v>
      </c>
      <c r="AD56" s="53" t="s">
        <v>440</v>
      </c>
      <c r="AE56" s="49">
        <f>SUBTOTAL(9,AE46:AE55)</f>
        <v>0</v>
      </c>
      <c r="AJ56" s="110"/>
      <c r="AK56" s="31"/>
      <c r="AL56" s="31"/>
      <c r="AM56" s="31"/>
      <c r="AN56" s="31"/>
      <c r="AO56" s="31"/>
      <c r="AQ56" s="111"/>
      <c r="AR56" s="112"/>
      <c r="AS56" s="112"/>
      <c r="AT56" s="112"/>
      <c r="AU56" s="112"/>
      <c r="AV56" s="112"/>
      <c r="AX56" s="114"/>
      <c r="AY56" s="115"/>
      <c r="AZ56" s="115"/>
      <c r="BA56" s="115"/>
      <c r="BB56" s="115"/>
      <c r="BC56" s="115"/>
    </row>
    <row r="57" spans="1:55" ht="17" thickTop="1" thickBot="1" x14ac:dyDescent="0.25">
      <c r="B57" s="56" t="s">
        <v>297</v>
      </c>
      <c r="C57" s="49" t="e">
        <f ca="1">SUBTOTAL(9,C34:C56)</f>
        <v>#NAME?</v>
      </c>
      <c r="T57" s="24"/>
      <c r="U57" s="25"/>
      <c r="AD57" s="56" t="s">
        <v>297</v>
      </c>
      <c r="AE57" s="49">
        <f ca="1">SUBTOTAL(9,AE34:AE56)</f>
        <v>0</v>
      </c>
      <c r="AQ57" s="111"/>
      <c r="AR57" s="112"/>
      <c r="AS57" s="112"/>
      <c r="AT57" s="112"/>
      <c r="AU57" s="112"/>
      <c r="AV57" s="112"/>
    </row>
    <row r="58" spans="1:55" ht="16" thickBot="1" x14ac:dyDescent="0.25">
      <c r="B58" s="57" t="s">
        <v>365</v>
      </c>
      <c r="C58" s="29"/>
      <c r="AD58" s="57" t="s">
        <v>365</v>
      </c>
      <c r="AE58" s="29"/>
      <c r="AJ58" s="5" t="s">
        <v>468</v>
      </c>
      <c r="AM58" s="4" t="s">
        <v>110</v>
      </c>
      <c r="AQ58" s="111"/>
      <c r="AR58" s="112"/>
      <c r="AS58" s="112"/>
      <c r="AT58" s="112"/>
      <c r="AU58" s="112"/>
      <c r="AV58" s="112"/>
      <c r="AX58" s="5" t="s">
        <v>469</v>
      </c>
      <c r="AY58" s="5"/>
      <c r="BA58" s="4" t="s">
        <v>139</v>
      </c>
    </row>
    <row r="59" spans="1:55" x14ac:dyDescent="0.2">
      <c r="A59" s="1" t="str">
        <f>_xlfn.XLOOKUP(B59,Equity[Name],Equity[Abbr],"")</f>
        <v>PrefStk</v>
      </c>
      <c r="B59" s="17" t="str" cm="1">
        <f t="array" ref="B59:B64">_xlfn._xlws.FILTER(Equity[Name],NOT(ISBLANK(Equity[Name])))</f>
        <v>Preferred Stock</v>
      </c>
      <c r="C59" s="99">
        <f>IF(ISBLANK(B59),"",_xlfn.XLOOKUP(B59,BegBalSht[Account],BegBalSht[Amount]))</f>
        <v>0</v>
      </c>
      <c r="T59" s="76" t="s">
        <v>438</v>
      </c>
      <c r="U59" s="168" cm="1">
        <f t="array" ref="U59">IFERROR(-_xlfn.XLOOKUP("Cash",BA43:BA48,-BC43:BC48),0)</f>
        <v>0</v>
      </c>
      <c r="AD59" s="17" t="str">
        <f>IF(ISBLANK(B59),"",B59)</f>
        <v>Preferred Stock</v>
      </c>
      <c r="AE59" s="99">
        <f t="shared" ref="AE59:AE64" si="15">IFERROR(C59+AH59-AG59,0)</f>
        <v>0</v>
      </c>
      <c r="AG59">
        <f>SUMIF(Journal[DrAccnt],Financial_Statements_5!AD59,Journal[DrAmt])</f>
        <v>0</v>
      </c>
      <c r="AH59">
        <f>SUMIF(Journal[CrAccnt],Financial_Statements_5!AD59,Journal[CrAmt])</f>
        <v>0</v>
      </c>
      <c r="AJ59" s="110" t="e" cm="1">
        <f t="array" aca="1" ref="AJ59" ca="1">_xlfn._xlws.FILTER(Journal[ref]:Journal[CrAmt],Journal[ref2]=AM58,"")</f>
        <v>#NAME?</v>
      </c>
      <c r="AK59" s="31"/>
      <c r="AL59" s="31"/>
      <c r="AM59" s="31"/>
      <c r="AN59" s="31"/>
      <c r="AO59" s="31"/>
      <c r="AQ59" s="111"/>
      <c r="AR59" s="112"/>
      <c r="AS59" s="112"/>
      <c r="AT59" s="112"/>
      <c r="AU59" s="112"/>
      <c r="AV59" s="112"/>
      <c r="AX59" s="114" t="e" cm="1">
        <f t="array" aca="1" ref="AX59" ca="1">_xlfn._xlws.FILTER(Journal[ref]:Journal[CrAmt],Journal[ref2]=BA58,"")</f>
        <v>#NAME?</v>
      </c>
      <c r="AY59" s="115"/>
      <c r="AZ59" s="115"/>
      <c r="BA59" s="115"/>
      <c r="BB59" s="115"/>
      <c r="BC59" s="115"/>
    </row>
    <row r="60" spans="1:55" ht="16" thickBot="1" x14ac:dyDescent="0.25">
      <c r="A60" s="1" t="e">
        <f ca="1">_xlfn.XLOOKUP(B60,Equity[Name],Equity[Abbr],"")</f>
        <v>#NAME?</v>
      </c>
      <c r="B60" s="17" t="str">
        <v>Common Stock</v>
      </c>
      <c r="C60" s="100">
        <f>IF(ISBLANK(B60),"",_xlfn.XLOOKUP(B60,BegBalSht[Account],BegBalSht[Amount]))</f>
        <v>0</v>
      </c>
      <c r="T60" s="24" t="s">
        <v>439</v>
      </c>
      <c r="U60" s="83" cm="1">
        <f t="array" ref="U60">IFERROR(-_xlfn.XLOOKUP("Cash",BA51:BA56,-BC51:BC56),0)</f>
        <v>0</v>
      </c>
      <c r="AD60" s="17" t="str">
        <f t="shared" ref="AD60:AD64" si="16">IF(ISBLANK(B60),"",B60)</f>
        <v>Common Stock</v>
      </c>
      <c r="AE60" s="100">
        <f t="shared" si="15"/>
        <v>0</v>
      </c>
      <c r="AG60">
        <f>SUMIF(Journal[DrAccnt],Financial_Statements_5!AD60,Journal[DrAmt])</f>
        <v>0</v>
      </c>
      <c r="AH60">
        <f>SUMIF(Journal[CrAccnt],Financial_Statements_5!AD60,Journal[CrAmt])</f>
        <v>0</v>
      </c>
      <c r="AJ60" s="110"/>
      <c r="AK60" s="31"/>
      <c r="AL60" s="31"/>
      <c r="AM60" s="31"/>
      <c r="AN60" s="31"/>
      <c r="AO60" s="31"/>
      <c r="AQ60" s="111"/>
      <c r="AR60" s="112"/>
      <c r="AS60" s="112"/>
      <c r="AT60" s="112"/>
      <c r="AU60" s="112"/>
      <c r="AV60" s="112"/>
      <c r="AX60" s="114"/>
      <c r="AY60" s="115"/>
      <c r="AZ60" s="115"/>
      <c r="BA60" s="115"/>
      <c r="BB60" s="115"/>
      <c r="BC60" s="115"/>
    </row>
    <row r="61" spans="1:55" ht="16" thickBot="1" x14ac:dyDescent="0.25">
      <c r="A61" s="1" t="str">
        <f>_xlfn.XLOOKUP(B61,Equity[Name],Equity[Abbr],"")</f>
        <v>APIC</v>
      </c>
      <c r="B61" s="17" t="str">
        <v>Additional Paid-in Capital</v>
      </c>
      <c r="C61" s="100">
        <f>IF(ISBLANK(B61),"",_xlfn.XLOOKUP(B61,BegBalSht[Account],BegBalSht[Amount]))</f>
        <v>0</v>
      </c>
      <c r="AD61" s="17" t="str">
        <f t="shared" si="16"/>
        <v>Additional Paid-in Capital</v>
      </c>
      <c r="AE61" s="100">
        <f t="shared" si="15"/>
        <v>0</v>
      </c>
      <c r="AG61">
        <f>SUMIF(Journal[DrAccnt],Financial_Statements_5!AD61,Journal[DrAmt])</f>
        <v>0</v>
      </c>
      <c r="AH61">
        <f>SUMIF(Journal[CrAccnt],Financial_Statements_5!AD61,Journal[CrAmt])</f>
        <v>0</v>
      </c>
      <c r="AJ61" s="110"/>
      <c r="AK61" s="31"/>
      <c r="AL61" s="31"/>
      <c r="AM61" s="31"/>
      <c r="AN61" s="31"/>
      <c r="AO61" s="31"/>
      <c r="AQ61" s="111"/>
      <c r="AR61" s="112"/>
      <c r="AS61" s="112"/>
      <c r="AT61" s="112"/>
      <c r="AU61" s="112"/>
      <c r="AV61" s="112"/>
      <c r="AX61" s="114"/>
      <c r="AY61" s="115"/>
      <c r="AZ61" s="115"/>
      <c r="BA61" s="115"/>
      <c r="BB61" s="115"/>
      <c r="BC61" s="115"/>
    </row>
    <row r="62" spans="1:55" x14ac:dyDescent="0.2">
      <c r="A62" s="1" t="str">
        <f>_xlfn.XLOOKUP(B62,Equity[Name],Equity[Abbr],"")</f>
        <v>RE</v>
      </c>
      <c r="B62" s="17" t="str">
        <v>Retained Earnings</v>
      </c>
      <c r="C62" s="100">
        <f>IF(ISBLANK(B62),"",_xlfn.XLOOKUP(B62,BegBalSht[Account],BegBalSht[Amount]))</f>
        <v>0</v>
      </c>
      <c r="T62" s="72" t="s">
        <v>433</v>
      </c>
      <c r="U62" s="71"/>
      <c r="AD62" s="17" t="str">
        <f t="shared" si="16"/>
        <v>Retained Earnings</v>
      </c>
      <c r="AE62" s="100">
        <f t="shared" si="15"/>
        <v>0</v>
      </c>
      <c r="AG62">
        <f>SUMIF(Journal[DrAccnt],Financial_Statements_5!AD62,Journal[DrAmt])</f>
        <v>0</v>
      </c>
      <c r="AH62">
        <f>SUMIF(Journal[CrAccnt],Financial_Statements_5!AD62,Journal[CrAmt])</f>
        <v>0</v>
      </c>
      <c r="AJ62" s="110"/>
      <c r="AK62" s="31"/>
      <c r="AL62" s="31"/>
      <c r="AM62" s="31"/>
      <c r="AN62" s="31"/>
      <c r="AO62" s="31"/>
      <c r="AQ62" s="111"/>
      <c r="AR62" s="112"/>
      <c r="AS62" s="112"/>
      <c r="AT62" s="112"/>
      <c r="AU62" s="112"/>
      <c r="AV62" s="112"/>
      <c r="AX62" s="114"/>
      <c r="AY62" s="115"/>
      <c r="AZ62" s="115"/>
      <c r="BA62" s="115"/>
      <c r="BB62" s="115"/>
      <c r="BC62" s="115"/>
    </row>
    <row r="63" spans="1:55" x14ac:dyDescent="0.2">
      <c r="A63" s="1" t="str">
        <f>_xlfn.XLOOKUP(B63,Equity[Name],Equity[Abbr],"")</f>
        <v>AOCI</v>
      </c>
      <c r="B63" s="17" t="str">
        <v>Accumulated Other Comprehensive Income</v>
      </c>
      <c r="C63" s="100">
        <f>IF(ISBLANK(B63),"",_xlfn.XLOOKUP(B63,BegBalSht[Account],BegBalSht[Amount]))</f>
        <v>0</v>
      </c>
      <c r="T63" s="17" t="str">
        <f t="shared" ref="T63:U67" si="17">IF(ISBLANK(Q46),"",Q46)</f>
        <v>Acquired PP&amp;E with common stock</v>
      </c>
      <c r="U63" s="82">
        <f t="shared" si="17"/>
        <v>0</v>
      </c>
      <c r="AD63" s="17" t="str">
        <f t="shared" si="16"/>
        <v>Accumulated Other Comprehensive Income</v>
      </c>
      <c r="AE63" s="100">
        <f t="shared" si="15"/>
        <v>0</v>
      </c>
      <c r="AG63">
        <f>SUMIF(Journal[DrAccnt],Financial_Statements_5!AD63,Journal[DrAmt])</f>
        <v>0</v>
      </c>
      <c r="AH63">
        <f>SUMIF(Journal[CrAccnt],Financial_Statements_5!AD63,Journal[CrAmt])</f>
        <v>0</v>
      </c>
      <c r="AJ63" s="110"/>
      <c r="AK63" s="31"/>
      <c r="AL63" s="31"/>
      <c r="AM63" s="31"/>
      <c r="AN63" s="31"/>
      <c r="AO63" s="31"/>
      <c r="AQ63" s="111"/>
      <c r="AR63" s="112"/>
      <c r="AS63" s="112"/>
      <c r="AT63" s="112"/>
      <c r="AU63" s="112"/>
      <c r="AV63" s="112"/>
      <c r="AX63" s="114"/>
      <c r="AY63" s="115"/>
      <c r="AZ63" s="115"/>
      <c r="BA63" s="115"/>
      <c r="BB63" s="115"/>
      <c r="BC63" s="115"/>
    </row>
    <row r="64" spans="1:55" x14ac:dyDescent="0.2">
      <c r="A64" s="1" t="str">
        <f>_xlfn.XLOOKUP(B64,Equity[Name],Equity[Abbr],"")</f>
        <v>TS</v>
      </c>
      <c r="B64" s="91" t="str">
        <v>Treasury Stock</v>
      </c>
      <c r="C64" s="101">
        <f>IF(ISBLANK(B64),"",_xlfn.XLOOKUP(B64,BegBalSht[Account],BegBalSht[Amount]))</f>
        <v>0</v>
      </c>
      <c r="T64" s="17" t="str">
        <f t="shared" si="17"/>
        <v/>
      </c>
      <c r="U64" s="82" t="str">
        <f t="shared" si="17"/>
        <v/>
      </c>
      <c r="AD64" s="91" t="str">
        <f t="shared" si="16"/>
        <v>Treasury Stock</v>
      </c>
      <c r="AE64" s="101">
        <f t="shared" si="15"/>
        <v>0</v>
      </c>
      <c r="AG64">
        <f>SUMIF(Journal[DrAccnt],Financial_Statements_5!AD64,Journal[DrAmt])</f>
        <v>0</v>
      </c>
      <c r="AH64">
        <f>SUMIF(Journal[CrAccnt],Financial_Statements_5!AD64,Journal[CrAmt])</f>
        <v>0</v>
      </c>
      <c r="AJ64" s="110"/>
      <c r="AK64" s="31"/>
      <c r="AL64" s="31"/>
      <c r="AM64" s="31"/>
      <c r="AN64" s="31"/>
      <c r="AO64" s="31"/>
      <c r="AQ64" s="111"/>
      <c r="AR64" s="112"/>
      <c r="AS64" s="112"/>
      <c r="AT64" s="112"/>
      <c r="AU64" s="112"/>
      <c r="AV64" s="112"/>
      <c r="AX64" s="114"/>
      <c r="AY64" s="115"/>
      <c r="AZ64" s="115"/>
      <c r="BA64" s="115"/>
      <c r="BB64" s="115"/>
      <c r="BC64" s="115"/>
    </row>
    <row r="65" spans="2:55" x14ac:dyDescent="0.2">
      <c r="B65" s="56" t="s">
        <v>298</v>
      </c>
      <c r="C65" s="49">
        <f>SUBTOTAL(9,C59:C64)</f>
        <v>0</v>
      </c>
      <c r="T65" s="17" t="str">
        <f t="shared" si="17"/>
        <v/>
      </c>
      <c r="U65" s="82" t="str">
        <f t="shared" si="17"/>
        <v/>
      </c>
      <c r="AD65" s="56" t="s">
        <v>298</v>
      </c>
      <c r="AE65" s="49">
        <f>SUBTOTAL(9,AE59:AE64)</f>
        <v>0</v>
      </c>
    </row>
    <row r="66" spans="2:55" ht="16" thickBot="1" x14ac:dyDescent="0.25">
      <c r="B66" s="58" t="s">
        <v>441</v>
      </c>
      <c r="C66" s="50" t="e">
        <f ca="1">SUBTOTAL(9,C34:C65)</f>
        <v>#NAME?</v>
      </c>
      <c r="T66" s="17" t="str">
        <f t="shared" si="17"/>
        <v/>
      </c>
      <c r="U66" s="82" t="str">
        <f t="shared" si="17"/>
        <v/>
      </c>
      <c r="AD66" s="58" t="s">
        <v>441</v>
      </c>
      <c r="AE66" s="50">
        <f ca="1">SUBTOTAL(9,AE34:AE65)</f>
        <v>0</v>
      </c>
      <c r="AJ66" s="5" t="s">
        <v>113</v>
      </c>
      <c r="AM66" s="4" t="s">
        <v>112</v>
      </c>
      <c r="AQ66" s="5" t="s">
        <v>500</v>
      </c>
      <c r="AT66" s="4" t="s">
        <v>94</v>
      </c>
      <c r="AX66" s="5" t="s">
        <v>470</v>
      </c>
      <c r="AY66" s="5"/>
      <c r="BA66" s="4" t="s">
        <v>143</v>
      </c>
    </row>
    <row r="67" spans="2:55" ht="16" thickBot="1" x14ac:dyDescent="0.25">
      <c r="B67" s="24"/>
      <c r="C67" s="25"/>
      <c r="T67" s="24" t="str">
        <f t="shared" si="17"/>
        <v/>
      </c>
      <c r="U67" s="83" t="str">
        <f t="shared" si="17"/>
        <v/>
      </c>
      <c r="AD67" s="24"/>
      <c r="AE67" s="25"/>
      <c r="AJ67" s="110" t="e" cm="1">
        <f t="array" aca="1" ref="AJ67" ca="1">_xlfn._xlws.FILTER(Journal[ref]:Journal[CrAmt],Journal[ref2]=AM66,"")</f>
        <v>#NAME?</v>
      </c>
      <c r="AK67" s="31"/>
      <c r="AL67" s="31"/>
      <c r="AM67" s="31"/>
      <c r="AN67" s="31"/>
      <c r="AO67" s="31"/>
      <c r="AQ67" s="111" t="e" cm="1">
        <f t="array" aca="1" ref="AQ67" ca="1">_xlfn._xlws.FILTER(Journal[ref]:Journal[CrAmt],Journal[ref2]=AT66,"")</f>
        <v>#NAME?</v>
      </c>
      <c r="AR67" s="112"/>
      <c r="AS67" s="112"/>
      <c r="AT67" s="112"/>
      <c r="AU67" s="112"/>
      <c r="AV67" s="112"/>
      <c r="AX67" s="114" t="e" cm="1">
        <f t="array" aca="1" ref="AX67" ca="1">_xlfn._xlws.FILTER(Journal[ref]:Journal[CrAmt],Journal[ref2]=BA66,"")</f>
        <v>#NAME?</v>
      </c>
      <c r="AY67" s="115"/>
      <c r="AZ67" s="115"/>
      <c r="BA67" s="115"/>
      <c r="BB67" s="115"/>
      <c r="BC67" s="115"/>
    </row>
    <row r="68" spans="2:55" x14ac:dyDescent="0.2">
      <c r="AJ68" s="110"/>
      <c r="AK68" s="31"/>
      <c r="AL68" s="31"/>
      <c r="AM68" s="31"/>
      <c r="AN68" s="31"/>
      <c r="AO68" s="31"/>
      <c r="AQ68" s="111"/>
      <c r="AR68" s="112"/>
      <c r="AS68" s="112"/>
      <c r="AT68" s="112"/>
      <c r="AU68" s="112"/>
      <c r="AV68" s="112"/>
      <c r="AX68" s="114"/>
      <c r="AY68" s="115"/>
      <c r="AZ68" s="115"/>
      <c r="BA68" s="115"/>
      <c r="BB68" s="115"/>
      <c r="BC68" s="115"/>
    </row>
    <row r="69" spans="2:55" x14ac:dyDescent="0.2">
      <c r="AJ69" s="110"/>
      <c r="AK69" s="31"/>
      <c r="AL69" s="31"/>
      <c r="AM69" s="31"/>
      <c r="AN69" s="31"/>
      <c r="AO69" s="31"/>
      <c r="AQ69" s="111"/>
      <c r="AR69" s="112"/>
      <c r="AS69" s="112"/>
      <c r="AT69" s="112"/>
      <c r="AU69" s="112"/>
      <c r="AV69" s="112"/>
      <c r="AX69" s="114"/>
      <c r="AY69" s="115"/>
      <c r="AZ69" s="115"/>
      <c r="BA69" s="115"/>
      <c r="BB69" s="115"/>
      <c r="BC69" s="115"/>
    </row>
    <row r="70" spans="2:55" x14ac:dyDescent="0.2">
      <c r="AJ70" s="110"/>
      <c r="AK70" s="31"/>
      <c r="AL70" s="31"/>
      <c r="AM70" s="31"/>
      <c r="AN70" s="31"/>
      <c r="AO70" s="31"/>
      <c r="AQ70" s="111"/>
      <c r="AR70" s="112"/>
      <c r="AS70" s="112"/>
      <c r="AT70" s="112"/>
      <c r="AU70" s="112"/>
      <c r="AV70" s="112"/>
      <c r="AX70" s="114"/>
      <c r="AY70" s="115"/>
      <c r="AZ70" s="115"/>
      <c r="BA70" s="115"/>
      <c r="BB70" s="115"/>
      <c r="BC70" s="115"/>
    </row>
    <row r="71" spans="2:55" x14ac:dyDescent="0.2">
      <c r="AJ71" s="110"/>
      <c r="AK71" s="31"/>
      <c r="AL71" s="31"/>
      <c r="AM71" s="31"/>
      <c r="AN71" s="31"/>
      <c r="AO71" s="31"/>
      <c r="AQ71" s="111"/>
      <c r="AR71" s="112"/>
      <c r="AS71" s="112"/>
      <c r="AT71" s="112"/>
      <c r="AU71" s="112"/>
      <c r="AV71" s="112"/>
      <c r="AX71" s="114"/>
      <c r="AY71" s="115"/>
      <c r="AZ71" s="115"/>
      <c r="BA71" s="115"/>
      <c r="BB71" s="115"/>
      <c r="BC71" s="115"/>
    </row>
    <row r="72" spans="2:55" x14ac:dyDescent="0.2">
      <c r="AJ72" s="110"/>
      <c r="AK72" s="31"/>
      <c r="AL72" s="31"/>
      <c r="AM72" s="31"/>
      <c r="AN72" s="31"/>
      <c r="AO72" s="31"/>
      <c r="AQ72" s="111"/>
      <c r="AR72" s="112"/>
      <c r="AS72" s="112"/>
      <c r="AT72" s="112"/>
      <c r="AU72" s="112"/>
      <c r="AV72" s="112"/>
      <c r="AX72" s="114"/>
      <c r="AY72" s="115"/>
      <c r="AZ72" s="115"/>
      <c r="BA72" s="115"/>
      <c r="BB72" s="115"/>
      <c r="BC72" s="115"/>
    </row>
    <row r="73" spans="2:55" x14ac:dyDescent="0.2">
      <c r="AQ73" s="111"/>
      <c r="AR73" s="112"/>
      <c r="AS73" s="112"/>
      <c r="AT73" s="112"/>
      <c r="AU73" s="112"/>
      <c r="AV73" s="112"/>
    </row>
    <row r="74" spans="2:55" x14ac:dyDescent="0.2">
      <c r="AJ74" s="5" t="s">
        <v>115</v>
      </c>
      <c r="AM74" s="4" t="s">
        <v>114</v>
      </c>
      <c r="AQ74" s="111"/>
      <c r="AR74" s="112"/>
      <c r="AS74" s="112"/>
      <c r="AT74" s="112"/>
      <c r="AU74" s="112"/>
      <c r="AV74" s="112"/>
      <c r="AX74" s="5" t="s">
        <v>148</v>
      </c>
      <c r="AY74" s="5"/>
      <c r="BA74" s="4" t="s">
        <v>147</v>
      </c>
    </row>
    <row r="75" spans="2:55" x14ac:dyDescent="0.2">
      <c r="AJ75" s="110" t="e" cm="1">
        <f t="array" aca="1" ref="AJ75" ca="1">_xlfn._xlws.FILTER(Journal[ref]:Journal[CrAmt],Journal[ref2]=AM74,"")</f>
        <v>#NAME?</v>
      </c>
      <c r="AK75" s="31"/>
      <c r="AL75" s="31"/>
      <c r="AM75" s="31"/>
      <c r="AN75" s="31"/>
      <c r="AO75" s="31"/>
      <c r="AQ75" s="111"/>
      <c r="AR75" s="112"/>
      <c r="AS75" s="112"/>
      <c r="AT75" s="112"/>
      <c r="AU75" s="112"/>
      <c r="AV75" s="112"/>
      <c r="AX75" s="114" t="e" cm="1">
        <f t="array" aca="1" ref="AX75" ca="1">_xlfn._xlws.FILTER(Journal[ref]:Journal[CrAmt],Journal[ref2]=BA74,"")</f>
        <v>#NAME?</v>
      </c>
      <c r="AY75" s="115"/>
      <c r="AZ75" s="115"/>
      <c r="BA75" s="115"/>
      <c r="BB75" s="115"/>
      <c r="BC75" s="115"/>
    </row>
    <row r="76" spans="2:55" x14ac:dyDescent="0.2">
      <c r="AJ76" s="110"/>
      <c r="AK76" s="31"/>
      <c r="AL76" s="31"/>
      <c r="AM76" s="31"/>
      <c r="AN76" s="31"/>
      <c r="AO76" s="31"/>
      <c r="AQ76" s="111"/>
      <c r="AR76" s="112"/>
      <c r="AS76" s="112"/>
      <c r="AT76" s="112"/>
      <c r="AU76" s="112"/>
      <c r="AV76" s="112"/>
      <c r="AX76" s="114"/>
      <c r="AY76" s="115"/>
      <c r="AZ76" s="115"/>
      <c r="BA76" s="115"/>
      <c r="BB76" s="115"/>
      <c r="BC76" s="115"/>
    </row>
    <row r="77" spans="2:55" x14ac:dyDescent="0.2">
      <c r="AJ77" s="110"/>
      <c r="AK77" s="31"/>
      <c r="AL77" s="31"/>
      <c r="AM77" s="31"/>
      <c r="AN77" s="31"/>
      <c r="AO77" s="31"/>
      <c r="AQ77" s="111"/>
      <c r="AR77" s="112"/>
      <c r="AS77" s="112"/>
      <c r="AT77" s="112"/>
      <c r="AU77" s="112"/>
      <c r="AV77" s="112"/>
      <c r="AX77" s="114"/>
      <c r="AY77" s="115"/>
      <c r="AZ77" s="115"/>
      <c r="BA77" s="115"/>
      <c r="BB77" s="115"/>
      <c r="BC77" s="115"/>
    </row>
    <row r="78" spans="2:55" x14ac:dyDescent="0.2">
      <c r="AJ78" s="110"/>
      <c r="AK78" s="31"/>
      <c r="AL78" s="31"/>
      <c r="AM78" s="31"/>
      <c r="AN78" s="31"/>
      <c r="AO78" s="31"/>
      <c r="AQ78" s="111"/>
      <c r="AR78" s="112"/>
      <c r="AS78" s="112"/>
      <c r="AT78" s="112"/>
      <c r="AU78" s="112"/>
      <c r="AV78" s="112"/>
      <c r="AX78" s="114"/>
      <c r="AY78" s="115"/>
      <c r="AZ78" s="115"/>
      <c r="BA78" s="115"/>
      <c r="BB78" s="115"/>
      <c r="BC78" s="115"/>
    </row>
    <row r="79" spans="2:55" x14ac:dyDescent="0.2">
      <c r="AJ79" s="110"/>
      <c r="AK79" s="31"/>
      <c r="AL79" s="31"/>
      <c r="AM79" s="31"/>
      <c r="AN79" s="31"/>
      <c r="AO79" s="31"/>
      <c r="AQ79" s="111"/>
      <c r="AR79" s="112"/>
      <c r="AS79" s="112"/>
      <c r="AT79" s="112"/>
      <c r="AU79" s="112"/>
      <c r="AV79" s="112"/>
      <c r="AX79" s="114"/>
      <c r="AY79" s="115"/>
      <c r="AZ79" s="115"/>
      <c r="BA79" s="115"/>
      <c r="BB79" s="115"/>
      <c r="BC79" s="115"/>
    </row>
    <row r="80" spans="2:55" x14ac:dyDescent="0.2">
      <c r="AJ80" s="110"/>
      <c r="AK80" s="31"/>
      <c r="AL80" s="31"/>
      <c r="AM80" s="31"/>
      <c r="AN80" s="31"/>
      <c r="AO80" s="31"/>
      <c r="AQ80" s="111"/>
      <c r="AR80" s="112"/>
      <c r="AS80" s="112"/>
      <c r="AT80" s="112"/>
      <c r="AU80" s="112"/>
      <c r="AV80" s="112"/>
      <c r="AX80" s="114"/>
      <c r="AY80" s="115"/>
      <c r="AZ80" s="115"/>
      <c r="BA80" s="115"/>
      <c r="BB80" s="115"/>
      <c r="BC80" s="115"/>
    </row>
    <row r="82" spans="43:55" x14ac:dyDescent="0.2">
      <c r="AQ82" s="5" t="s">
        <v>501</v>
      </c>
      <c r="AT82" s="4" t="s">
        <v>131</v>
      </c>
      <c r="AX82" s="5" t="s">
        <v>471</v>
      </c>
      <c r="AY82" s="5"/>
      <c r="BA82" s="4" t="s">
        <v>145</v>
      </c>
    </row>
    <row r="83" spans="43:55" x14ac:dyDescent="0.2">
      <c r="AQ83" s="111" t="e" cm="1">
        <f t="array" aca="1" ref="AQ83" ca="1">_xlfn._xlws.FILTER(Journal[ref]:Journal[CrAmt],Journal[ref2]=AT82,"")</f>
        <v>#NAME?</v>
      </c>
      <c r="AR83" s="112"/>
      <c r="AS83" s="112"/>
      <c r="AT83" s="112"/>
      <c r="AU83" s="112"/>
      <c r="AV83" s="112"/>
      <c r="AX83" s="114" t="e" cm="1">
        <f t="array" aca="1" ref="AX83" ca="1">_xlfn._xlws.FILTER(Journal[ref]:Journal[CrAmt],Journal[ref2]=BA82,"")</f>
        <v>#NAME?</v>
      </c>
      <c r="AY83" s="115"/>
      <c r="AZ83" s="115"/>
      <c r="BA83" s="115"/>
      <c r="BB83" s="115"/>
      <c r="BC83" s="115"/>
    </row>
    <row r="84" spans="43:55" x14ac:dyDescent="0.2">
      <c r="AQ84" s="111"/>
      <c r="AR84" s="112"/>
      <c r="AS84" s="112"/>
      <c r="AT84" s="112"/>
      <c r="AU84" s="112"/>
      <c r="AV84" s="112"/>
      <c r="AX84" s="114"/>
      <c r="AY84" s="115"/>
      <c r="AZ84" s="115"/>
      <c r="BA84" s="115"/>
      <c r="BB84" s="115"/>
      <c r="BC84" s="115"/>
    </row>
    <row r="85" spans="43:55" x14ac:dyDescent="0.2">
      <c r="AQ85" s="111"/>
      <c r="AR85" s="112"/>
      <c r="AS85" s="112"/>
      <c r="AT85" s="112"/>
      <c r="AU85" s="112"/>
      <c r="AV85" s="112"/>
      <c r="AX85" s="114"/>
      <c r="AY85" s="115"/>
      <c r="AZ85" s="115"/>
      <c r="BA85" s="115"/>
      <c r="BB85" s="115"/>
      <c r="BC85" s="115"/>
    </row>
    <row r="86" spans="43:55" x14ac:dyDescent="0.2">
      <c r="AQ86" s="111"/>
      <c r="AR86" s="112"/>
      <c r="AS86" s="112"/>
      <c r="AT86" s="112"/>
      <c r="AU86" s="112"/>
      <c r="AV86" s="112"/>
      <c r="AX86" s="114"/>
      <c r="AY86" s="115"/>
      <c r="AZ86" s="115"/>
      <c r="BA86" s="115"/>
      <c r="BB86" s="115"/>
      <c r="BC86" s="115"/>
    </row>
    <row r="87" spans="43:55" x14ac:dyDescent="0.2">
      <c r="AQ87" s="111"/>
      <c r="AR87" s="112"/>
      <c r="AS87" s="112"/>
      <c r="AT87" s="112"/>
      <c r="AU87" s="112"/>
      <c r="AV87" s="112"/>
      <c r="AX87" s="114"/>
      <c r="AY87" s="115"/>
      <c r="AZ87" s="115"/>
      <c r="BA87" s="115"/>
      <c r="BB87" s="115"/>
      <c r="BC87" s="115"/>
    </row>
    <row r="88" spans="43:55" x14ac:dyDescent="0.2">
      <c r="AQ88" s="111"/>
      <c r="AR88" s="112"/>
      <c r="AS88" s="112"/>
      <c r="AT88" s="112"/>
      <c r="AU88" s="112"/>
      <c r="AV88" s="112"/>
      <c r="AX88" s="114"/>
      <c r="AY88" s="115"/>
      <c r="AZ88" s="115"/>
      <c r="BA88" s="115"/>
      <c r="BB88" s="115"/>
      <c r="BC88" s="115"/>
    </row>
    <row r="90" spans="43:55" x14ac:dyDescent="0.2">
      <c r="AQ90" s="5" t="s">
        <v>502</v>
      </c>
      <c r="AT90" s="4" t="s">
        <v>133</v>
      </c>
    </row>
    <row r="91" spans="43:55" x14ac:dyDescent="0.2">
      <c r="AQ91" s="111" t="e" cm="1">
        <f t="array" aca="1" ref="AQ91" ca="1">_xlfn._xlws.FILTER(Journal[ref]:Journal[CrAmt],Journal[ref2]=AT90,"")</f>
        <v>#NAME?</v>
      </c>
      <c r="AR91" s="112"/>
      <c r="AS91" s="112"/>
      <c r="AT91" s="112"/>
      <c r="AU91" s="112"/>
      <c r="AV91" s="112"/>
    </row>
    <row r="92" spans="43:55" x14ac:dyDescent="0.2">
      <c r="AQ92" s="111"/>
      <c r="AR92" s="112"/>
      <c r="AS92" s="112"/>
      <c r="AT92" s="112"/>
      <c r="AU92" s="112"/>
      <c r="AV92" s="112"/>
    </row>
    <row r="93" spans="43:55" x14ac:dyDescent="0.2">
      <c r="AQ93" s="111"/>
      <c r="AR93" s="112"/>
      <c r="AS93" s="112"/>
      <c r="AT93" s="112"/>
      <c r="AU93" s="112"/>
      <c r="AV93" s="112"/>
    </row>
    <row r="94" spans="43:55" x14ac:dyDescent="0.2">
      <c r="AQ94" s="111"/>
      <c r="AR94" s="112"/>
      <c r="AS94" s="112"/>
      <c r="AT94" s="112"/>
      <c r="AU94" s="112"/>
      <c r="AV94" s="112"/>
    </row>
    <row r="95" spans="43:55" x14ac:dyDescent="0.2">
      <c r="AQ95" s="111"/>
      <c r="AR95" s="112"/>
      <c r="AS95" s="112"/>
      <c r="AT95" s="112"/>
      <c r="AU95" s="112"/>
      <c r="AV95" s="112"/>
    </row>
    <row r="96" spans="43:55" x14ac:dyDescent="0.2">
      <c r="AQ96" s="111"/>
      <c r="AR96" s="112"/>
      <c r="AS96" s="112"/>
      <c r="AT96" s="112"/>
      <c r="AU96" s="112"/>
      <c r="AV96" s="112"/>
    </row>
  </sheetData>
  <sheetProtection formatColumns="0"/>
  <conditionalFormatting sqref="AJ4:AO8 AK3:AO3">
    <cfRule type="cellIs" dxfId="371" priority="68" operator="equal">
      <formula>0</formula>
    </cfRule>
  </conditionalFormatting>
  <conditionalFormatting sqref="AJ12:AO16 AK11:AO11">
    <cfRule type="cellIs" dxfId="370" priority="67" operator="equal">
      <formula>0</formula>
    </cfRule>
  </conditionalFormatting>
  <conditionalFormatting sqref="AJ19:AO24">
    <cfRule type="cellIs" dxfId="369" priority="66" operator="equal">
      <formula>0</formula>
    </cfRule>
  </conditionalFormatting>
  <conditionalFormatting sqref="AJ28:AO32 AK27:AO27">
    <cfRule type="cellIs" dxfId="368" priority="65" operator="equal">
      <formula>0</formula>
    </cfRule>
  </conditionalFormatting>
  <conditionalFormatting sqref="AJ36:AO40 AK35:AO35">
    <cfRule type="cellIs" dxfId="367" priority="64" operator="equal">
      <formula>0</formula>
    </cfRule>
  </conditionalFormatting>
  <conditionalFormatting sqref="AJ43:AO48">
    <cfRule type="cellIs" dxfId="366" priority="63" operator="equal">
      <formula>0</formula>
    </cfRule>
  </conditionalFormatting>
  <conditionalFormatting sqref="AJ52:AO56 AK51:AO51">
    <cfRule type="cellIs" dxfId="365" priority="62" operator="equal">
      <formula>0</formula>
    </cfRule>
  </conditionalFormatting>
  <conditionalFormatting sqref="AJ59:AO64">
    <cfRule type="cellIs" dxfId="364" priority="61" operator="equal">
      <formula>0</formula>
    </cfRule>
  </conditionalFormatting>
  <conditionalFormatting sqref="AJ68:AO72 AK67:AO67">
    <cfRule type="cellIs" dxfId="363" priority="59" operator="equal">
      <formula>0</formula>
    </cfRule>
  </conditionalFormatting>
  <conditionalFormatting sqref="AJ76:AO80 AK75:AO75">
    <cfRule type="cellIs" dxfId="362" priority="58" operator="equal">
      <formula>0</formula>
    </cfRule>
  </conditionalFormatting>
  <conditionalFormatting sqref="AJ67">
    <cfRule type="cellIs" dxfId="361" priority="49" operator="equal">
      <formula>0</formula>
    </cfRule>
  </conditionalFormatting>
  <conditionalFormatting sqref="AJ75">
    <cfRule type="cellIs" dxfId="360" priority="48" operator="equal">
      <formula>0</formula>
    </cfRule>
  </conditionalFormatting>
  <conditionalFormatting sqref="AJ51">
    <cfRule type="cellIs" dxfId="359" priority="47" operator="equal">
      <formula>0</formula>
    </cfRule>
  </conditionalFormatting>
  <conditionalFormatting sqref="AJ35">
    <cfRule type="cellIs" dxfId="358" priority="46" operator="equal">
      <formula>0</formula>
    </cfRule>
  </conditionalFormatting>
  <conditionalFormatting sqref="AJ27">
    <cfRule type="cellIs" dxfId="357" priority="45" operator="equal">
      <formula>0</formula>
    </cfRule>
  </conditionalFormatting>
  <conditionalFormatting sqref="AJ11">
    <cfRule type="cellIs" dxfId="356" priority="44" operator="equal">
      <formula>0</formula>
    </cfRule>
  </conditionalFormatting>
  <conditionalFormatting sqref="AJ3">
    <cfRule type="cellIs" dxfId="355" priority="43" operator="equal">
      <formula>0</formula>
    </cfRule>
  </conditionalFormatting>
  <conditionalFormatting sqref="AQ3:AV8">
    <cfRule type="cellIs" dxfId="354" priority="40" operator="between">
      <formula>-0.00000001</formula>
      <formula>0.00000001</formula>
    </cfRule>
  </conditionalFormatting>
  <conditionalFormatting sqref="AQ57:AV64">
    <cfRule type="cellIs" dxfId="353" priority="39" operator="between">
      <formula>-0.00000001</formula>
      <formula>0.00000001</formula>
    </cfRule>
  </conditionalFormatting>
  <conditionalFormatting sqref="AQ68:AV80 AR67:AV67">
    <cfRule type="cellIs" dxfId="352" priority="38" operator="between">
      <formula>-0.00000001</formula>
      <formula>0.00000001</formula>
    </cfRule>
  </conditionalFormatting>
  <conditionalFormatting sqref="AQ84:AV88 AR83:AV83">
    <cfRule type="cellIs" dxfId="351" priority="37" operator="between">
      <formula>-0.00000001</formula>
      <formula>0.00000001</formula>
    </cfRule>
  </conditionalFormatting>
  <conditionalFormatting sqref="AQ92:AV96 AR91:AV91">
    <cfRule type="cellIs" dxfId="350" priority="36" operator="between">
      <formula>-0.00000001</formula>
      <formula>0.00000001</formula>
    </cfRule>
  </conditionalFormatting>
  <conditionalFormatting sqref="AQ19:AV24">
    <cfRule type="cellIs" dxfId="349" priority="35" operator="between">
      <formula>-0.00000001</formula>
      <formula>0.00000001</formula>
    </cfRule>
  </conditionalFormatting>
  <conditionalFormatting sqref="AQ27:AV32">
    <cfRule type="cellIs" dxfId="348" priority="34" operator="between">
      <formula>-0.00000001</formula>
      <formula>0.00000001</formula>
    </cfRule>
  </conditionalFormatting>
  <conditionalFormatting sqref="AQ35:AV40">
    <cfRule type="cellIs" dxfId="347" priority="33" operator="between">
      <formula>-0.00000001</formula>
      <formula>0.00000001</formula>
    </cfRule>
  </conditionalFormatting>
  <conditionalFormatting sqref="AQ43:AV48">
    <cfRule type="cellIs" dxfId="346" priority="32" operator="between">
      <formula>-0.00000001</formula>
      <formula>0.00000001</formula>
    </cfRule>
  </conditionalFormatting>
  <conditionalFormatting sqref="AQ51:AV56">
    <cfRule type="cellIs" dxfId="345" priority="31" operator="between">
      <formula>-0.00000001</formula>
      <formula>0.00000001</formula>
    </cfRule>
  </conditionalFormatting>
  <conditionalFormatting sqref="AQ67">
    <cfRule type="cellIs" dxfId="344" priority="30" operator="between">
      <formula>-0.00000001</formula>
      <formula>0.00000001</formula>
    </cfRule>
  </conditionalFormatting>
  <conditionalFormatting sqref="AQ83">
    <cfRule type="cellIs" dxfId="343" priority="29" operator="between">
      <formula>-0.00000001</formula>
      <formula>0.00000001</formula>
    </cfRule>
  </conditionalFormatting>
  <conditionalFormatting sqref="AQ91">
    <cfRule type="cellIs" dxfId="342" priority="28" operator="between">
      <formula>-0.00000001</formula>
      <formula>0.00000001</formula>
    </cfRule>
  </conditionalFormatting>
  <conditionalFormatting sqref="AQ11:AV16">
    <cfRule type="cellIs" dxfId="341" priority="27" operator="between">
      <formula>-0.00000001</formula>
      <formula>0.00000001</formula>
    </cfRule>
  </conditionalFormatting>
  <conditionalFormatting sqref="AX3">
    <cfRule type="cellIs" dxfId="340" priority="26" operator="equal">
      <formula>0</formula>
    </cfRule>
  </conditionalFormatting>
  <conditionalFormatting sqref="AX3:BC8">
    <cfRule type="cellIs" dxfId="339" priority="25" operator="equal">
      <formula>0</formula>
    </cfRule>
  </conditionalFormatting>
  <conditionalFormatting sqref="AX11">
    <cfRule type="cellIs" dxfId="338" priority="24" operator="equal">
      <formula>0</formula>
    </cfRule>
  </conditionalFormatting>
  <conditionalFormatting sqref="AX11:BC16">
    <cfRule type="cellIs" dxfId="337" priority="23" operator="equal">
      <formula>0</formula>
    </cfRule>
  </conditionalFormatting>
  <conditionalFormatting sqref="AX19">
    <cfRule type="cellIs" dxfId="336" priority="22" operator="equal">
      <formula>0</formula>
    </cfRule>
  </conditionalFormatting>
  <conditionalFormatting sqref="AX19:BC24">
    <cfRule type="cellIs" dxfId="335" priority="21" operator="equal">
      <formula>0</formula>
    </cfRule>
  </conditionalFormatting>
  <conditionalFormatting sqref="AX27">
    <cfRule type="cellIs" dxfId="334" priority="20" operator="equal">
      <formula>0</formula>
    </cfRule>
  </conditionalFormatting>
  <conditionalFormatting sqref="AX27:BC32">
    <cfRule type="cellIs" dxfId="333" priority="19" operator="equal">
      <formula>0</formula>
    </cfRule>
  </conditionalFormatting>
  <conditionalFormatting sqref="AX35">
    <cfRule type="cellIs" dxfId="332" priority="18" operator="equal">
      <formula>0</formula>
    </cfRule>
  </conditionalFormatting>
  <conditionalFormatting sqref="AX35:BC40">
    <cfRule type="cellIs" dxfId="331" priority="17" operator="equal">
      <formula>0</formula>
    </cfRule>
  </conditionalFormatting>
  <conditionalFormatting sqref="AX43">
    <cfRule type="cellIs" dxfId="330" priority="16" operator="equal">
      <formula>0</formula>
    </cfRule>
  </conditionalFormatting>
  <conditionalFormatting sqref="AX43:BC48">
    <cfRule type="cellIs" dxfId="329" priority="15" operator="equal">
      <formula>0</formula>
    </cfRule>
  </conditionalFormatting>
  <conditionalFormatting sqref="AX51">
    <cfRule type="cellIs" dxfId="328" priority="14" operator="equal">
      <formula>0</formula>
    </cfRule>
  </conditionalFormatting>
  <conditionalFormatting sqref="AX51:BC56">
    <cfRule type="cellIs" dxfId="327" priority="13" operator="equal">
      <formula>0</formula>
    </cfRule>
  </conditionalFormatting>
  <conditionalFormatting sqref="AX59">
    <cfRule type="cellIs" dxfId="326" priority="12" operator="equal">
      <formula>0</formula>
    </cfRule>
  </conditionalFormatting>
  <conditionalFormatting sqref="AX59:BC64">
    <cfRule type="cellIs" dxfId="325" priority="11" operator="equal">
      <formula>0</formula>
    </cfRule>
  </conditionalFormatting>
  <conditionalFormatting sqref="AX67">
    <cfRule type="cellIs" dxfId="324" priority="10" operator="equal">
      <formula>0</formula>
    </cfRule>
  </conditionalFormatting>
  <conditionalFormatting sqref="AX67:BC72">
    <cfRule type="cellIs" dxfId="323" priority="9" operator="equal">
      <formula>0</formula>
    </cfRule>
  </conditionalFormatting>
  <conditionalFormatting sqref="AX75">
    <cfRule type="cellIs" dxfId="322" priority="8" operator="equal">
      <formula>0</formula>
    </cfRule>
  </conditionalFormatting>
  <conditionalFormatting sqref="AX75:BC80">
    <cfRule type="cellIs" dxfId="321" priority="7" operator="equal">
      <formula>0</formula>
    </cfRule>
  </conditionalFormatting>
  <conditionalFormatting sqref="AX83">
    <cfRule type="cellIs" dxfId="320" priority="6" operator="equal">
      <formula>0</formula>
    </cfRule>
  </conditionalFormatting>
  <conditionalFormatting sqref="AX83:BC88">
    <cfRule type="cellIs" dxfId="319" priority="5" operator="equal">
      <formula>0</formula>
    </cfRule>
  </conditionalFormatting>
  <conditionalFormatting sqref="W7:W47">
    <cfRule type="expression" dxfId="318" priority="4">
      <formula>ROUND(X7,2)&lt;&gt;0</formula>
    </cfRule>
  </conditionalFormatting>
  <conditionalFormatting sqref="Z7:Z47">
    <cfRule type="expression" dxfId="317" priority="3">
      <formula>ROUND(Y7,2)&lt;&gt;0</formula>
    </cfRule>
  </conditionalFormatting>
  <conditionalFormatting sqref="Z5">
    <cfRule type="expression" dxfId="316" priority="2">
      <formula>ROUND(Y5,2)&lt;&gt;0</formula>
    </cfRule>
  </conditionalFormatting>
  <conditionalFormatting sqref="W5">
    <cfRule type="expression" dxfId="315" priority="1">
      <formula>ROUND(X5,2)&lt;&gt;0</formula>
    </cfRule>
  </conditionalFormatting>
  <hyperlinks>
    <hyperlink ref="W2:Z2" location="Indirect_CFO_Worksheet_Tool!A1" display="Indirect Method Tool: Worksheet CFO" xr:uid="{FA321606-8D40-4A29-A497-ADEA44A82B6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81962461-6DBA-4D11-8A05-9C4CA2275B56}">
          <x14:formula1>
            <xm:f>INDIRECT(AccountData!$A$18)</xm:f>
          </x14:formula1>
          <xm:sqref>B8:B17 AD20:AD29 AD8:AD17 B20:B29</xm:sqref>
        </x14:dataValidation>
        <x14:dataValidation type="list" allowBlank="1" showInputMessage="1" showErrorMessage="1" xr:uid="{C99A1206-C9B7-48DC-AA62-720F37B2F525}">
          <x14:formula1>
            <xm:f>INDIRECT(AccountData!$A$38)</xm:f>
          </x14:formula1>
          <xm:sqref>B34:B43 AD46:AD55 AD34:AD43 B46:B55</xm:sqref>
        </x14:dataValidation>
        <x14:dataValidation type="list" allowBlank="1" showInputMessage="1" showErrorMessage="1" xr:uid="{DE46A125-7D1F-491F-8C0E-DBD40BAB86E3}">
          <x14:formula1>
            <xm:f>INDIRECT(AccountData!$A$56)</xm:f>
          </x14:formula1>
          <xm:sqref>B59:B64 AD59:AD64</xm:sqref>
        </x14:dataValidation>
        <x14:dataValidation type="list" allowBlank="1" showInputMessage="1" showErrorMessage="1" xr:uid="{A4EAFED1-5560-491E-BD82-89BD5AB3C4C5}">
          <x14:formula1>
            <xm:f>INDIRECT(AccountData!$B$56)</xm:f>
          </x14:formula1>
          <xm:sqref>I8:N8</xm:sqref>
        </x14:dataValidation>
        <x14:dataValidation type="list" allowBlank="1" showInputMessage="1" showErrorMessage="1" xr:uid="{A4948082-8780-4829-8BDE-62AA3D631E1B}">
          <x14:formula1>
            <xm:f>INDIRECT(AccountData!$H$23)</xm:f>
          </x14:formula1>
          <xm:sqref>E14:E21</xm:sqref>
        </x14:dataValidation>
        <x14:dataValidation type="list" allowBlank="1" showInputMessage="1" showErrorMessage="1" xr:uid="{E908E050-2D13-4EA0-958F-3D4DAE635CF2}">
          <x14:formula1>
            <xm:f>INDIRECT(AccountData!$H$8)</xm:f>
          </x14:formula1>
          <xm:sqref>E8:E11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E7218-95F9-4A2E-8900-5B351011198E}">
  <sheetPr>
    <tabColor theme="6" tint="0.39997558519241921"/>
  </sheetPr>
  <dimension ref="A1:BJ196"/>
  <sheetViews>
    <sheetView topLeftCell="AQ1" workbookViewId="0">
      <selection activeCell="AU4" sqref="AU4"/>
    </sheetView>
  </sheetViews>
  <sheetFormatPr baseColWidth="10" defaultColWidth="8.83203125" defaultRowHeight="15" outlineLevelCol="1" x14ac:dyDescent="0.2"/>
  <cols>
    <col min="2" max="2" width="29.6640625" customWidth="1" outlineLevel="1"/>
    <col min="3" max="3" width="9.5" customWidth="1" outlineLevel="1"/>
    <col min="4" max="4" width="13.6640625" customWidth="1"/>
    <col min="5" max="5" width="42.1640625" customWidth="1" outlineLevel="1"/>
    <col min="6" max="6" width="9.5" customWidth="1" outlineLevel="1"/>
    <col min="7" max="7" width="16.5" customWidth="1"/>
    <col min="8" max="8" width="31.5" customWidth="1" outlineLevel="1"/>
    <col min="9" max="9" width="8.83203125" customWidth="1" outlineLevel="1"/>
    <col min="10" max="10" width="9.5" customWidth="1" outlineLevel="1"/>
    <col min="11" max="14" width="8.83203125" customWidth="1" outlineLevel="1"/>
    <col min="15" max="15" width="10.83203125" customWidth="1" outlineLevel="1"/>
    <col min="16" max="16" width="23.6640625" bestFit="1" customWidth="1"/>
    <col min="17" max="17" width="39.1640625" customWidth="1" outlineLevel="1"/>
    <col min="18" max="18" width="10.33203125" customWidth="1" outlineLevel="1"/>
    <col min="19" max="19" width="27.33203125" bestFit="1" customWidth="1"/>
    <col min="20" max="20" width="29.6640625" customWidth="1" outlineLevel="1"/>
    <col min="21" max="21" width="10.83203125" customWidth="1" outlineLevel="1"/>
    <col min="22" max="22" width="14" bestFit="1" customWidth="1"/>
    <col min="23" max="24" width="8.83203125" customWidth="1"/>
    <col min="25" max="25" width="9.1640625" customWidth="1"/>
    <col min="26" max="27" width="8.83203125" customWidth="1"/>
    <col min="28" max="29" width="22.33203125" customWidth="1"/>
    <col min="30" max="31" width="8.83203125" customWidth="1"/>
    <col min="32" max="32" width="9.1640625" customWidth="1"/>
    <col min="33" max="34" width="8.83203125" customWidth="1"/>
    <col min="35" max="35" width="25.1640625" customWidth="1"/>
    <col min="36" max="36" width="22.33203125" customWidth="1"/>
    <col min="37" max="38" width="8.83203125" customWidth="1"/>
    <col min="39" max="39" width="9.1640625" customWidth="1"/>
    <col min="40" max="41" width="8.83203125" customWidth="1"/>
    <col min="42" max="42" width="22.33203125" customWidth="1"/>
    <col min="43" max="43" width="38" customWidth="1"/>
    <col min="44" max="45" width="8.83203125" customWidth="1"/>
    <col min="46" max="46" width="9.1640625" customWidth="1"/>
    <col min="47" max="47" width="38" customWidth="1"/>
    <col min="48" max="49" width="8.83203125" customWidth="1"/>
    <col min="50" max="50" width="6" style="1" customWidth="1"/>
    <col min="51" max="51" width="9.1640625" customWidth="1"/>
    <col min="52" max="52" width="9.33203125" customWidth="1"/>
    <col min="53" max="53" width="5.6640625" style="1" customWidth="1"/>
    <col min="54" max="54" width="9.33203125" customWidth="1"/>
    <col min="55" max="55" width="10.1640625" customWidth="1"/>
    <col min="56" max="56" width="9.33203125" customWidth="1"/>
    <col min="57" max="58" width="8.83203125" customWidth="1"/>
    <col min="59" max="59" width="10.5" customWidth="1"/>
    <col min="60" max="61" width="9.33203125" customWidth="1"/>
    <col min="62" max="62" width="8.83203125" customWidth="1"/>
  </cols>
  <sheetData>
    <row r="1" spans="1:62" ht="17" thickTop="1" thickBot="1" x14ac:dyDescent="0.25">
      <c r="A1" s="5" t="s">
        <v>503</v>
      </c>
      <c r="D1" s="5" t="s">
        <v>379</v>
      </c>
      <c r="G1" s="5" t="s">
        <v>381</v>
      </c>
      <c r="P1" s="5" t="s">
        <v>383</v>
      </c>
      <c r="S1" s="5" t="s">
        <v>387</v>
      </c>
      <c r="V1" s="5" t="s">
        <v>388</v>
      </c>
      <c r="Z1" s="5" t="s">
        <v>447</v>
      </c>
      <c r="AG1" s="5" t="s">
        <v>473</v>
      </c>
      <c r="AN1" s="5" t="s">
        <v>136</v>
      </c>
      <c r="AV1" s="3" t="s">
        <v>504</v>
      </c>
      <c r="AW1" s="3"/>
      <c r="AX1" s="4"/>
      <c r="AY1" s="3" t="s">
        <v>505</v>
      </c>
      <c r="AZ1" s="3"/>
      <c r="BA1" s="4"/>
      <c r="BB1" s="3" t="s">
        <v>506</v>
      </c>
      <c r="BC1" s="3"/>
      <c r="BD1" s="122" t="s">
        <v>507</v>
      </c>
      <c r="BE1" s="123"/>
      <c r="BJ1" t="s">
        <v>508</v>
      </c>
    </row>
    <row r="2" spans="1:62" ht="16" thickBot="1" x14ac:dyDescent="0.25">
      <c r="B2" s="377">
        <f>Entity</f>
        <v>0</v>
      </c>
      <c r="C2" s="378"/>
      <c r="E2" s="383">
        <f>Entity</f>
        <v>0</v>
      </c>
      <c r="F2" s="384"/>
      <c r="H2" s="383">
        <f>Entity</f>
        <v>0</v>
      </c>
      <c r="I2" s="389"/>
      <c r="J2" s="389"/>
      <c r="K2" s="389"/>
      <c r="L2" s="389"/>
      <c r="M2" s="389"/>
      <c r="N2" s="389"/>
      <c r="O2" s="384"/>
      <c r="Q2" s="383">
        <f>Entity</f>
        <v>0</v>
      </c>
      <c r="R2" s="384"/>
      <c r="T2" s="377">
        <f>Entity</f>
        <v>0</v>
      </c>
      <c r="U2" s="378"/>
      <c r="Z2" s="5" t="s">
        <v>449</v>
      </c>
      <c r="AC2" s="4" t="s">
        <v>96</v>
      </c>
      <c r="AG2" s="5" t="s">
        <v>474</v>
      </c>
      <c r="AJ2" s="4" t="s">
        <v>116</v>
      </c>
      <c r="AN2" s="5" t="s">
        <v>450</v>
      </c>
      <c r="AQ2" s="4" t="s">
        <v>135</v>
      </c>
      <c r="AV2" s="4" t="s">
        <v>509</v>
      </c>
      <c r="AW2" s="4" t="s">
        <v>510</v>
      </c>
      <c r="AX2" s="4"/>
      <c r="AY2" s="4" t="s">
        <v>509</v>
      </c>
      <c r="AZ2" s="4" t="s">
        <v>510</v>
      </c>
      <c r="BA2" s="4"/>
      <c r="BB2" s="4" t="s">
        <v>509</v>
      </c>
      <c r="BC2" s="124" t="s">
        <v>510</v>
      </c>
      <c r="BD2" s="125" t="s">
        <v>509</v>
      </c>
      <c r="BE2" s="126" t="s">
        <v>510</v>
      </c>
      <c r="BG2" t="s">
        <v>331</v>
      </c>
      <c r="BH2" t="s">
        <v>333</v>
      </c>
      <c r="BJ2" s="42">
        <f ca="1">BH140-BI140</f>
        <v>0</v>
      </c>
    </row>
    <row r="3" spans="1:62" ht="17" thickTop="1" thickBot="1" x14ac:dyDescent="0.25">
      <c r="B3" s="379" t="str">
        <f>"Balance Sheet as of "&amp;BegDate</f>
        <v xml:space="preserve">Balance Sheet as of </v>
      </c>
      <c r="C3" s="380"/>
      <c r="E3" s="385" t="s">
        <v>381</v>
      </c>
      <c r="F3" s="386"/>
      <c r="H3" s="385" t="s">
        <v>397</v>
      </c>
      <c r="I3" s="390"/>
      <c r="J3" s="390"/>
      <c r="K3" s="390"/>
      <c r="L3" s="390"/>
      <c r="M3" s="390"/>
      <c r="N3" s="390"/>
      <c r="O3" s="386"/>
      <c r="Q3" s="385" t="s">
        <v>398</v>
      </c>
      <c r="R3" s="386"/>
      <c r="T3" s="379" t="str">
        <f>"Balance Sheet as of "&amp;EndDate</f>
        <v xml:space="preserve">Balance Sheet as of </v>
      </c>
      <c r="U3" s="380"/>
      <c r="Z3" s="110" t="e" cm="1">
        <f t="array" aca="1" ref="Z3" ca="1">_xlfn._xlws.FILTER(Journal[ref]:Journal[CrAmt],Journal[ref2]=AC2,"")</f>
        <v>#NAME?</v>
      </c>
      <c r="AA3" s="31"/>
      <c r="AB3" s="31"/>
      <c r="AC3" s="31"/>
      <c r="AD3" s="31"/>
      <c r="AE3" s="31"/>
      <c r="AG3" s="111" t="e" cm="1">
        <f t="array" aca="1" ref="AG3" ca="1">_xlfn._xlws.FILTER(Journal[ref]:Journal[CrAmt],Journal[ref2]=AJ2,"")</f>
        <v>#NAME?</v>
      </c>
      <c r="AH3" s="112"/>
      <c r="AI3" s="112"/>
      <c r="AJ3" s="112"/>
      <c r="AK3" s="112"/>
      <c r="AL3" s="112"/>
      <c r="AN3" s="114" t="e" cm="1">
        <f t="array" aca="1" ref="AN3" ca="1">_xlfn._xlws.FILTER(Journal[ref]:Journal[CrAmt],Journal[ref2]=AQ2,"")</f>
        <v>#NAME?</v>
      </c>
      <c r="AO3" s="115"/>
      <c r="AP3" s="115"/>
      <c r="AQ3" s="115"/>
      <c r="AR3" s="115"/>
      <c r="AS3" s="115"/>
      <c r="AV3" s="133">
        <f ca="1">IFERROR(_xlfn.XLOOKUP(AU4,BegBalSht[Account],BegBalSht[Amount]),0)</f>
        <v>0</v>
      </c>
      <c r="AW3" s="133"/>
      <c r="AX3" s="134" t="s">
        <v>128</v>
      </c>
      <c r="AY3" s="135">
        <f ca="1">IFERROR(_xlfn.XLOOKUP(AU4,$AI$51:$AI$64,$AK$51:$AK$64),0)</f>
        <v>0</v>
      </c>
      <c r="AZ3" s="135">
        <f ca="1">IFERROR(_xlfn.XLOOKUP(AU4,$AJ$67:$AJ$80,$AL$67:$AL$80),0)</f>
        <v>0</v>
      </c>
      <c r="BA3" s="134" t="s">
        <v>94</v>
      </c>
      <c r="BB3" s="136">
        <f ca="1">AV3+BG3-BH3</f>
        <v>0</v>
      </c>
      <c r="BC3" s="137"/>
      <c r="BD3" s="138">
        <f ca="1">MAX(BB3-AV3-SUM(AY3:AY6)+SUM(AZ3:AZ6),0)</f>
        <v>0</v>
      </c>
      <c r="BE3" s="139">
        <f ca="1">-MIN(BB3-AV3-SUM(AY3:AY6)+SUM(AZ3:AZ6),0)</f>
        <v>0</v>
      </c>
      <c r="BF3" s="42"/>
      <c r="BG3" s="42">
        <f ca="1">SUMIF(Journal[DrAccnt],AU4,Journal[DrAmt])</f>
        <v>0</v>
      </c>
      <c r="BH3" s="42">
        <f ca="1">SUMIF(Journal[CrAccnt],AU4,Journal[CrAmt])</f>
        <v>0</v>
      </c>
      <c r="BI3" s="42"/>
    </row>
    <row r="4" spans="1:62" ht="16" thickBot="1" x14ac:dyDescent="0.25">
      <c r="B4" s="381" t="str">
        <f>"("&amp;Units&amp;")"</f>
        <v>()</v>
      </c>
      <c r="C4" s="382"/>
      <c r="E4" s="385" t="str">
        <f>"For the "&amp;Period&amp;" Ended "&amp;EndDate</f>
        <v xml:space="preserve">For the  Ended </v>
      </c>
      <c r="F4" s="386"/>
      <c r="H4" s="385" t="str">
        <f>"For the "&amp;Period&amp;" Ended "&amp;EndDate</f>
        <v xml:space="preserve">For the  Ended </v>
      </c>
      <c r="I4" s="390"/>
      <c r="J4" s="390"/>
      <c r="K4" s="390"/>
      <c r="L4" s="390"/>
      <c r="M4" s="390"/>
      <c r="N4" s="390"/>
      <c r="O4" s="386"/>
      <c r="Q4" s="385" t="str">
        <f>"For the "&amp;Period&amp;" Ended "&amp;EndDate</f>
        <v xml:space="preserve">For the  Ended </v>
      </c>
      <c r="R4" s="386"/>
      <c r="T4" s="381" t="str">
        <f>"("&amp;Units&amp;")"</f>
        <v>()</v>
      </c>
      <c r="U4" s="382"/>
      <c r="Z4" s="110"/>
      <c r="AA4" s="31"/>
      <c r="AB4" s="31"/>
      <c r="AC4" s="31"/>
      <c r="AD4" s="31"/>
      <c r="AE4" s="31"/>
      <c r="AG4" s="111"/>
      <c r="AH4" s="112"/>
      <c r="AI4" s="112"/>
      <c r="AJ4" s="112"/>
      <c r="AK4" s="112"/>
      <c r="AL4" s="112"/>
      <c r="AN4" s="114"/>
      <c r="AO4" s="115"/>
      <c r="AP4" s="115"/>
      <c r="AQ4" s="115"/>
      <c r="AR4" s="115"/>
      <c r="AS4" s="115"/>
      <c r="AU4" s="128" t="e">
        <f ca="1">XLOOKUP(2,AssetsMaster[Num],AssetsMaster[Name])</f>
        <v>#NAME?</v>
      </c>
      <c r="AV4" s="140"/>
      <c r="AW4" s="140"/>
      <c r="AX4" s="141"/>
      <c r="AY4" s="142"/>
      <c r="AZ4" s="143"/>
      <c r="BA4" s="141"/>
      <c r="BB4" s="127"/>
      <c r="BC4" s="102"/>
      <c r="BD4" s="140"/>
      <c r="BE4" s="85"/>
      <c r="BF4" s="42"/>
      <c r="BG4" s="42"/>
      <c r="BH4" s="42"/>
      <c r="BI4" s="42"/>
    </row>
    <row r="5" spans="1:62" ht="16" thickBot="1" x14ac:dyDescent="0.25">
      <c r="B5" s="28"/>
      <c r="C5" s="27"/>
      <c r="E5" s="387" t="str">
        <f>"("&amp;Units&amp;")"</f>
        <v>()</v>
      </c>
      <c r="F5" s="388"/>
      <c r="H5" s="387" t="str">
        <f>"("&amp;Units&amp;")"</f>
        <v>()</v>
      </c>
      <c r="I5" s="391"/>
      <c r="J5" s="391"/>
      <c r="K5" s="391"/>
      <c r="L5" s="391"/>
      <c r="M5" s="391"/>
      <c r="N5" s="391"/>
      <c r="O5" s="388"/>
      <c r="Q5" s="387" t="str">
        <f>"("&amp;Units&amp;")"</f>
        <v>()</v>
      </c>
      <c r="R5" s="388"/>
      <c r="T5" s="28"/>
      <c r="U5" s="27"/>
      <c r="Z5" s="110"/>
      <c r="AA5" s="31"/>
      <c r="AB5" s="31"/>
      <c r="AC5" s="31"/>
      <c r="AD5" s="31"/>
      <c r="AE5" s="31"/>
      <c r="AG5" s="111"/>
      <c r="AH5" s="112"/>
      <c r="AI5" s="112"/>
      <c r="AJ5" s="112"/>
      <c r="AK5" s="112"/>
      <c r="AL5" s="112"/>
      <c r="AN5" s="114"/>
      <c r="AO5" s="115"/>
      <c r="AP5" s="115"/>
      <c r="AQ5" s="115"/>
      <c r="AR5" s="115"/>
      <c r="AS5" s="115"/>
      <c r="AU5" s="129"/>
      <c r="AV5" s="140"/>
      <c r="AW5" s="140"/>
      <c r="AX5" s="141"/>
      <c r="AY5" s="142"/>
      <c r="AZ5" s="143"/>
      <c r="BA5" s="141"/>
      <c r="BB5" s="127"/>
      <c r="BC5" s="102"/>
      <c r="BD5" s="140"/>
      <c r="BE5" s="85"/>
      <c r="BF5" s="42"/>
      <c r="BG5" s="42"/>
      <c r="BH5" s="42"/>
      <c r="BI5" s="42"/>
    </row>
    <row r="6" spans="1:62" x14ac:dyDescent="0.2">
      <c r="B6" s="26" t="s">
        <v>363</v>
      </c>
      <c r="C6" s="29"/>
      <c r="E6" s="17"/>
      <c r="F6" s="18"/>
      <c r="H6" s="16"/>
      <c r="I6" s="2"/>
      <c r="J6" s="2"/>
      <c r="K6" s="2"/>
      <c r="L6" s="2"/>
      <c r="M6" s="2"/>
      <c r="N6" s="2"/>
      <c r="O6" s="15"/>
      <c r="Q6" s="17"/>
      <c r="R6" s="18"/>
      <c r="T6" s="26" t="s">
        <v>363</v>
      </c>
      <c r="U6" s="29"/>
      <c r="Z6" s="110"/>
      <c r="AA6" s="31"/>
      <c r="AB6" s="31"/>
      <c r="AC6" s="31"/>
      <c r="AD6" s="31"/>
      <c r="AE6" s="31"/>
      <c r="AG6" s="111"/>
      <c r="AH6" s="112"/>
      <c r="AI6" s="112"/>
      <c r="AJ6" s="112"/>
      <c r="AK6" s="112"/>
      <c r="AL6" s="112"/>
      <c r="AN6" s="114"/>
      <c r="AO6" s="115"/>
      <c r="AP6" s="115"/>
      <c r="AQ6" s="115"/>
      <c r="AR6" s="115"/>
      <c r="AS6" s="115"/>
      <c r="AU6" s="129"/>
      <c r="AV6" s="144"/>
      <c r="AW6" s="140"/>
      <c r="AX6" s="141"/>
      <c r="AY6" s="142"/>
      <c r="AZ6" s="143"/>
      <c r="BA6" s="141"/>
      <c r="BB6" s="127"/>
      <c r="BC6" s="102"/>
      <c r="BD6" s="140"/>
      <c r="BE6" s="85"/>
      <c r="BF6" s="42"/>
      <c r="BG6" s="42"/>
      <c r="BH6" s="42"/>
      <c r="BI6" s="42"/>
    </row>
    <row r="7" spans="1:62" x14ac:dyDescent="0.2">
      <c r="B7" s="52" t="s">
        <v>404</v>
      </c>
      <c r="C7" s="46">
        <f>BegDate</f>
        <v>0</v>
      </c>
      <c r="E7" s="19" t="s">
        <v>405</v>
      </c>
      <c r="F7" s="18"/>
      <c r="H7" s="17"/>
      <c r="I7" s="61" t="s">
        <v>406</v>
      </c>
      <c r="J7" s="2"/>
      <c r="K7" s="2"/>
      <c r="L7" s="2"/>
      <c r="M7" s="2"/>
      <c r="N7" s="2"/>
      <c r="O7" s="18"/>
      <c r="Q7" s="19" t="s">
        <v>408</v>
      </c>
      <c r="R7" s="18"/>
      <c r="T7" s="52" t="s">
        <v>404</v>
      </c>
      <c r="U7" s="46">
        <f>EndDate</f>
        <v>0</v>
      </c>
      <c r="W7" t="s">
        <v>301</v>
      </c>
      <c r="X7" t="s">
        <v>302</v>
      </c>
      <c r="Z7" s="110"/>
      <c r="AA7" s="31"/>
      <c r="AB7" s="31"/>
      <c r="AC7" s="31"/>
      <c r="AD7" s="31"/>
      <c r="AE7" s="31"/>
      <c r="AG7" s="111"/>
      <c r="AH7" s="112"/>
      <c r="AI7" s="112"/>
      <c r="AJ7" s="112"/>
      <c r="AK7" s="112"/>
      <c r="AL7" s="112"/>
      <c r="AN7" s="114"/>
      <c r="AO7" s="115"/>
      <c r="AP7" s="115"/>
      <c r="AQ7" s="115"/>
      <c r="AR7" s="115"/>
      <c r="AS7" s="115"/>
      <c r="AU7" s="130" t="str">
        <f>_xlfn.XLOOKUP(3,AssetsMaster[Num],AssetsMaster[Name])</f>
        <v>Allowance for Doubtful Accounts</v>
      </c>
      <c r="AV7" s="140"/>
      <c r="AW7" s="140" cm="1">
        <f t="array" ref="AW7">IFERROR(_xlfn.XLOOKUP(AU7,BegBalSht[Account],-BegBalSht[Amount]),0)</f>
        <v>0</v>
      </c>
      <c r="AX7" s="141" t="s">
        <v>94</v>
      </c>
      <c r="AY7" s="142">
        <f>IFERROR(_xlfn.XLOOKUP(AU7,$AI$67:$AI$80,$AK$67:$AK$80),0)</f>
        <v>0</v>
      </c>
      <c r="AZ7" s="143">
        <f>IFERROR(_xlfn.XLOOKUP(AU7,$AJ$51:$AJ$64,$AL$51:$AL$64),0)</f>
        <v>0</v>
      </c>
      <c r="BA7" s="141" t="s">
        <v>128</v>
      </c>
      <c r="BB7" s="127"/>
      <c r="BC7" s="102">
        <f>AW7-BG7+BH7</f>
        <v>0</v>
      </c>
      <c r="BD7" s="145">
        <f>-MIN(BC7-AW7-SUM(AZ7:AZ10)+SUM(AY7:AY10),0)</f>
        <v>0</v>
      </c>
      <c r="BE7" s="146">
        <f>MAX(BC7-AW7-SUM(AZ7:AZ10)+SUM(AY7:AY10),0)</f>
        <v>0</v>
      </c>
      <c r="BF7" s="42"/>
      <c r="BG7" s="42">
        <f>SUMIF(Journal[DrAccnt],AU7,Journal[DrAmt])</f>
        <v>0</v>
      </c>
      <c r="BH7" s="42">
        <f>SUMIF(Journal[CrAccnt],AU7,Journal[CrAmt])</f>
        <v>0</v>
      </c>
      <c r="BI7" s="42"/>
    </row>
    <row r="8" spans="1:62" ht="17" thickBot="1" x14ac:dyDescent="0.25">
      <c r="B8" s="17" t="str" cm="1">
        <f t="array" ref="B8:B15">_xlfn._xlws.FILTER(Asset[Name],Asset[C/NC]="C")</f>
        <v>Cash</v>
      </c>
      <c r="C8" s="99">
        <f>IF(ISBLANK(B8),"",_xlfn.XLOOKUP(B8,BegBalSht[Account],BegBalSht[Amount]))</f>
        <v>0</v>
      </c>
      <c r="E8" s="17" t="str" cm="1">
        <f t="array" ref="E8">_xlfn._xlws.FILTER(_Revenue[Name],NOT(ISBLANK(_Revenue[Name])),"")</f>
        <v>Sales</v>
      </c>
      <c r="F8" s="82">
        <f>SUMIFS(Journal[CrAmt],Journal[CrAccnt],E8,Journal[ref2],"&lt;&gt;CL")-SUMIFS(Journal[DrAmt],Journal[DrAccnt],E8,Journal[ref2],"&lt;&gt;CL")</f>
        <v>0</v>
      </c>
      <c r="H8" s="17"/>
      <c r="I8" s="336" t="s">
        <v>240</v>
      </c>
      <c r="J8" s="336" t="s">
        <v>241</v>
      </c>
      <c r="K8" s="336" t="s">
        <v>242</v>
      </c>
      <c r="L8" s="336" t="s">
        <v>245</v>
      </c>
      <c r="M8" s="336" t="s">
        <v>243</v>
      </c>
      <c r="N8" s="336" t="s">
        <v>246</v>
      </c>
      <c r="O8" s="63" t="s">
        <v>409</v>
      </c>
      <c r="Q8" s="17" t="s">
        <v>456</v>
      </c>
      <c r="R8" s="169">
        <f>AY134-AZ134</f>
        <v>0</v>
      </c>
      <c r="T8" s="17" t="str">
        <f t="shared" ref="T8:T17" si="0">IF(ISBLANK(B8),"",B8)</f>
        <v>Cash</v>
      </c>
      <c r="U8" s="99">
        <f t="shared" ref="U8:U17" si="1">IFERROR(C8+W8-X8,0)</f>
        <v>0</v>
      </c>
      <c r="V8" s="1"/>
      <c r="W8">
        <f>SUMIF(Journal[DrAccnt],Financial_Statements_6!T8,Journal[DrAmt])</f>
        <v>0</v>
      </c>
      <c r="X8">
        <f>SUMIF(Journal[CrAccnt],Financial_Statements_6!T8,Journal[CrAmt])</f>
        <v>0</v>
      </c>
      <c r="Z8" s="110"/>
      <c r="AA8" s="31"/>
      <c r="AB8" s="31"/>
      <c r="AC8" s="31"/>
      <c r="AD8" s="31"/>
      <c r="AE8" s="31"/>
      <c r="AG8" s="111"/>
      <c r="AH8" s="112"/>
      <c r="AI8" s="112"/>
      <c r="AJ8" s="112"/>
      <c r="AK8" s="112"/>
      <c r="AL8" s="112"/>
      <c r="AN8" s="114"/>
      <c r="AO8" s="115"/>
      <c r="AP8" s="115"/>
      <c r="AQ8" s="115"/>
      <c r="AR8" s="115"/>
      <c r="AS8" s="115"/>
      <c r="AU8" s="129"/>
      <c r="AV8" s="140"/>
      <c r="AW8" s="140"/>
      <c r="AX8" s="141"/>
      <c r="AY8" s="142"/>
      <c r="AZ8" s="143"/>
      <c r="BA8" s="141"/>
      <c r="BB8" s="127"/>
      <c r="BC8" s="102"/>
      <c r="BD8" s="140"/>
      <c r="BE8" s="85"/>
      <c r="BF8" s="42"/>
      <c r="BG8" s="42"/>
      <c r="BH8" s="42"/>
      <c r="BI8" s="42"/>
    </row>
    <row r="9" spans="1:62" x14ac:dyDescent="0.2">
      <c r="B9" s="17" t="str">
        <v>Accounts Receivable</v>
      </c>
      <c r="C9" s="100">
        <f>IF(ISBLANK(B9),"",_xlfn.XLOOKUP(B9,BegBalSht[Account],BegBalSht[Amount]))</f>
        <v>0</v>
      </c>
      <c r="E9" s="17"/>
      <c r="F9" s="102">
        <f>SUMIFS(Journal[CrAmt],Journal[CrAccnt],E9,Journal[ref2],"&lt;&gt;CL")-SUMIFS(Journal[DrAmt],Journal[DrAccnt],E9,Journal[ref2],"&lt;&gt;CL")</f>
        <v>0</v>
      </c>
      <c r="H9" s="19" t="str">
        <f>"Balance as of "&amp;BegDate</f>
        <v xml:space="preserve">Balance as of </v>
      </c>
      <c r="I9" s="107">
        <f t="shared" ref="I9:N9" si="2">_xlfn.XLOOKUP(I8,$A59:$A65,$C59:$C65,0)</f>
        <v>0</v>
      </c>
      <c r="J9" s="107">
        <f t="shared" si="2"/>
        <v>0</v>
      </c>
      <c r="K9" s="107">
        <f t="shared" si="2"/>
        <v>0</v>
      </c>
      <c r="L9" s="107">
        <f t="shared" si="2"/>
        <v>0</v>
      </c>
      <c r="M9" s="107">
        <f t="shared" si="2"/>
        <v>0</v>
      </c>
      <c r="N9" s="107">
        <f t="shared" si="2"/>
        <v>0</v>
      </c>
      <c r="O9" s="64">
        <f>SUM(I9:N9)</f>
        <v>0</v>
      </c>
      <c r="Q9" s="75" t="s">
        <v>412</v>
      </c>
      <c r="R9" s="18"/>
      <c r="T9" s="17" t="str">
        <f t="shared" si="0"/>
        <v>Accounts Receivable</v>
      </c>
      <c r="U9" s="100">
        <f t="shared" si="1"/>
        <v>0</v>
      </c>
      <c r="V9" s="1"/>
      <c r="W9">
        <f>SUMIF(Journal[DrAccnt],Financial_Statements_6!T9,Journal[DrAmt])</f>
        <v>0</v>
      </c>
      <c r="X9">
        <f>SUMIF(Journal[CrAccnt],Financial_Statements_6!T9,Journal[CrAmt])</f>
        <v>0</v>
      </c>
      <c r="AU9" s="129"/>
      <c r="AV9" s="140"/>
      <c r="AW9" s="140"/>
      <c r="AX9" s="141"/>
      <c r="AY9" s="142"/>
      <c r="AZ9" s="143"/>
      <c r="BA9" s="141"/>
      <c r="BB9" s="127"/>
      <c r="BC9" s="102"/>
      <c r="BD9" s="140"/>
      <c r="BE9" s="85"/>
      <c r="BF9" s="42"/>
      <c r="BG9" s="42"/>
      <c r="BH9" s="42"/>
      <c r="BI9" s="42"/>
    </row>
    <row r="10" spans="1:62" ht="16" thickBot="1" x14ac:dyDescent="0.25">
      <c r="B10" s="17" t="str">
        <v>Allowance for Doubtful Accounts</v>
      </c>
      <c r="C10" s="100">
        <f>IF(ISBLANK(B10),"",_xlfn.XLOOKUP(B10,BegBalSht[Account],BegBalSht[Amount]))</f>
        <v>0</v>
      </c>
      <c r="E10" s="17"/>
      <c r="F10" s="102">
        <f>SUMIFS(Journal[CrAmt],Journal[CrAccnt],E10,Journal[ref2],"&lt;&gt;CL")-SUMIFS(Journal[DrAmt],Journal[DrAccnt],E10,Journal[ref2],"&lt;&gt;CL")</f>
        <v>0</v>
      </c>
      <c r="H10" s="17" t="s">
        <v>451</v>
      </c>
      <c r="I10" s="108" cm="1">
        <f t="array" ref="I10">_xlfn._xlws.FILTER(Journal[CrAmt],(Journal[ref2]="IPS")*(Journal[CrAccnt]="Preferred Stock"),0)</f>
        <v>0</v>
      </c>
      <c r="J10" s="108" t="str">
        <f ca="1">IFERROR(_xlfn.XLOOKUP("Preferred Stock",AU11:AU16,AW11:AW16),"")</f>
        <v/>
      </c>
      <c r="K10" s="108"/>
      <c r="L10" s="108"/>
      <c r="M10" s="108"/>
      <c r="N10" s="108"/>
      <c r="O10" s="65">
        <f t="shared" ref="O10:O17" ca="1" si="3">SUM(I10:N10)</f>
        <v>0</v>
      </c>
      <c r="Q10" s="17" t="s">
        <v>511</v>
      </c>
      <c r="R10" s="82">
        <f>AY135-AZ135</f>
        <v>0</v>
      </c>
      <c r="T10" s="17" t="str">
        <f t="shared" si="0"/>
        <v>Allowance for Doubtful Accounts</v>
      </c>
      <c r="U10" s="100">
        <f t="shared" si="1"/>
        <v>0</v>
      </c>
      <c r="V10" s="1"/>
      <c r="W10">
        <f>SUMIF(Journal[DrAccnt],Financial_Statements_6!T10,Journal[DrAmt])</f>
        <v>0</v>
      </c>
      <c r="X10">
        <f>SUMIF(Journal[CrAccnt],Financial_Statements_6!T10,Journal[CrAmt])</f>
        <v>0</v>
      </c>
      <c r="Z10" s="5" t="s">
        <v>453</v>
      </c>
      <c r="AC10" s="4" t="s">
        <v>98</v>
      </c>
      <c r="AG10" s="5" t="s">
        <v>477</v>
      </c>
      <c r="AJ10" s="4" t="s">
        <v>478</v>
      </c>
      <c r="AN10" s="5" t="s">
        <v>319</v>
      </c>
      <c r="AQ10" s="4" t="s">
        <v>122</v>
      </c>
      <c r="AU10" s="129"/>
      <c r="AV10" s="140"/>
      <c r="AW10" s="140"/>
      <c r="AX10" s="141"/>
      <c r="AY10" s="142"/>
      <c r="AZ10" s="143"/>
      <c r="BA10" s="141"/>
      <c r="BB10" s="127"/>
      <c r="BC10" s="102"/>
      <c r="BD10" s="140"/>
      <c r="BE10" s="85"/>
      <c r="BF10" s="42"/>
      <c r="BG10" s="42"/>
      <c r="BH10" s="42"/>
      <c r="BI10" s="42"/>
    </row>
    <row r="11" spans="1:62" ht="16" thickTop="1" x14ac:dyDescent="0.2">
      <c r="B11" s="17" t="str">
        <v>Marketable Securities</v>
      </c>
      <c r="C11" s="100">
        <f>IF(ISBLANK(B11),"",_xlfn.XLOOKUP(B11,BegBalSht[Account],BegBalSht[Amount]))</f>
        <v>0</v>
      </c>
      <c r="E11" s="17"/>
      <c r="F11" s="102">
        <f>SUMIFS(Journal[CrAmt],Journal[CrAccnt],E11,Journal[ref2],"&lt;&gt;CL")-SUMIFS(Journal[DrAmt],Journal[DrAccnt],E11,Journal[ref2],"&lt;&gt;CL")</f>
        <v>0</v>
      </c>
      <c r="H11" s="17" t="s">
        <v>454</v>
      </c>
      <c r="I11" s="108"/>
      <c r="J11" s="108" cm="1">
        <f t="array" ref="J11">_xlfn._xlws.FILTER(Journal[CrAmt],(Journal[ref2]="ICS")*(Journal[CrAccnt]="Common Stock"),0)</f>
        <v>0</v>
      </c>
      <c r="K11" s="108" cm="1">
        <f t="array" ref="K11">_xlfn._xlws.FILTER(Journal[CrAmt],(Journal[ref2]="ICS")*(Journal[CrAccnt]="Additional Paid-in Capital"),0)</f>
        <v>0</v>
      </c>
      <c r="L11" s="108"/>
      <c r="M11" s="108"/>
      <c r="N11" s="108"/>
      <c r="O11" s="65">
        <f t="shared" si="3"/>
        <v>0</v>
      </c>
      <c r="Q11" s="17" t="s">
        <v>512</v>
      </c>
      <c r="R11" s="102">
        <f>AY136-AZ136</f>
        <v>0</v>
      </c>
      <c r="T11" s="17" t="str">
        <f t="shared" si="0"/>
        <v>Marketable Securities</v>
      </c>
      <c r="U11" s="100">
        <f t="shared" si="1"/>
        <v>0</v>
      </c>
      <c r="V11" s="1"/>
      <c r="W11">
        <f>SUMIF(Journal[DrAccnt],Financial_Statements_6!T11,Journal[DrAmt])</f>
        <v>0</v>
      </c>
      <c r="X11">
        <f>SUMIF(Journal[CrAccnt],Financial_Statements_6!T11,Journal[CrAmt])</f>
        <v>0</v>
      </c>
      <c r="Z11" s="110" t="e" cm="1">
        <f t="array" aca="1" ref="Z11" ca="1">_xlfn._xlws.FILTER(Journal[ref]:Journal[CrAmt],Journal[ref2]=AC10,"")</f>
        <v>#NAME?</v>
      </c>
      <c r="AA11" s="31"/>
      <c r="AB11" s="31"/>
      <c r="AC11" s="31"/>
      <c r="AD11" s="31"/>
      <c r="AE11" s="31"/>
      <c r="AG11" s="111" t="e" cm="1">
        <f t="array" aca="1" ref="AG11" ca="1">_xlfn._xlws.FILTER(Journal[ref]:Journal[CrAmt],Journal[ref2]=AJ10,"")</f>
        <v>#NAME?</v>
      </c>
      <c r="AH11" s="112"/>
      <c r="AI11" s="112"/>
      <c r="AJ11" s="112"/>
      <c r="AK11" s="112"/>
      <c r="AL11" s="112"/>
      <c r="AN11" s="114" t="e" cm="1">
        <f t="array" aca="1" ref="AN11" ca="1">_xlfn._xlws.FILTER(Journal[ref]:Journal[CrAmt],Journal[ref2]=AQ10,"")</f>
        <v>#NAME?</v>
      </c>
      <c r="AO11" s="115"/>
      <c r="AP11" s="115"/>
      <c r="AQ11" s="115"/>
      <c r="AR11" s="115"/>
      <c r="AS11" s="115"/>
      <c r="AU11" s="130" t="e">
        <f ca="1">_xlfn.XLOOKUP(4,AssetsMaster[Num],AssetsMaster[Name])</f>
        <v>#NAME?</v>
      </c>
      <c r="AV11" s="140">
        <f ca="1">IFERROR(_xlfn.XLOOKUP(AU11,BegBalSht[Account],BegBalSht[Amount]),0)</f>
        <v>0</v>
      </c>
      <c r="AW11" s="140"/>
      <c r="AX11" s="141" t="s">
        <v>128</v>
      </c>
      <c r="AY11" s="142">
        <f ca="1">IFERROR(_xlfn.XLOOKUP(AU11,$AI$51:$AI$64,$AK$51:$AK$64),0)</f>
        <v>0</v>
      </c>
      <c r="AZ11" s="143">
        <f ca="1">IFERROR(_xlfn.XLOOKUP(AU11,$AJ$67:$AJ$80,$AL$67:$AL$80),0)</f>
        <v>0</v>
      </c>
      <c r="BA11" s="141" t="s">
        <v>94</v>
      </c>
      <c r="BB11" s="127">
        <f ca="1">AV11+BG11-BH11</f>
        <v>0</v>
      </c>
      <c r="BC11" s="102"/>
      <c r="BD11" s="138">
        <f ca="1">MAX(BB11-AV11-SUM(AY11:AY14)+SUM(AZ11:AZ14),0)</f>
        <v>0</v>
      </c>
      <c r="BE11" s="139">
        <f ca="1">-MIN(BB11-AV11-SUM(AY11:AY14)+SUM(AZ11:AZ14),0)</f>
        <v>0</v>
      </c>
      <c r="BF11" s="42"/>
      <c r="BG11" s="42">
        <f ca="1">SUMIF(Journal[DrAccnt],AU11,Journal[DrAmt])</f>
        <v>0</v>
      </c>
      <c r="BH11" s="42">
        <f ca="1">SUMIF(Journal[CrAccnt],AU11,Journal[CrAmt])</f>
        <v>0</v>
      </c>
      <c r="BI11" s="42"/>
    </row>
    <row r="12" spans="1:62" x14ac:dyDescent="0.2">
      <c r="B12" s="17" t="str">
        <v>Inventories</v>
      </c>
      <c r="C12" s="100">
        <f>IF(ISBLANK(B12),"",_xlfn.XLOOKUP(B12,BegBalSht[Account],BegBalSht[Amount]))</f>
        <v>0</v>
      </c>
      <c r="E12" s="21" t="s">
        <v>413</v>
      </c>
      <c r="F12" s="47">
        <f>SUM(F8:F11)</f>
        <v>0</v>
      </c>
      <c r="H12" s="17" t="s">
        <v>480</v>
      </c>
      <c r="I12" s="108"/>
      <c r="J12" s="108"/>
      <c r="K12" s="108"/>
      <c r="L12" s="108" cm="1">
        <f t="array" ref="L12">-_xlfn._xlws.FILTER(Journal[DrAmt],(Journal[ref2]="DD")*(Journal[DrAccnt]="Retained Earnings"),0)</f>
        <v>0</v>
      </c>
      <c r="M12" s="108"/>
      <c r="N12" s="108"/>
      <c r="O12" s="65">
        <f t="shared" si="3"/>
        <v>0</v>
      </c>
      <c r="Q12" s="17" t="s">
        <v>513</v>
      </c>
      <c r="R12" s="102">
        <f>AY137-AZ137</f>
        <v>0</v>
      </c>
      <c r="T12" s="17" t="str">
        <f t="shared" si="0"/>
        <v>Inventories</v>
      </c>
      <c r="U12" s="100">
        <f t="shared" si="1"/>
        <v>0</v>
      </c>
      <c r="V12" s="1"/>
      <c r="W12">
        <f>SUMIF(Journal[DrAccnt],Financial_Statements_6!T12,Journal[DrAmt])</f>
        <v>0</v>
      </c>
      <c r="X12">
        <f>SUMIF(Journal[CrAccnt],Financial_Statements_6!T12,Journal[CrAmt])</f>
        <v>0</v>
      </c>
      <c r="Z12" s="110"/>
      <c r="AA12" s="31"/>
      <c r="AB12" s="31"/>
      <c r="AC12" s="31"/>
      <c r="AD12" s="31"/>
      <c r="AE12" s="31"/>
      <c r="AG12" s="111"/>
      <c r="AH12" s="112"/>
      <c r="AI12" s="112"/>
      <c r="AJ12" s="112"/>
      <c r="AK12" s="112"/>
      <c r="AL12" s="112"/>
      <c r="AN12" s="114"/>
      <c r="AO12" s="115"/>
      <c r="AP12" s="115"/>
      <c r="AQ12" s="115"/>
      <c r="AR12" s="115"/>
      <c r="AS12" s="115"/>
      <c r="AU12" s="129"/>
      <c r="AV12" s="140"/>
      <c r="AW12" s="140"/>
      <c r="AX12" s="141" t="s">
        <v>116</v>
      </c>
      <c r="AY12" s="142">
        <f ca="1">IFERROR(_xlfn.XLOOKUP(AU11,AI3:AI8,AK3:AK8),0)</f>
        <v>0</v>
      </c>
      <c r="AZ12" s="143"/>
      <c r="BA12" s="141"/>
      <c r="BB12" s="127"/>
      <c r="BC12" s="102"/>
      <c r="BD12" s="140"/>
      <c r="BE12" s="85"/>
      <c r="BF12" s="42"/>
      <c r="BG12" s="42"/>
      <c r="BH12" s="42"/>
      <c r="BI12" s="42"/>
    </row>
    <row r="13" spans="1:62" x14ac:dyDescent="0.2">
      <c r="B13" s="17" t="str">
        <v>Prepaid Expenses</v>
      </c>
      <c r="C13" s="100">
        <f>IF(ISBLANK(B13),"",_xlfn.XLOOKUP(B13,BegBalSht[Account],BegBalSht[Amount]))</f>
        <v>0</v>
      </c>
      <c r="E13" s="19" t="s">
        <v>414</v>
      </c>
      <c r="F13" s="18"/>
      <c r="H13" s="17" t="s">
        <v>456</v>
      </c>
      <c r="I13" s="108"/>
      <c r="J13" s="108"/>
      <c r="K13" s="108"/>
      <c r="L13" s="108">
        <f>L22</f>
        <v>0</v>
      </c>
      <c r="M13" s="108"/>
      <c r="N13" s="108"/>
      <c r="O13" s="65">
        <f t="shared" si="3"/>
        <v>0</v>
      </c>
      <c r="Q13" s="17" t="s">
        <v>514</v>
      </c>
      <c r="R13" s="102">
        <f ca="1">AY138-AZ138</f>
        <v>0</v>
      </c>
      <c r="T13" s="17" t="str">
        <f t="shared" si="0"/>
        <v>Prepaid Expenses</v>
      </c>
      <c r="U13" s="100">
        <f t="shared" si="1"/>
        <v>0</v>
      </c>
      <c r="V13" s="1"/>
      <c r="W13">
        <f>SUMIF(Journal[DrAccnt],Financial_Statements_6!T13,Journal[DrAmt])</f>
        <v>0</v>
      </c>
      <c r="X13">
        <f>SUMIF(Journal[CrAccnt],Financial_Statements_6!T13,Journal[CrAmt])</f>
        <v>0</v>
      </c>
      <c r="Z13" s="110"/>
      <c r="AA13" s="31"/>
      <c r="AB13" s="31"/>
      <c r="AC13" s="31"/>
      <c r="AD13" s="31"/>
      <c r="AE13" s="31"/>
      <c r="AG13" s="111"/>
      <c r="AH13" s="112"/>
      <c r="AI13" s="112"/>
      <c r="AJ13" s="112"/>
      <c r="AK13" s="112"/>
      <c r="AL13" s="112"/>
      <c r="AN13" s="114"/>
      <c r="AO13" s="115"/>
      <c r="AP13" s="115"/>
      <c r="AQ13" s="115"/>
      <c r="AR13" s="115"/>
      <c r="AS13" s="115"/>
      <c r="AU13" s="129"/>
      <c r="AV13" s="140"/>
      <c r="AW13" s="140"/>
      <c r="AX13" s="141"/>
      <c r="AY13" s="142"/>
      <c r="AZ13" s="143"/>
      <c r="BA13" s="141"/>
      <c r="BB13" s="127"/>
      <c r="BC13" s="102"/>
      <c r="BD13" s="140"/>
      <c r="BE13" s="85"/>
      <c r="BF13" s="42"/>
      <c r="BG13" s="42"/>
      <c r="BH13" s="42"/>
      <c r="BI13" s="42"/>
    </row>
    <row r="14" spans="1:62" x14ac:dyDescent="0.2">
      <c r="B14" s="17" t="str">
        <v>Prepaid Rent</v>
      </c>
      <c r="C14" s="100">
        <f>IF(ISBLANK(B14),"",_xlfn.XLOOKUP(B14,BegBalSht[Account],BegBalSht[Amount]))</f>
        <v>0</v>
      </c>
      <c r="E14" s="17" t="str" cm="1">
        <f t="array" ref="E14">_xlfn._xlws.FILTER(_Expense[Name],NOT(ISBLANK(_Expense[Name])),"")</f>
        <v>Cost of Goods Sold</v>
      </c>
      <c r="F14" s="82">
        <f>-SUMIFS(Journal[CrAmt],Journal[CrAccnt],E14,Journal[ref2],"&lt;&gt;CL")+SUMIFS(Journal[DrAmt],Journal[DrAccnt],E14,Journal[ref2],"&lt;&gt;CL")</f>
        <v>0</v>
      </c>
      <c r="H14" s="17" t="s">
        <v>457</v>
      </c>
      <c r="I14" s="108"/>
      <c r="J14" s="108"/>
      <c r="K14" s="108"/>
      <c r="L14" s="108"/>
      <c r="M14" s="108"/>
      <c r="N14" s="108" cm="1">
        <f t="array" ref="N14">-_xlfn._xlws.FILTER(Journal[DrAmt],(Journal[ref2]="PTS")*(Journal[DrAccnt]="Treasury Stock"),0)</f>
        <v>0</v>
      </c>
      <c r="O14" s="65">
        <f t="shared" si="3"/>
        <v>0</v>
      </c>
      <c r="Q14" s="17" t="s">
        <v>515</v>
      </c>
      <c r="R14" s="102">
        <f ca="1">AY140</f>
        <v>0</v>
      </c>
      <c r="T14" s="17" t="str">
        <f t="shared" si="0"/>
        <v>Prepaid Rent</v>
      </c>
      <c r="U14" s="100">
        <f t="shared" si="1"/>
        <v>0</v>
      </c>
      <c r="V14" s="1"/>
      <c r="W14">
        <f>SUMIF(Journal[DrAccnt],Financial_Statements_6!T14,Journal[DrAmt])</f>
        <v>0</v>
      </c>
      <c r="X14">
        <f>SUMIF(Journal[CrAccnt],Financial_Statements_6!T14,Journal[CrAmt])</f>
        <v>0</v>
      </c>
      <c r="Z14" s="110"/>
      <c r="AA14" s="31"/>
      <c r="AB14" s="31"/>
      <c r="AC14" s="31"/>
      <c r="AD14" s="31"/>
      <c r="AE14" s="31"/>
      <c r="AG14" s="111"/>
      <c r="AH14" s="112"/>
      <c r="AI14" s="112"/>
      <c r="AJ14" s="112"/>
      <c r="AK14" s="112"/>
      <c r="AL14" s="112"/>
      <c r="AN14" s="114"/>
      <c r="AO14" s="115"/>
      <c r="AP14" s="115"/>
      <c r="AQ14" s="115"/>
      <c r="AR14" s="115"/>
      <c r="AS14" s="115"/>
      <c r="AU14" s="129"/>
      <c r="AV14" s="140"/>
      <c r="AW14" s="140"/>
      <c r="AX14" s="141"/>
      <c r="AY14" s="142"/>
      <c r="AZ14" s="143"/>
      <c r="BA14" s="141"/>
      <c r="BB14" s="127"/>
      <c r="BC14" s="102"/>
      <c r="BD14" s="140"/>
      <c r="BE14" s="85"/>
      <c r="BF14" s="42"/>
      <c r="BG14" s="42"/>
      <c r="BH14" s="42"/>
      <c r="BI14" s="42"/>
    </row>
    <row r="15" spans="1:62" x14ac:dyDescent="0.2">
      <c r="B15" s="17" t="str">
        <v>Other Current Assets</v>
      </c>
      <c r="C15" s="100">
        <f>IF(ISBLANK(B15),"",_xlfn.XLOOKUP(B15,BegBalSht[Account],BegBalSht[Amount]))</f>
        <v>0</v>
      </c>
      <c r="E15" s="17"/>
      <c r="F15" s="102">
        <f>-SUMIFS(Journal[CrAmt],Journal[CrAccnt],E15,Journal[ref2],"&lt;&gt;CL")+SUMIFS(Journal[DrAmt],Journal[DrAccnt],E15,Journal[ref2],"&lt;&gt;CL")</f>
        <v>0</v>
      </c>
      <c r="H15" s="17" t="s">
        <v>458</v>
      </c>
      <c r="I15" s="108"/>
      <c r="J15" s="108"/>
      <c r="K15" s="108"/>
      <c r="L15" s="108"/>
      <c r="M15" s="108"/>
      <c r="N15" s="108" cm="1">
        <f t="array" ref="N15">_xlfn._xlws.FILTER(Journal[CrAmt],(Journal[ref2]="STS")*(Journal[CrAccnt]="Treasury Stock"),0)</f>
        <v>0</v>
      </c>
      <c r="O15" s="65">
        <f t="shared" si="3"/>
        <v>0</v>
      </c>
      <c r="Q15" s="17" t="s">
        <v>516</v>
      </c>
      <c r="R15" s="102">
        <f>AY141</f>
        <v>0</v>
      </c>
      <c r="T15" s="17" t="str">
        <f t="shared" si="0"/>
        <v>Other Current Assets</v>
      </c>
      <c r="U15" s="100">
        <f t="shared" si="1"/>
        <v>0</v>
      </c>
      <c r="V15" s="1"/>
      <c r="W15">
        <f>SUMIF(Journal[DrAccnt],Financial_Statements_6!T15,Journal[DrAmt])</f>
        <v>0</v>
      </c>
      <c r="X15">
        <f>SUMIF(Journal[CrAccnt],Financial_Statements_6!T15,Journal[CrAmt])</f>
        <v>0</v>
      </c>
      <c r="Z15" s="110"/>
      <c r="AA15" s="31"/>
      <c r="AB15" s="31"/>
      <c r="AC15" s="31"/>
      <c r="AD15" s="31"/>
      <c r="AE15" s="31"/>
      <c r="AG15" s="111"/>
      <c r="AH15" s="112"/>
      <c r="AI15" s="112"/>
      <c r="AJ15" s="112"/>
      <c r="AK15" s="112"/>
      <c r="AL15" s="112"/>
      <c r="AN15" s="114"/>
      <c r="AO15" s="115"/>
      <c r="AP15" s="115"/>
      <c r="AQ15" s="115"/>
      <c r="AR15" s="115"/>
      <c r="AS15" s="115"/>
      <c r="AU15" s="130" t="str">
        <f>_xlfn.XLOOKUP(5,AssetsMaster[Num],AssetsMaster[Name])</f>
        <v>Inventories</v>
      </c>
      <c r="AV15" s="140">
        <f>IFERROR(_xlfn.XLOOKUP(AU15,BegBalSht[Account],BegBalSht[Amount]),0)</f>
        <v>0</v>
      </c>
      <c r="AW15" s="140"/>
      <c r="AX15" s="141" t="s">
        <v>128</v>
      </c>
      <c r="AY15" s="142">
        <f>IFERROR(_xlfn.XLOOKUP(AU15,$AI$51:$AI$64,$AK$51:$AK$64),0)</f>
        <v>0</v>
      </c>
      <c r="AZ15" s="143">
        <f>IFERROR(_xlfn.XLOOKUP(AU15,$AJ$67:$AJ$80,$AL$67:$AL$80),0)</f>
        <v>0</v>
      </c>
      <c r="BA15" s="141" t="s">
        <v>94</v>
      </c>
      <c r="BB15" s="127">
        <f>AV15+BG15-BH15</f>
        <v>0</v>
      </c>
      <c r="BC15" s="102"/>
      <c r="BD15" s="145">
        <f>MAX(BB15-AV15-SUM(AY15:AY18)+SUM(AZ15:AZ18),0)</f>
        <v>0</v>
      </c>
      <c r="BE15" s="146">
        <f>-MIN(BB15-AV15-SUM(AY15:AY18)+SUM(AZ15:AZ18),0)</f>
        <v>0</v>
      </c>
      <c r="BF15" s="42"/>
      <c r="BG15" s="42">
        <f>SUMIF(Journal[DrAccnt],AU15,Journal[DrAmt])</f>
        <v>0</v>
      </c>
      <c r="BH15" s="42">
        <f>SUMIF(Journal[CrAccnt],AU15,Journal[CrAmt])</f>
        <v>0</v>
      </c>
      <c r="BI15" s="42"/>
    </row>
    <row r="16" spans="1:62" x14ac:dyDescent="0.2">
      <c r="B16" s="17"/>
      <c r="C16" s="100" t="str">
        <f>IF(ISBLANK(B16),"",_xlfn.XLOOKUP(B16,BegBalSht[Account],BegBalSht[Amount]))</f>
        <v/>
      </c>
      <c r="E16" s="17"/>
      <c r="F16" s="102">
        <f>-SUMIFS(Journal[CrAmt],Journal[CrAccnt],E16,Journal[ref2],"&lt;&gt;CL")+SUMIFS(Journal[DrAmt],Journal[DrAccnt],E16,Journal[ref2],"&lt;&gt;CL")</f>
        <v>0</v>
      </c>
      <c r="H16" s="17" t="s">
        <v>459</v>
      </c>
      <c r="I16" s="108"/>
      <c r="J16" s="108"/>
      <c r="K16" s="108"/>
      <c r="L16" s="108"/>
      <c r="M16" s="108">
        <f ca="1">M23</f>
        <v>0</v>
      </c>
      <c r="N16" s="108"/>
      <c r="O16" s="65">
        <f t="shared" ca="1" si="3"/>
        <v>0</v>
      </c>
      <c r="Q16" s="75" t="s">
        <v>417</v>
      </c>
      <c r="R16" s="18"/>
      <c r="T16" s="17" t="str">
        <f t="shared" si="0"/>
        <v/>
      </c>
      <c r="U16" s="100">
        <f t="shared" si="1"/>
        <v>0</v>
      </c>
      <c r="V16" s="1"/>
      <c r="W16">
        <f>SUMIF(Journal[DrAccnt],Financial_Statements_6!T16,Journal[DrAmt])</f>
        <v>0</v>
      </c>
      <c r="X16">
        <f>SUMIF(Journal[CrAccnt],Financial_Statements_6!T16,Journal[CrAmt])</f>
        <v>0</v>
      </c>
      <c r="Z16" s="110"/>
      <c r="AA16" s="31"/>
      <c r="AB16" s="31"/>
      <c r="AC16" s="31"/>
      <c r="AD16" s="31"/>
      <c r="AE16" s="31"/>
      <c r="AG16" s="111"/>
      <c r="AH16" s="112"/>
      <c r="AI16" s="112"/>
      <c r="AJ16" s="112"/>
      <c r="AK16" s="112"/>
      <c r="AL16" s="112"/>
      <c r="AN16" s="114"/>
      <c r="AO16" s="115"/>
      <c r="AP16" s="115"/>
      <c r="AQ16" s="115"/>
      <c r="AR16" s="115"/>
      <c r="AS16" s="115"/>
      <c r="AU16" s="129"/>
      <c r="AV16" s="140"/>
      <c r="AW16" s="140"/>
      <c r="AX16" s="141"/>
      <c r="AY16" s="142"/>
      <c r="AZ16" s="143"/>
      <c r="BA16" s="141"/>
      <c r="BB16" s="127"/>
      <c r="BC16" s="102"/>
      <c r="BD16" s="140"/>
      <c r="BE16" s="85"/>
      <c r="BF16" s="42"/>
      <c r="BG16" s="42"/>
      <c r="BH16" s="42"/>
      <c r="BI16" s="42"/>
    </row>
    <row r="17" spans="2:61" ht="16" thickBot="1" x14ac:dyDescent="0.25">
      <c r="B17" s="91"/>
      <c r="C17" s="101" t="str">
        <f>IF(ISBLANK(B17),"",_xlfn.XLOOKUP(B17,BegBalSht[Account],BegBalSht[Amount]))</f>
        <v/>
      </c>
      <c r="E17" s="17"/>
      <c r="F17" s="102">
        <f>-SUMIFS(Journal[CrAmt],Journal[CrAccnt],E17,Journal[ref2],"&lt;&gt;CL")+SUMIFS(Journal[DrAmt],Journal[DrAccnt],E17,Journal[ref2],"&lt;&gt;CL")</f>
        <v>0</v>
      </c>
      <c r="H17" s="17" t="s">
        <v>460</v>
      </c>
      <c r="I17" s="109"/>
      <c r="J17" s="109" cm="1">
        <f t="array" ref="J17">_xlfn._xlws.FILTER(Journal[CrAmt],(Journal[ref2]="PPEfCS")*(Journal[CrAccnt]="Common Stock"),0)</f>
        <v>0</v>
      </c>
      <c r="K17" s="109" cm="1">
        <f t="array" ref="K17">_xlfn._xlws.FILTER(Journal[CrAmt],(Journal[ref2]="PPEfCS")*(Journal[CrAccnt]="Additional Paid-in Capital"),0)</f>
        <v>0</v>
      </c>
      <c r="L17" s="109"/>
      <c r="M17" s="109"/>
      <c r="N17" s="109"/>
      <c r="O17" s="66">
        <f t="shared" si="3"/>
        <v>0</v>
      </c>
      <c r="Q17" s="17" t="s">
        <v>161</v>
      </c>
      <c r="R17" s="82">
        <f ca="1">AY143-AZ143</f>
        <v>0</v>
      </c>
      <c r="T17" s="91" t="str">
        <f t="shared" si="0"/>
        <v/>
      </c>
      <c r="U17" s="101">
        <f t="shared" si="1"/>
        <v>0</v>
      </c>
      <c r="V17" s="1"/>
      <c r="W17">
        <f>SUMIF(Journal[DrAccnt],Financial_Statements_6!T17,Journal[DrAmt])</f>
        <v>0</v>
      </c>
      <c r="X17">
        <f>SUMIF(Journal[CrAccnt],Financial_Statements_6!T17,Journal[CrAmt])</f>
        <v>0</v>
      </c>
      <c r="AU17" s="129"/>
      <c r="AV17" s="140"/>
      <c r="AW17" s="140"/>
      <c r="AX17" s="141"/>
      <c r="AY17" s="142"/>
      <c r="AZ17" s="143"/>
      <c r="BA17" s="141"/>
      <c r="BB17" s="127"/>
      <c r="BC17" s="102"/>
      <c r="BD17" s="140"/>
      <c r="BE17" s="85"/>
      <c r="BF17" s="42"/>
      <c r="BG17" s="42"/>
      <c r="BH17" s="42"/>
      <c r="BI17" s="42"/>
    </row>
    <row r="18" spans="2:61" ht="16" thickBot="1" x14ac:dyDescent="0.25">
      <c r="B18" s="53" t="s">
        <v>419</v>
      </c>
      <c r="C18" s="47">
        <f>SUBTOTAL(9,C8:C17)</f>
        <v>0</v>
      </c>
      <c r="E18" s="17"/>
      <c r="F18" s="102">
        <f>-SUMIFS(Journal[CrAmt],Journal[CrAccnt],E18,Journal[ref2],"&lt;&gt;CL")+SUMIFS(Journal[DrAmt],Journal[DrAccnt],E18,Journal[ref2],"&lt;&gt;CL")</f>
        <v>0</v>
      </c>
      <c r="H18" s="58" t="str">
        <f>"Balance as of "&amp;EndDate</f>
        <v xml:space="preserve">Balance as of </v>
      </c>
      <c r="I18" s="68">
        <f>SUM(I9:I17)</f>
        <v>0</v>
      </c>
      <c r="J18" s="68">
        <f t="shared" ref="J18:N18" ca="1" si="4">SUM(J9:J17)</f>
        <v>0</v>
      </c>
      <c r="K18" s="68">
        <f t="shared" si="4"/>
        <v>0</v>
      </c>
      <c r="L18" s="68">
        <f t="shared" si="4"/>
        <v>0</v>
      </c>
      <c r="M18" s="68">
        <f t="shared" ca="1" si="4"/>
        <v>0</v>
      </c>
      <c r="N18" s="68">
        <f t="shared" si="4"/>
        <v>0</v>
      </c>
      <c r="O18" s="67">
        <f ca="1">SUM(O9:O17)</f>
        <v>0</v>
      </c>
      <c r="Q18" s="17" t="s">
        <v>162</v>
      </c>
      <c r="R18" s="102">
        <f>AY144-AZ144</f>
        <v>0</v>
      </c>
      <c r="T18" s="53" t="s">
        <v>419</v>
      </c>
      <c r="U18" s="47">
        <f>SUBTOTAL(9,U8:U17)</f>
        <v>0</v>
      </c>
      <c r="Z18" s="5" t="s">
        <v>461</v>
      </c>
      <c r="AC18" s="4" t="s">
        <v>100</v>
      </c>
      <c r="AG18" s="5" t="s">
        <v>119</v>
      </c>
      <c r="AJ18" s="4" t="s">
        <v>118</v>
      </c>
      <c r="AN18" s="5" t="s">
        <v>138</v>
      </c>
      <c r="AQ18" s="4" t="s">
        <v>137</v>
      </c>
      <c r="AU18" s="129"/>
      <c r="AV18" s="140"/>
      <c r="AW18" s="140"/>
      <c r="AX18" s="141"/>
      <c r="AY18" s="142"/>
      <c r="AZ18" s="143"/>
      <c r="BA18" s="141"/>
      <c r="BB18" s="127"/>
      <c r="BC18" s="102"/>
      <c r="BD18" s="140"/>
      <c r="BE18" s="85"/>
      <c r="BF18" s="42"/>
      <c r="BG18" s="42"/>
      <c r="BH18" s="42"/>
      <c r="BI18" s="42"/>
    </row>
    <row r="19" spans="2:61" x14ac:dyDescent="0.2">
      <c r="B19" s="52" t="s">
        <v>420</v>
      </c>
      <c r="C19" s="18"/>
      <c r="E19" s="17"/>
      <c r="F19" s="102">
        <f>-SUMIFS(Journal[CrAmt],Journal[CrAccnt],E19,Journal[ref2],"&lt;&gt;CL")+SUMIFS(Journal[DrAmt],Journal[DrAccnt],E19,Journal[ref2],"&lt;&gt;CL")</f>
        <v>0</v>
      </c>
      <c r="Q19" s="17" t="s">
        <v>164</v>
      </c>
      <c r="R19" s="102">
        <f>AY145-AZ145</f>
        <v>0</v>
      </c>
      <c r="T19" s="52" t="s">
        <v>420</v>
      </c>
      <c r="U19" s="18"/>
      <c r="Z19" s="110" t="e" cm="1">
        <f t="array" aca="1" ref="Z19" ca="1">_xlfn._xlws.FILTER(Journal[ref]:Journal[CrAmt],Journal[ref2]=AC18,"")</f>
        <v>#NAME?</v>
      </c>
      <c r="AA19" s="31"/>
      <c r="AB19" s="31"/>
      <c r="AC19" s="31"/>
      <c r="AD19" s="31"/>
      <c r="AE19" s="31"/>
      <c r="AG19" s="111" t="e" cm="1">
        <f t="array" aca="1" ref="AG19" ca="1">_xlfn._xlws.FILTER(Journal[ref]:Journal[CrAmt],Journal[ref2]=AJ18,"")</f>
        <v>#NAME?</v>
      </c>
      <c r="AH19" s="112"/>
      <c r="AI19" s="112"/>
      <c r="AJ19" s="112"/>
      <c r="AK19" s="112"/>
      <c r="AL19" s="112"/>
      <c r="AN19" s="114" t="e" cm="1">
        <f t="array" aca="1" ref="AN19" ca="1">_xlfn._xlws.FILTER(Journal[ref]:Journal[CrAmt],Journal[ref2]=AQ18,"")</f>
        <v>#NAME?</v>
      </c>
      <c r="AO19" s="115"/>
      <c r="AP19" s="115"/>
      <c r="AQ19" s="115"/>
      <c r="AR19" s="115"/>
      <c r="AS19" s="115"/>
      <c r="AU19" s="130" t="e">
        <f ca="1">_xlfn.XLOOKUP(6,AssetsMaster[Num],AssetsMaster[Name])</f>
        <v>#NAME?</v>
      </c>
      <c r="AV19" s="140">
        <f ca="1">IFERROR(_xlfn.XLOOKUP(AU19,BegBalSht[Account],BegBalSht[Amount]),0)</f>
        <v>0</v>
      </c>
      <c r="AW19" s="140"/>
      <c r="AX19" s="141" t="s">
        <v>128</v>
      </c>
      <c r="AY19" s="142">
        <f ca="1">IFERROR(_xlfn.XLOOKUP(AU19,$AI$51:$AI$64,$AK$51:$AK$64),0)</f>
        <v>0</v>
      </c>
      <c r="AZ19" s="143">
        <f ca="1">IFERROR(_xlfn.XLOOKUP(AU19,$AJ$67:$AJ$80,$AL$67:$AL$80),0)</f>
        <v>0</v>
      </c>
      <c r="BA19" s="141" t="s">
        <v>94</v>
      </c>
      <c r="BB19" s="127">
        <f ca="1">AV19+BG19-BH19</f>
        <v>0</v>
      </c>
      <c r="BC19" s="102"/>
      <c r="BD19" s="145">
        <f ca="1">MAX(BB19-AV19-SUM(AY19:AY22)+SUM(AZ19:AZ22),0)</f>
        <v>0</v>
      </c>
      <c r="BE19" s="146">
        <f ca="1">-MIN(BB19-AV19-SUM(AY19:AY22)+SUM(AZ19:AZ22),0)</f>
        <v>0</v>
      </c>
      <c r="BF19" s="42"/>
      <c r="BG19" s="42">
        <f ca="1">SUMIF(Journal[DrAccnt],AU19,Journal[DrAmt])</f>
        <v>0</v>
      </c>
      <c r="BH19" s="42">
        <f ca="1">SUMIF(Journal[CrAccnt],AU19,Journal[CrAmt])</f>
        <v>0</v>
      </c>
      <c r="BI19" s="42"/>
    </row>
    <row r="20" spans="2:61" x14ac:dyDescent="0.2">
      <c r="B20" s="17" t="str" cm="1">
        <f t="array" ref="B20:B26">_xlfn._xlws.FILTER(Asset[Name],Asset[C/NC]="NC")</f>
        <v>Property, Plant &amp; Equipment</v>
      </c>
      <c r="C20" s="99">
        <f>IF(ISBLANK(B20),"",_xlfn.XLOOKUP(B20,BegBalSht[Account],BegBalSht[Amount]))</f>
        <v>0</v>
      </c>
      <c r="E20" s="17"/>
      <c r="F20" s="102">
        <f>-SUMIFS(Journal[CrAmt],Journal[CrAccnt],E20,Journal[ref2],"&lt;&gt;CL")+SUMIFS(Journal[DrAmt],Journal[DrAccnt],E20,Journal[ref2],"&lt;&gt;CL")</f>
        <v>0</v>
      </c>
      <c r="L20" s="103" cm="1">
        <f t="array" ref="L20">_xlfn._xlws.FILTER(Journal[CrAmt],(Journal[ref2]="CL")*(Journal[CrAccnt]="Retained Earnings"),0)</f>
        <v>0</v>
      </c>
      <c r="Q20" s="17" t="s">
        <v>165</v>
      </c>
      <c r="R20" s="102">
        <f ca="1">AY146-AZ146</f>
        <v>0</v>
      </c>
      <c r="T20" s="17" t="str">
        <f t="shared" ref="T20:T29" si="5">IF(ISBLANK(B20),"",B20)</f>
        <v>Property, Plant &amp; Equipment</v>
      </c>
      <c r="U20" s="99">
        <f t="shared" ref="U20:U29" si="6">IFERROR(C20+W20-X20,0)</f>
        <v>0</v>
      </c>
      <c r="V20" s="1"/>
      <c r="W20">
        <f>SUMIF(Journal[DrAccnt],Financial_Statements_6!T20,Journal[DrAmt])</f>
        <v>0</v>
      </c>
      <c r="X20">
        <f>SUMIF(Journal[CrAccnt],Financial_Statements_6!T20,Journal[CrAmt])</f>
        <v>0</v>
      </c>
      <c r="Z20" s="110"/>
      <c r="AA20" s="31"/>
      <c r="AB20" s="31"/>
      <c r="AC20" s="31"/>
      <c r="AD20" s="31"/>
      <c r="AE20" s="31"/>
      <c r="AG20" s="111"/>
      <c r="AH20" s="112"/>
      <c r="AI20" s="112"/>
      <c r="AJ20" s="112"/>
      <c r="AK20" s="112"/>
      <c r="AL20" s="112"/>
      <c r="AN20" s="114"/>
      <c r="AO20" s="115"/>
      <c r="AP20" s="115"/>
      <c r="AQ20" s="115"/>
      <c r="AR20" s="115"/>
      <c r="AS20" s="115"/>
      <c r="AU20" s="129"/>
      <c r="AV20" s="140"/>
      <c r="AW20" s="140"/>
      <c r="AX20" s="141"/>
      <c r="AY20" s="142"/>
      <c r="AZ20" s="143"/>
      <c r="BA20" s="141"/>
      <c r="BB20" s="127"/>
      <c r="BC20" s="102"/>
      <c r="BD20" s="140"/>
      <c r="BE20" s="85"/>
      <c r="BF20" s="42"/>
      <c r="BG20" s="42"/>
      <c r="BH20" s="42"/>
      <c r="BI20" s="42"/>
    </row>
    <row r="21" spans="2:61" x14ac:dyDescent="0.2">
      <c r="B21" s="17" t="str">
        <v>Accumulated Depreciation</v>
      </c>
      <c r="C21" s="100">
        <f>IF(ISBLANK(B21),"",_xlfn.XLOOKUP(B21,BegBalSht[Account],BegBalSht[Amount]))</f>
        <v>0</v>
      </c>
      <c r="E21" s="17"/>
      <c r="F21" s="102">
        <f>-SUMIFS(Journal[CrAmt],Journal[CrAccnt],E21,Journal[ref2],"&lt;&gt;CL")+SUMIFS(Journal[DrAmt],Journal[DrAccnt],E21,Journal[ref2],"&lt;&gt;CL")</f>
        <v>0</v>
      </c>
      <c r="L21" s="103" cm="1">
        <f t="array" ref="L21">-_xlfn._xlws.FILTER(Journal[DrAmt],(Journal[ref2]="CL")*(Journal[DrAccnt]="Retained Earnings"),0)</f>
        <v>0</v>
      </c>
      <c r="M21" s="103">
        <f ca="1">IFERROR(_xlfn.XLOOKUP("Accumulated Other Comprehensive Income",BB3:BB8,BD3:BD8),0)</f>
        <v>0</v>
      </c>
      <c r="Q21" s="17" t="s">
        <v>167</v>
      </c>
      <c r="R21" s="102">
        <f>AY147-AZ147</f>
        <v>0</v>
      </c>
      <c r="T21" s="17" t="str">
        <f t="shared" si="5"/>
        <v>Accumulated Depreciation</v>
      </c>
      <c r="U21" s="100">
        <f t="shared" si="6"/>
        <v>0</v>
      </c>
      <c r="V21" s="1"/>
      <c r="W21">
        <f>SUMIF(Journal[DrAccnt],Financial_Statements_6!T21,Journal[DrAmt])</f>
        <v>0</v>
      </c>
      <c r="X21">
        <f>SUMIF(Journal[CrAccnt],Financial_Statements_6!T21,Journal[CrAmt])</f>
        <v>0</v>
      </c>
      <c r="Z21" s="110"/>
      <c r="AA21" s="31"/>
      <c r="AB21" s="31"/>
      <c r="AC21" s="31"/>
      <c r="AD21" s="31"/>
      <c r="AE21" s="31"/>
      <c r="AG21" s="111"/>
      <c r="AH21" s="112"/>
      <c r="AI21" s="112"/>
      <c r="AJ21" s="112"/>
      <c r="AK21" s="112"/>
      <c r="AL21" s="112"/>
      <c r="AN21" s="114"/>
      <c r="AO21" s="115"/>
      <c r="AP21" s="115"/>
      <c r="AQ21" s="115"/>
      <c r="AR21" s="115"/>
      <c r="AS21" s="115"/>
      <c r="AU21" s="129"/>
      <c r="AV21" s="140"/>
      <c r="AW21" s="140"/>
      <c r="AX21" s="141"/>
      <c r="AY21" s="142"/>
      <c r="AZ21" s="143"/>
      <c r="BA21" s="141"/>
      <c r="BB21" s="127"/>
      <c r="BC21" s="102"/>
      <c r="BD21" s="140"/>
      <c r="BE21" s="85"/>
      <c r="BF21" s="42"/>
      <c r="BG21" s="42"/>
      <c r="BH21" s="42"/>
      <c r="BI21" s="42"/>
    </row>
    <row r="22" spans="2:61" x14ac:dyDescent="0.2">
      <c r="B22" s="17" t="str">
        <v>Intangibles</v>
      </c>
      <c r="C22" s="100">
        <f>IF(ISBLANK(B22),"",_xlfn.XLOOKUP(B22,BegBalSht[Account],BegBalSht[Amount]))</f>
        <v>0</v>
      </c>
      <c r="E22" s="21" t="s">
        <v>421</v>
      </c>
      <c r="F22" s="47">
        <f>SUM(F14:F21)</f>
        <v>0</v>
      </c>
      <c r="L22" s="103">
        <f>SUM(L20:L21)</f>
        <v>0</v>
      </c>
      <c r="M22" s="103">
        <f>IFERROR(-_xlfn.XLOOKUP("Accumulated Other Comprehensive Income",BA3:BA8,BC3:BC8),0)</f>
        <v>0</v>
      </c>
      <c r="Q22" s="17" t="s">
        <v>180</v>
      </c>
      <c r="R22" s="102">
        <f>AY154-AZ154</f>
        <v>0</v>
      </c>
      <c r="T22" s="17" t="str">
        <f t="shared" si="5"/>
        <v>Intangibles</v>
      </c>
      <c r="U22" s="100">
        <f t="shared" si="6"/>
        <v>0</v>
      </c>
      <c r="V22" s="1"/>
      <c r="W22">
        <f>SUMIF(Journal[DrAccnt],Financial_Statements_6!T22,Journal[DrAmt])</f>
        <v>0</v>
      </c>
      <c r="X22">
        <f>SUMIF(Journal[CrAccnt],Financial_Statements_6!T22,Journal[CrAmt])</f>
        <v>0</v>
      </c>
      <c r="Z22" s="110"/>
      <c r="AA22" s="31"/>
      <c r="AB22" s="31"/>
      <c r="AC22" s="31"/>
      <c r="AD22" s="31"/>
      <c r="AE22" s="31"/>
      <c r="AG22" s="111"/>
      <c r="AH22" s="112"/>
      <c r="AI22" s="112"/>
      <c r="AJ22" s="112"/>
      <c r="AK22" s="112"/>
      <c r="AL22" s="112"/>
      <c r="AN22" s="114"/>
      <c r="AO22" s="115"/>
      <c r="AP22" s="115"/>
      <c r="AQ22" s="115"/>
      <c r="AR22" s="115"/>
      <c r="AS22" s="115"/>
      <c r="AU22" s="129"/>
      <c r="AV22" s="140"/>
      <c r="AW22" s="140"/>
      <c r="AX22" s="141"/>
      <c r="AY22" s="142"/>
      <c r="AZ22" s="143"/>
      <c r="BA22" s="141"/>
      <c r="BB22" s="127"/>
      <c r="BC22" s="102"/>
      <c r="BD22" s="140"/>
      <c r="BE22" s="85"/>
      <c r="BF22" s="42"/>
      <c r="BG22" s="42"/>
      <c r="BH22" s="42"/>
      <c r="BI22" s="42"/>
    </row>
    <row r="23" spans="2:61" x14ac:dyDescent="0.2">
      <c r="B23" s="17" t="str">
        <v>Goodwill</v>
      </c>
      <c r="C23" s="100">
        <f>IF(ISBLANK(B23),"",_xlfn.XLOOKUP(B23,BegBalSht[Account],BegBalSht[Amount]))</f>
        <v>0</v>
      </c>
      <c r="E23" s="19" t="s">
        <v>422</v>
      </c>
      <c r="F23" s="18"/>
      <c r="M23" s="103">
        <f ca="1">M21+M22</f>
        <v>0</v>
      </c>
      <c r="Q23" s="17" t="s">
        <v>193</v>
      </c>
      <c r="R23" s="102">
        <f ca="1">AY155-AZ155</f>
        <v>0</v>
      </c>
      <c r="T23" s="17" t="str">
        <f t="shared" si="5"/>
        <v>Goodwill</v>
      </c>
      <c r="U23" s="100">
        <f t="shared" si="6"/>
        <v>0</v>
      </c>
      <c r="V23" s="1"/>
      <c r="W23">
        <f>SUMIF(Journal[DrAccnt],Financial_Statements_6!T23,Journal[DrAmt])</f>
        <v>0</v>
      </c>
      <c r="X23">
        <f>SUMIF(Journal[CrAccnt],Financial_Statements_6!T23,Journal[CrAmt])</f>
        <v>0</v>
      </c>
      <c r="Z23" s="110"/>
      <c r="AA23" s="31"/>
      <c r="AB23" s="31"/>
      <c r="AC23" s="31"/>
      <c r="AD23" s="31"/>
      <c r="AE23" s="31"/>
      <c r="AG23" s="111"/>
      <c r="AH23" s="112"/>
      <c r="AI23" s="112"/>
      <c r="AJ23" s="112"/>
      <c r="AK23" s="112"/>
      <c r="AL23" s="112"/>
      <c r="AN23" s="114"/>
      <c r="AO23" s="115"/>
      <c r="AP23" s="115"/>
      <c r="AQ23" s="115"/>
      <c r="AR23" s="115"/>
      <c r="AS23" s="115"/>
      <c r="AU23" s="130" t="str">
        <f>_xlfn.XLOOKUP(7,AssetsMaster[Num],AssetsMaster[Name])</f>
        <v>Prepaid Rent</v>
      </c>
      <c r="AV23" s="140">
        <f>IFERROR(_xlfn.XLOOKUP(AU23,BegBalSht[Account],BegBalSht[Amount]),0)</f>
        <v>0</v>
      </c>
      <c r="AW23" s="140"/>
      <c r="AX23" s="141" t="s">
        <v>128</v>
      </c>
      <c r="AY23" s="142">
        <f>IFERROR(_xlfn.XLOOKUP(AU23,$AI$51:$AI$64,$AK$51:$AK$64),0)</f>
        <v>0</v>
      </c>
      <c r="AZ23" s="143">
        <f>IFERROR(_xlfn.XLOOKUP(AU23,$AJ$67:$AJ$80,$AL$67:$AL$80),0)</f>
        <v>0</v>
      </c>
      <c r="BA23" s="141" t="s">
        <v>94</v>
      </c>
      <c r="BB23" s="127">
        <f>AV23+BG23-BH23</f>
        <v>0</v>
      </c>
      <c r="BC23" s="102"/>
      <c r="BD23" s="145">
        <f>MAX(BB23-AV23-SUM(AY23:AY26)+SUM(AZ23:AZ26),0)</f>
        <v>0</v>
      </c>
      <c r="BE23" s="146">
        <f>-MIN(BB23-AV23-SUM(AY23:AY26)+SUM(AZ23:AZ26),0)</f>
        <v>0</v>
      </c>
      <c r="BF23" s="42"/>
      <c r="BG23" s="42">
        <f>SUMIF(Journal[DrAccnt],AU23,Journal[DrAmt])</f>
        <v>0</v>
      </c>
      <c r="BH23" s="42">
        <f>SUMIF(Journal[CrAccnt],AU23,Journal[CrAmt])</f>
        <v>0</v>
      </c>
      <c r="BI23" s="42"/>
    </row>
    <row r="24" spans="2:61" x14ac:dyDescent="0.2">
      <c r="B24" s="17" t="str">
        <v>Other Noncurrent Assets</v>
      </c>
      <c r="C24" s="100">
        <f>IF(ISBLANK(B24),"",_xlfn.XLOOKUP(B24,BegBalSht[Account],BegBalSht[Amount]))</f>
        <v>0</v>
      </c>
      <c r="E24" s="17" t="str" cm="1">
        <f t="array" ref="E24">_xlfn._xlws.FILTER(_Gain[Name],NOT(ISBLANK(_Gain[Name])),"")</f>
        <v>Gain on Sale of Subsidiary</v>
      </c>
      <c r="F24" s="82">
        <f>SUMIFS(Journal[CrAmt],Journal[CrAccnt],E24,Journal[ref2],"&lt;&gt;CL")-SUMIFS(Journal[DrAmt],Journal[DrAccnt],E24,Journal[ref2],"&lt;&gt;CL")</f>
        <v>0</v>
      </c>
      <c r="Q24" s="17" t="s">
        <v>181</v>
      </c>
      <c r="R24" s="102">
        <f>AY156-AZ156</f>
        <v>0</v>
      </c>
      <c r="T24" s="17" t="str">
        <f t="shared" si="5"/>
        <v>Other Noncurrent Assets</v>
      </c>
      <c r="U24" s="100">
        <f t="shared" si="6"/>
        <v>0</v>
      </c>
      <c r="V24" s="1"/>
      <c r="W24">
        <f>SUMIF(Journal[DrAccnt],Financial_Statements_6!T24,Journal[DrAmt])</f>
        <v>0</v>
      </c>
      <c r="X24">
        <f>SUMIF(Journal[CrAccnt],Financial_Statements_6!T24,Journal[CrAmt])</f>
        <v>0</v>
      </c>
      <c r="Z24" s="110"/>
      <c r="AA24" s="31"/>
      <c r="AB24" s="31"/>
      <c r="AC24" s="31"/>
      <c r="AD24" s="31"/>
      <c r="AE24" s="31"/>
      <c r="AG24" s="111"/>
      <c r="AH24" s="112"/>
      <c r="AI24" s="112"/>
      <c r="AJ24" s="112"/>
      <c r="AK24" s="112"/>
      <c r="AL24" s="112"/>
      <c r="AN24" s="114"/>
      <c r="AO24" s="115"/>
      <c r="AP24" s="115"/>
      <c r="AQ24" s="115"/>
      <c r="AR24" s="115"/>
      <c r="AS24" s="115"/>
      <c r="AU24" s="129"/>
      <c r="AV24" s="140"/>
      <c r="AW24" s="140"/>
      <c r="AX24" s="141"/>
      <c r="AY24" s="142"/>
      <c r="AZ24" s="143"/>
      <c r="BA24" s="141"/>
      <c r="BB24" s="127"/>
      <c r="BC24" s="102"/>
      <c r="BD24" s="140"/>
      <c r="BE24" s="85"/>
      <c r="BF24" s="42"/>
      <c r="BG24" s="42"/>
      <c r="BH24" s="42"/>
      <c r="BI24" s="42"/>
    </row>
    <row r="25" spans="2:61" x14ac:dyDescent="0.2">
      <c r="B25" s="17" t="str">
        <v>Deferred Tax Assets</v>
      </c>
      <c r="C25" s="100">
        <f>IF(ISBLANK(B25),"",_xlfn.XLOOKUP(B25,BegBalSht[Account],BegBalSht[Amount]))</f>
        <v>0</v>
      </c>
      <c r="E25" s="17"/>
      <c r="F25" s="102">
        <f>SUMIFS(Journal[CrAmt],Journal[CrAccnt],E25,Journal[ref2],"&lt;&gt;CL")-SUMIFS(Journal[DrAmt],Journal[DrAccnt],E25,Journal[ref2],"&lt;&gt;CL")</f>
        <v>0</v>
      </c>
      <c r="Q25" s="17" t="s">
        <v>183</v>
      </c>
      <c r="R25" s="102">
        <f ca="1">AY157-AZ157</f>
        <v>0</v>
      </c>
      <c r="T25" s="17" t="str">
        <f t="shared" si="5"/>
        <v>Deferred Tax Assets</v>
      </c>
      <c r="U25" s="100">
        <f t="shared" si="6"/>
        <v>0</v>
      </c>
      <c r="V25" s="1"/>
      <c r="W25">
        <f>SUMIF(Journal[DrAccnt],Financial_Statements_6!T25,Journal[DrAmt])</f>
        <v>0</v>
      </c>
      <c r="X25">
        <f>SUMIF(Journal[CrAccnt],Financial_Statements_6!T25,Journal[CrAmt])</f>
        <v>0</v>
      </c>
      <c r="AU25" s="129"/>
      <c r="AV25" s="140"/>
      <c r="AW25" s="140"/>
      <c r="AX25" s="141"/>
      <c r="AY25" s="142"/>
      <c r="AZ25" s="143"/>
      <c r="BA25" s="141"/>
      <c r="BB25" s="127"/>
      <c r="BC25" s="102"/>
      <c r="BD25" s="140"/>
      <c r="BE25" s="85"/>
      <c r="BF25" s="42"/>
      <c r="BG25" s="42"/>
      <c r="BH25" s="42"/>
      <c r="BI25" s="42"/>
    </row>
    <row r="26" spans="2:61" x14ac:dyDescent="0.2">
      <c r="B26" s="17" t="str">
        <v>Accumulated Amortization</v>
      </c>
      <c r="C26" s="100">
        <f>IF(ISBLANK(B26),"",_xlfn.XLOOKUP(B26,BegBalSht[Account],BegBalSht[Amount]))</f>
        <v>0</v>
      </c>
      <c r="E26" s="17"/>
      <c r="F26" s="102">
        <f>SUMIFS(Journal[CrAmt],Journal[CrAccnt],E26,Journal[ref2],"&lt;&gt;CL")-SUMIFS(Journal[DrAmt],Journal[DrAccnt],E26,Journal[ref2],"&lt;&gt;CL")</f>
        <v>0</v>
      </c>
      <c r="Q26" s="17" t="s">
        <v>185</v>
      </c>
      <c r="R26" s="102">
        <f ca="1">AY159-AZ159</f>
        <v>0</v>
      </c>
      <c r="T26" s="17" t="str">
        <f t="shared" si="5"/>
        <v>Accumulated Amortization</v>
      </c>
      <c r="U26" s="100">
        <f t="shared" si="6"/>
        <v>0</v>
      </c>
      <c r="V26" s="1"/>
      <c r="W26">
        <f>SUMIF(Journal[DrAccnt],Financial_Statements_6!T26,Journal[DrAmt])</f>
        <v>0</v>
      </c>
      <c r="X26">
        <f>SUMIF(Journal[CrAccnt],Financial_Statements_6!T26,Journal[CrAmt])</f>
        <v>0</v>
      </c>
      <c r="Z26" s="5" t="s">
        <v>462</v>
      </c>
      <c r="AC26" s="4" t="s">
        <v>102</v>
      </c>
      <c r="AG26" s="5" t="s">
        <v>121</v>
      </c>
      <c r="AJ26" s="4" t="s">
        <v>120</v>
      </c>
      <c r="AN26" s="5" t="s">
        <v>463</v>
      </c>
      <c r="AO26" s="5"/>
      <c r="AQ26" s="4" t="s">
        <v>106</v>
      </c>
      <c r="AU26" s="129"/>
      <c r="AV26" s="140"/>
      <c r="AW26" s="140"/>
      <c r="AX26" s="141"/>
      <c r="AY26" s="142"/>
      <c r="AZ26" s="143"/>
      <c r="BA26" s="141"/>
      <c r="BB26" s="127"/>
      <c r="BC26" s="102"/>
      <c r="BD26" s="140"/>
      <c r="BE26" s="85"/>
      <c r="BF26" s="42"/>
      <c r="BG26" s="42"/>
      <c r="BH26" s="42"/>
      <c r="BI26" s="42"/>
    </row>
    <row r="27" spans="2:61" x14ac:dyDescent="0.2">
      <c r="B27" s="17"/>
      <c r="C27" s="100" t="str">
        <f>IF(ISBLANK(B27),"",_xlfn.XLOOKUP(B27,BegBalSht[Account],BegBalSht[Amount]))</f>
        <v/>
      </c>
      <c r="E27" s="17"/>
      <c r="F27" s="102">
        <f>SUMIFS(Journal[CrAmt],Journal[CrAccnt],E27,Journal[ref2],"&lt;&gt;CL")-SUMIFS(Journal[DrAmt],Journal[DrAccnt],E27,Journal[ref2],"&lt;&gt;CL")</f>
        <v>0</v>
      </c>
      <c r="Q27" s="17" t="s">
        <v>186</v>
      </c>
      <c r="R27" s="102">
        <f>AY160-AZ160</f>
        <v>0</v>
      </c>
      <c r="T27" s="17" t="str">
        <f t="shared" si="5"/>
        <v/>
      </c>
      <c r="U27" s="100">
        <f t="shared" si="6"/>
        <v>0</v>
      </c>
      <c r="V27" s="1"/>
      <c r="W27">
        <f>SUMIF(Journal[DrAccnt],Financial_Statements_6!T27,Journal[DrAmt])</f>
        <v>0</v>
      </c>
      <c r="X27">
        <f>SUMIF(Journal[CrAccnt],Financial_Statements_6!T27,Journal[CrAmt])</f>
        <v>0</v>
      </c>
      <c r="Z27" s="110" t="e" cm="1">
        <f t="array" aca="1" ref="Z27" ca="1">_xlfn._xlws.FILTER(Journal[ref]:Journal[CrAmt],Journal[ref2]=AC26,"")</f>
        <v>#NAME?</v>
      </c>
      <c r="AA27" s="31"/>
      <c r="AB27" s="31"/>
      <c r="AC27" s="31"/>
      <c r="AD27" s="31"/>
      <c r="AE27" s="31"/>
      <c r="AG27" s="111" t="e" cm="1">
        <f t="array" aca="1" ref="AG27" ca="1">_xlfn._xlws.FILTER(Journal[ref]:Journal[CrAmt],Journal[ref2]=AJ26,"")</f>
        <v>#NAME?</v>
      </c>
      <c r="AH27" s="112"/>
      <c r="AI27" s="112"/>
      <c r="AJ27" s="112"/>
      <c r="AK27" s="112"/>
      <c r="AL27" s="112"/>
      <c r="AN27" s="114" t="e" cm="1">
        <f t="array" aca="1" ref="AN27" ca="1">_xlfn._xlws.FILTER(Journal[ref]:Journal[CrAmt],Journal[ref2]=AQ26,"")</f>
        <v>#NAME?</v>
      </c>
      <c r="AO27" s="115"/>
      <c r="AP27" s="115"/>
      <c r="AQ27" s="115"/>
      <c r="AR27" s="115"/>
      <c r="AS27" s="115"/>
      <c r="AU27" s="130" t="e">
        <f ca="1">_xlfn.XLOOKUP(8,AssetsMaster[Num],AssetsMaster[Name])</f>
        <v>#NAME?</v>
      </c>
      <c r="AV27" s="140">
        <f ca="1">IFERROR(_xlfn.XLOOKUP(AU27,BegBalSht[Account],BegBalSht[Amount]),0)</f>
        <v>0</v>
      </c>
      <c r="AW27" s="140"/>
      <c r="AX27" s="141" t="s">
        <v>128</v>
      </c>
      <c r="AY27" s="142">
        <f ca="1">IFERROR(_xlfn.XLOOKUP(AU27,$AI$51:$AI$64,$AK$51:$AK$64),0)</f>
        <v>0</v>
      </c>
      <c r="AZ27" s="143">
        <f ca="1">IFERROR(_xlfn.XLOOKUP(AU27,$AJ$67:$AJ$80,$AL$67:$AL$80),0)</f>
        <v>0</v>
      </c>
      <c r="BA27" s="141" t="s">
        <v>94</v>
      </c>
      <c r="BB27" s="127">
        <f ca="1">AV27+BG27-BH27</f>
        <v>0</v>
      </c>
      <c r="BC27" s="102"/>
      <c r="BD27" s="145">
        <f ca="1">-MIN(BC27-AW27-SUM(AZ27:AZ30)+SUM(AY27:AY30),0)</f>
        <v>0</v>
      </c>
      <c r="BE27" s="146">
        <f ca="1">MAX(BC27-AW27-SUM(AZ27:AZ30)+SUM(AY27:AY30),0)</f>
        <v>0</v>
      </c>
      <c r="BF27" s="42"/>
      <c r="BG27" s="42">
        <f ca="1">SUMIF(Journal[DrAccnt],AU27,Journal[DrAmt])</f>
        <v>0</v>
      </c>
      <c r="BH27" s="42">
        <f ca="1">SUMIF(Journal[CrAccnt],AU27,Journal[CrAmt])</f>
        <v>0</v>
      </c>
      <c r="BI27" s="42"/>
    </row>
    <row r="28" spans="2:61" x14ac:dyDescent="0.2">
      <c r="B28" s="17"/>
      <c r="C28" s="100" t="str">
        <f>IF(ISBLANK(B28),"",_xlfn.XLOOKUP(B28,BegBalSht[Account],BegBalSht[Amount]))</f>
        <v/>
      </c>
      <c r="E28" s="21" t="s">
        <v>425</v>
      </c>
      <c r="F28" s="47">
        <f>SUM(F24:F27)</f>
        <v>0</v>
      </c>
      <c r="Q28" s="17" t="s">
        <v>187</v>
      </c>
      <c r="R28" s="102">
        <f>AY160-AZ160</f>
        <v>0</v>
      </c>
      <c r="T28" s="17" t="str">
        <f t="shared" si="5"/>
        <v/>
      </c>
      <c r="U28" s="100">
        <f t="shared" si="6"/>
        <v>0</v>
      </c>
      <c r="V28" s="1"/>
      <c r="W28">
        <f>SUMIF(Journal[DrAccnt],Financial_Statements_6!T28,Journal[DrAmt])</f>
        <v>0</v>
      </c>
      <c r="X28">
        <f>SUMIF(Journal[CrAccnt],Financial_Statements_6!T28,Journal[CrAmt])</f>
        <v>0</v>
      </c>
      <c r="Z28" s="110"/>
      <c r="AA28" s="31"/>
      <c r="AB28" s="31"/>
      <c r="AC28" s="31"/>
      <c r="AD28" s="31"/>
      <c r="AE28" s="31"/>
      <c r="AG28" s="111"/>
      <c r="AH28" s="112"/>
      <c r="AI28" s="112"/>
      <c r="AJ28" s="112"/>
      <c r="AK28" s="112"/>
      <c r="AL28" s="112"/>
      <c r="AN28" s="114"/>
      <c r="AO28" s="115"/>
      <c r="AP28" s="115"/>
      <c r="AQ28" s="115"/>
      <c r="AR28" s="115"/>
      <c r="AS28" s="115"/>
      <c r="AU28" s="129"/>
      <c r="AV28" s="140"/>
      <c r="AW28" s="140"/>
      <c r="AX28" s="141"/>
      <c r="AY28" s="142"/>
      <c r="AZ28" s="143"/>
      <c r="BA28" s="141"/>
      <c r="BB28" s="127"/>
      <c r="BC28" s="102"/>
      <c r="BD28" s="140"/>
      <c r="BE28" s="85"/>
      <c r="BF28" s="42"/>
      <c r="BG28" s="42"/>
      <c r="BH28" s="42"/>
      <c r="BI28" s="42"/>
    </row>
    <row r="29" spans="2:61" x14ac:dyDescent="0.2">
      <c r="B29" s="91"/>
      <c r="C29" s="101" t="str">
        <f>IF(ISBLANK(B29),"",_xlfn.XLOOKUP(B29,BegBalSht[Account],BegBalSht[Amount]))</f>
        <v/>
      </c>
      <c r="E29" s="19" t="s">
        <v>426</v>
      </c>
      <c r="F29" s="18"/>
      <c r="Q29" s="75" t="s">
        <v>416</v>
      </c>
      <c r="R29" s="47">
        <f ca="1">SUBTOTAL(9,R8:R28)</f>
        <v>0</v>
      </c>
      <c r="T29" s="91" t="str">
        <f t="shared" si="5"/>
        <v/>
      </c>
      <c r="U29" s="101">
        <f t="shared" si="6"/>
        <v>0</v>
      </c>
      <c r="V29" s="1"/>
      <c r="W29">
        <f>SUMIF(Journal[DrAccnt],Financial_Statements_6!T29,Journal[DrAmt])</f>
        <v>0</v>
      </c>
      <c r="X29">
        <f>SUMIF(Journal[CrAccnt],Financial_Statements_6!T29,Journal[CrAmt])</f>
        <v>0</v>
      </c>
      <c r="Z29" s="110"/>
      <c r="AA29" s="31"/>
      <c r="AB29" s="31"/>
      <c r="AC29" s="31"/>
      <c r="AD29" s="31"/>
      <c r="AE29" s="31"/>
      <c r="AG29" s="111"/>
      <c r="AH29" s="112"/>
      <c r="AI29" s="112"/>
      <c r="AJ29" s="112"/>
      <c r="AK29" s="112"/>
      <c r="AL29" s="112"/>
      <c r="AN29" s="114"/>
      <c r="AO29" s="115"/>
      <c r="AP29" s="115"/>
      <c r="AQ29" s="115"/>
      <c r="AR29" s="115"/>
      <c r="AS29" s="115"/>
      <c r="AU29" s="129"/>
      <c r="AV29" s="140"/>
      <c r="AW29" s="140"/>
      <c r="AX29" s="141"/>
      <c r="AY29" s="142"/>
      <c r="AZ29" s="143"/>
      <c r="BA29" s="141"/>
      <c r="BB29" s="127"/>
      <c r="BC29" s="102"/>
      <c r="BD29" s="140"/>
      <c r="BE29" s="85"/>
      <c r="BF29" s="42"/>
      <c r="BG29" s="42"/>
      <c r="BH29" s="42"/>
      <c r="BI29" s="42"/>
    </row>
    <row r="30" spans="2:61" x14ac:dyDescent="0.2">
      <c r="B30" s="53" t="s">
        <v>427</v>
      </c>
      <c r="C30" s="49">
        <f>SUBTOTAL(9,C20:C29)</f>
        <v>0</v>
      </c>
      <c r="E30" s="17" t="str" cm="1">
        <f t="array" ref="E30">_xlfn._xlws.FILTER(_Loss[Name],NOT(ISBLANK(_Loss[Name])),"")</f>
        <v>Loss on Sale of Subsidiary</v>
      </c>
      <c r="F30" s="82">
        <f>-SUMIFS(Journal[CrAmt],Journal[CrAccnt],E30,Journal[ref2],"&lt;&gt;CL")+SUMIFS(Journal[DrAmt],Journal[DrAccnt],E30,Journal[ref2],"&lt;&gt;CL")</f>
        <v>0</v>
      </c>
      <c r="Q30" s="17"/>
      <c r="R30" s="18"/>
      <c r="T30" s="53" t="s">
        <v>427</v>
      </c>
      <c r="U30" s="49">
        <f>SUBTOTAL(9,U20:U29)</f>
        <v>0</v>
      </c>
      <c r="Z30" s="110"/>
      <c r="AA30" s="31"/>
      <c r="AB30" s="31"/>
      <c r="AC30" s="31"/>
      <c r="AD30" s="31"/>
      <c r="AE30" s="31"/>
      <c r="AG30" s="111"/>
      <c r="AH30" s="112"/>
      <c r="AI30" s="112"/>
      <c r="AJ30" s="112"/>
      <c r="AK30" s="112"/>
      <c r="AL30" s="112"/>
      <c r="AN30" s="114"/>
      <c r="AO30" s="115"/>
      <c r="AP30" s="115"/>
      <c r="AQ30" s="115"/>
      <c r="AR30" s="115"/>
      <c r="AS30" s="115"/>
      <c r="AU30" s="129"/>
      <c r="AV30" s="140"/>
      <c r="AW30" s="140"/>
      <c r="AX30" s="141"/>
      <c r="AY30" s="142"/>
      <c r="AZ30" s="143"/>
      <c r="BA30" s="141"/>
      <c r="BB30" s="127"/>
      <c r="BC30" s="102"/>
      <c r="BD30" s="140"/>
      <c r="BE30" s="85"/>
      <c r="BF30" s="42"/>
      <c r="BG30" s="42"/>
      <c r="BH30" s="42"/>
      <c r="BI30" s="42"/>
    </row>
    <row r="31" spans="2:61" ht="16" thickBot="1" x14ac:dyDescent="0.25">
      <c r="B31" s="58" t="s">
        <v>428</v>
      </c>
      <c r="C31" s="50">
        <f>SUBTOTAL(9,C8:C30)</f>
        <v>0</v>
      </c>
      <c r="E31" s="17"/>
      <c r="F31" s="102">
        <f>-SUMIFS(Journal[CrAmt],Journal[CrAccnt],E31,Journal[ref2],"&lt;&gt;CL")+SUMIFS(Journal[DrAmt],Journal[DrAccnt],E31,Journal[ref2],"&lt;&gt;CL")</f>
        <v>0</v>
      </c>
      <c r="Q31" s="19" t="s">
        <v>418</v>
      </c>
      <c r="R31" s="18"/>
      <c r="T31" s="58" t="s">
        <v>428</v>
      </c>
      <c r="U31" s="50">
        <f>SUBTOTAL(9,U8:U30)</f>
        <v>0</v>
      </c>
      <c r="Z31" s="110"/>
      <c r="AA31" s="31"/>
      <c r="AB31" s="31"/>
      <c r="AC31" s="31"/>
      <c r="AD31" s="31"/>
      <c r="AE31" s="31"/>
      <c r="AG31" s="111"/>
      <c r="AH31" s="112"/>
      <c r="AI31" s="112"/>
      <c r="AJ31" s="112"/>
      <c r="AK31" s="112"/>
      <c r="AL31" s="112"/>
      <c r="AN31" s="114"/>
      <c r="AO31" s="115"/>
      <c r="AP31" s="115"/>
      <c r="AQ31" s="115"/>
      <c r="AR31" s="115"/>
      <c r="AS31" s="115"/>
      <c r="AU31" s="130" t="str">
        <f>_xlfn.XLOOKUP(9,AssetsMaster[Num],AssetsMaster[Name])</f>
        <v>Property, Plant &amp; Equipment</v>
      </c>
      <c r="AV31" s="140">
        <f>IFERROR(_xlfn.XLOOKUP(AU31,BegBalSht[Account],BegBalSht[Amount]),0)</f>
        <v>0</v>
      </c>
      <c r="AW31" s="140"/>
      <c r="AX31" s="141" t="s">
        <v>128</v>
      </c>
      <c r="AY31" s="142">
        <f>IFERROR(_xlfn.XLOOKUP(AU31,$AI$51:$AI$64,$AK$51:$AK$64),0)</f>
        <v>0</v>
      </c>
      <c r="AZ31" s="143">
        <f>IFERROR(_xlfn.XLOOKUP(AU31,$AJ$67:$AJ$80,$AL$67:$AL$80),0)</f>
        <v>0</v>
      </c>
      <c r="BA31" s="141" t="s">
        <v>94</v>
      </c>
      <c r="BB31" s="127">
        <f>AV31+BG31-BH31</f>
        <v>0</v>
      </c>
      <c r="BC31" s="102"/>
      <c r="BD31" s="145">
        <f>MAX(BB31-AV31-SUM(AY31:AY34)+SUM(AZ31:AZ34),0)</f>
        <v>0</v>
      </c>
      <c r="BE31" s="146">
        <f>-MIN(BB31-AV31-SUM(AY31:AY34)+SUM(AZ31:AZ34),0)</f>
        <v>0</v>
      </c>
      <c r="BF31" s="42"/>
      <c r="BG31" s="42">
        <f>SUMIF(Journal[DrAccnt],AU31,Journal[DrAmt])</f>
        <v>0</v>
      </c>
      <c r="BH31" s="42">
        <f>SUMIF(Journal[CrAccnt],AU31,Journal[CrAmt])</f>
        <v>0</v>
      </c>
      <c r="BI31" s="42"/>
    </row>
    <row r="32" spans="2:61" x14ac:dyDescent="0.2">
      <c r="B32" s="26" t="s">
        <v>364</v>
      </c>
      <c r="C32" s="29"/>
      <c r="E32" s="17"/>
      <c r="F32" s="102">
        <f>-SUMIFS(Journal[CrAmt],Journal[CrAccnt],E32,Journal[ref2],"&lt;&gt;CL")+SUMIFS(Journal[DrAmt],Journal[DrAccnt],E32,Journal[ref2],"&lt;&gt;CL")</f>
        <v>0</v>
      </c>
      <c r="Q32" s="17" t="s">
        <v>482</v>
      </c>
      <c r="R32" s="82">
        <f>IFERROR(_xlfn.XLOOKUP("Cash",AI27:AI32,AK27:AK32),0)</f>
        <v>0</v>
      </c>
      <c r="T32" s="26" t="s">
        <v>364</v>
      </c>
      <c r="U32" s="29"/>
      <c r="Z32" s="110"/>
      <c r="AA32" s="31"/>
      <c r="AB32" s="31"/>
      <c r="AC32" s="31"/>
      <c r="AD32" s="31"/>
      <c r="AE32" s="31"/>
      <c r="AG32" s="111"/>
      <c r="AH32" s="112"/>
      <c r="AI32" s="112"/>
      <c r="AJ32" s="112"/>
      <c r="AK32" s="112"/>
      <c r="AL32" s="112"/>
      <c r="AN32" s="114"/>
      <c r="AO32" s="115"/>
      <c r="AP32" s="115"/>
      <c r="AQ32" s="115"/>
      <c r="AR32" s="115"/>
      <c r="AS32" s="115"/>
      <c r="AU32" s="129"/>
      <c r="AV32" s="140"/>
      <c r="AW32" s="140"/>
      <c r="AX32" s="141" t="s">
        <v>118</v>
      </c>
      <c r="AY32" s="142">
        <f>IFERROR(_xlfn.XLOOKUP(AU31,AI19:AI24,AK19:AK24),0)</f>
        <v>0</v>
      </c>
      <c r="AZ32" s="142">
        <f>IFERROR(_xlfn.XLOOKUP(AU31,AJ27:AJ32,AL27:AL32),0)</f>
        <v>0</v>
      </c>
      <c r="BA32" s="141" t="s">
        <v>120</v>
      </c>
      <c r="BB32" s="127"/>
      <c r="BC32" s="102"/>
      <c r="BD32" s="140"/>
      <c r="BE32" s="85"/>
      <c r="BF32" s="42"/>
      <c r="BG32" s="42"/>
      <c r="BH32" s="42"/>
      <c r="BI32" s="42"/>
    </row>
    <row r="33" spans="2:61" x14ac:dyDescent="0.2">
      <c r="B33" s="52" t="s">
        <v>429</v>
      </c>
      <c r="C33" s="46">
        <f>BegDate</f>
        <v>0</v>
      </c>
      <c r="E33" s="17"/>
      <c r="F33" s="102">
        <f>-SUMIFS(Journal[CrAmt],Journal[CrAccnt],E33,Journal[ref2],"&lt;&gt;CL")+SUMIFS(Journal[DrAmt],Journal[DrAccnt],E33,Journal[ref2],"&lt;&gt;CL")</f>
        <v>0</v>
      </c>
      <c r="Q33" s="17" t="s">
        <v>483</v>
      </c>
      <c r="R33" s="102">
        <f>IFERROR(_xlfn.XLOOKUP("Cash",AI67:AI80,AK67:AK80),0)</f>
        <v>0</v>
      </c>
      <c r="T33" s="52" t="s">
        <v>429</v>
      </c>
      <c r="U33" s="46">
        <f>EndDate</f>
        <v>0</v>
      </c>
      <c r="AU33" s="129"/>
      <c r="AV33" s="140"/>
      <c r="AW33" s="140"/>
      <c r="AX33" s="141" t="s">
        <v>122</v>
      </c>
      <c r="AY33" s="142">
        <f>IFERROR(_xlfn.XLOOKUP(AU31,AP11:AP16,AR11:AR16),0)</f>
        <v>0</v>
      </c>
      <c r="AZ33" s="143"/>
      <c r="BA33" s="141"/>
      <c r="BB33" s="127"/>
      <c r="BC33" s="102"/>
      <c r="BD33" s="140"/>
      <c r="BE33" s="85"/>
      <c r="BF33" s="42"/>
      <c r="BG33" s="42"/>
      <c r="BH33" s="42"/>
      <c r="BI33" s="42"/>
    </row>
    <row r="34" spans="2:61" x14ac:dyDescent="0.2">
      <c r="B34" s="17" t="str" cm="1">
        <f t="array" ref="B34:B41">_xlfn._xlws.FILTER(Liability[Name],Liability[C/NC]="C")</f>
        <v>Accounts Payable</v>
      </c>
      <c r="C34" s="99">
        <f>IF(ISBLANK(B34),"",_xlfn.XLOOKUP(B34,BegBalSht[Account],BegBalSht[Amount]))</f>
        <v>0</v>
      </c>
      <c r="E34" s="21" t="s">
        <v>430</v>
      </c>
      <c r="F34" s="47">
        <f>SUM(F30:F33)</f>
        <v>0</v>
      </c>
      <c r="Q34" s="17" t="s">
        <v>484</v>
      </c>
      <c r="R34" s="102">
        <f>IFERROR(_xlfn.XLOOKUP("Cash",AI11:AI16,AK11:AK16),0)</f>
        <v>0</v>
      </c>
      <c r="T34" s="17" t="str">
        <f t="shared" ref="T34:T43" si="7">IF(ISBLANK(B34),"",B34)</f>
        <v>Accounts Payable</v>
      </c>
      <c r="U34" s="99">
        <f t="shared" ref="U34:U43" si="8">IFERROR(C34+X34-W34,0)</f>
        <v>0</v>
      </c>
      <c r="W34">
        <f>SUMIF(Journal[DrAccnt],Financial_Statements_6!T34,Journal[DrAmt])</f>
        <v>0</v>
      </c>
      <c r="X34">
        <f>SUMIF(Journal[CrAccnt],Financial_Statements_6!T34,Journal[CrAmt])</f>
        <v>0</v>
      </c>
      <c r="Z34" s="5" t="s">
        <v>105</v>
      </c>
      <c r="AA34" s="5"/>
      <c r="AC34" s="4" t="s">
        <v>104</v>
      </c>
      <c r="AG34" s="5" t="s">
        <v>125</v>
      </c>
      <c r="AJ34" s="4" t="s">
        <v>124</v>
      </c>
      <c r="AN34" s="5" t="s">
        <v>464</v>
      </c>
      <c r="AO34" s="5"/>
      <c r="AQ34" s="4" t="s">
        <v>141</v>
      </c>
      <c r="AU34" s="129"/>
      <c r="AV34" s="140"/>
      <c r="AW34" s="140"/>
      <c r="AX34" s="141"/>
      <c r="AY34" s="142"/>
      <c r="AZ34" s="143"/>
      <c r="BA34" s="141"/>
      <c r="BB34" s="127"/>
      <c r="BC34" s="102"/>
      <c r="BD34" s="140"/>
      <c r="BE34" s="85"/>
      <c r="BF34" s="42"/>
      <c r="BG34" s="42"/>
      <c r="BH34" s="42"/>
      <c r="BI34" s="42"/>
    </row>
    <row r="35" spans="2:61" ht="16" thickBot="1" x14ac:dyDescent="0.25">
      <c r="B35" s="17" t="str">
        <v>Accrued Expenses</v>
      </c>
      <c r="C35" s="100">
        <f>IF(ISBLANK(B35),"",_xlfn.XLOOKUP(B35,BegBalSht[Account],BegBalSht[Amount]))</f>
        <v>0</v>
      </c>
      <c r="E35" s="19" t="s">
        <v>401</v>
      </c>
      <c r="F35" s="79">
        <f>F12-F22+F28-F34</f>
        <v>0</v>
      </c>
      <c r="Q35" s="17" t="s">
        <v>485</v>
      </c>
      <c r="R35" s="102">
        <f>IFERROR(_xlfn.XLOOKUP("Cash",AI43:AI48,AK43:AK48),0)</f>
        <v>0</v>
      </c>
      <c r="T35" s="17" t="str">
        <f t="shared" si="7"/>
        <v>Accrued Expenses</v>
      </c>
      <c r="U35" s="100">
        <f t="shared" si="8"/>
        <v>0</v>
      </c>
      <c r="W35">
        <f>SUMIF(Journal[DrAccnt],Financial_Statements_6!T35,Journal[DrAmt])</f>
        <v>0</v>
      </c>
      <c r="X35">
        <f>SUMIF(Journal[CrAccnt],Financial_Statements_6!T35,Journal[CrAmt])</f>
        <v>0</v>
      </c>
      <c r="Z35" s="110" t="e" cm="1">
        <f t="array" aca="1" ref="Z35" ca="1">_xlfn._xlws.FILTER(Journal[ref]:Journal[CrAmt],Journal[ref2]=AC34,"")</f>
        <v>#NAME?</v>
      </c>
      <c r="AA35" s="31"/>
      <c r="AB35" s="31"/>
      <c r="AC35" s="31"/>
      <c r="AD35" s="31"/>
      <c r="AE35" s="31"/>
      <c r="AG35" s="111" t="e" cm="1">
        <f t="array" aca="1" ref="AG35" ca="1">_xlfn._xlws.FILTER(Journal[ref]:Journal[CrAmt],Journal[ref2]=AJ34,"")</f>
        <v>#NAME?</v>
      </c>
      <c r="AH35" s="112"/>
      <c r="AI35" s="112"/>
      <c r="AJ35" s="112"/>
      <c r="AK35" s="112"/>
      <c r="AL35" s="112"/>
      <c r="AN35" s="114" t="e" cm="1">
        <f t="array" aca="1" ref="AN35" ca="1">_xlfn._xlws.FILTER(Journal[ref]:Journal[CrAmt],Journal[ref2]=AQ34,"")</f>
        <v>#NAME?</v>
      </c>
      <c r="AO35" s="115"/>
      <c r="AP35" s="115"/>
      <c r="AQ35" s="115"/>
      <c r="AR35" s="115"/>
      <c r="AS35" s="115"/>
      <c r="AU35" s="130" t="e">
        <f ca="1">_xlfn.XLOOKUP(10,AssetsMaster[Num],AssetsMaster[Name])</f>
        <v>#NAME?</v>
      </c>
      <c r="AV35" s="140"/>
      <c r="AW35" s="140" cm="1">
        <f t="array" aca="1" ref="AW35" ca="1">IFERROR(_xlfn.XLOOKUP(AU35,BegBalSht[Account],-BegBalSht[Amount]),0)</f>
        <v>0</v>
      </c>
      <c r="AX35" s="141" t="s">
        <v>94</v>
      </c>
      <c r="AY35" s="142">
        <f ca="1">IFERROR(_xlfn.XLOOKUP(AU35,$AI$67:$AI$80,$AK$67:$AK$80),0)</f>
        <v>0</v>
      </c>
      <c r="AZ35" s="143"/>
      <c r="BA35" s="141"/>
      <c r="BB35" s="127"/>
      <c r="BC35" s="102">
        <f ca="1">AW35-BG35+BH35</f>
        <v>0</v>
      </c>
      <c r="BD35" s="145">
        <f ca="1">-MIN(BC35-AW35-SUM(AZ35:AZ38)+SUM(AY35:AY38),0)</f>
        <v>0</v>
      </c>
      <c r="BE35" s="146">
        <f ca="1">MAX(BC35-AW35-SUM(AZ35:AZ38)+SUM(AY35:AY38),0)</f>
        <v>0</v>
      </c>
      <c r="BF35" s="42"/>
      <c r="BG35" s="42">
        <f ca="1">SUMIF(Journal[DrAccnt],AU35,Journal[DrAmt])</f>
        <v>0</v>
      </c>
      <c r="BH35" s="42">
        <f ca="1">SUMIF(Journal[CrAccnt],AU35,Journal[CrAmt])</f>
        <v>0</v>
      </c>
      <c r="BI35" s="42"/>
    </row>
    <row r="36" spans="2:61" ht="17" thickTop="1" thickBot="1" x14ac:dyDescent="0.25">
      <c r="B36" s="17" t="str">
        <v>Interest Payable</v>
      </c>
      <c r="C36" s="100">
        <f>IF(ISBLANK(B36),"",_xlfn.XLOOKUP(B36,BegBalSht[Account],BegBalSht[Amount]))</f>
        <v>0</v>
      </c>
      <c r="E36" s="24"/>
      <c r="F36" s="25"/>
      <c r="Q36" s="17" t="s">
        <v>486</v>
      </c>
      <c r="R36" s="102">
        <f>IFERROR(_xlfn.XLOOKUP("Cash",AI91:AI96,AK91:AK96),0)</f>
        <v>0</v>
      </c>
      <c r="T36" s="17" t="str">
        <f t="shared" si="7"/>
        <v>Interest Payable</v>
      </c>
      <c r="U36" s="100">
        <f t="shared" si="8"/>
        <v>0</v>
      </c>
      <c r="W36">
        <f>SUMIF(Journal[DrAccnt],Financial_Statements_6!T36,Journal[DrAmt])</f>
        <v>0</v>
      </c>
      <c r="X36">
        <f>SUMIF(Journal[CrAccnt],Financial_Statements_6!T36,Journal[CrAmt])</f>
        <v>0</v>
      </c>
      <c r="Z36" s="110"/>
      <c r="AA36" s="31"/>
      <c r="AB36" s="31"/>
      <c r="AC36" s="31"/>
      <c r="AD36" s="31"/>
      <c r="AE36" s="31"/>
      <c r="AG36" s="111"/>
      <c r="AH36" s="112"/>
      <c r="AI36" s="112"/>
      <c r="AJ36" s="112"/>
      <c r="AK36" s="112"/>
      <c r="AL36" s="112"/>
      <c r="AN36" s="114"/>
      <c r="AO36" s="115"/>
      <c r="AP36" s="115"/>
      <c r="AQ36" s="115"/>
      <c r="AR36" s="115"/>
      <c r="AS36" s="115"/>
      <c r="AU36" s="129"/>
      <c r="AV36" s="140"/>
      <c r="AW36" s="140"/>
      <c r="AX36" s="141" t="s">
        <v>120</v>
      </c>
      <c r="AY36" s="142">
        <f ca="1">IFERROR(_xlfn.XLOOKUP(AU35,AI27:AI32,AK27:AK32),0)</f>
        <v>0</v>
      </c>
      <c r="AZ36" s="143"/>
      <c r="BA36" s="141"/>
      <c r="BB36" s="127"/>
      <c r="BC36" s="102"/>
      <c r="BD36" s="140"/>
      <c r="BE36" s="85"/>
      <c r="BF36" s="42"/>
      <c r="BG36" s="42"/>
      <c r="BH36" s="42"/>
      <c r="BI36" s="42"/>
    </row>
    <row r="37" spans="2:61" x14ac:dyDescent="0.2">
      <c r="B37" s="17" t="str">
        <v>Dividends Payable</v>
      </c>
      <c r="C37" s="100">
        <f>IF(ISBLANK(B37),"",_xlfn.XLOOKUP(B37,BegBalSht[Account],BegBalSht[Amount]))</f>
        <v>0</v>
      </c>
      <c r="Q37" s="17" t="s">
        <v>487</v>
      </c>
      <c r="R37" s="102" cm="1">
        <f t="array" ref="R37">IFERROR(_xlfn.XLOOKUP("Cash",AJ19:AJ24,-AL19:AL24),0)</f>
        <v>0</v>
      </c>
      <c r="T37" s="17" t="str">
        <f t="shared" si="7"/>
        <v>Dividends Payable</v>
      </c>
      <c r="U37" s="100">
        <f t="shared" si="8"/>
        <v>0</v>
      </c>
      <c r="W37">
        <f>SUMIF(Journal[DrAccnt],Financial_Statements_6!T37,Journal[DrAmt])</f>
        <v>0</v>
      </c>
      <c r="X37">
        <f>SUMIF(Journal[CrAccnt],Financial_Statements_6!T37,Journal[CrAmt])</f>
        <v>0</v>
      </c>
      <c r="Z37" s="110"/>
      <c r="AA37" s="31"/>
      <c r="AB37" s="31"/>
      <c r="AC37" s="31"/>
      <c r="AD37" s="31"/>
      <c r="AE37" s="31"/>
      <c r="AG37" s="111"/>
      <c r="AH37" s="112"/>
      <c r="AI37" s="112"/>
      <c r="AJ37" s="112"/>
      <c r="AK37" s="112"/>
      <c r="AL37" s="112"/>
      <c r="AN37" s="114"/>
      <c r="AO37" s="115"/>
      <c r="AP37" s="115"/>
      <c r="AQ37" s="115"/>
      <c r="AR37" s="115"/>
      <c r="AS37" s="115"/>
      <c r="AU37" s="129"/>
      <c r="AV37" s="140"/>
      <c r="AW37" s="140"/>
      <c r="AX37" s="141"/>
      <c r="AY37" s="142"/>
      <c r="AZ37" s="143"/>
      <c r="BA37" s="141"/>
      <c r="BB37" s="127"/>
      <c r="BC37" s="102"/>
      <c r="BD37" s="140"/>
      <c r="BE37" s="85"/>
      <c r="BF37" s="42"/>
      <c r="BG37" s="42"/>
      <c r="BH37" s="42"/>
      <c r="BI37" s="42"/>
    </row>
    <row r="38" spans="2:61" x14ac:dyDescent="0.2">
      <c r="B38" s="17" t="str">
        <v>Taxes Payable</v>
      </c>
      <c r="C38" s="100">
        <f>IF(ISBLANK(B38),"",_xlfn.XLOOKUP(B38,BegBalSht[Account],BegBalSht[Amount]))</f>
        <v>0</v>
      </c>
      <c r="Q38" s="17" t="s">
        <v>488</v>
      </c>
      <c r="R38" s="102" cm="1">
        <f t="array" ref="R38">IFERROR(_xlfn.XLOOKUP("Cash",AJ51:AJ64,-AL51:AL64),0)</f>
        <v>0</v>
      </c>
      <c r="T38" s="17" t="str">
        <f t="shared" si="7"/>
        <v>Taxes Payable</v>
      </c>
      <c r="U38" s="100">
        <f t="shared" si="8"/>
        <v>0</v>
      </c>
      <c r="W38">
        <f>SUMIF(Journal[DrAccnt],Financial_Statements_6!T38,Journal[DrAmt])</f>
        <v>0</v>
      </c>
      <c r="X38">
        <f>SUMIF(Journal[CrAccnt],Financial_Statements_6!T38,Journal[CrAmt])</f>
        <v>0</v>
      </c>
      <c r="Z38" s="110"/>
      <c r="AA38" s="31"/>
      <c r="AB38" s="31"/>
      <c r="AC38" s="31"/>
      <c r="AD38" s="31"/>
      <c r="AE38" s="31"/>
      <c r="AG38" s="111"/>
      <c r="AH38" s="112"/>
      <c r="AI38" s="112"/>
      <c r="AJ38" s="112"/>
      <c r="AK38" s="112"/>
      <c r="AL38" s="112"/>
      <c r="AN38" s="114"/>
      <c r="AO38" s="115"/>
      <c r="AP38" s="115"/>
      <c r="AQ38" s="115"/>
      <c r="AR38" s="115"/>
      <c r="AS38" s="115"/>
      <c r="AU38" s="129"/>
      <c r="AV38" s="140"/>
      <c r="AW38" s="140"/>
      <c r="AX38" s="141"/>
      <c r="AY38" s="142"/>
      <c r="AZ38" s="143"/>
      <c r="BA38" s="141"/>
      <c r="BB38" s="127"/>
      <c r="BC38" s="102"/>
      <c r="BD38" s="140"/>
      <c r="BE38" s="85"/>
      <c r="BF38" s="42"/>
      <c r="BG38" s="42"/>
      <c r="BH38" s="42"/>
      <c r="BI38" s="42"/>
    </row>
    <row r="39" spans="2:61" x14ac:dyDescent="0.2">
      <c r="B39" s="17" t="str">
        <v>Deferred Tax Liabilities</v>
      </c>
      <c r="C39" s="100">
        <f>IF(ISBLANK(B39),"",_xlfn.XLOOKUP(B39,BegBalSht[Account],BegBalSht[Amount]))</f>
        <v>0</v>
      </c>
      <c r="Q39" s="17" t="s">
        <v>489</v>
      </c>
      <c r="R39" s="102" cm="1">
        <f t="array" ref="R39">IFERROR(_xlfn.XLOOKUP("Cash",AJ3:AJ8,-AL3:AL8),0)</f>
        <v>0</v>
      </c>
      <c r="T39" s="17" t="str">
        <f t="shared" si="7"/>
        <v>Deferred Tax Liabilities</v>
      </c>
      <c r="U39" s="100">
        <f t="shared" si="8"/>
        <v>0</v>
      </c>
      <c r="W39">
        <f>SUMIF(Journal[DrAccnt],Financial_Statements_6!T39,Journal[DrAmt])</f>
        <v>0</v>
      </c>
      <c r="X39">
        <f>SUMIF(Journal[CrAccnt],Financial_Statements_6!T39,Journal[CrAmt])</f>
        <v>0</v>
      </c>
      <c r="Z39" s="110"/>
      <c r="AA39" s="31"/>
      <c r="AB39" s="31"/>
      <c r="AC39" s="31"/>
      <c r="AD39" s="31"/>
      <c r="AE39" s="31"/>
      <c r="AG39" s="111"/>
      <c r="AH39" s="112"/>
      <c r="AI39" s="112"/>
      <c r="AJ39" s="112"/>
      <c r="AK39" s="112"/>
      <c r="AL39" s="112"/>
      <c r="AN39" s="114"/>
      <c r="AO39" s="115"/>
      <c r="AP39" s="115"/>
      <c r="AQ39" s="115"/>
      <c r="AR39" s="115"/>
      <c r="AS39" s="115"/>
      <c r="AU39" s="130" t="str">
        <f>_xlfn.XLOOKUP(11,AssetsMaster[Num],AssetsMaster[Name])</f>
        <v>Intangibles</v>
      </c>
      <c r="AV39" s="140">
        <f>IFERROR(_xlfn.XLOOKUP(AU39,BegBalSht[Account],BegBalSht[Amount]),0)</f>
        <v>0</v>
      </c>
      <c r="AW39" s="140"/>
      <c r="AX39" s="141" t="s">
        <v>128</v>
      </c>
      <c r="AY39" s="142">
        <f>IFERROR(_xlfn.XLOOKUP(AU39,$AI$51:$AI$64,$AK$51:$AK$64),0)</f>
        <v>0</v>
      </c>
      <c r="AZ39" s="143">
        <f>IFERROR(_xlfn.XLOOKUP(AU39,$AJ$67:$AJ$80,$AL$67:$AL$80),0)</f>
        <v>0</v>
      </c>
      <c r="BA39" s="141" t="s">
        <v>94</v>
      </c>
      <c r="BB39" s="127">
        <f>AV39+BG39-BH39</f>
        <v>0</v>
      </c>
      <c r="BC39" s="102"/>
      <c r="BD39" s="145">
        <f>MAX(BB39-AV39-SUM(AY39:AY42)+SUM(AZ39:AZ42),0)</f>
        <v>0</v>
      </c>
      <c r="BE39" s="146">
        <f>-MIN(BB39-AV39-SUM(AY39:AY42)+SUM(AZ39:AZ42),0)</f>
        <v>0</v>
      </c>
      <c r="BF39" s="42"/>
      <c r="BG39" s="42">
        <f>SUMIF(Journal[DrAccnt],AU39,Journal[DrAmt])</f>
        <v>0</v>
      </c>
      <c r="BH39" s="42">
        <f>SUMIF(Journal[CrAccnt],AU39,Journal[CrAmt])</f>
        <v>0</v>
      </c>
      <c r="BI39" s="42"/>
    </row>
    <row r="40" spans="2:61" x14ac:dyDescent="0.2">
      <c r="B40" s="17" t="str">
        <v>Unearned Revenue</v>
      </c>
      <c r="C40" s="100">
        <f>IF(ISBLANK(B40),"",_xlfn.XLOOKUP(B40,BegBalSht[Account],BegBalSht[Amount]))</f>
        <v>0</v>
      </c>
      <c r="Q40" s="17" t="s">
        <v>490</v>
      </c>
      <c r="R40" s="102" cm="1">
        <f t="array" ref="R40">IFERROR(_xlfn.XLOOKUP("Cash",AJ35:AJ40,-AL35:AL40),0)</f>
        <v>0</v>
      </c>
      <c r="T40" s="17" t="str">
        <f t="shared" si="7"/>
        <v>Unearned Revenue</v>
      </c>
      <c r="U40" s="100">
        <f t="shared" si="8"/>
        <v>0</v>
      </c>
      <c r="W40">
        <f>SUMIF(Journal[DrAccnt],Financial_Statements_6!T40,Journal[DrAmt])</f>
        <v>0</v>
      </c>
      <c r="X40">
        <f>SUMIF(Journal[CrAccnt],Financial_Statements_6!T40,Journal[CrAmt])</f>
        <v>0</v>
      </c>
      <c r="Z40" s="110"/>
      <c r="AA40" s="31"/>
      <c r="AB40" s="31"/>
      <c r="AC40" s="31"/>
      <c r="AD40" s="31"/>
      <c r="AE40" s="31"/>
      <c r="AG40" s="111"/>
      <c r="AH40" s="112"/>
      <c r="AI40" s="112"/>
      <c r="AJ40" s="112"/>
      <c r="AK40" s="112"/>
      <c r="AL40" s="112"/>
      <c r="AN40" s="114"/>
      <c r="AO40" s="115"/>
      <c r="AP40" s="115"/>
      <c r="AQ40" s="115"/>
      <c r="AR40" s="115"/>
      <c r="AS40" s="115"/>
      <c r="AU40" s="129"/>
      <c r="AV40" s="140"/>
      <c r="AW40" s="140"/>
      <c r="AX40" s="141"/>
      <c r="AY40" s="142"/>
      <c r="AZ40" s="143"/>
      <c r="BA40" s="141"/>
      <c r="BB40" s="127"/>
      <c r="BC40" s="102"/>
      <c r="BD40" s="140"/>
      <c r="BE40" s="85"/>
      <c r="BF40" s="42"/>
      <c r="BG40" s="42"/>
      <c r="BH40" s="42"/>
      <c r="BI40" s="42"/>
    </row>
    <row r="41" spans="2:61" x14ac:dyDescent="0.2">
      <c r="B41" s="17" t="str">
        <v>Salaries &amp; Wages Payable</v>
      </c>
      <c r="C41" s="100">
        <f>IF(ISBLANK(B41),"",_xlfn.XLOOKUP(B41,BegBalSht[Account],BegBalSht[Amount]))</f>
        <v>0</v>
      </c>
      <c r="Q41" s="17" t="s">
        <v>491</v>
      </c>
      <c r="R41" s="102" cm="1">
        <f t="array" ref="R41">IFERROR(_xlfn.XLOOKUP("Cash",AJ83:AJ88,-AL83:AL88),0)</f>
        <v>0</v>
      </c>
      <c r="T41" s="17" t="str">
        <f t="shared" si="7"/>
        <v>Salaries &amp; Wages Payable</v>
      </c>
      <c r="U41" s="100">
        <f t="shared" si="8"/>
        <v>0</v>
      </c>
      <c r="W41">
        <f>SUMIF(Journal[DrAccnt],Financial_Statements_6!T41,Journal[DrAmt])</f>
        <v>0</v>
      </c>
      <c r="X41">
        <f>SUMIF(Journal[CrAccnt],Financial_Statements_6!T41,Journal[CrAmt])</f>
        <v>0</v>
      </c>
      <c r="AU41" s="129"/>
      <c r="AV41" s="140"/>
      <c r="AW41" s="140"/>
      <c r="AX41" s="141"/>
      <c r="AY41" s="142"/>
      <c r="AZ41" s="143"/>
      <c r="BA41" s="141"/>
      <c r="BB41" s="127"/>
      <c r="BC41" s="102"/>
      <c r="BD41" s="140"/>
      <c r="BE41" s="85"/>
      <c r="BF41" s="42"/>
      <c r="BG41" s="42"/>
      <c r="BH41" s="42"/>
      <c r="BI41" s="42"/>
    </row>
    <row r="42" spans="2:61" x14ac:dyDescent="0.2">
      <c r="B42" s="17"/>
      <c r="C42" s="100" t="str">
        <f>IF(ISBLANK(B42),"",_xlfn.XLOOKUP(B42,BegBalSht[Account],BegBalSht[Amount]))</f>
        <v/>
      </c>
      <c r="Q42" s="75" t="s">
        <v>423</v>
      </c>
      <c r="R42" s="47">
        <f>SUBTOTAL(9,R32:R41)</f>
        <v>0</v>
      </c>
      <c r="T42" s="17" t="str">
        <f t="shared" si="7"/>
        <v/>
      </c>
      <c r="U42" s="100">
        <f t="shared" si="8"/>
        <v>0</v>
      </c>
      <c r="W42">
        <f>SUMIF(Journal[DrAccnt],Financial_Statements_6!T42,Journal[DrAmt])</f>
        <v>0</v>
      </c>
      <c r="X42">
        <f>SUMIF(Journal[CrAccnt],Financial_Statements_6!T42,Journal[CrAmt])</f>
        <v>0</v>
      </c>
      <c r="Z42" s="5"/>
      <c r="AA42" s="5"/>
      <c r="AC42" s="4"/>
      <c r="AG42" s="5" t="s">
        <v>127</v>
      </c>
      <c r="AJ42" s="4" t="s">
        <v>126</v>
      </c>
      <c r="AN42" s="5" t="s">
        <v>465</v>
      </c>
      <c r="AO42" s="5"/>
      <c r="AQ42" s="4" t="s">
        <v>149</v>
      </c>
      <c r="AU42" s="129"/>
      <c r="AV42" s="140"/>
      <c r="AW42" s="140"/>
      <c r="AX42" s="141"/>
      <c r="AY42" s="142"/>
      <c r="AZ42" s="143"/>
      <c r="BA42" s="141"/>
      <c r="BB42" s="127"/>
      <c r="BC42" s="102"/>
      <c r="BD42" s="140"/>
      <c r="BE42" s="85"/>
      <c r="BF42" s="42"/>
      <c r="BG42" s="42"/>
      <c r="BH42" s="42"/>
      <c r="BI42" s="42"/>
    </row>
    <row r="43" spans="2:61" x14ac:dyDescent="0.2">
      <c r="B43" s="91"/>
      <c r="C43" s="101" t="str">
        <f>IF(ISBLANK(B43),"",_xlfn.XLOOKUP(B43,BegBalSht[Account],BegBalSht[Amount]))</f>
        <v/>
      </c>
      <c r="Q43" s="17"/>
      <c r="R43" s="18"/>
      <c r="T43" s="91" t="str">
        <f t="shared" si="7"/>
        <v/>
      </c>
      <c r="U43" s="101">
        <f t="shared" si="8"/>
        <v>0</v>
      </c>
      <c r="W43">
        <f>SUMIF(Journal[DrAccnt],Financial_Statements_6!T43,Journal[DrAmt])</f>
        <v>0</v>
      </c>
      <c r="X43">
        <f>SUMIF(Journal[CrAccnt],Financial_Statements_6!T43,Journal[CrAmt])</f>
        <v>0</v>
      </c>
      <c r="Z43" s="110"/>
      <c r="AA43" s="31"/>
      <c r="AB43" s="31"/>
      <c r="AC43" s="31"/>
      <c r="AD43" s="31"/>
      <c r="AE43" s="31"/>
      <c r="AG43" s="111" t="e" cm="1">
        <f t="array" aca="1" ref="AG43" ca="1">_xlfn._xlws.FILTER(Journal[ref]:Journal[CrAmt],Journal[ref2]=AJ42,"")</f>
        <v>#NAME?</v>
      </c>
      <c r="AH43" s="112"/>
      <c r="AI43" s="112"/>
      <c r="AJ43" s="112"/>
      <c r="AK43" s="112"/>
      <c r="AL43" s="112"/>
      <c r="AN43" s="114" t="e" cm="1">
        <f t="array" aca="1" ref="AN43" ca="1">_xlfn._xlws.FILTER(Journal[ref]:Journal[CrAmt],Journal[ref2]=AQ42,"")</f>
        <v>#NAME?</v>
      </c>
      <c r="AO43" s="115"/>
      <c r="AP43" s="115"/>
      <c r="AQ43" s="115"/>
      <c r="AR43" s="115"/>
      <c r="AS43" s="115"/>
      <c r="AU43" s="130" t="e">
        <f ca="1">_xlfn.XLOOKUP(12,AssetsMaster[Num],AssetsMaster[Name])</f>
        <v>#NAME?</v>
      </c>
      <c r="AV43" s="140">
        <f ca="1">IFERROR(_xlfn.XLOOKUP(AU43,BegBalSht[Account],BegBalSht[Amount]),0)</f>
        <v>0</v>
      </c>
      <c r="AW43" s="140"/>
      <c r="AX43" s="141" t="s">
        <v>128</v>
      </c>
      <c r="AY43" s="142">
        <f ca="1">IFERROR(_xlfn.XLOOKUP(AU43,$AI$51:$AI$64,$AK$51:$AK$64),0)</f>
        <v>0</v>
      </c>
      <c r="AZ43" s="143">
        <f ca="1">IFERROR(_xlfn.XLOOKUP(AU43,$AJ$67:$AJ$80,$AL$67:$AL$80),0)</f>
        <v>0</v>
      </c>
      <c r="BA43" s="141" t="s">
        <v>94</v>
      </c>
      <c r="BB43" s="127">
        <f ca="1">AV43+BG43-BH43</f>
        <v>0</v>
      </c>
      <c r="BC43" s="102"/>
      <c r="BD43" s="145">
        <f ca="1">MAX(BB43-AV43-SUM(AY43:AY46)+SUM(AZ43:AZ46),0)</f>
        <v>0</v>
      </c>
      <c r="BE43" s="146">
        <f ca="1">-MIN(BB43-AV43-SUM(AY43:AY46)+SUM(AZ43:AZ46),0)</f>
        <v>0</v>
      </c>
      <c r="BF43" s="42"/>
      <c r="BG43" s="42">
        <f ca="1">SUMIF(Journal[DrAccnt],AU43,Journal[DrAmt])</f>
        <v>0</v>
      </c>
      <c r="BH43" s="42">
        <f ca="1">SUMIF(Journal[CrAccnt],AU43,Journal[CrAmt])</f>
        <v>0</v>
      </c>
      <c r="BI43" s="42"/>
    </row>
    <row r="44" spans="2:61" x14ac:dyDescent="0.2">
      <c r="B44" s="54" t="s">
        <v>434</v>
      </c>
      <c r="C44" s="51">
        <f>SUBTOTAL(9,C34:C43)</f>
        <v>0</v>
      </c>
      <c r="Q44" s="19" t="s">
        <v>424</v>
      </c>
      <c r="R44" s="18"/>
      <c r="T44" s="54" t="s">
        <v>434</v>
      </c>
      <c r="U44" s="51">
        <f>SUBTOTAL(9,U34:U43)</f>
        <v>0</v>
      </c>
      <c r="Z44" s="110"/>
      <c r="AA44" s="31"/>
      <c r="AB44" s="31"/>
      <c r="AC44" s="31"/>
      <c r="AD44" s="31"/>
      <c r="AE44" s="31"/>
      <c r="AG44" s="111"/>
      <c r="AH44" s="112"/>
      <c r="AI44" s="112"/>
      <c r="AJ44" s="112"/>
      <c r="AK44" s="112"/>
      <c r="AL44" s="112"/>
      <c r="AN44" s="114"/>
      <c r="AO44" s="115"/>
      <c r="AP44" s="115"/>
      <c r="AQ44" s="115"/>
      <c r="AR44" s="115"/>
      <c r="AS44" s="115"/>
      <c r="AU44" s="129"/>
      <c r="AV44" s="140"/>
      <c r="AW44" s="140"/>
      <c r="AX44" s="141"/>
      <c r="AY44" s="142"/>
      <c r="AZ44" s="143"/>
      <c r="BA44" s="141"/>
      <c r="BB44" s="127"/>
      <c r="BC44" s="102"/>
      <c r="BD44" s="140"/>
      <c r="BE44" s="85"/>
      <c r="BF44" s="42"/>
      <c r="BG44" s="42"/>
      <c r="BH44" s="42"/>
      <c r="BI44" s="42"/>
    </row>
    <row r="45" spans="2:61" x14ac:dyDescent="0.2">
      <c r="B45" s="55" t="s">
        <v>435</v>
      </c>
      <c r="C45" s="18"/>
      <c r="Q45" s="17" t="s">
        <v>454</v>
      </c>
      <c r="R45" s="82">
        <f>IFERROR(_xlfn.XLOOKUP("Cash",AB3:AB8,AD3:AD8),0)</f>
        <v>0</v>
      </c>
      <c r="T45" s="55" t="s">
        <v>435</v>
      </c>
      <c r="U45" s="18"/>
      <c r="Z45" s="110"/>
      <c r="AA45" s="31"/>
      <c r="AB45" s="31"/>
      <c r="AC45" s="31"/>
      <c r="AD45" s="31"/>
      <c r="AE45" s="31"/>
      <c r="AG45" s="111"/>
      <c r="AH45" s="112"/>
      <c r="AI45" s="112"/>
      <c r="AJ45" s="112"/>
      <c r="AK45" s="112"/>
      <c r="AL45" s="112"/>
      <c r="AN45" s="114"/>
      <c r="AO45" s="115"/>
      <c r="AP45" s="115"/>
      <c r="AQ45" s="115"/>
      <c r="AR45" s="115"/>
      <c r="AS45" s="115"/>
      <c r="AU45" s="129"/>
      <c r="AV45" s="140"/>
      <c r="AW45" s="140"/>
      <c r="AX45" s="141"/>
      <c r="AY45" s="142"/>
      <c r="AZ45" s="143"/>
      <c r="BA45" s="141"/>
      <c r="BB45" s="127"/>
      <c r="BC45" s="102"/>
      <c r="BD45" s="140"/>
      <c r="BE45" s="85"/>
      <c r="BF45" s="42"/>
      <c r="BG45" s="42"/>
      <c r="BH45" s="42"/>
      <c r="BI45" s="42"/>
    </row>
    <row r="46" spans="2:61" x14ac:dyDescent="0.2">
      <c r="B46" s="17" t="str" cm="1">
        <f t="array" ref="B46:B49">_xlfn._xlws.FILTER(Liability[Name],Liability[C/NC]="NC")</f>
        <v>Bonds Payable</v>
      </c>
      <c r="C46" s="99">
        <f>IF(ISBLANK(B46),"",_xlfn.XLOOKUP(B46,BegBalSht[Account],BegBalSht[Amount]))</f>
        <v>0</v>
      </c>
      <c r="Q46" s="17" t="s">
        <v>451</v>
      </c>
      <c r="R46" s="62">
        <f>IFERROR(_xlfn.XLOOKUP("Cash",AB11:AB16,AD11:AD16),0)</f>
        <v>0</v>
      </c>
      <c r="T46" s="17" t="str">
        <f t="shared" ref="T46:T55" si="9">IF(ISBLANK(B46),"",B46)</f>
        <v>Bonds Payable</v>
      </c>
      <c r="U46" s="99">
        <f t="shared" ref="U46:U55" si="10">IFERROR(C46+X46-W46,0)</f>
        <v>0</v>
      </c>
      <c r="W46">
        <f>SUMIF(Journal[DrAccnt],Financial_Statements_6!T46,Journal[DrAmt])</f>
        <v>0</v>
      </c>
      <c r="X46">
        <f>SUMIF(Journal[CrAccnt],Financial_Statements_6!T46,Journal[CrAmt])</f>
        <v>0</v>
      </c>
      <c r="Z46" s="110"/>
      <c r="AA46" s="31"/>
      <c r="AB46" s="31"/>
      <c r="AC46" s="31"/>
      <c r="AD46" s="31"/>
      <c r="AE46" s="31"/>
      <c r="AG46" s="111"/>
      <c r="AH46" s="112"/>
      <c r="AI46" s="112"/>
      <c r="AJ46" s="112"/>
      <c r="AK46" s="112"/>
      <c r="AL46" s="112"/>
      <c r="AN46" s="114"/>
      <c r="AO46" s="115"/>
      <c r="AP46" s="115"/>
      <c r="AQ46" s="115"/>
      <c r="AR46" s="115"/>
      <c r="AS46" s="115"/>
      <c r="AU46" s="129"/>
      <c r="AV46" s="140"/>
      <c r="AW46" s="140"/>
      <c r="AX46" s="141"/>
      <c r="AY46" s="142"/>
      <c r="AZ46" s="143"/>
      <c r="BA46" s="141"/>
      <c r="BB46" s="127"/>
      <c r="BC46" s="102"/>
      <c r="BD46" s="140"/>
      <c r="BE46" s="85"/>
      <c r="BF46" s="42"/>
      <c r="BG46" s="42"/>
      <c r="BH46" s="42"/>
      <c r="BI46" s="42"/>
    </row>
    <row r="47" spans="2:61" x14ac:dyDescent="0.2">
      <c r="B47" s="17" t="str">
        <v>Notes Payable</v>
      </c>
      <c r="C47" s="100">
        <f>IF(ISBLANK(B47),"",_xlfn.XLOOKUP(B47,BegBalSht[Account],BegBalSht[Amount]))</f>
        <v>0</v>
      </c>
      <c r="Q47" s="17" t="s">
        <v>492</v>
      </c>
      <c r="R47" s="62">
        <f>IFERROR(_xlfn.XLOOKUP("Cash",AB19:AB24,AE19:AE24),0)</f>
        <v>0</v>
      </c>
      <c r="T47" s="17" t="str">
        <f t="shared" si="9"/>
        <v>Notes Payable</v>
      </c>
      <c r="U47" s="100">
        <f t="shared" si="10"/>
        <v>0</v>
      </c>
      <c r="W47">
        <f>SUMIF(Journal[DrAccnt],Financial_Statements_6!T47,Journal[DrAmt])</f>
        <v>0</v>
      </c>
      <c r="X47">
        <f>SUMIF(Journal[CrAccnt],Financial_Statements_6!T47,Journal[CrAmt])</f>
        <v>0</v>
      </c>
      <c r="Z47" s="110"/>
      <c r="AA47" s="31"/>
      <c r="AB47" s="31"/>
      <c r="AC47" s="31"/>
      <c r="AD47" s="31"/>
      <c r="AE47" s="31"/>
      <c r="AG47" s="111"/>
      <c r="AH47" s="112"/>
      <c r="AI47" s="112"/>
      <c r="AJ47" s="112"/>
      <c r="AK47" s="112"/>
      <c r="AL47" s="112"/>
      <c r="AN47" s="114"/>
      <c r="AO47" s="115"/>
      <c r="AP47" s="115"/>
      <c r="AQ47" s="115"/>
      <c r="AR47" s="115"/>
      <c r="AS47" s="115"/>
      <c r="AU47" s="130" t="str">
        <f>_xlfn.XLOOKUP(13,AssetsMaster[Num],AssetsMaster[Name])</f>
        <v>Other Noncurrent Assets</v>
      </c>
      <c r="AV47" s="140">
        <f>IFERROR(_xlfn.XLOOKUP(AU47,BegBalSht[Account],BegBalSht[Amount]),0)</f>
        <v>0</v>
      </c>
      <c r="AW47" s="140"/>
      <c r="AX47" s="141" t="s">
        <v>128</v>
      </c>
      <c r="AY47" s="142">
        <f>IFERROR(_xlfn.XLOOKUP(AU47,$AI$51:$AI$64,$AK$51:$AK$64),0)</f>
        <v>0</v>
      </c>
      <c r="AZ47" s="143">
        <f>IFERROR(_xlfn.XLOOKUP(AU47,$AJ$67:$AJ$80,$AL$67:$AL$80),0)</f>
        <v>0</v>
      </c>
      <c r="BA47" s="141" t="s">
        <v>94</v>
      </c>
      <c r="BB47" s="127">
        <f>AV47+BG47-BH47</f>
        <v>0</v>
      </c>
      <c r="BC47" s="102"/>
      <c r="BD47" s="145">
        <f>MAX(BB47-AV47-SUM(AY47:AY50)+SUM(AZ47:AZ50),0)</f>
        <v>0</v>
      </c>
      <c r="BE47" s="146">
        <f>-MIN(BB47-AV47-SUM(AY47:AY50)+SUM(AZ47:AZ50),0)</f>
        <v>0</v>
      </c>
      <c r="BF47" s="42"/>
      <c r="BG47" s="42">
        <f>SUMIF(Journal[DrAccnt],AU47,Journal[DrAmt])</f>
        <v>0</v>
      </c>
      <c r="BH47" s="42">
        <f>SUMIF(Journal[CrAccnt],AU47,Journal[CrAmt])</f>
        <v>0</v>
      </c>
      <c r="BI47" s="42"/>
    </row>
    <row r="48" spans="2:61" x14ac:dyDescent="0.2">
      <c r="B48" s="17" t="str">
        <v>Senior Debt</v>
      </c>
      <c r="C48" s="100">
        <f>IF(ISBLANK(B48),"",_xlfn.XLOOKUP(B48,BegBalSht[Account],BegBalSht[Amount]))</f>
        <v>0</v>
      </c>
      <c r="Q48" s="17" t="s">
        <v>493</v>
      </c>
      <c r="R48" s="62">
        <f>IFERROR(_xlfn.XLOOKUP("Cash",AB27:AB32,AD27:AD32),0)</f>
        <v>0</v>
      </c>
      <c r="T48" s="17" t="str">
        <f t="shared" si="9"/>
        <v>Senior Debt</v>
      </c>
      <c r="U48" s="100">
        <f t="shared" si="10"/>
        <v>0</v>
      </c>
      <c r="W48">
        <f>SUMIF(Journal[DrAccnt],Financial_Statements_6!T48,Journal[DrAmt])</f>
        <v>0</v>
      </c>
      <c r="X48">
        <f>SUMIF(Journal[CrAccnt],Financial_Statements_6!T48,Journal[CrAmt])</f>
        <v>0</v>
      </c>
      <c r="Z48" s="110"/>
      <c r="AA48" s="31"/>
      <c r="AB48" s="31"/>
      <c r="AC48" s="31"/>
      <c r="AD48" s="31"/>
      <c r="AE48" s="31"/>
      <c r="AG48" s="111"/>
      <c r="AH48" s="112"/>
      <c r="AI48" s="112"/>
      <c r="AJ48" s="112"/>
      <c r="AK48" s="112"/>
      <c r="AL48" s="112"/>
      <c r="AN48" s="114"/>
      <c r="AO48" s="115"/>
      <c r="AP48" s="115"/>
      <c r="AQ48" s="115"/>
      <c r="AR48" s="115"/>
      <c r="AS48" s="115"/>
      <c r="AU48" s="129"/>
      <c r="AV48" s="140"/>
      <c r="AW48" s="140"/>
      <c r="AX48" s="141"/>
      <c r="AY48" s="142"/>
      <c r="AZ48" s="143"/>
      <c r="BA48" s="141"/>
      <c r="BB48" s="127"/>
      <c r="BC48" s="102"/>
      <c r="BD48" s="140"/>
      <c r="BE48" s="85"/>
      <c r="BF48" s="42"/>
      <c r="BG48" s="42"/>
      <c r="BH48" s="42"/>
      <c r="BI48" s="42"/>
    </row>
    <row r="49" spans="1:61" x14ac:dyDescent="0.2">
      <c r="B49" s="17" t="str">
        <v>Subordinated Debt</v>
      </c>
      <c r="C49" s="100">
        <f>IF(ISBLANK(B49),"",_xlfn.XLOOKUP(B49,BegBalSht[Account],BegBalSht[Amount]))</f>
        <v>0</v>
      </c>
      <c r="Q49" s="17" t="s">
        <v>494</v>
      </c>
      <c r="R49" s="62">
        <f>IFERROR(_xlfn.XLOOKUP("Cash",AB35:AB40,AD35:AD40),0)</f>
        <v>0</v>
      </c>
      <c r="T49" s="17" t="str">
        <f t="shared" si="9"/>
        <v>Subordinated Debt</v>
      </c>
      <c r="U49" s="100">
        <f t="shared" si="10"/>
        <v>0</v>
      </c>
      <c r="W49">
        <f>SUMIF(Journal[DrAccnt],Financial_Statements_6!T49,Journal[DrAmt])</f>
        <v>0</v>
      </c>
      <c r="X49">
        <f>SUMIF(Journal[CrAccnt],Financial_Statements_6!T49,Journal[CrAmt])</f>
        <v>0</v>
      </c>
      <c r="AU49" s="129"/>
      <c r="AV49" s="140"/>
      <c r="AW49" s="140"/>
      <c r="AX49" s="141"/>
      <c r="AY49" s="142"/>
      <c r="AZ49" s="143"/>
      <c r="BA49" s="141"/>
      <c r="BB49" s="127"/>
      <c r="BC49" s="102"/>
      <c r="BD49" s="140"/>
      <c r="BE49" s="85"/>
      <c r="BF49" s="42"/>
      <c r="BG49" s="42"/>
      <c r="BH49" s="42"/>
      <c r="BI49" s="42"/>
    </row>
    <row r="50" spans="1:61" x14ac:dyDescent="0.2">
      <c r="B50" s="17"/>
      <c r="C50" s="100" t="str">
        <f>IF(ISBLANK(B50),"",_xlfn.XLOOKUP(B50,BegBalSht[Account],BegBalSht[Amount]))</f>
        <v/>
      </c>
      <c r="Q50" s="17" t="s">
        <v>495</v>
      </c>
      <c r="R50" s="62">
        <f>IFERROR(_xlfn.XLOOKUP("Cash",AB75:AB80,AD75:AD80),0)</f>
        <v>0</v>
      </c>
      <c r="T50" s="17" t="str">
        <f t="shared" si="9"/>
        <v/>
      </c>
      <c r="U50" s="100">
        <f t="shared" si="10"/>
        <v>0</v>
      </c>
      <c r="W50">
        <f>SUMIF(Journal[DrAccnt],Financial_Statements_6!T50,Journal[DrAmt])</f>
        <v>0</v>
      </c>
      <c r="X50">
        <f>SUMIF(Journal[CrAccnt],Financial_Statements_6!T50,Journal[CrAmt])</f>
        <v>0</v>
      </c>
      <c r="Z50" s="5" t="s">
        <v>466</v>
      </c>
      <c r="AC50" s="4" t="s">
        <v>108</v>
      </c>
      <c r="AG50" s="5" t="s">
        <v>499</v>
      </c>
      <c r="AJ50" s="4" t="s">
        <v>128</v>
      </c>
      <c r="AN50" s="5" t="s">
        <v>467</v>
      </c>
      <c r="AO50" s="5"/>
      <c r="AQ50" s="4" t="s">
        <v>151</v>
      </c>
      <c r="AU50" s="129"/>
      <c r="AV50" s="140"/>
      <c r="AW50" s="140"/>
      <c r="AX50" s="141"/>
      <c r="AY50" s="142"/>
      <c r="AZ50" s="143"/>
      <c r="BA50" s="141"/>
      <c r="BB50" s="127"/>
      <c r="BC50" s="102"/>
      <c r="BD50" s="140"/>
      <c r="BE50" s="85"/>
      <c r="BF50" s="42"/>
      <c r="BG50" s="42"/>
      <c r="BH50" s="42"/>
      <c r="BI50" s="42"/>
    </row>
    <row r="51" spans="1:61" x14ac:dyDescent="0.2">
      <c r="B51" s="17"/>
      <c r="C51" s="100" t="str">
        <f>IF(ISBLANK(B51),"",_xlfn.XLOOKUP(B51,BegBalSht[Account],BegBalSht[Amount]))</f>
        <v/>
      </c>
      <c r="Q51" s="17" t="s">
        <v>496</v>
      </c>
      <c r="R51" s="62" cm="1">
        <f t="array" ref="R51">IFERROR(_xlfn.XLOOKUP("Cash",AC51:AC56,-AE51:AE56),0)</f>
        <v>0</v>
      </c>
      <c r="T51" s="17" t="str">
        <f t="shared" si="9"/>
        <v/>
      </c>
      <c r="U51" s="100">
        <f t="shared" si="10"/>
        <v>0</v>
      </c>
      <c r="W51">
        <f>SUMIF(Journal[DrAccnt],Financial_Statements_6!T51,Journal[DrAmt])</f>
        <v>0</v>
      </c>
      <c r="X51">
        <f>SUMIF(Journal[CrAccnt],Financial_Statements_6!T51,Journal[CrAmt])</f>
        <v>0</v>
      </c>
      <c r="Z51" s="110" t="e" cm="1">
        <f t="array" aca="1" ref="Z51" ca="1">_xlfn._xlws.FILTER(Journal[ref]:Journal[CrAmt],Journal[ref2]=AC50,"")</f>
        <v>#NAME?</v>
      </c>
      <c r="AA51" s="31"/>
      <c r="AB51" s="31"/>
      <c r="AC51" s="31"/>
      <c r="AD51" s="31"/>
      <c r="AE51" s="31"/>
      <c r="AG51" s="111" t="e" cm="1">
        <f t="array" aca="1" ref="AG51" ca="1">_xlfn._xlws.FILTER(Journal[ref]:Journal[CrAmt],Journal[ref2]=AJ50,"")</f>
        <v>#NAME?</v>
      </c>
      <c r="AH51" s="112"/>
      <c r="AI51" s="112"/>
      <c r="AJ51" s="112"/>
      <c r="AK51" s="112"/>
      <c r="AL51" s="112"/>
      <c r="AN51" s="114" t="e" cm="1">
        <f t="array" aca="1" ref="AN51" ca="1">_xlfn._xlws.FILTER(Journal[ref]:Journal[CrAmt],Journal[ref2]=AQ50,"")</f>
        <v>#NAME?</v>
      </c>
      <c r="AO51" s="115"/>
      <c r="AP51" s="115"/>
      <c r="AQ51" s="115"/>
      <c r="AR51" s="115"/>
      <c r="AS51" s="115"/>
      <c r="AU51" s="130" t="e">
        <f ca="1">_xlfn.XLOOKUP(14,AssetsMaster[Num],AssetsMaster[Name])</f>
        <v>#NAME?</v>
      </c>
      <c r="AV51" s="140">
        <f ca="1">IFERROR(_xlfn.XLOOKUP(AU51,BegBalSht[Account],BegBalSht[Amount]),0)</f>
        <v>0</v>
      </c>
      <c r="AW51" s="140"/>
      <c r="AX51" s="141" t="s">
        <v>128</v>
      </c>
      <c r="AY51" s="142">
        <f ca="1">IFERROR(_xlfn.XLOOKUP(AU51,$AI$51:$AI$64,$AK$51:$AK$64),0)</f>
        <v>0</v>
      </c>
      <c r="AZ51" s="143">
        <f ca="1">IFERROR(_xlfn.XLOOKUP(AU51,$AJ$67:$AJ$80,$AL$67:$AL$80),0)</f>
        <v>0</v>
      </c>
      <c r="BA51" s="141" t="s">
        <v>94</v>
      </c>
      <c r="BB51" s="127">
        <f ca="1">AV51+BG51-BH51</f>
        <v>0</v>
      </c>
      <c r="BC51" s="102"/>
      <c r="BD51" s="145">
        <f ca="1">MAX(BB51-AV51-SUM(AY51:AY54)+SUM(AZ51:AZ54),0)</f>
        <v>0</v>
      </c>
      <c r="BE51" s="146">
        <f ca="1">-MIN(BB51-AV51-SUM(AY51:AY54)+SUM(AZ51:AZ54),0)</f>
        <v>0</v>
      </c>
      <c r="BF51" s="42"/>
      <c r="BG51" s="42">
        <f ca="1">SUMIF(Journal[DrAccnt],AU51,Journal[DrAmt])</f>
        <v>0</v>
      </c>
      <c r="BH51" s="42">
        <f ca="1">SUMIF(Journal[CrAccnt],AU51,Journal[CrAmt])</f>
        <v>0</v>
      </c>
      <c r="BI51" s="42"/>
    </row>
    <row r="52" spans="1:61" x14ac:dyDescent="0.2">
      <c r="B52" s="17"/>
      <c r="C52" s="100" t="str">
        <f>IF(ISBLANK(B52),"",_xlfn.XLOOKUP(B52,BegBalSht[Account],BegBalSht[Amount]))</f>
        <v/>
      </c>
      <c r="Q52" s="17" t="s">
        <v>497</v>
      </c>
      <c r="R52" s="62" cm="1">
        <f t="array" ref="R52">IFERROR(_xlfn.XLOOKUP("Cash",AC59:AC64,-AE59:AE64),0)</f>
        <v>0</v>
      </c>
      <c r="T52" s="17" t="str">
        <f t="shared" si="9"/>
        <v/>
      </c>
      <c r="U52" s="100">
        <f t="shared" si="10"/>
        <v>0</v>
      </c>
      <c r="W52">
        <f>SUMIF(Journal[DrAccnt],Financial_Statements_6!T52,Journal[DrAmt])</f>
        <v>0</v>
      </c>
      <c r="X52">
        <f>SUMIF(Journal[CrAccnt],Financial_Statements_6!T52,Journal[CrAmt])</f>
        <v>0</v>
      </c>
      <c r="Z52" s="110"/>
      <c r="AA52" s="31"/>
      <c r="AB52" s="31"/>
      <c r="AC52" s="31"/>
      <c r="AD52" s="31"/>
      <c r="AE52" s="31"/>
      <c r="AG52" s="111"/>
      <c r="AH52" s="112"/>
      <c r="AI52" s="112"/>
      <c r="AJ52" s="112"/>
      <c r="AK52" s="112"/>
      <c r="AL52" s="112"/>
      <c r="AN52" s="114"/>
      <c r="AO52" s="115"/>
      <c r="AP52" s="115"/>
      <c r="AQ52" s="115"/>
      <c r="AR52" s="115"/>
      <c r="AS52" s="115"/>
      <c r="AU52" s="129"/>
      <c r="AV52" s="140"/>
      <c r="AW52" s="140"/>
      <c r="AX52" s="141"/>
      <c r="AY52" s="142"/>
      <c r="AZ52" s="143"/>
      <c r="BA52" s="141"/>
      <c r="BB52" s="127"/>
      <c r="BC52" s="102"/>
      <c r="BD52" s="140"/>
      <c r="BE52" s="85"/>
      <c r="BF52" s="42"/>
      <c r="BG52" s="42"/>
      <c r="BH52" s="42"/>
      <c r="BI52" s="42"/>
    </row>
    <row r="53" spans="1:61" x14ac:dyDescent="0.2">
      <c r="B53" s="17"/>
      <c r="C53" s="100" t="str">
        <f>IF(ISBLANK(B53),"",_xlfn.XLOOKUP(B53,BegBalSht[Account],BegBalSht[Amount]))</f>
        <v/>
      </c>
      <c r="Q53" s="17" t="s">
        <v>457</v>
      </c>
      <c r="R53" s="62" cm="1">
        <f t="array" ref="R53">IFERROR(_xlfn.XLOOKUP("Cash",AC67:AC72,-AE67:AE72),0)</f>
        <v>0</v>
      </c>
      <c r="T53" s="17" t="str">
        <f t="shared" si="9"/>
        <v/>
      </c>
      <c r="U53" s="100">
        <f t="shared" si="10"/>
        <v>0</v>
      </c>
      <c r="W53">
        <f>SUMIF(Journal[DrAccnt],Financial_Statements_6!T53,Journal[DrAmt])</f>
        <v>0</v>
      </c>
      <c r="X53">
        <f>SUMIF(Journal[CrAccnt],Financial_Statements_6!T53,Journal[CrAmt])</f>
        <v>0</v>
      </c>
      <c r="Z53" s="110"/>
      <c r="AA53" s="31"/>
      <c r="AB53" s="31"/>
      <c r="AC53" s="31"/>
      <c r="AD53" s="31"/>
      <c r="AE53" s="31"/>
      <c r="AG53" s="111"/>
      <c r="AH53" s="112"/>
      <c r="AI53" s="112"/>
      <c r="AJ53" s="112"/>
      <c r="AK53" s="112"/>
      <c r="AL53" s="112"/>
      <c r="AN53" s="114"/>
      <c r="AO53" s="115"/>
      <c r="AP53" s="115"/>
      <c r="AQ53" s="115"/>
      <c r="AR53" s="115"/>
      <c r="AS53" s="115"/>
      <c r="AU53" s="129"/>
      <c r="AV53" s="140"/>
      <c r="AW53" s="140"/>
      <c r="AX53" s="141"/>
      <c r="AY53" s="142"/>
      <c r="AZ53" s="143"/>
      <c r="BA53" s="141"/>
      <c r="BB53" s="127"/>
      <c r="BC53" s="102"/>
      <c r="BD53" s="140"/>
      <c r="BE53" s="85"/>
      <c r="BF53" s="42"/>
      <c r="BG53" s="42"/>
      <c r="BH53" s="42"/>
      <c r="BI53" s="42"/>
    </row>
    <row r="54" spans="1:61" x14ac:dyDescent="0.2">
      <c r="B54" s="17"/>
      <c r="C54" s="100" t="str">
        <f>IF(ISBLANK(B54),"",_xlfn.XLOOKUP(B54,BegBalSht[Account],BegBalSht[Amount]))</f>
        <v/>
      </c>
      <c r="Q54" s="75" t="s">
        <v>431</v>
      </c>
      <c r="R54" s="47">
        <f>SUBTOTAL(9,R45:R53)</f>
        <v>0</v>
      </c>
      <c r="T54" s="17" t="str">
        <f t="shared" si="9"/>
        <v/>
      </c>
      <c r="U54" s="100">
        <f t="shared" si="10"/>
        <v>0</v>
      </c>
      <c r="W54">
        <f>SUMIF(Journal[DrAccnt],Financial_Statements_6!T54,Journal[DrAmt])</f>
        <v>0</v>
      </c>
      <c r="X54">
        <f>SUMIF(Journal[CrAccnt],Financial_Statements_6!T54,Journal[CrAmt])</f>
        <v>0</v>
      </c>
      <c r="Z54" s="110"/>
      <c r="AA54" s="31"/>
      <c r="AB54" s="31"/>
      <c r="AC54" s="31"/>
      <c r="AD54" s="31"/>
      <c r="AE54" s="31"/>
      <c r="AG54" s="111"/>
      <c r="AH54" s="112"/>
      <c r="AI54" s="112"/>
      <c r="AJ54" s="112"/>
      <c r="AK54" s="112"/>
      <c r="AL54" s="112"/>
      <c r="AN54" s="114"/>
      <c r="AO54" s="115"/>
      <c r="AP54" s="115"/>
      <c r="AQ54" s="115"/>
      <c r="AR54" s="115"/>
      <c r="AS54" s="115"/>
      <c r="AU54" s="129"/>
      <c r="AV54" s="140"/>
      <c r="AW54" s="140"/>
      <c r="AX54" s="141"/>
      <c r="AY54" s="142"/>
      <c r="AZ54" s="143"/>
      <c r="BA54" s="141"/>
      <c r="BB54" s="127"/>
      <c r="BC54" s="102"/>
      <c r="BD54" s="140"/>
      <c r="BE54" s="85"/>
      <c r="BF54" s="42"/>
      <c r="BG54" s="42"/>
      <c r="BH54" s="42"/>
      <c r="BI54" s="42"/>
    </row>
    <row r="55" spans="1:61" x14ac:dyDescent="0.2">
      <c r="B55" s="91"/>
      <c r="C55" s="101" t="str">
        <f>IF(ISBLANK(B55),"",_xlfn.XLOOKUP(B55,BegBalSht[Account],BegBalSht[Amount]))</f>
        <v/>
      </c>
      <c r="Q55" s="75"/>
      <c r="R55" s="18"/>
      <c r="T55" s="91" t="str">
        <f t="shared" si="9"/>
        <v/>
      </c>
      <c r="U55" s="101">
        <f t="shared" si="10"/>
        <v>0</v>
      </c>
      <c r="W55">
        <f>SUMIF(Journal[DrAccnt],Financial_Statements_6!T55,Journal[DrAmt])</f>
        <v>0</v>
      </c>
      <c r="X55">
        <f>SUMIF(Journal[CrAccnt],Financial_Statements_6!T55,Journal[CrAmt])</f>
        <v>0</v>
      </c>
      <c r="Z55" s="110"/>
      <c r="AA55" s="31"/>
      <c r="AB55" s="31"/>
      <c r="AC55" s="31"/>
      <c r="AD55" s="31"/>
      <c r="AE55" s="31"/>
      <c r="AG55" s="111"/>
      <c r="AH55" s="112"/>
      <c r="AI55" s="112"/>
      <c r="AJ55" s="112"/>
      <c r="AK55" s="112"/>
      <c r="AL55" s="112"/>
      <c r="AN55" s="114"/>
      <c r="AO55" s="115"/>
      <c r="AP55" s="115"/>
      <c r="AQ55" s="115"/>
      <c r="AR55" s="115"/>
      <c r="AS55" s="115"/>
      <c r="AU55" s="130" t="str">
        <f>_xlfn.XLOOKUP(1,LiabilitiesMaster[Num],LiabilitiesMaster[Name])</f>
        <v>Accounts Payable</v>
      </c>
      <c r="AV55" s="140"/>
      <c r="AW55" s="140">
        <f>IFERROR(_xlfn.XLOOKUP(AU55,BegBalSht[Account],BegBalSht[Amount]),0)</f>
        <v>0</v>
      </c>
      <c r="AX55" s="141" t="s">
        <v>94</v>
      </c>
      <c r="AY55" s="142">
        <f>IFERROR(_xlfn.XLOOKUP(AU55,$AI$67:$AI$80,$AK$67:$AK$80),0)</f>
        <v>0</v>
      </c>
      <c r="AZ55" s="143">
        <f>IFERROR(_xlfn.XLOOKUP(AU55,$AJ$51:$AJ$64,$AL$51:$AL$64),0)</f>
        <v>0</v>
      </c>
      <c r="BA55" s="141" t="s">
        <v>128</v>
      </c>
      <c r="BB55" s="127"/>
      <c r="BC55" s="102">
        <f>AW55-BG55+BH55</f>
        <v>0</v>
      </c>
      <c r="BD55" s="145">
        <f>-MIN(BC55-AW55-SUM(AZ55:AZ58)+SUM(AY55:AY58),0)</f>
        <v>0</v>
      </c>
      <c r="BE55" s="146">
        <f>MAX(BC55-AW55-SUM(AZ55:AZ58)+SUM(AY55:AY58),0)</f>
        <v>0</v>
      </c>
      <c r="BF55" s="42"/>
      <c r="BG55" s="42">
        <f>SUMIF(Journal[DrAccnt],AU55,Journal[DrAmt])</f>
        <v>0</v>
      </c>
      <c r="BH55" s="42">
        <f>SUMIF(Journal[CrAccnt],AU55,Journal[CrAmt])</f>
        <v>0</v>
      </c>
      <c r="BI55" s="42"/>
    </row>
    <row r="56" spans="1:61" x14ac:dyDescent="0.2">
      <c r="B56" s="53" t="s">
        <v>440</v>
      </c>
      <c r="C56" s="49">
        <f>SUBTOTAL(9,C46:C55)</f>
        <v>0</v>
      </c>
      <c r="Q56" s="17" t="s">
        <v>437</v>
      </c>
      <c r="R56" s="80">
        <f ca="1">SUBTOTAL(9,R8:R55)</f>
        <v>0</v>
      </c>
      <c r="T56" s="53" t="s">
        <v>440</v>
      </c>
      <c r="U56" s="49">
        <f>SUBTOTAL(9,U46:U55)</f>
        <v>0</v>
      </c>
      <c r="Z56" s="110"/>
      <c r="AA56" s="31"/>
      <c r="AB56" s="31"/>
      <c r="AC56" s="31"/>
      <c r="AD56" s="31"/>
      <c r="AE56" s="31"/>
      <c r="AG56" s="111"/>
      <c r="AH56" s="112"/>
      <c r="AI56" s="112"/>
      <c r="AJ56" s="112"/>
      <c r="AK56" s="112"/>
      <c r="AL56" s="112"/>
      <c r="AN56" s="114"/>
      <c r="AO56" s="115"/>
      <c r="AP56" s="115"/>
      <c r="AQ56" s="115"/>
      <c r="AR56" s="115"/>
      <c r="AS56" s="115"/>
      <c r="AU56" s="129"/>
      <c r="AV56" s="140"/>
      <c r="AW56" s="140"/>
      <c r="AX56" s="141"/>
      <c r="AY56" s="142"/>
      <c r="AZ56" s="143"/>
      <c r="BA56" s="141"/>
      <c r="BB56" s="127"/>
      <c r="BC56" s="102"/>
      <c r="BD56" s="140"/>
      <c r="BE56" s="85"/>
      <c r="BF56" s="42"/>
      <c r="BG56" s="42"/>
      <c r="BH56" s="42"/>
      <c r="BI56" s="42"/>
    </row>
    <row r="57" spans="1:61" x14ac:dyDescent="0.2">
      <c r="B57" s="56" t="s">
        <v>297</v>
      </c>
      <c r="C57" s="49">
        <f>SUBTOTAL(9,C34:C56)</f>
        <v>0</v>
      </c>
      <c r="Q57" s="17" t="str">
        <f>"Cash @ "&amp;BegDate</f>
        <v xml:space="preserve">Cash @ </v>
      </c>
      <c r="R57" s="62">
        <f>_xlfn.XLOOKUP("Cash",B8:B17,C8:C17,0)</f>
        <v>0</v>
      </c>
      <c r="T57" s="56" t="s">
        <v>297</v>
      </c>
      <c r="U57" s="49">
        <f>SUBTOTAL(9,U34:U56)</f>
        <v>0</v>
      </c>
      <c r="AG57" s="111"/>
      <c r="AH57" s="112"/>
      <c r="AI57" s="112"/>
      <c r="AJ57" s="112"/>
      <c r="AK57" s="112"/>
      <c r="AL57" s="112"/>
      <c r="AU57" s="129"/>
      <c r="AV57" s="140"/>
      <c r="AW57" s="140"/>
      <c r="AX57" s="141"/>
      <c r="AY57" s="142"/>
      <c r="AZ57" s="143"/>
      <c r="BA57" s="141"/>
      <c r="BB57" s="127"/>
      <c r="BC57" s="102"/>
      <c r="BD57" s="140"/>
      <c r="BE57" s="85"/>
      <c r="BF57" s="42"/>
      <c r="BG57" s="42"/>
      <c r="BH57" s="42"/>
      <c r="BI57" s="42"/>
    </row>
    <row r="58" spans="1:61" ht="16" thickBot="1" x14ac:dyDescent="0.25">
      <c r="B58" s="57" t="s">
        <v>365</v>
      </c>
      <c r="C58" s="29"/>
      <c r="Q58" s="17" t="str">
        <f>"Cash @ "&amp;EndDate</f>
        <v xml:space="preserve">Cash @ </v>
      </c>
      <c r="R58" s="79">
        <f ca="1">SUM(R56:R57)</f>
        <v>0</v>
      </c>
      <c r="T58" s="57" t="s">
        <v>365</v>
      </c>
      <c r="U58" s="29"/>
      <c r="Z58" s="5" t="s">
        <v>468</v>
      </c>
      <c r="AC58" s="4" t="s">
        <v>110</v>
      </c>
      <c r="AG58" s="111"/>
      <c r="AH58" s="112"/>
      <c r="AI58" s="112"/>
      <c r="AJ58" s="112"/>
      <c r="AK58" s="112"/>
      <c r="AL58" s="112"/>
      <c r="AN58" s="5" t="s">
        <v>469</v>
      </c>
      <c r="AO58" s="5"/>
      <c r="AQ58" s="4" t="s">
        <v>139</v>
      </c>
      <c r="AU58" s="129"/>
      <c r="AV58" s="140"/>
      <c r="AW58" s="140"/>
      <c r="AX58" s="141"/>
      <c r="AY58" s="142"/>
      <c r="AZ58" s="143"/>
      <c r="BA58" s="141"/>
      <c r="BB58" s="127"/>
      <c r="BC58" s="102"/>
      <c r="BD58" s="140"/>
      <c r="BE58" s="85"/>
      <c r="BF58" s="42"/>
      <c r="BG58" s="42"/>
      <c r="BH58" s="42"/>
      <c r="BI58" s="42"/>
    </row>
    <row r="59" spans="1:61" ht="17" thickTop="1" thickBot="1" x14ac:dyDescent="0.25">
      <c r="A59" s="199" t="str">
        <f>_xlfn.XLOOKUP(B59,Equity[Name],Equity[Abbr],"")</f>
        <v>PrefStk</v>
      </c>
      <c r="B59" s="17" t="str" cm="1">
        <f t="array" ref="B59:B64">_xlfn._xlws.FILTER(Equity[Name],NOT(ISBLANK(Equity[Name])))</f>
        <v>Preferred Stock</v>
      </c>
      <c r="C59" s="99">
        <f>IF(ISBLANK(B59),"",_xlfn.XLOOKUP(B59,BegBalSht[Account],BegBalSht[Amount]))</f>
        <v>0</v>
      </c>
      <c r="Q59" s="24"/>
      <c r="R59" s="25"/>
      <c r="T59" s="17" t="str">
        <f t="shared" ref="T59:T63" si="11">IF(ISBLANK(B59),"",B59)</f>
        <v>Preferred Stock</v>
      </c>
      <c r="U59" s="99">
        <f t="shared" ref="U59:U63" si="12">IFERROR(C59+X59-W59,0)</f>
        <v>0</v>
      </c>
      <c r="W59">
        <f>SUMIF(Journal[DrAccnt],Financial_Statements_6!T59,Journal[DrAmt])</f>
        <v>0</v>
      </c>
      <c r="X59">
        <f>SUMIF(Journal[CrAccnt],Financial_Statements_6!T59,Journal[CrAmt])</f>
        <v>0</v>
      </c>
      <c r="Z59" s="110" t="e" cm="1">
        <f t="array" aca="1" ref="Z59" ca="1">_xlfn._xlws.FILTER(Journal[ref]:Journal[CrAmt],Journal[ref2]=AC58,"")</f>
        <v>#NAME?</v>
      </c>
      <c r="AA59" s="31"/>
      <c r="AB59" s="31"/>
      <c r="AC59" s="31"/>
      <c r="AD59" s="31"/>
      <c r="AE59" s="31"/>
      <c r="AG59" s="111"/>
      <c r="AH59" s="112"/>
      <c r="AI59" s="112"/>
      <c r="AJ59" s="112"/>
      <c r="AK59" s="112"/>
      <c r="AL59" s="112"/>
      <c r="AN59" s="114" t="e" cm="1">
        <f t="array" aca="1" ref="AN59" ca="1">_xlfn._xlws.FILTER(Journal[ref]:Journal[CrAmt],Journal[ref2]=AQ58,"")</f>
        <v>#NAME?</v>
      </c>
      <c r="AO59" s="115"/>
      <c r="AP59" s="115"/>
      <c r="AQ59" s="115"/>
      <c r="AR59" s="115"/>
      <c r="AS59" s="115"/>
      <c r="AU59" s="130" t="e">
        <f ca="1">_xlfn.XLOOKUP(12,LiabilitiesMaster[Num],LiabilitiesMaster[Name])</f>
        <v>#NAME?</v>
      </c>
      <c r="AV59" s="140"/>
      <c r="AW59" s="140">
        <f ca="1">IFERROR(_xlfn.XLOOKUP(AU59,BegBalSht[Account],BegBalSht[Amount]),0)</f>
        <v>0</v>
      </c>
      <c r="AX59" s="141" t="s">
        <v>94</v>
      </c>
      <c r="AY59" s="142">
        <f ca="1">IFERROR(_xlfn.XLOOKUP(AU59,$AI$67:$AI$80,$AK$67:$AK$80),0)</f>
        <v>0</v>
      </c>
      <c r="AZ59" s="143">
        <f ca="1">IFERROR(_xlfn.XLOOKUP(AU59,$AJ$51:$AJ$64,$AL$51:$AL$64),0)</f>
        <v>0</v>
      </c>
      <c r="BA59" s="141" t="s">
        <v>128</v>
      </c>
      <c r="BB59" s="127"/>
      <c r="BC59" s="102">
        <f ca="1">AW59-BG59+BH59</f>
        <v>0</v>
      </c>
      <c r="BD59" s="145">
        <f ca="1">-MIN(BC59-AW59-SUM(AZ59:AZ62)+SUM(AY59:AY62),0)</f>
        <v>0</v>
      </c>
      <c r="BE59" s="146">
        <f ca="1">MAX(BC59-AW59-SUM(AZ59:AZ62)+SUM(AY59:AY62),0)</f>
        <v>0</v>
      </c>
      <c r="BF59" s="42"/>
      <c r="BG59" s="42">
        <f ca="1">SUMIF(Journal[DrAccnt],AU59,Journal[DrAmt])</f>
        <v>0</v>
      </c>
      <c r="BH59" s="42">
        <f ca="1">SUMIF(Journal[CrAccnt],AU59,Journal[CrAmt])</f>
        <v>0</v>
      </c>
      <c r="BI59" s="42"/>
    </row>
    <row r="60" spans="1:61" ht="16" thickBot="1" x14ac:dyDescent="0.25">
      <c r="A60" s="199" t="str">
        <f>_xlfn.XLOOKUP(B60,Equity[Name],Equity[Abbr],"")</f>
        <v>CS</v>
      </c>
      <c r="B60" s="17" t="str">
        <v>Common Stock</v>
      </c>
      <c r="C60" s="100">
        <f>IF(ISBLANK(B60),"",_xlfn.XLOOKUP(B60,BegBalSht[Account],BegBalSht[Amount]))</f>
        <v>0</v>
      </c>
      <c r="T60" s="17" t="str">
        <f t="shared" si="11"/>
        <v>Common Stock</v>
      </c>
      <c r="U60" s="100">
        <f t="shared" si="12"/>
        <v>0</v>
      </c>
      <c r="W60">
        <f>SUMIF(Journal[DrAccnt],Financial_Statements_6!T60,Journal[DrAmt])</f>
        <v>0</v>
      </c>
      <c r="X60">
        <f>SUMIF(Journal[CrAccnt],Financial_Statements_6!T60,Journal[CrAmt])</f>
        <v>0</v>
      </c>
      <c r="Z60" s="110"/>
      <c r="AA60" s="31"/>
      <c r="AB60" s="31"/>
      <c r="AC60" s="31"/>
      <c r="AD60" s="31"/>
      <c r="AE60" s="31"/>
      <c r="AG60" s="111"/>
      <c r="AH60" s="112"/>
      <c r="AI60" s="112"/>
      <c r="AJ60" s="112"/>
      <c r="AK60" s="112"/>
      <c r="AL60" s="112"/>
      <c r="AN60" s="114"/>
      <c r="AO60" s="115"/>
      <c r="AP60" s="115"/>
      <c r="AQ60" s="115"/>
      <c r="AR60" s="115"/>
      <c r="AS60" s="115"/>
      <c r="AU60" s="129"/>
      <c r="AV60" s="140"/>
      <c r="AW60" s="140"/>
      <c r="AX60" s="141"/>
      <c r="AY60" s="142"/>
      <c r="AZ60" s="143"/>
      <c r="BA60" s="141"/>
      <c r="BB60" s="127"/>
      <c r="BC60" s="102"/>
      <c r="BD60" s="140"/>
      <c r="BE60" s="85"/>
      <c r="BF60" s="42"/>
      <c r="BG60" s="42"/>
      <c r="BH60" s="42"/>
      <c r="BI60" s="42"/>
    </row>
    <row r="61" spans="1:61" x14ac:dyDescent="0.2">
      <c r="A61" s="199" t="str">
        <f>_xlfn.XLOOKUP(B61,Equity[Name],Equity[Abbr],"")</f>
        <v>APIC</v>
      </c>
      <c r="B61" s="17" t="str">
        <v>Additional Paid-in Capital</v>
      </c>
      <c r="C61" s="100">
        <f>IF(ISBLANK(B61),"",_xlfn.XLOOKUP(B61,BegBalSht[Account],BegBalSht[Amount]))</f>
        <v>0</v>
      </c>
      <c r="Q61" s="76" t="s">
        <v>438</v>
      </c>
      <c r="R61" s="168">
        <f>IFERROR(_xlfn.XLOOKUP("Cash",AQ43:AQ48,AS43:AS48),0)</f>
        <v>0</v>
      </c>
      <c r="T61" s="17" t="str">
        <f t="shared" si="11"/>
        <v>Additional Paid-in Capital</v>
      </c>
      <c r="U61" s="100">
        <f t="shared" si="12"/>
        <v>0</v>
      </c>
      <c r="W61">
        <f>SUMIF(Journal[DrAccnt],Financial_Statements_6!T61,Journal[DrAmt])</f>
        <v>0</v>
      </c>
      <c r="X61">
        <f>SUMIF(Journal[CrAccnt],Financial_Statements_6!T61,Journal[CrAmt])</f>
        <v>0</v>
      </c>
      <c r="Z61" s="110"/>
      <c r="AA61" s="31"/>
      <c r="AB61" s="31"/>
      <c r="AC61" s="31"/>
      <c r="AD61" s="31"/>
      <c r="AE61" s="31"/>
      <c r="AG61" s="111"/>
      <c r="AH61" s="112"/>
      <c r="AI61" s="112"/>
      <c r="AJ61" s="112"/>
      <c r="AK61" s="112"/>
      <c r="AL61" s="112"/>
      <c r="AN61" s="114"/>
      <c r="AO61" s="115"/>
      <c r="AP61" s="115"/>
      <c r="AQ61" s="115"/>
      <c r="AR61" s="115"/>
      <c r="AS61" s="115"/>
      <c r="AU61" s="129"/>
      <c r="AV61" s="140"/>
      <c r="AW61" s="140"/>
      <c r="AX61" s="141"/>
      <c r="AY61" s="142"/>
      <c r="AZ61" s="143"/>
      <c r="BA61" s="141"/>
      <c r="BB61" s="127"/>
      <c r="BC61" s="102"/>
      <c r="BD61" s="140"/>
      <c r="BE61" s="85"/>
      <c r="BF61" s="42"/>
      <c r="BG61" s="42"/>
      <c r="BH61" s="42"/>
      <c r="BI61" s="42"/>
    </row>
    <row r="62" spans="1:61" ht="16" thickBot="1" x14ac:dyDescent="0.25">
      <c r="A62" s="199" t="str">
        <f>_xlfn.XLOOKUP(B62,Equity[Name],Equity[Abbr],"")</f>
        <v>RE</v>
      </c>
      <c r="B62" s="17" t="str">
        <v>Retained Earnings</v>
      </c>
      <c r="C62" s="100">
        <f>IF(ISBLANK(B62),"",_xlfn.XLOOKUP(B62,BegBalSht[Account],BegBalSht[Amount]))</f>
        <v>0</v>
      </c>
      <c r="Q62" s="24" t="s">
        <v>439</v>
      </c>
      <c r="R62" s="83">
        <f>IFERROR(_xlfn.XLOOKUP("Cash",AQ51:AQ56,AS51:AS56),0)</f>
        <v>0</v>
      </c>
      <c r="T62" s="17" t="str">
        <f t="shared" si="11"/>
        <v>Retained Earnings</v>
      </c>
      <c r="U62" s="100">
        <f t="shared" si="12"/>
        <v>0</v>
      </c>
      <c r="W62">
        <f>SUMIF(Journal[DrAccnt],Financial_Statements_6!T62,Journal[DrAmt])</f>
        <v>0</v>
      </c>
      <c r="X62">
        <f>SUMIF(Journal[CrAccnt],Financial_Statements_6!T62,Journal[CrAmt])</f>
        <v>0</v>
      </c>
      <c r="Z62" s="110"/>
      <c r="AA62" s="31"/>
      <c r="AB62" s="31"/>
      <c r="AC62" s="31"/>
      <c r="AD62" s="31"/>
      <c r="AE62" s="31"/>
      <c r="AG62" s="111"/>
      <c r="AH62" s="112"/>
      <c r="AI62" s="112"/>
      <c r="AJ62" s="112"/>
      <c r="AK62" s="112"/>
      <c r="AL62" s="112"/>
      <c r="AN62" s="114"/>
      <c r="AO62" s="115"/>
      <c r="AP62" s="115"/>
      <c r="AQ62" s="115"/>
      <c r="AR62" s="115"/>
      <c r="AS62" s="115"/>
      <c r="AU62" s="129"/>
      <c r="AV62" s="140"/>
      <c r="AW62" s="140"/>
      <c r="AX62" s="141"/>
      <c r="AY62" s="142"/>
      <c r="AZ62" s="143"/>
      <c r="BA62" s="141"/>
      <c r="BB62" s="127"/>
      <c r="BC62" s="102"/>
      <c r="BD62" s="140"/>
      <c r="BE62" s="85"/>
      <c r="BF62" s="42"/>
      <c r="BG62" s="42"/>
      <c r="BH62" s="42"/>
      <c r="BI62" s="42"/>
    </row>
    <row r="63" spans="1:61" ht="16" thickBot="1" x14ac:dyDescent="0.25">
      <c r="A63" s="199" t="str">
        <f>_xlfn.XLOOKUP(B63,Equity[Name],Equity[Abbr],"")</f>
        <v>AOCI</v>
      </c>
      <c r="B63" s="17" t="str">
        <v>Accumulated Other Comprehensive Income</v>
      </c>
      <c r="C63" s="100">
        <f>IF(ISBLANK(B63),"",_xlfn.XLOOKUP(B63,BegBalSht[Account],BegBalSht[Amount]))</f>
        <v>0</v>
      </c>
      <c r="T63" s="17" t="str">
        <f t="shared" si="11"/>
        <v>Accumulated Other Comprehensive Income</v>
      </c>
      <c r="U63" s="100">
        <f t="shared" si="12"/>
        <v>0</v>
      </c>
      <c r="W63">
        <f>SUMIF(Journal[DrAccnt],Financial_Statements_6!T63,Journal[DrAmt])</f>
        <v>0</v>
      </c>
      <c r="X63">
        <f>SUMIF(Journal[CrAccnt],Financial_Statements_6!T63,Journal[CrAmt])</f>
        <v>0</v>
      </c>
      <c r="Z63" s="110"/>
      <c r="AA63" s="31"/>
      <c r="AB63" s="31"/>
      <c r="AC63" s="31"/>
      <c r="AD63" s="31"/>
      <c r="AE63" s="31"/>
      <c r="AG63" s="111"/>
      <c r="AH63" s="112"/>
      <c r="AI63" s="112"/>
      <c r="AJ63" s="112"/>
      <c r="AK63" s="112"/>
      <c r="AL63" s="112"/>
      <c r="AN63" s="114"/>
      <c r="AO63" s="115"/>
      <c r="AP63" s="115"/>
      <c r="AQ63" s="115"/>
      <c r="AR63" s="115"/>
      <c r="AS63" s="115"/>
      <c r="AU63" s="130" t="str">
        <f>_xlfn.XLOOKUP(2,LiabilitiesMaster[Num],LiabilitiesMaster[Name])</f>
        <v>Accrued Expenses</v>
      </c>
      <c r="AV63" s="140"/>
      <c r="AW63" s="140">
        <f>IFERROR(_xlfn.XLOOKUP(AU63,BegBalSht[Account],BegBalSht[Amount]),0)</f>
        <v>0</v>
      </c>
      <c r="AX63" s="141" t="s">
        <v>94</v>
      </c>
      <c r="AY63" s="142">
        <f>IFERROR(_xlfn.XLOOKUP(AU63,$AI$67:$AI$80,$AK$67:$AK$80),0)</f>
        <v>0</v>
      </c>
      <c r="AZ63" s="143">
        <f>IFERROR(_xlfn.XLOOKUP(AU63,$AJ$51:$AJ$64,$AL$51:$AL$64),0)</f>
        <v>0</v>
      </c>
      <c r="BA63" s="141" t="s">
        <v>128</v>
      </c>
      <c r="BB63" s="127"/>
      <c r="BC63" s="102">
        <f>AW63-BG63+BH63</f>
        <v>0</v>
      </c>
      <c r="BD63" s="145">
        <f>-MIN(BC63-AW63-SUM(AZ63:AZ66)+SUM(AY63:AY66),0)</f>
        <v>0</v>
      </c>
      <c r="BE63" s="146">
        <f>MAX(BC63-AW63-SUM(AZ63:AZ66)+SUM(AY63:AY66),0)</f>
        <v>0</v>
      </c>
      <c r="BF63" s="42"/>
      <c r="BG63" s="42">
        <f>SUMIF(Journal[DrAccnt],AU63,Journal[DrAmt])</f>
        <v>0</v>
      </c>
      <c r="BH63" s="42">
        <f>SUMIF(Journal[CrAccnt],AU63,Journal[CrAmt])</f>
        <v>0</v>
      </c>
      <c r="BI63" s="42"/>
    </row>
    <row r="64" spans="1:61" x14ac:dyDescent="0.2">
      <c r="A64" s="199"/>
      <c r="B64" s="17" t="str">
        <v>Treasury Stock</v>
      </c>
      <c r="C64" s="100"/>
      <c r="Q64" s="72" t="s">
        <v>433</v>
      </c>
      <c r="R64" s="71"/>
      <c r="T64" s="91" t="str">
        <f>IF(ISBLANK(B65),"",B65)</f>
        <v/>
      </c>
      <c r="U64" s="101">
        <f>IFERROR(C65+X64-W64,0)</f>
        <v>0</v>
      </c>
      <c r="W64">
        <f>SUMIF(Journal[DrAccnt],Financial_Statements_6!T64,Journal[DrAmt])</f>
        <v>0</v>
      </c>
      <c r="X64">
        <f>SUMIF(Journal[CrAccnt],Financial_Statements_6!T64,Journal[CrAmt])</f>
        <v>0</v>
      </c>
      <c r="Z64" s="110"/>
      <c r="AA64" s="31"/>
      <c r="AB64" s="31"/>
      <c r="AC64" s="31"/>
      <c r="AD64" s="31"/>
      <c r="AE64" s="31"/>
      <c r="AG64" s="111"/>
      <c r="AH64" s="112"/>
      <c r="AI64" s="112"/>
      <c r="AJ64" s="112"/>
      <c r="AK64" s="112"/>
      <c r="AL64" s="112"/>
      <c r="AN64" s="114"/>
      <c r="AO64" s="115"/>
      <c r="AP64" s="115"/>
      <c r="AQ64" s="115"/>
      <c r="AR64" s="115"/>
      <c r="AS64" s="115"/>
      <c r="AU64" s="129"/>
      <c r="AV64" s="140"/>
      <c r="AW64" s="140"/>
      <c r="AX64" s="141"/>
      <c r="AY64" s="142"/>
      <c r="AZ64" s="143"/>
      <c r="BA64" s="141"/>
      <c r="BB64" s="127"/>
      <c r="BC64" s="102"/>
      <c r="BD64" s="140"/>
      <c r="BE64" s="85"/>
      <c r="BF64" s="42"/>
      <c r="BG64" s="42"/>
      <c r="BH64" s="42"/>
      <c r="BI64" s="42"/>
    </row>
    <row r="65" spans="1:61" x14ac:dyDescent="0.2">
      <c r="A65" s="199" t="str">
        <f>_xlfn.XLOOKUP(B65,Equity[Name],Equity[Abbr],"")</f>
        <v/>
      </c>
      <c r="B65" s="91"/>
      <c r="C65" s="101" t="str">
        <f>IF(ISBLANK(B65),"",_xlfn.XLOOKUP(B65,BegBalSht[Account],BegBalSht[Amount]))</f>
        <v/>
      </c>
      <c r="Q65" s="17" t="s">
        <v>460</v>
      </c>
      <c r="R65" s="82">
        <f>IFERROR(_xlfn.XLOOKUP("Common Stock",AQ11:AQ16,AS11:AS16),0)</f>
        <v>0</v>
      </c>
      <c r="T65" s="56" t="s">
        <v>298</v>
      </c>
      <c r="U65" s="49">
        <f>SUBTOTAL(9,U59:U64)</f>
        <v>0</v>
      </c>
      <c r="AU65" s="129"/>
      <c r="AV65" s="140"/>
      <c r="AW65" s="140"/>
      <c r="AX65" s="141"/>
      <c r="AY65" s="142"/>
      <c r="AZ65" s="143"/>
      <c r="BA65" s="141"/>
      <c r="BB65" s="127"/>
      <c r="BC65" s="102"/>
      <c r="BD65" s="140"/>
      <c r="BE65" s="85"/>
      <c r="BF65" s="42"/>
      <c r="BG65" s="42"/>
      <c r="BH65" s="42"/>
      <c r="BI65" s="42"/>
    </row>
    <row r="66" spans="1:61" ht="16" thickBot="1" x14ac:dyDescent="0.25">
      <c r="B66" s="56" t="s">
        <v>298</v>
      </c>
      <c r="C66" s="49">
        <f>SUBTOTAL(9,C59:C65)</f>
        <v>0</v>
      </c>
      <c r="Q66" s="17"/>
      <c r="R66" s="82"/>
      <c r="T66" s="58" t="s">
        <v>441</v>
      </c>
      <c r="U66" s="50">
        <f>SUBTOTAL(9,U34:U65)</f>
        <v>0</v>
      </c>
      <c r="Z66" s="5" t="s">
        <v>113</v>
      </c>
      <c r="AC66" s="4" t="s">
        <v>112</v>
      </c>
      <c r="AG66" s="5" t="s">
        <v>500</v>
      </c>
      <c r="AJ66" s="4" t="s">
        <v>94</v>
      </c>
      <c r="AN66" s="5" t="s">
        <v>470</v>
      </c>
      <c r="AO66" s="5"/>
      <c r="AQ66" s="4" t="s">
        <v>143</v>
      </c>
      <c r="AU66" s="129"/>
      <c r="AV66" s="140"/>
      <c r="AW66" s="140"/>
      <c r="AX66" s="141"/>
      <c r="AY66" s="142"/>
      <c r="AZ66" s="143"/>
      <c r="BA66" s="141"/>
      <c r="BB66" s="127"/>
      <c r="BC66" s="102"/>
      <c r="BD66" s="140"/>
      <c r="BE66" s="85"/>
      <c r="BF66" s="42"/>
      <c r="BG66" s="42"/>
      <c r="BH66" s="42"/>
      <c r="BI66" s="42"/>
    </row>
    <row r="67" spans="1:61" ht="16" thickBot="1" x14ac:dyDescent="0.25">
      <c r="B67" s="58" t="s">
        <v>441</v>
      </c>
      <c r="C67" s="50">
        <f>SUBTOTAL(9,C34:C66)</f>
        <v>0</v>
      </c>
      <c r="Q67" s="17"/>
      <c r="R67" s="82"/>
      <c r="T67" s="24"/>
      <c r="U67" s="25"/>
      <c r="Z67" s="110" t="e" cm="1">
        <f t="array" aca="1" ref="Z67" ca="1">_xlfn._xlws.FILTER(Journal[ref]:Journal[CrAmt],Journal[ref2]=AC66,"")</f>
        <v>#NAME?</v>
      </c>
      <c r="AA67" s="31"/>
      <c r="AB67" s="31"/>
      <c r="AC67" s="31"/>
      <c r="AD67" s="31"/>
      <c r="AE67" s="31"/>
      <c r="AG67" s="111" t="e" cm="1">
        <f t="array" aca="1" ref="AG67" ca="1">_xlfn._xlws.FILTER(Journal[ref]:Journal[CrAmt],Journal[ref2]=AJ66,"")</f>
        <v>#NAME?</v>
      </c>
      <c r="AH67" s="112"/>
      <c r="AI67" s="112"/>
      <c r="AJ67" s="112"/>
      <c r="AK67" s="112"/>
      <c r="AL67" s="112"/>
      <c r="AN67" s="114" t="e" cm="1">
        <f t="array" aca="1" ref="AN67" ca="1">_xlfn._xlws.FILTER(Journal[ref]:Journal[CrAmt],Journal[ref2]=AQ66,"")</f>
        <v>#NAME?</v>
      </c>
      <c r="AO67" s="115"/>
      <c r="AP67" s="115"/>
      <c r="AQ67" s="115"/>
      <c r="AR67" s="115"/>
      <c r="AS67" s="115"/>
      <c r="AU67" s="130" t="e">
        <f ca="1">_xlfn.XLOOKUP(3,LiabilitiesMaster[Num],LiabilitiesMaster[Name])</f>
        <v>#NAME?</v>
      </c>
      <c r="AV67" s="140"/>
      <c r="AW67" s="140">
        <f ca="1">IFERROR(_xlfn.XLOOKUP(AU67,BegBalSht[Account],BegBalSht[Amount]),0)</f>
        <v>0</v>
      </c>
      <c r="AX67" s="141" t="s">
        <v>94</v>
      </c>
      <c r="AY67" s="142">
        <f ca="1">IFERROR(_xlfn.XLOOKUP(AU67,$AI$67:$AI$80,$AK$67:$AK$80),0)</f>
        <v>0</v>
      </c>
      <c r="AZ67" s="143">
        <f ca="1">IFERROR(_xlfn.XLOOKUP(AU67,$AJ$51:$AJ$64,$AL$51:$AL$64),0)</f>
        <v>0</v>
      </c>
      <c r="BA67" s="141" t="s">
        <v>128</v>
      </c>
      <c r="BB67" s="127"/>
      <c r="BC67" s="102">
        <f ca="1">AW67-BG67+BH67</f>
        <v>0</v>
      </c>
      <c r="BD67" s="145">
        <f ca="1">-MIN(BC67-AW67-SUM(AZ67:AZ70)+SUM(AY67:AY70),0)</f>
        <v>0</v>
      </c>
      <c r="BE67" s="146">
        <f ca="1">MAX(BC67-AW67-SUM(AZ67:AZ70)+SUM(AY67:AY70),0)</f>
        <v>0</v>
      </c>
      <c r="BF67" s="42"/>
      <c r="BG67" s="42">
        <f ca="1">SUMIF(Journal[DrAccnt],AU67,Journal[DrAmt])</f>
        <v>0</v>
      </c>
      <c r="BH67" s="42">
        <f ca="1">SUMIF(Journal[CrAccnt],AU67,Journal[CrAmt])</f>
        <v>0</v>
      </c>
      <c r="BI67" s="42"/>
    </row>
    <row r="68" spans="1:61" ht="16" thickBot="1" x14ac:dyDescent="0.25">
      <c r="B68" s="24"/>
      <c r="C68" s="25"/>
      <c r="Q68" s="17"/>
      <c r="R68" s="82"/>
      <c r="Z68" s="110"/>
      <c r="AA68" s="31"/>
      <c r="AB68" s="31"/>
      <c r="AC68" s="31"/>
      <c r="AD68" s="31"/>
      <c r="AE68" s="31"/>
      <c r="AG68" s="111"/>
      <c r="AH68" s="112"/>
      <c r="AI68" s="112"/>
      <c r="AJ68" s="112"/>
      <c r="AK68" s="112"/>
      <c r="AL68" s="112"/>
      <c r="AN68" s="114"/>
      <c r="AO68" s="115"/>
      <c r="AP68" s="115"/>
      <c r="AQ68" s="115"/>
      <c r="AR68" s="115"/>
      <c r="AS68" s="115"/>
      <c r="AU68" s="129"/>
      <c r="AV68" s="140"/>
      <c r="AW68" s="140"/>
      <c r="AX68" s="141"/>
      <c r="AY68" s="142"/>
      <c r="AZ68" s="143"/>
      <c r="BA68" s="141"/>
      <c r="BB68" s="127"/>
      <c r="BC68" s="102"/>
      <c r="BD68" s="140"/>
      <c r="BE68" s="85"/>
      <c r="BF68" s="42"/>
      <c r="BG68" s="42"/>
      <c r="BH68" s="42"/>
      <c r="BI68" s="42"/>
    </row>
    <row r="69" spans="1:61" ht="16" thickBot="1" x14ac:dyDescent="0.25">
      <c r="Q69" s="24"/>
      <c r="R69" s="83"/>
      <c r="Z69" s="110"/>
      <c r="AA69" s="31"/>
      <c r="AB69" s="31"/>
      <c r="AC69" s="31"/>
      <c r="AD69" s="31"/>
      <c r="AE69" s="31"/>
      <c r="AG69" s="111"/>
      <c r="AH69" s="112"/>
      <c r="AI69" s="112"/>
      <c r="AJ69" s="112"/>
      <c r="AK69" s="112"/>
      <c r="AL69" s="112"/>
      <c r="AN69" s="114"/>
      <c r="AO69" s="115"/>
      <c r="AP69" s="115"/>
      <c r="AQ69" s="115"/>
      <c r="AR69" s="115"/>
      <c r="AS69" s="115"/>
      <c r="AU69" s="129"/>
      <c r="AV69" s="140"/>
      <c r="AW69" s="140"/>
      <c r="AX69" s="141"/>
      <c r="AY69" s="142"/>
      <c r="AZ69" s="143"/>
      <c r="BA69" s="141"/>
      <c r="BB69" s="127"/>
      <c r="BC69" s="102"/>
      <c r="BD69" s="140"/>
      <c r="BE69" s="85"/>
      <c r="BF69" s="42"/>
      <c r="BG69" s="42"/>
      <c r="BH69" s="42"/>
      <c r="BI69" s="42"/>
    </row>
    <row r="70" spans="1:61" x14ac:dyDescent="0.2">
      <c r="Z70" s="110"/>
      <c r="AA70" s="31"/>
      <c r="AB70" s="31"/>
      <c r="AC70" s="31"/>
      <c r="AD70" s="31"/>
      <c r="AE70" s="31"/>
      <c r="AG70" s="111"/>
      <c r="AH70" s="112"/>
      <c r="AI70" s="112"/>
      <c r="AJ70" s="112"/>
      <c r="AK70" s="112"/>
      <c r="AL70" s="112"/>
      <c r="AN70" s="114"/>
      <c r="AO70" s="115"/>
      <c r="AP70" s="115"/>
      <c r="AQ70" s="115"/>
      <c r="AR70" s="115"/>
      <c r="AS70" s="115"/>
      <c r="AU70" s="129"/>
      <c r="AV70" s="140"/>
      <c r="AW70" s="140"/>
      <c r="AX70" s="141"/>
      <c r="AY70" s="142"/>
      <c r="AZ70" s="143"/>
      <c r="BA70" s="141"/>
      <c r="BB70" s="127"/>
      <c r="BC70" s="102"/>
      <c r="BD70" s="140"/>
      <c r="BE70" s="85"/>
      <c r="BF70" s="42"/>
      <c r="BG70" s="42"/>
      <c r="BH70" s="42"/>
      <c r="BI70" s="42"/>
    </row>
    <row r="71" spans="1:61" x14ac:dyDescent="0.2">
      <c r="Z71" s="110"/>
      <c r="AA71" s="31"/>
      <c r="AB71" s="31"/>
      <c r="AC71" s="31"/>
      <c r="AD71" s="31"/>
      <c r="AE71" s="31"/>
      <c r="AG71" s="111"/>
      <c r="AH71" s="112"/>
      <c r="AI71" s="112"/>
      <c r="AJ71" s="112"/>
      <c r="AK71" s="112"/>
      <c r="AL71" s="112"/>
      <c r="AN71" s="114"/>
      <c r="AO71" s="115"/>
      <c r="AP71" s="115"/>
      <c r="AQ71" s="115"/>
      <c r="AR71" s="115"/>
      <c r="AS71" s="115"/>
      <c r="AU71" s="130" t="str">
        <f>_xlfn.XLOOKUP(4,LiabilitiesMaster[Num],LiabilitiesMaster[Name])</f>
        <v>Dividends Payable</v>
      </c>
      <c r="AV71" s="140"/>
      <c r="AW71" s="140">
        <f>IFERROR(_xlfn.XLOOKUP(AU71,BegBalSht[Account],BegBalSht[Amount]),0)</f>
        <v>0</v>
      </c>
      <c r="AX71" s="141" t="s">
        <v>108</v>
      </c>
      <c r="AY71" s="142">
        <f>IFERROR(_xlfn.XLOOKUP(AU71,AB51:AB56,AD51:AD56),0)</f>
        <v>0</v>
      </c>
      <c r="AZ71" s="143"/>
      <c r="BA71" s="141" t="s">
        <v>106</v>
      </c>
      <c r="BB71" s="127"/>
      <c r="BC71" s="102">
        <f>AW71-BG71+BH71</f>
        <v>0</v>
      </c>
      <c r="BD71" s="145">
        <f>-MIN(BC71-AW71-SUM(AZ71:AZ74)+SUM(AY71:AY74),0)</f>
        <v>0</v>
      </c>
      <c r="BE71" s="146">
        <f>MAX(BC71-AW71-SUM(AZ71:AZ74)+SUM(AY71:AY74),0)</f>
        <v>0</v>
      </c>
      <c r="BF71" s="42"/>
      <c r="BG71" s="42">
        <f>SUMIF(Journal[DrAccnt],AU71,Journal[DrAmt])</f>
        <v>0</v>
      </c>
      <c r="BH71" s="42">
        <f>SUMIF(Journal[CrAccnt],AU71,Journal[CrAmt])</f>
        <v>0</v>
      </c>
      <c r="BI71" s="42"/>
    </row>
    <row r="72" spans="1:61" x14ac:dyDescent="0.2">
      <c r="Z72" s="110"/>
      <c r="AA72" s="31"/>
      <c r="AB72" s="31"/>
      <c r="AC72" s="31"/>
      <c r="AD72" s="31"/>
      <c r="AE72" s="31"/>
      <c r="AG72" s="111"/>
      <c r="AH72" s="112"/>
      <c r="AI72" s="112"/>
      <c r="AJ72" s="112"/>
      <c r="AK72" s="112"/>
      <c r="AL72" s="112"/>
      <c r="AN72" s="114"/>
      <c r="AO72" s="115"/>
      <c r="AP72" s="115"/>
      <c r="AQ72" s="115"/>
      <c r="AR72" s="115"/>
      <c r="AS72" s="115"/>
      <c r="AU72" s="129"/>
      <c r="AV72" s="140"/>
      <c r="AW72" s="140"/>
      <c r="AX72" s="141"/>
      <c r="AY72" s="142"/>
      <c r="AZ72" s="143"/>
      <c r="BA72" s="141"/>
      <c r="BB72" s="127"/>
      <c r="BC72" s="102"/>
      <c r="BD72" s="140"/>
      <c r="BE72" s="85"/>
      <c r="BF72" s="42"/>
      <c r="BG72" s="42"/>
      <c r="BH72" s="42"/>
      <c r="BI72" s="42"/>
    </row>
    <row r="73" spans="1:61" x14ac:dyDescent="0.2">
      <c r="AG73" s="111"/>
      <c r="AH73" s="112"/>
      <c r="AI73" s="112"/>
      <c r="AJ73" s="112"/>
      <c r="AK73" s="112"/>
      <c r="AL73" s="112"/>
      <c r="AU73" s="129"/>
      <c r="AV73" s="140"/>
      <c r="AW73" s="140"/>
      <c r="AX73" s="141"/>
      <c r="AY73" s="142"/>
      <c r="AZ73" s="143"/>
      <c r="BA73" s="141"/>
      <c r="BB73" s="127"/>
      <c r="BC73" s="102"/>
      <c r="BD73" s="140"/>
      <c r="BE73" s="85"/>
      <c r="BF73" s="42"/>
      <c r="BG73" s="42"/>
      <c r="BH73" s="42"/>
      <c r="BI73" s="42"/>
    </row>
    <row r="74" spans="1:61" x14ac:dyDescent="0.2">
      <c r="Z74" s="5" t="s">
        <v>115</v>
      </c>
      <c r="AC74" s="4" t="s">
        <v>114</v>
      </c>
      <c r="AG74" s="111"/>
      <c r="AH74" s="112"/>
      <c r="AI74" s="112"/>
      <c r="AJ74" s="112"/>
      <c r="AK74" s="112"/>
      <c r="AL74" s="112"/>
      <c r="AN74" s="5" t="s">
        <v>148</v>
      </c>
      <c r="AO74" s="5"/>
      <c r="AQ74" s="4" t="s">
        <v>147</v>
      </c>
      <c r="AU74" s="129"/>
      <c r="AV74" s="140"/>
      <c r="AW74" s="140"/>
      <c r="AX74" s="141"/>
      <c r="AY74" s="142"/>
      <c r="AZ74" s="143"/>
      <c r="BA74" s="141"/>
      <c r="BB74" s="127"/>
      <c r="BC74" s="102"/>
      <c r="BD74" s="140"/>
      <c r="BE74" s="85"/>
      <c r="BF74" s="42"/>
      <c r="BG74" s="42"/>
      <c r="BH74" s="42"/>
      <c r="BI74" s="42"/>
    </row>
    <row r="75" spans="1:61" x14ac:dyDescent="0.2">
      <c r="Z75" s="110" t="e" cm="1">
        <f t="array" aca="1" ref="Z75" ca="1">_xlfn._xlws.FILTER(Journal[ref]:Journal[CrAmt],Journal[ref2]=AC74,"")</f>
        <v>#NAME?</v>
      </c>
      <c r="AA75" s="31"/>
      <c r="AB75" s="31"/>
      <c r="AC75" s="31"/>
      <c r="AD75" s="31"/>
      <c r="AE75" s="31"/>
      <c r="AG75" s="111"/>
      <c r="AH75" s="112"/>
      <c r="AI75" s="112"/>
      <c r="AJ75" s="112"/>
      <c r="AK75" s="112"/>
      <c r="AL75" s="112"/>
      <c r="AN75" s="114" t="e" cm="1">
        <f t="array" aca="1" ref="AN75" ca="1">_xlfn._xlws.FILTER(Journal[ref]:Journal[CrAmt],Journal[ref2]=AQ74,"")</f>
        <v>#NAME?</v>
      </c>
      <c r="AO75" s="115"/>
      <c r="AP75" s="115"/>
      <c r="AQ75" s="115"/>
      <c r="AR75" s="115"/>
      <c r="AS75" s="115"/>
      <c r="AU75" s="130" t="e">
        <f ca="1">_xlfn.XLOOKUP(5,LiabilitiesMaster[Num],LiabilitiesMaster[Name])</f>
        <v>#NAME?</v>
      </c>
      <c r="AV75" s="140"/>
      <c r="AW75" s="140">
        <f ca="1">IFERROR(_xlfn.XLOOKUP(AU75,BegBalSht[Account],BegBalSht[Amount]),0)</f>
        <v>0</v>
      </c>
      <c r="AX75" s="141" t="s">
        <v>94</v>
      </c>
      <c r="AY75" s="142">
        <f ca="1">IFERROR(_xlfn.XLOOKUP(AU75,$AI$67:$AI$80,$AK$67:$AK$80),0)</f>
        <v>0</v>
      </c>
      <c r="AZ75" s="143">
        <f ca="1">IFERROR(_xlfn.XLOOKUP(AU75,$AJ$51:$AJ$64,$AL$51:$AL$64),0)</f>
        <v>0</v>
      </c>
      <c r="BA75" s="141" t="s">
        <v>128</v>
      </c>
      <c r="BB75" s="127"/>
      <c r="BC75" s="102">
        <f ca="1">AW75-BG75+BH75</f>
        <v>0</v>
      </c>
      <c r="BD75" s="145">
        <f ca="1">-MIN(BC75-AW75-SUM(AZ75:AZ78)+SUM(AY75:AY78),0)</f>
        <v>0</v>
      </c>
      <c r="BE75" s="146">
        <f ca="1">MAX(BC75-AW75-SUM(AZ75:AZ78)+SUM(AY75:AY78),0)</f>
        <v>0</v>
      </c>
      <c r="BF75" s="42"/>
      <c r="BG75" s="42">
        <f ca="1">SUMIF(Journal[DrAccnt],AU75,Journal[DrAmt])</f>
        <v>0</v>
      </c>
      <c r="BH75" s="42">
        <f ca="1">SUMIF(Journal[CrAccnt],AU75,Journal[CrAmt])</f>
        <v>0</v>
      </c>
      <c r="BI75" s="42"/>
    </row>
    <row r="76" spans="1:61" x14ac:dyDescent="0.2">
      <c r="Z76" s="110"/>
      <c r="AA76" s="31"/>
      <c r="AB76" s="31"/>
      <c r="AC76" s="31"/>
      <c r="AD76" s="31"/>
      <c r="AE76" s="31"/>
      <c r="AG76" s="111"/>
      <c r="AH76" s="112"/>
      <c r="AI76" s="112"/>
      <c r="AJ76" s="112"/>
      <c r="AK76" s="112"/>
      <c r="AL76" s="112"/>
      <c r="AN76" s="114"/>
      <c r="AO76" s="115"/>
      <c r="AP76" s="115"/>
      <c r="AQ76" s="115"/>
      <c r="AR76" s="115"/>
      <c r="AS76" s="115"/>
      <c r="AU76" s="129"/>
      <c r="AV76" s="140"/>
      <c r="AW76" s="140"/>
      <c r="AX76" s="141"/>
      <c r="AY76" s="142"/>
      <c r="AZ76" s="143"/>
      <c r="BA76" s="141"/>
      <c r="BB76" s="127"/>
      <c r="BC76" s="102"/>
      <c r="BD76" s="140"/>
      <c r="BE76" s="85"/>
      <c r="BF76" s="42"/>
      <c r="BG76" s="42"/>
      <c r="BH76" s="42"/>
      <c r="BI76" s="42"/>
    </row>
    <row r="77" spans="1:61" x14ac:dyDescent="0.2">
      <c r="Z77" s="110"/>
      <c r="AA77" s="31"/>
      <c r="AB77" s="31"/>
      <c r="AC77" s="31"/>
      <c r="AD77" s="31"/>
      <c r="AE77" s="31"/>
      <c r="AG77" s="111"/>
      <c r="AH77" s="112"/>
      <c r="AI77" s="112"/>
      <c r="AJ77" s="112"/>
      <c r="AK77" s="112"/>
      <c r="AL77" s="112"/>
      <c r="AN77" s="114"/>
      <c r="AO77" s="115"/>
      <c r="AP77" s="115"/>
      <c r="AQ77" s="115"/>
      <c r="AR77" s="115"/>
      <c r="AS77" s="115"/>
      <c r="AU77" s="129"/>
      <c r="AV77" s="140"/>
      <c r="AW77" s="140"/>
      <c r="AX77" s="141"/>
      <c r="AY77" s="142"/>
      <c r="AZ77" s="143"/>
      <c r="BA77" s="141"/>
      <c r="BB77" s="127"/>
      <c r="BC77" s="102"/>
      <c r="BD77" s="140"/>
      <c r="BE77" s="85"/>
      <c r="BF77" s="42"/>
      <c r="BG77" s="42"/>
      <c r="BH77" s="42"/>
      <c r="BI77" s="42"/>
    </row>
    <row r="78" spans="1:61" x14ac:dyDescent="0.2">
      <c r="Z78" s="110"/>
      <c r="AA78" s="31"/>
      <c r="AB78" s="31"/>
      <c r="AC78" s="31"/>
      <c r="AD78" s="31"/>
      <c r="AE78" s="31"/>
      <c r="AG78" s="111"/>
      <c r="AH78" s="112"/>
      <c r="AI78" s="112"/>
      <c r="AJ78" s="112"/>
      <c r="AK78" s="112"/>
      <c r="AL78" s="112"/>
      <c r="AN78" s="114"/>
      <c r="AO78" s="115"/>
      <c r="AP78" s="115"/>
      <c r="AQ78" s="115"/>
      <c r="AR78" s="115"/>
      <c r="AS78" s="115"/>
      <c r="AU78" s="129"/>
      <c r="AV78" s="140"/>
      <c r="AW78" s="140"/>
      <c r="AX78" s="141"/>
      <c r="AY78" s="142"/>
      <c r="AZ78" s="143"/>
      <c r="BA78" s="141"/>
      <c r="BB78" s="127"/>
      <c r="BC78" s="102"/>
      <c r="BD78" s="140"/>
      <c r="BE78" s="85"/>
      <c r="BF78" s="42"/>
      <c r="BG78" s="42"/>
      <c r="BH78" s="42"/>
      <c r="BI78" s="42"/>
    </row>
    <row r="79" spans="1:61" x14ac:dyDescent="0.2">
      <c r="Z79" s="110"/>
      <c r="AA79" s="31"/>
      <c r="AB79" s="31"/>
      <c r="AC79" s="31"/>
      <c r="AD79" s="31"/>
      <c r="AE79" s="31"/>
      <c r="AG79" s="111"/>
      <c r="AH79" s="112"/>
      <c r="AI79" s="112"/>
      <c r="AJ79" s="112"/>
      <c r="AK79" s="112"/>
      <c r="AL79" s="112"/>
      <c r="AN79" s="114"/>
      <c r="AO79" s="115"/>
      <c r="AP79" s="115"/>
      <c r="AQ79" s="115"/>
      <c r="AR79" s="115"/>
      <c r="AS79" s="115"/>
      <c r="AU79" s="130" t="str">
        <f>_xlfn.XLOOKUP(6,LiabilitiesMaster[Num],LiabilitiesMaster[Name])</f>
        <v>Deferred Tax Liabilities</v>
      </c>
      <c r="AV79" s="140"/>
      <c r="AW79" s="140">
        <f>IFERROR(_xlfn.XLOOKUP(AU79,BegBalSht[Account],BegBalSht[Amount]),0)</f>
        <v>0</v>
      </c>
      <c r="AX79" s="141" t="s">
        <v>94</v>
      </c>
      <c r="AY79" s="142">
        <f>IFERROR(_xlfn.XLOOKUP(AU79,$AI$67:$AI$80,$AK$67:$AK$80),0)</f>
        <v>0</v>
      </c>
      <c r="AZ79" s="143">
        <f>IFERROR(_xlfn.XLOOKUP(AU79,$AJ$51:$AJ$64,$AL$51:$AL$64),0)</f>
        <v>0</v>
      </c>
      <c r="BA79" s="141" t="s">
        <v>128</v>
      </c>
      <c r="BB79" s="127"/>
      <c r="BC79" s="102">
        <f>AW79-BG79+BH79</f>
        <v>0</v>
      </c>
      <c r="BD79" s="145">
        <f>-MIN(BC79-AW79-SUM(AZ79:AZ82)+SUM(AY79:AY82),0)</f>
        <v>0</v>
      </c>
      <c r="BE79" s="146">
        <f>MAX(BC79-AW79-SUM(AZ79:AZ82)+SUM(AY79:AY82),0)</f>
        <v>0</v>
      </c>
      <c r="BF79" s="42"/>
      <c r="BG79" s="42">
        <f>SUMIF(Journal[DrAccnt],AU79,Journal[DrAmt])</f>
        <v>0</v>
      </c>
      <c r="BH79" s="42">
        <f>SUMIF(Journal[CrAccnt],AU79,Journal[CrAmt])</f>
        <v>0</v>
      </c>
      <c r="BI79" s="42"/>
    </row>
    <row r="80" spans="1:61" x14ac:dyDescent="0.2">
      <c r="Z80" s="110"/>
      <c r="AA80" s="31"/>
      <c r="AB80" s="31"/>
      <c r="AC80" s="31"/>
      <c r="AD80" s="31"/>
      <c r="AE80" s="31"/>
      <c r="AG80" s="111"/>
      <c r="AH80" s="112"/>
      <c r="AI80" s="112"/>
      <c r="AJ80" s="112"/>
      <c r="AK80" s="112"/>
      <c r="AL80" s="112"/>
      <c r="AN80" s="114"/>
      <c r="AO80" s="115"/>
      <c r="AP80" s="115"/>
      <c r="AQ80" s="115"/>
      <c r="AR80" s="115"/>
      <c r="AS80" s="115"/>
      <c r="AU80" s="129"/>
      <c r="AV80" s="140"/>
      <c r="AW80" s="140"/>
      <c r="AX80" s="141"/>
      <c r="AY80" s="142"/>
      <c r="AZ80" s="143"/>
      <c r="BA80" s="141"/>
      <c r="BB80" s="127"/>
      <c r="BC80" s="102"/>
      <c r="BD80" s="140"/>
      <c r="BE80" s="85"/>
      <c r="BF80" s="42"/>
      <c r="BG80" s="42"/>
      <c r="BH80" s="42"/>
      <c r="BI80" s="42"/>
    </row>
    <row r="81" spans="33:61" x14ac:dyDescent="0.2">
      <c r="AU81" s="129"/>
      <c r="AV81" s="140"/>
      <c r="AW81" s="140"/>
      <c r="AX81" s="141"/>
      <c r="AY81" s="142"/>
      <c r="AZ81" s="143"/>
      <c r="BA81" s="141"/>
      <c r="BB81" s="127"/>
      <c r="BC81" s="102"/>
      <c r="BD81" s="140"/>
      <c r="BE81" s="85"/>
      <c r="BF81" s="42"/>
      <c r="BG81" s="42"/>
      <c r="BH81" s="42"/>
      <c r="BI81" s="42"/>
    </row>
    <row r="82" spans="33:61" x14ac:dyDescent="0.2">
      <c r="AG82" s="5" t="s">
        <v>501</v>
      </c>
      <c r="AJ82" s="4" t="s">
        <v>131</v>
      </c>
      <c r="AN82" s="5" t="s">
        <v>471</v>
      </c>
      <c r="AO82" s="5"/>
      <c r="AQ82" s="4" t="s">
        <v>145</v>
      </c>
      <c r="AU82" s="129"/>
      <c r="AV82" s="140"/>
      <c r="AW82" s="140"/>
      <c r="AX82" s="141"/>
      <c r="AY82" s="142"/>
      <c r="AZ82" s="143"/>
      <c r="BA82" s="141"/>
      <c r="BB82" s="127"/>
      <c r="BC82" s="102"/>
      <c r="BD82" s="140"/>
      <c r="BE82" s="85"/>
      <c r="BF82" s="42"/>
      <c r="BG82" s="42"/>
      <c r="BH82" s="42"/>
      <c r="BI82" s="42"/>
    </row>
    <row r="83" spans="33:61" x14ac:dyDescent="0.2">
      <c r="AG83" s="111" t="e" cm="1">
        <f t="array" aca="1" ref="AG83" ca="1">_xlfn._xlws.FILTER(Journal[ref]:Journal[CrAmt],Journal[ref2]=AJ82,"")</f>
        <v>#NAME?</v>
      </c>
      <c r="AH83" s="112"/>
      <c r="AI83" s="112"/>
      <c r="AJ83" s="112"/>
      <c r="AK83" s="112"/>
      <c r="AL83" s="112"/>
      <c r="AN83" s="114" t="e" cm="1">
        <f t="array" aca="1" ref="AN83" ca="1">_xlfn._xlws.FILTER(Journal[ref]:Journal[CrAmt],Journal[ref2]=AQ82,"")</f>
        <v>#NAME?</v>
      </c>
      <c r="AO83" s="115"/>
      <c r="AP83" s="115"/>
      <c r="AQ83" s="115"/>
      <c r="AR83" s="115"/>
      <c r="AS83" s="115"/>
      <c r="AU83" s="130" t="e">
        <f ca="1">_xlfn.XLOOKUP(7,LiabilitiesMaster[Num],LiabilitiesMaster[Name])</f>
        <v>#NAME?</v>
      </c>
      <c r="AV83" s="140"/>
      <c r="AW83" s="140">
        <f ca="1">IFERROR(_xlfn.XLOOKUP(AU83,BegBalSht[Account],BegBalSht[Amount]),0)</f>
        <v>0</v>
      </c>
      <c r="AX83" s="141" t="s">
        <v>94</v>
      </c>
      <c r="AY83" s="142">
        <f ca="1">IFERROR(_xlfn.XLOOKUP(AU83,$AI$67:$AI$80,$AK$67:$AK$80),0)</f>
        <v>0</v>
      </c>
      <c r="AZ83" s="143">
        <f ca="1">IFERROR(_xlfn.XLOOKUP(AU83,$AJ$51:$AJ$64,$AL$51:$AL$64),0)</f>
        <v>0</v>
      </c>
      <c r="BA83" s="141" t="s">
        <v>128</v>
      </c>
      <c r="BB83" s="127"/>
      <c r="BC83" s="102">
        <f ca="1">AW83-BG83+BH83</f>
        <v>0</v>
      </c>
      <c r="BD83" s="145">
        <f ca="1">-MIN(BC83-AW83-SUM(AZ83:AZ86)+SUM(AY83:AY86),0)</f>
        <v>0</v>
      </c>
      <c r="BE83" s="146">
        <f ca="1">MAX(BC83-AW83-SUM(AZ83:AZ86)+SUM(AY83:AY86),0)</f>
        <v>0</v>
      </c>
      <c r="BF83" s="42"/>
      <c r="BG83" s="42">
        <f ca="1">SUMIF(Journal[DrAccnt],AU83,Journal[DrAmt])</f>
        <v>0</v>
      </c>
      <c r="BH83" s="42">
        <f ca="1">SUMIF(Journal[CrAccnt],AU83,Journal[CrAmt])</f>
        <v>0</v>
      </c>
      <c r="BI83" s="42"/>
    </row>
    <row r="84" spans="33:61" x14ac:dyDescent="0.2">
      <c r="AG84" s="111"/>
      <c r="AH84" s="112"/>
      <c r="AI84" s="112"/>
      <c r="AJ84" s="112"/>
      <c r="AK84" s="112"/>
      <c r="AL84" s="112"/>
      <c r="AN84" s="114"/>
      <c r="AO84" s="115"/>
      <c r="AP84" s="115"/>
      <c r="AQ84" s="115"/>
      <c r="AR84" s="115"/>
      <c r="AS84" s="115"/>
      <c r="AU84" s="129"/>
      <c r="AV84" s="140"/>
      <c r="AW84" s="140"/>
      <c r="AX84" s="141"/>
      <c r="AY84" s="142"/>
      <c r="AZ84" s="143"/>
      <c r="BA84" s="141"/>
      <c r="BB84" s="127"/>
      <c r="BC84" s="102"/>
      <c r="BD84" s="140"/>
      <c r="BE84" s="85"/>
      <c r="BF84" s="42"/>
      <c r="BG84" s="42"/>
      <c r="BH84" s="42"/>
      <c r="BI84" s="42"/>
    </row>
    <row r="85" spans="33:61" x14ac:dyDescent="0.2">
      <c r="AG85" s="111"/>
      <c r="AH85" s="112"/>
      <c r="AI85" s="112"/>
      <c r="AJ85" s="112"/>
      <c r="AK85" s="112"/>
      <c r="AL85" s="112"/>
      <c r="AN85" s="114"/>
      <c r="AO85" s="115"/>
      <c r="AP85" s="115"/>
      <c r="AQ85" s="115"/>
      <c r="AR85" s="115"/>
      <c r="AS85" s="115"/>
      <c r="AU85" s="129"/>
      <c r="AV85" s="140"/>
      <c r="AW85" s="140"/>
      <c r="AX85" s="141"/>
      <c r="AY85" s="142"/>
      <c r="AZ85" s="143"/>
      <c r="BA85" s="141"/>
      <c r="BB85" s="127"/>
      <c r="BC85" s="102"/>
      <c r="BD85" s="140"/>
      <c r="BE85" s="85"/>
      <c r="BF85" s="42"/>
      <c r="BG85" s="42"/>
      <c r="BH85" s="42"/>
      <c r="BI85" s="42"/>
    </row>
    <row r="86" spans="33:61" x14ac:dyDescent="0.2">
      <c r="AG86" s="111"/>
      <c r="AH86" s="112"/>
      <c r="AI86" s="112"/>
      <c r="AJ86" s="112"/>
      <c r="AK86" s="112"/>
      <c r="AL86" s="112"/>
      <c r="AN86" s="114"/>
      <c r="AO86" s="115"/>
      <c r="AP86" s="115"/>
      <c r="AQ86" s="115"/>
      <c r="AR86" s="115"/>
      <c r="AS86" s="115"/>
      <c r="AU86" s="129"/>
      <c r="AV86" s="140"/>
      <c r="AW86" s="140"/>
      <c r="AX86" s="141"/>
      <c r="AY86" s="142"/>
      <c r="AZ86" s="143"/>
      <c r="BA86" s="141"/>
      <c r="BB86" s="127"/>
      <c r="BC86" s="102"/>
      <c r="BD86" s="140"/>
      <c r="BE86" s="85"/>
      <c r="BF86" s="42"/>
      <c r="BG86" s="42"/>
      <c r="BH86" s="42"/>
      <c r="BI86" s="42"/>
    </row>
    <row r="87" spans="33:61" x14ac:dyDescent="0.2">
      <c r="AG87" s="111"/>
      <c r="AH87" s="112"/>
      <c r="AI87" s="112"/>
      <c r="AJ87" s="112"/>
      <c r="AK87" s="112"/>
      <c r="AL87" s="112"/>
      <c r="AN87" s="114"/>
      <c r="AO87" s="115"/>
      <c r="AP87" s="115"/>
      <c r="AQ87" s="115"/>
      <c r="AR87" s="115"/>
      <c r="AS87" s="115"/>
      <c r="AU87" s="130" t="str">
        <f>_xlfn.XLOOKUP(8,LiabilitiesMaster[Num],LiabilitiesMaster[Name])</f>
        <v>Bonds Payable</v>
      </c>
      <c r="AV87" s="140"/>
      <c r="AW87" s="140">
        <f>IFERROR(_xlfn.XLOOKUP(AU87,BegBalSht[Account],BegBalSht[Amount]),0)</f>
        <v>0</v>
      </c>
      <c r="AX87" s="141" t="s">
        <v>94</v>
      </c>
      <c r="AY87" s="142">
        <f>IFERROR(_xlfn.XLOOKUP(AU87,$AI$67:$AI$80,$AK$67:$AK$80),0)</f>
        <v>0</v>
      </c>
      <c r="AZ87" s="143">
        <f>IFERROR(_xlfn.XLOOKUP(AU87,$AJ$51:$AJ$64,$AL$51:$AL$64),0)</f>
        <v>0</v>
      </c>
      <c r="BA87" s="141" t="s">
        <v>128</v>
      </c>
      <c r="BB87" s="127"/>
      <c r="BC87" s="102">
        <f>AW87-BG87+BH87</f>
        <v>0</v>
      </c>
      <c r="BD87" s="145">
        <f>-MIN(BC87-AW87-SUM(AZ87:AZ90)+SUM(AY87:AY90),0)</f>
        <v>0</v>
      </c>
      <c r="BE87" s="146">
        <f>MAX(BC87-AW87-SUM(AZ87:AZ90)+SUM(AY87:AY90),0)</f>
        <v>0</v>
      </c>
      <c r="BF87" s="42"/>
      <c r="BG87" s="42">
        <f>SUMIF(Journal[DrAccnt],AU87,Journal[DrAmt])</f>
        <v>0</v>
      </c>
      <c r="BH87" s="42">
        <f>SUMIF(Journal[CrAccnt],AU87,Journal[CrAmt])</f>
        <v>0</v>
      </c>
      <c r="BI87" s="42"/>
    </row>
    <row r="88" spans="33:61" x14ac:dyDescent="0.2">
      <c r="AG88" s="111"/>
      <c r="AH88" s="112"/>
      <c r="AI88" s="112"/>
      <c r="AJ88" s="112"/>
      <c r="AK88" s="112"/>
      <c r="AL88" s="112"/>
      <c r="AN88" s="114"/>
      <c r="AO88" s="115"/>
      <c r="AP88" s="115"/>
      <c r="AQ88" s="115"/>
      <c r="AR88" s="115"/>
      <c r="AS88" s="115"/>
      <c r="AU88" s="129"/>
      <c r="AV88" s="140"/>
      <c r="AW88" s="140"/>
      <c r="AX88" s="141" t="s">
        <v>110</v>
      </c>
      <c r="AY88" s="142">
        <f>IFERROR(_xlfn.XLOOKUP(AU87,AB59:AB64,AD59:AD64),0)</f>
        <v>0</v>
      </c>
      <c r="AZ88" s="143"/>
      <c r="BA88" s="141"/>
      <c r="BB88" s="127"/>
      <c r="BC88" s="102"/>
      <c r="BD88" s="140"/>
      <c r="BE88" s="85"/>
      <c r="BF88" s="42"/>
      <c r="BG88" s="42"/>
      <c r="BH88" s="42"/>
      <c r="BI88" s="42"/>
    </row>
    <row r="89" spans="33:61" x14ac:dyDescent="0.2">
      <c r="AU89" s="129"/>
      <c r="AV89" s="140"/>
      <c r="AW89" s="140"/>
      <c r="AX89" s="141"/>
      <c r="AY89" s="142"/>
      <c r="AZ89" s="143"/>
      <c r="BA89" s="141"/>
      <c r="BB89" s="127"/>
      <c r="BC89" s="102"/>
      <c r="BD89" s="140"/>
      <c r="BE89" s="85"/>
      <c r="BF89" s="42"/>
      <c r="BG89" s="42"/>
      <c r="BH89" s="42"/>
      <c r="BI89" s="42"/>
    </row>
    <row r="90" spans="33:61" x14ac:dyDescent="0.2">
      <c r="AG90" s="5" t="s">
        <v>502</v>
      </c>
      <c r="AJ90" s="4" t="s">
        <v>133</v>
      </c>
      <c r="AU90" s="129"/>
      <c r="AV90" s="140"/>
      <c r="AW90" s="140"/>
      <c r="AX90" s="141"/>
      <c r="AY90" s="142"/>
      <c r="AZ90" s="143"/>
      <c r="BA90" s="141"/>
      <c r="BB90" s="127"/>
      <c r="BC90" s="102"/>
      <c r="BD90" s="140"/>
      <c r="BE90" s="85"/>
      <c r="BF90" s="42"/>
      <c r="BG90" s="42"/>
      <c r="BH90" s="42"/>
      <c r="BI90" s="42"/>
    </row>
    <row r="91" spans="33:61" x14ac:dyDescent="0.2">
      <c r="AG91" s="111" t="e" cm="1">
        <f t="array" aca="1" ref="AG91" ca="1">_xlfn._xlws.FILTER(Journal[ref]:Journal[CrAmt],Journal[ref2]=AJ90,"")</f>
        <v>#NAME?</v>
      </c>
      <c r="AH91" s="112"/>
      <c r="AI91" s="112"/>
      <c r="AJ91" s="112"/>
      <c r="AK91" s="112"/>
      <c r="AL91" s="112"/>
      <c r="AU91" s="130" t="e">
        <f ca="1">_xlfn.XLOOKUP(9,LiabilitiesMaster[Num],LiabilitiesMaster[Name])</f>
        <v>#NAME?</v>
      </c>
      <c r="AV91" s="140"/>
      <c r="AW91" s="140">
        <f ca="1">IFERROR(_xlfn.XLOOKUP(AU91,BegBalSht[Account],BegBalSht[Amount]),0)</f>
        <v>0</v>
      </c>
      <c r="AX91" s="141" t="s">
        <v>94</v>
      </c>
      <c r="AY91" s="142">
        <f ca="1">IFERROR(_xlfn.XLOOKUP(AU91,$AI$67:$AI$80,$AK$67:$AK$80),0)</f>
        <v>0</v>
      </c>
      <c r="AZ91" s="143">
        <f ca="1">IFERROR(_xlfn.XLOOKUP(AU91,$AJ$51:$AJ$64,$AL$51:$AL$64),0)</f>
        <v>0</v>
      </c>
      <c r="BA91" s="141" t="s">
        <v>128</v>
      </c>
      <c r="BB91" s="127"/>
      <c r="BC91" s="102">
        <f ca="1">AW91-BG91+BH91</f>
        <v>0</v>
      </c>
      <c r="BD91" s="145">
        <f ca="1">-MIN(BC91-AW91-SUM(AZ91:AZ94)+SUM(AY91:AY94),0)</f>
        <v>0</v>
      </c>
      <c r="BE91" s="146">
        <f ca="1">MAX(BC91-AW91-SUM(AZ91:AZ94)+SUM(AY91:AY94),0)</f>
        <v>0</v>
      </c>
      <c r="BF91" s="42"/>
      <c r="BG91" s="42">
        <f ca="1">SUMIF(Journal[DrAccnt],AU91,Journal[DrAmt])</f>
        <v>0</v>
      </c>
      <c r="BH91" s="42">
        <f ca="1">SUMIF(Journal[CrAccnt],AU91,Journal[CrAmt])</f>
        <v>0</v>
      </c>
      <c r="BI91" s="42"/>
    </row>
    <row r="92" spans="33:61" x14ac:dyDescent="0.2">
      <c r="AG92" s="111"/>
      <c r="AH92" s="112"/>
      <c r="AI92" s="112"/>
      <c r="AJ92" s="112"/>
      <c r="AK92" s="112"/>
      <c r="AL92" s="112"/>
      <c r="AU92" s="129"/>
      <c r="AV92" s="140"/>
      <c r="AW92" s="140"/>
      <c r="AX92" s="141"/>
      <c r="AY92" s="142"/>
      <c r="AZ92" s="143"/>
      <c r="BA92" s="141"/>
      <c r="BB92" s="127"/>
      <c r="BC92" s="102"/>
      <c r="BD92" s="140"/>
      <c r="BE92" s="85"/>
      <c r="BF92" s="42"/>
      <c r="BG92" s="42"/>
      <c r="BH92" s="42"/>
      <c r="BI92" s="42"/>
    </row>
    <row r="93" spans="33:61" x14ac:dyDescent="0.2">
      <c r="AG93" s="111"/>
      <c r="AH93" s="112"/>
      <c r="AI93" s="112"/>
      <c r="AJ93" s="112"/>
      <c r="AK93" s="112"/>
      <c r="AL93" s="112"/>
      <c r="AU93" s="129"/>
      <c r="AV93" s="140"/>
      <c r="AW93" s="140"/>
      <c r="AX93" s="141"/>
      <c r="AY93" s="142"/>
      <c r="AZ93" s="143"/>
      <c r="BA93" s="141"/>
      <c r="BB93" s="127"/>
      <c r="BC93" s="102"/>
      <c r="BD93" s="140"/>
      <c r="BE93" s="85"/>
      <c r="BF93" s="42"/>
      <c r="BG93" s="42"/>
      <c r="BH93" s="42"/>
      <c r="BI93" s="42"/>
    </row>
    <row r="94" spans="33:61" x14ac:dyDescent="0.2">
      <c r="AG94" s="111"/>
      <c r="AH94" s="112"/>
      <c r="AI94" s="112"/>
      <c r="AJ94" s="112"/>
      <c r="AK94" s="112"/>
      <c r="AL94" s="112"/>
      <c r="AU94" s="129"/>
      <c r="AV94" s="140"/>
      <c r="AW94" s="140"/>
      <c r="AX94" s="141"/>
      <c r="AY94" s="142"/>
      <c r="AZ94" s="143"/>
      <c r="BA94" s="141"/>
      <c r="BB94" s="127"/>
      <c r="BC94" s="102"/>
      <c r="BD94" s="140"/>
      <c r="BE94" s="85"/>
      <c r="BF94" s="42"/>
      <c r="BG94" s="42"/>
      <c r="BH94" s="42"/>
      <c r="BI94" s="42"/>
    </row>
    <row r="95" spans="33:61" x14ac:dyDescent="0.2">
      <c r="AG95" s="111"/>
      <c r="AH95" s="112"/>
      <c r="AI95" s="112"/>
      <c r="AJ95" s="112"/>
      <c r="AK95" s="112"/>
      <c r="AL95" s="112"/>
      <c r="AU95" s="130" t="str">
        <f>_xlfn.XLOOKUP(10,LiabilitiesMaster[Num],LiabilitiesMaster[Name])</f>
        <v>Senior Debt</v>
      </c>
      <c r="AV95" s="140"/>
      <c r="AW95" s="140">
        <f>IFERROR(_xlfn.XLOOKUP(AU95,BegBalSht[Account],BegBalSht[Amount]),0)</f>
        <v>0</v>
      </c>
      <c r="AX95" s="141" t="s">
        <v>94</v>
      </c>
      <c r="AY95" s="142">
        <f>IFERROR(_xlfn.XLOOKUP(AU95,$AI$67:$AI$80,$AK$67:$AK$80),0)</f>
        <v>0</v>
      </c>
      <c r="AZ95" s="143">
        <f>IFERROR(_xlfn.XLOOKUP(AU95,$AJ$51:$AJ$64,$AL$51:$AL$64),0)</f>
        <v>0</v>
      </c>
      <c r="BA95" s="141" t="s">
        <v>128</v>
      </c>
      <c r="BB95" s="127"/>
      <c r="BC95" s="102">
        <f>AW95-BG95+BH95</f>
        <v>0</v>
      </c>
      <c r="BD95" s="145">
        <f>-MIN(BC95-AW95-SUM(AZ95:AZ98)+SUM(AY95:AY98),0)</f>
        <v>0</v>
      </c>
      <c r="BE95" s="146">
        <f>MAX(BC95-AW95-SUM(AZ95:AZ98)+SUM(AY95:AY98),0)</f>
        <v>0</v>
      </c>
      <c r="BF95" s="42"/>
      <c r="BG95" s="42">
        <f>SUMIF(Journal[DrAccnt],AU95,Journal[DrAmt])</f>
        <v>0</v>
      </c>
      <c r="BH95" s="42">
        <f>SUMIF(Journal[CrAccnt],AU95,Journal[CrAmt])</f>
        <v>0</v>
      </c>
      <c r="BI95" s="42"/>
    </row>
    <row r="96" spans="33:61" x14ac:dyDescent="0.2">
      <c r="AG96" s="111"/>
      <c r="AH96" s="112"/>
      <c r="AI96" s="112"/>
      <c r="AJ96" s="112"/>
      <c r="AK96" s="112"/>
      <c r="AL96" s="112"/>
      <c r="AU96" s="129"/>
      <c r="AV96" s="140"/>
      <c r="AW96" s="140"/>
      <c r="AX96" s="141"/>
      <c r="AY96" s="142"/>
      <c r="AZ96" s="143"/>
      <c r="BA96" s="141"/>
      <c r="BB96" s="127"/>
      <c r="BC96" s="102"/>
      <c r="BD96" s="140"/>
      <c r="BE96" s="85"/>
      <c r="BF96" s="42"/>
      <c r="BG96" s="42"/>
      <c r="BH96" s="42"/>
      <c r="BI96" s="42"/>
    </row>
    <row r="97" spans="47:61" x14ac:dyDescent="0.2">
      <c r="AU97" s="129"/>
      <c r="AV97" s="140"/>
      <c r="AW97" s="140"/>
      <c r="AX97" s="141"/>
      <c r="AY97" s="142"/>
      <c r="AZ97" s="143"/>
      <c r="BA97" s="141"/>
      <c r="BB97" s="127"/>
      <c r="BC97" s="102"/>
      <c r="BD97" s="140"/>
      <c r="BE97" s="85"/>
      <c r="BF97" s="42"/>
      <c r="BG97" s="42"/>
      <c r="BH97" s="42"/>
      <c r="BI97" s="42"/>
    </row>
    <row r="98" spans="47:61" x14ac:dyDescent="0.2">
      <c r="AU98" s="129"/>
      <c r="AV98" s="140"/>
      <c r="AW98" s="140"/>
      <c r="AX98" s="141"/>
      <c r="AY98" s="142"/>
      <c r="AZ98" s="143"/>
      <c r="BA98" s="141"/>
      <c r="BB98" s="127"/>
      <c r="BC98" s="102"/>
      <c r="BD98" s="140"/>
      <c r="BE98" s="85"/>
      <c r="BF98" s="42"/>
      <c r="BG98" s="42"/>
      <c r="BH98" s="42"/>
      <c r="BI98" s="42"/>
    </row>
    <row r="99" spans="47:61" x14ac:dyDescent="0.2">
      <c r="AU99" s="130" t="str">
        <f>_xlfn.XLOOKUP(11,LiabilitiesMaster[Num],LiabilitiesMaster[Name])</f>
        <v>Subordinated Debt</v>
      </c>
      <c r="AV99" s="140"/>
      <c r="AW99" s="140">
        <f>IFERROR(_xlfn.XLOOKUP(AU99,BegBalSht[Account],BegBalSht[Amount]),0)</f>
        <v>0</v>
      </c>
      <c r="AX99" s="141" t="s">
        <v>94</v>
      </c>
      <c r="AY99" s="142">
        <f>IFERROR(_xlfn.XLOOKUP(AU99,$AI$67:$AI$80,$AK$67:$AK$80),0)</f>
        <v>0</v>
      </c>
      <c r="AZ99" s="143">
        <f>IFERROR(_xlfn.XLOOKUP(AU99,$AJ$51:$AJ$64,$AL$51:$AL$64),0)</f>
        <v>0</v>
      </c>
      <c r="BA99" s="141" t="s">
        <v>128</v>
      </c>
      <c r="BB99" s="127"/>
      <c r="BC99" s="102">
        <f>AW99-BG99+BH99</f>
        <v>0</v>
      </c>
      <c r="BD99" s="145">
        <f>-MIN(BC99-AW99-SUM(AZ99:AZ102)+SUM(AY99:AY102),0)</f>
        <v>0</v>
      </c>
      <c r="BE99" s="146">
        <f>MAX(BC99-AW99-SUM(AZ99:AZ102)+SUM(AY99:AY102),0)</f>
        <v>0</v>
      </c>
      <c r="BF99" s="42"/>
      <c r="BG99" s="42">
        <f>SUMIF(Journal[DrAccnt],AU99,Journal[DrAmt])</f>
        <v>0</v>
      </c>
      <c r="BH99" s="42">
        <f>SUMIF(Journal[CrAccnt],AU99,Journal[CrAmt])</f>
        <v>0</v>
      </c>
      <c r="BI99" s="42"/>
    </row>
    <row r="100" spans="47:61" x14ac:dyDescent="0.2">
      <c r="AU100" s="129"/>
      <c r="AV100" s="140"/>
      <c r="AW100" s="140"/>
      <c r="AX100" s="141"/>
      <c r="AY100" s="142"/>
      <c r="AZ100" s="143"/>
      <c r="BA100" s="141"/>
      <c r="BB100" s="127"/>
      <c r="BC100" s="102"/>
      <c r="BD100" s="140"/>
      <c r="BE100" s="85"/>
      <c r="BF100" s="42"/>
      <c r="BG100" s="42"/>
      <c r="BH100" s="42"/>
      <c r="BI100" s="42"/>
    </row>
    <row r="101" spans="47:61" x14ac:dyDescent="0.2">
      <c r="AU101" s="129"/>
      <c r="AV101" s="140"/>
      <c r="AW101" s="140"/>
      <c r="AX101" s="141"/>
      <c r="AY101" s="142"/>
      <c r="AZ101" s="143"/>
      <c r="BA101" s="141"/>
      <c r="BB101" s="127"/>
      <c r="BC101" s="102"/>
      <c r="BD101" s="140"/>
      <c r="BE101" s="85"/>
      <c r="BF101" s="42"/>
      <c r="BG101" s="42"/>
      <c r="BH101" s="42"/>
      <c r="BI101" s="42"/>
    </row>
    <row r="102" spans="47:61" x14ac:dyDescent="0.2">
      <c r="AU102" s="129"/>
      <c r="AV102" s="140"/>
      <c r="AW102" s="140"/>
      <c r="AX102" s="141"/>
      <c r="AY102" s="142"/>
      <c r="AZ102" s="143"/>
      <c r="BA102" s="141"/>
      <c r="BB102" s="127"/>
      <c r="BC102" s="102"/>
      <c r="BD102" s="140"/>
      <c r="BE102" s="85"/>
      <c r="BF102" s="42"/>
      <c r="BG102" s="42"/>
      <c r="BH102" s="42"/>
      <c r="BI102" s="42"/>
    </row>
    <row r="103" spans="47:61" x14ac:dyDescent="0.2">
      <c r="AU103" s="130" t="str">
        <f>_xlfn.XLOOKUP(1,EquitiesMaster[Num],EquitiesMaster[Name])</f>
        <v>Preferred Stock</v>
      </c>
      <c r="AV103" s="140"/>
      <c r="AW103" s="140">
        <f>IFERROR(_xlfn.XLOOKUP(AU103,BegBalSht[Account],BegBalSht[Amount]),0)</f>
        <v>0</v>
      </c>
      <c r="AX103" s="141"/>
      <c r="AY103" s="142"/>
      <c r="AZ103" s="143"/>
      <c r="BA103" s="141"/>
      <c r="BB103" s="127"/>
      <c r="BC103" s="102">
        <f>AW103-BG103+BH103</f>
        <v>0</v>
      </c>
      <c r="BD103" s="145">
        <f>-MIN(BC103-AW103-SUM(AZ103:AZ106)+SUM(AY103:AY106),0)</f>
        <v>0</v>
      </c>
      <c r="BE103" s="146">
        <f>MAX(BC103-AW103-SUM(AZ103:AZ106)+SUM(AY103:AY106),0)</f>
        <v>0</v>
      </c>
      <c r="BF103" s="42"/>
      <c r="BG103" s="42">
        <f>SUMIF(Journal[DrAccnt],AU103,Journal[DrAmt])</f>
        <v>0</v>
      </c>
      <c r="BH103" s="42">
        <f>SUMIF(Journal[CrAccnt],AU103,Journal[CrAmt])</f>
        <v>0</v>
      </c>
      <c r="BI103" s="42"/>
    </row>
    <row r="104" spans="47:61" x14ac:dyDescent="0.2">
      <c r="AU104" s="129"/>
      <c r="AV104" s="140"/>
      <c r="AW104" s="140"/>
      <c r="AX104" s="141"/>
      <c r="AY104" s="142"/>
      <c r="AZ104" s="143"/>
      <c r="BA104" s="141"/>
      <c r="BB104" s="127"/>
      <c r="BC104" s="102"/>
      <c r="BD104" s="140"/>
      <c r="BE104" s="85"/>
      <c r="BF104" s="42"/>
      <c r="BG104" s="42"/>
      <c r="BH104" s="42"/>
      <c r="BI104" s="42"/>
    </row>
    <row r="105" spans="47:61" x14ac:dyDescent="0.2">
      <c r="AU105" s="129"/>
      <c r="AV105" s="140"/>
      <c r="AW105" s="140"/>
      <c r="AX105" s="141"/>
      <c r="AY105" s="142"/>
      <c r="AZ105" s="143"/>
      <c r="BA105" s="141"/>
      <c r="BB105" s="127"/>
      <c r="BC105" s="102"/>
      <c r="BD105" s="140"/>
      <c r="BE105" s="85"/>
      <c r="BF105" s="42"/>
      <c r="BG105" s="42"/>
      <c r="BH105" s="42"/>
      <c r="BI105" s="42"/>
    </row>
    <row r="106" spans="47:61" x14ac:dyDescent="0.2">
      <c r="AU106" s="129"/>
      <c r="AV106" s="140"/>
      <c r="AW106" s="140"/>
      <c r="AX106" s="141"/>
      <c r="AY106" s="142"/>
      <c r="AZ106" s="143"/>
      <c r="BA106" s="141"/>
      <c r="BB106" s="127"/>
      <c r="BC106" s="102"/>
      <c r="BD106" s="140"/>
      <c r="BE106" s="85"/>
      <c r="BF106" s="42"/>
      <c r="BG106" s="42"/>
      <c r="BH106" s="42"/>
      <c r="BI106" s="42"/>
    </row>
    <row r="107" spans="47:61" x14ac:dyDescent="0.2">
      <c r="AU107" s="130" t="str">
        <f>_xlfn.XLOOKUP(2,EquitiesMaster[Num],EquitiesMaster[Name])</f>
        <v>Common Stock</v>
      </c>
      <c r="AV107" s="140"/>
      <c r="AW107" s="140">
        <f>IFERROR(_xlfn.XLOOKUP(AU107,BegBalSht[Account],BegBalSht[Amount]),0)</f>
        <v>0</v>
      </c>
      <c r="AX107" s="141"/>
      <c r="AY107" s="142"/>
      <c r="AZ107" s="143">
        <f>IFERROR(_xlfn.XLOOKUP(AU107,$AC$3:$AC$8,$AE$3:$AE$8),0)</f>
        <v>0</v>
      </c>
      <c r="BA107" s="141" t="s">
        <v>96</v>
      </c>
      <c r="BB107" s="127"/>
      <c r="BC107" s="102">
        <f>AW107-BG107+BH107</f>
        <v>0</v>
      </c>
      <c r="BD107" s="145">
        <f>-MIN(BC107-AW107-SUM(AZ107:AZ110)+SUM(AY107:AY110),0)</f>
        <v>0</v>
      </c>
      <c r="BE107" s="146">
        <f>MAX(BC107-AW107-SUM(AZ107:AZ110)+SUM(AY107:AY110),0)</f>
        <v>0</v>
      </c>
      <c r="BF107" s="42"/>
      <c r="BG107" s="42">
        <f>SUMIF(Journal[DrAccnt],AU107,Journal[DrAmt])</f>
        <v>0</v>
      </c>
      <c r="BH107" s="42">
        <f>SUMIF(Journal[CrAccnt],AU107,Journal[CrAmt])</f>
        <v>0</v>
      </c>
      <c r="BI107" s="42"/>
    </row>
    <row r="108" spans="47:61" x14ac:dyDescent="0.2">
      <c r="AU108" s="129"/>
      <c r="AV108" s="140"/>
      <c r="AW108" s="140"/>
      <c r="AX108" s="141"/>
      <c r="AY108" s="142"/>
      <c r="AZ108" s="143">
        <f>IFERROR(_xlfn.XLOOKUP(AU107,AQ11:AQ16,AS11:AS16),0)</f>
        <v>0</v>
      </c>
      <c r="BA108" s="141" t="s">
        <v>122</v>
      </c>
      <c r="BB108" s="127"/>
      <c r="BC108" s="102"/>
      <c r="BD108" s="140"/>
      <c r="BE108" s="85"/>
      <c r="BF108" s="42"/>
      <c r="BG108" s="42"/>
      <c r="BH108" s="42"/>
      <c r="BI108" s="42"/>
    </row>
    <row r="109" spans="47:61" x14ac:dyDescent="0.2">
      <c r="AU109" s="129"/>
      <c r="AV109" s="140"/>
      <c r="AW109" s="140"/>
      <c r="AX109" s="141"/>
      <c r="AY109" s="142"/>
      <c r="AZ109" s="143"/>
      <c r="BA109" s="141"/>
      <c r="BB109" s="127"/>
      <c r="BC109" s="102"/>
      <c r="BD109" s="140"/>
      <c r="BE109" s="85"/>
      <c r="BF109" s="42"/>
      <c r="BG109" s="42"/>
      <c r="BH109" s="42"/>
      <c r="BI109" s="42"/>
    </row>
    <row r="110" spans="47:61" x14ac:dyDescent="0.2">
      <c r="AU110" s="129"/>
      <c r="AV110" s="140"/>
      <c r="AW110" s="140"/>
      <c r="AX110" s="141"/>
      <c r="AY110" s="142"/>
      <c r="AZ110" s="143"/>
      <c r="BA110" s="141"/>
      <c r="BB110" s="127"/>
      <c r="BC110" s="102"/>
      <c r="BD110" s="140"/>
      <c r="BE110" s="85"/>
      <c r="BF110" s="42"/>
      <c r="BG110" s="42"/>
      <c r="BH110" s="42"/>
      <c r="BI110" s="42"/>
    </row>
    <row r="111" spans="47:61" x14ac:dyDescent="0.2">
      <c r="AU111" s="130" t="str">
        <f>_xlfn.XLOOKUP(3,EquitiesMaster[Num],EquitiesMaster[Name])</f>
        <v>Additional Paid-in Capital</v>
      </c>
      <c r="AV111" s="140"/>
      <c r="AW111" s="140">
        <f>IFERROR(_xlfn.XLOOKUP(AU111,BegBalSht[Account],BegBalSht[Amount]),0)</f>
        <v>0</v>
      </c>
      <c r="AX111" s="141"/>
      <c r="AY111" s="142"/>
      <c r="AZ111" s="143">
        <f>IFERROR(_xlfn.XLOOKUP(AU111,$AC$3:$AC$8,$AE$3:$AE$8),0)</f>
        <v>0</v>
      </c>
      <c r="BA111" s="141" t="s">
        <v>96</v>
      </c>
      <c r="BB111" s="127"/>
      <c r="BC111" s="102">
        <f>AW111-BG111+BH111</f>
        <v>0</v>
      </c>
      <c r="BD111" s="145">
        <f>-MIN(BC111-AW111-SUM(AZ111:AZ114)+SUM(AY111:AY114),0)</f>
        <v>0</v>
      </c>
      <c r="BE111" s="146">
        <f>MAX(BC111-AW111-SUM(AZ111:AZ114)+SUM(AY111:AY114),0)</f>
        <v>0</v>
      </c>
      <c r="BF111" s="42"/>
      <c r="BG111" s="42">
        <f>SUMIF(Journal[DrAccnt],AU111,Journal[DrAmt])</f>
        <v>0</v>
      </c>
      <c r="BH111" s="42">
        <f>SUMIF(Journal[CrAccnt],AU111,Journal[CrAmt])</f>
        <v>0</v>
      </c>
      <c r="BI111" s="42"/>
    </row>
    <row r="112" spans="47:61" x14ac:dyDescent="0.2">
      <c r="AU112" s="129"/>
      <c r="AV112" s="140"/>
      <c r="AW112" s="140"/>
      <c r="AX112" s="141"/>
      <c r="AY112" s="142"/>
      <c r="AZ112" s="143"/>
      <c r="BA112" s="141"/>
      <c r="BB112" s="127"/>
      <c r="BC112" s="102"/>
      <c r="BD112" s="140"/>
      <c r="BE112" s="85"/>
      <c r="BF112" s="42"/>
      <c r="BG112" s="42"/>
      <c r="BH112" s="42"/>
      <c r="BI112" s="42"/>
    </row>
    <row r="113" spans="47:61" x14ac:dyDescent="0.2">
      <c r="AU113" s="129"/>
      <c r="AV113" s="140"/>
      <c r="AW113" s="140"/>
      <c r="AX113" s="141"/>
      <c r="AY113" s="142"/>
      <c r="AZ113" s="143"/>
      <c r="BA113" s="141"/>
      <c r="BB113" s="127"/>
      <c r="BC113" s="102"/>
      <c r="BD113" s="140"/>
      <c r="BE113" s="85"/>
      <c r="BF113" s="42"/>
      <c r="BG113" s="42"/>
      <c r="BH113" s="42"/>
      <c r="BI113" s="42"/>
    </row>
    <row r="114" spans="47:61" x14ac:dyDescent="0.2">
      <c r="AU114" s="129"/>
      <c r="AV114" s="140"/>
      <c r="AW114" s="140"/>
      <c r="AX114" s="141"/>
      <c r="AY114" s="142"/>
      <c r="AZ114" s="143"/>
      <c r="BA114" s="141"/>
      <c r="BB114" s="127"/>
      <c r="BC114" s="102"/>
      <c r="BD114" s="140"/>
      <c r="BE114" s="85"/>
      <c r="BF114" s="42"/>
      <c r="BG114" s="42"/>
      <c r="BH114" s="42"/>
      <c r="BI114" s="42"/>
    </row>
    <row r="115" spans="47:61" x14ac:dyDescent="0.2">
      <c r="AU115" s="130" t="str">
        <f>_xlfn.XLOOKUP(4,EquitiesMaster[Num],EquitiesMaster[Name])</f>
        <v>Accumulated Other Comprehensive Income</v>
      </c>
      <c r="AV115" s="140"/>
      <c r="AW115" s="140">
        <f>IFERROR(_xlfn.XLOOKUP(AU115,BegBalSht[Account],BegBalSht[Amount]),0)</f>
        <v>0</v>
      </c>
      <c r="AX115" s="141"/>
      <c r="AY115" s="142"/>
      <c r="AZ115" s="143"/>
      <c r="BA115" s="141"/>
      <c r="BB115" s="127"/>
      <c r="BC115" s="102">
        <f>AW115-BG115+BH115</f>
        <v>0</v>
      </c>
      <c r="BD115" s="145">
        <f>-MIN(BC115-AW115-SUM(AZ115:AZ118)+SUM(AY115:AY118),0)</f>
        <v>0</v>
      </c>
      <c r="BE115" s="146">
        <f>MAX(BC115-AW115-SUM(AZ115:AZ118)+SUM(AY115:AY118),0)</f>
        <v>0</v>
      </c>
      <c r="BF115" s="42"/>
      <c r="BG115" s="42">
        <f>SUMIF(Journal[DrAccnt],AU115,Journal[DrAmt])</f>
        <v>0</v>
      </c>
      <c r="BH115" s="42">
        <f>SUMIF(Journal[CrAccnt],AU115,Journal[CrAmt])</f>
        <v>0</v>
      </c>
      <c r="BI115" s="42"/>
    </row>
    <row r="116" spans="47:61" x14ac:dyDescent="0.2">
      <c r="AU116" s="129"/>
      <c r="AV116" s="140"/>
      <c r="AW116" s="140"/>
      <c r="AX116" s="141"/>
      <c r="AY116" s="142"/>
      <c r="AZ116" s="143"/>
      <c r="BA116" s="141"/>
      <c r="BB116" s="127"/>
      <c r="BC116" s="102"/>
      <c r="BD116" s="140"/>
      <c r="BE116" s="85"/>
      <c r="BF116" s="42"/>
      <c r="BG116" s="42"/>
      <c r="BH116" s="42"/>
      <c r="BI116" s="42"/>
    </row>
    <row r="117" spans="47:61" x14ac:dyDescent="0.2">
      <c r="AU117" s="129"/>
      <c r="AV117" s="140"/>
      <c r="AW117" s="140"/>
      <c r="AX117" s="141"/>
      <c r="AY117" s="142"/>
      <c r="AZ117" s="143"/>
      <c r="BA117" s="141"/>
      <c r="BB117" s="127"/>
      <c r="BC117" s="102"/>
      <c r="BD117" s="140"/>
      <c r="BE117" s="85"/>
      <c r="BF117" s="42"/>
      <c r="BG117" s="42"/>
      <c r="BH117" s="42"/>
      <c r="BI117" s="42"/>
    </row>
    <row r="118" spans="47:61" x14ac:dyDescent="0.2">
      <c r="AU118" s="129"/>
      <c r="AV118" s="140"/>
      <c r="AW118" s="140"/>
      <c r="AX118" s="141"/>
      <c r="AY118" s="142"/>
      <c r="AZ118" s="143"/>
      <c r="BA118" s="141"/>
      <c r="BB118" s="127"/>
      <c r="BC118" s="102"/>
      <c r="BD118" s="140"/>
      <c r="BE118" s="85"/>
      <c r="BF118" s="42"/>
      <c r="BG118" s="42"/>
      <c r="BH118" s="42"/>
      <c r="BI118" s="42"/>
    </row>
    <row r="119" spans="47:61" x14ac:dyDescent="0.2">
      <c r="AU119" s="130" t="str">
        <f>_xlfn.XLOOKUP(5,EquitiesMaster[Num],EquitiesMaster[Name])</f>
        <v>Retained Earnings</v>
      </c>
      <c r="AV119" s="140"/>
      <c r="AW119" s="140">
        <f>IFERROR(_xlfn.XLOOKUP(AU119,BegBalSht[Account],BegBalSht[Amount]),0)</f>
        <v>0</v>
      </c>
      <c r="AX119" s="141" t="s">
        <v>106</v>
      </c>
      <c r="AY119" s="142">
        <f>IFERROR(_xlfn.XLOOKUP(AU119,AP27:AP32,AR27:AR32),0)</f>
        <v>0</v>
      </c>
      <c r="AZ119" s="143"/>
      <c r="BA119" s="141"/>
      <c r="BB119" s="127"/>
      <c r="BC119" s="102">
        <f>AW119-BG119+BH119</f>
        <v>0</v>
      </c>
      <c r="BD119" s="147">
        <f>-MIN(BC119-AW119-SUM(AZ119:AZ122)+SUM(AY119:AY122),0)</f>
        <v>0</v>
      </c>
      <c r="BE119" s="148">
        <f>MAX(BC119-AW119-SUM(AZ119:AZ122)+SUM(AY119:AY122),0)</f>
        <v>0</v>
      </c>
      <c r="BF119" s="42"/>
      <c r="BG119" s="42">
        <f>SUMIF(Journal[DrAccnt],AU119,Journal[DrAmt])</f>
        <v>0</v>
      </c>
      <c r="BH119" s="42">
        <f>SUMIF(Journal[CrAccnt],AU119,Journal[CrAmt])</f>
        <v>0</v>
      </c>
      <c r="BI119" s="42"/>
    </row>
    <row r="120" spans="47:61" x14ac:dyDescent="0.2">
      <c r="AU120" s="129"/>
      <c r="AV120" s="140"/>
      <c r="AW120" s="140"/>
      <c r="AX120" s="141"/>
      <c r="AY120" s="142"/>
      <c r="AZ120" s="143"/>
      <c r="BA120" s="141"/>
      <c r="BB120" s="127"/>
      <c r="BC120" s="102"/>
      <c r="BD120" s="140"/>
      <c r="BE120" s="85"/>
      <c r="BF120" s="42"/>
      <c r="BG120" s="42"/>
      <c r="BH120" s="42"/>
      <c r="BI120" s="42"/>
    </row>
    <row r="121" spans="47:61" x14ac:dyDescent="0.2">
      <c r="AU121" s="129"/>
      <c r="AV121" s="140"/>
      <c r="AW121" s="140"/>
      <c r="AX121" s="141"/>
      <c r="AY121" s="142"/>
      <c r="AZ121" s="143"/>
      <c r="BA121" s="141"/>
      <c r="BB121" s="127"/>
      <c r="BC121" s="102"/>
      <c r="BD121" s="140"/>
      <c r="BE121" s="85"/>
      <c r="BF121" s="42"/>
      <c r="BG121" s="42"/>
      <c r="BH121" s="42"/>
      <c r="BI121" s="42"/>
    </row>
    <row r="122" spans="47:61" x14ac:dyDescent="0.2">
      <c r="AU122" s="129"/>
      <c r="AV122" s="140"/>
      <c r="AW122" s="140"/>
      <c r="AX122" s="141"/>
      <c r="AY122" s="142"/>
      <c r="AZ122" s="143"/>
      <c r="BA122" s="141"/>
      <c r="BB122" s="127"/>
      <c r="BC122" s="102"/>
      <c r="BD122" s="140"/>
      <c r="BE122" s="85"/>
      <c r="BF122" s="42"/>
      <c r="BG122" s="42"/>
      <c r="BH122" s="42"/>
      <c r="BI122" s="42"/>
    </row>
    <row r="123" spans="47:61" x14ac:dyDescent="0.2">
      <c r="AU123" s="130" t="str">
        <f>_xlfn.XLOOKUP(6,EquitiesMaster[Num],EquitiesMaster[Name])</f>
        <v>Treasury Stock</v>
      </c>
      <c r="AV123" s="140" cm="1">
        <f t="array" ref="AV123">IFERROR(_xlfn.XLOOKUP(AU123,BegBalSht[Account],-BegBalSht[Amount]),0)</f>
        <v>0</v>
      </c>
      <c r="AW123" s="140"/>
      <c r="AX123" s="141"/>
      <c r="AY123" s="142"/>
      <c r="AZ123" s="143"/>
      <c r="BA123" s="141"/>
      <c r="BB123" s="127">
        <f>AV123+BG123-BH123</f>
        <v>0</v>
      </c>
      <c r="BC123" s="102"/>
      <c r="BD123" s="147">
        <f>-MIN(BC123-AW123-SUM(AZ123:AZ126)+SUM(AY123:AY126),0)</f>
        <v>0</v>
      </c>
      <c r="BE123" s="148">
        <f>MAX(BC123-AW123-SUM(AZ123:AZ126)+SUM(AY123:AY126),0)</f>
        <v>0</v>
      </c>
      <c r="BF123" s="42"/>
      <c r="BG123" s="42">
        <f>SUMIF(Journal[DrAccnt],AU123,Journal[DrAmt])</f>
        <v>0</v>
      </c>
      <c r="BH123" s="42">
        <f>SUMIF(Journal[CrAccnt],AU123,Journal[CrAmt])</f>
        <v>0</v>
      </c>
      <c r="BI123" s="42"/>
    </row>
    <row r="124" spans="47:61" x14ac:dyDescent="0.2">
      <c r="AU124" s="129"/>
      <c r="AV124" s="127"/>
      <c r="AW124" s="127"/>
      <c r="AX124" s="149"/>
      <c r="AY124" s="108"/>
      <c r="AZ124" s="108"/>
      <c r="BA124" s="141"/>
      <c r="BB124" s="127"/>
      <c r="BC124" s="102"/>
      <c r="BD124" s="150"/>
      <c r="BE124" s="151"/>
      <c r="BF124" s="42"/>
      <c r="BG124" s="42"/>
      <c r="BH124" s="42"/>
      <c r="BI124" s="42"/>
    </row>
    <row r="125" spans="47:61" x14ac:dyDescent="0.2">
      <c r="AU125" s="129"/>
      <c r="AV125" s="127"/>
      <c r="AW125" s="127"/>
      <c r="AX125" s="152"/>
      <c r="AY125" s="108"/>
      <c r="AZ125" s="108"/>
      <c r="BA125" s="141"/>
      <c r="BB125" s="127"/>
      <c r="BC125" s="102"/>
      <c r="BD125" s="150"/>
      <c r="BE125" s="151"/>
      <c r="BF125" s="42"/>
      <c r="BG125" s="42"/>
      <c r="BH125" s="42"/>
      <c r="BI125" s="42"/>
    </row>
    <row r="126" spans="47:61" x14ac:dyDescent="0.2">
      <c r="AU126" s="129"/>
      <c r="AV126" s="140"/>
      <c r="AW126" s="140"/>
      <c r="AX126" s="141"/>
      <c r="AY126" s="142"/>
      <c r="AZ126" s="143"/>
      <c r="BA126" s="141"/>
      <c r="BB126" s="127"/>
      <c r="BC126" s="102"/>
      <c r="BD126" s="140"/>
      <c r="BE126" s="85"/>
      <c r="BF126" s="42"/>
      <c r="BG126" s="42"/>
      <c r="BH126" s="42"/>
      <c r="BI126" s="42"/>
    </row>
    <row r="127" spans="47:61" x14ac:dyDescent="0.2">
      <c r="AU127" s="130" t="str">
        <f>_xlfn.XLOOKUP(7,EquitiesMaster[Num],EquitiesMaster[Name])</f>
        <v>Noncontrolling Interests in Subsidiaries</v>
      </c>
      <c r="AV127" s="140" cm="1">
        <f t="array" ref="AV127">IFERROR(_xlfn.XLOOKUP(AU127,BegBalSht[Account],-BegBalSht[Amount]),0)</f>
        <v>0</v>
      </c>
      <c r="AW127" s="140"/>
      <c r="AX127" s="141"/>
      <c r="AY127" s="142"/>
      <c r="AZ127" s="143"/>
      <c r="BA127" s="141"/>
      <c r="BB127" s="127">
        <f>AV127+BG127-BH127</f>
        <v>0</v>
      </c>
      <c r="BC127" s="102"/>
      <c r="BD127" s="147">
        <f>MAX(BB127-AV127-SUM(AY127:AY130)+SUM(AZ127:AZ130),0)</f>
        <v>0</v>
      </c>
      <c r="BE127" s="148">
        <f>-MIN(BB127-AV127-SUM(AY127:AY130)+SUM(AZ127:AZ130),0)</f>
        <v>0</v>
      </c>
      <c r="BF127" s="42"/>
      <c r="BG127" s="42">
        <f>SUMIF(Journal[DrAccnt],AU127,Journal[DrAmt])</f>
        <v>0</v>
      </c>
      <c r="BH127" s="42">
        <f>SUMIF(Journal[CrAccnt],AU127,Journal[CrAmt])</f>
        <v>0</v>
      </c>
      <c r="BI127" s="42"/>
    </row>
    <row r="128" spans="47:61" x14ac:dyDescent="0.2">
      <c r="AU128" s="129"/>
      <c r="AV128" s="140"/>
      <c r="AW128" s="140"/>
      <c r="AX128" s="141"/>
      <c r="AY128" s="142"/>
      <c r="AZ128" s="143"/>
      <c r="BA128" s="141"/>
      <c r="BB128" s="127"/>
      <c r="BC128" s="102"/>
      <c r="BD128" s="140"/>
      <c r="BE128" s="85"/>
      <c r="BF128" s="42"/>
    </row>
    <row r="129" spans="47:61" x14ac:dyDescent="0.2">
      <c r="AU129" s="129"/>
      <c r="AV129" s="140"/>
      <c r="AW129" s="140"/>
      <c r="AX129" s="141"/>
      <c r="AY129" s="142"/>
      <c r="AZ129" s="143"/>
      <c r="BA129" s="141"/>
      <c r="BB129" s="127"/>
      <c r="BC129" s="102"/>
      <c r="BD129" s="140"/>
      <c r="BE129" s="85"/>
      <c r="BF129" s="42"/>
    </row>
    <row r="130" spans="47:61" ht="16" thickBot="1" x14ac:dyDescent="0.25">
      <c r="AU130" s="131"/>
      <c r="AV130" s="132"/>
      <c r="AW130" s="132"/>
      <c r="AX130" s="153"/>
      <c r="AY130" s="109"/>
      <c r="AZ130" s="109"/>
      <c r="BA130" s="154"/>
      <c r="BB130" s="132"/>
      <c r="BC130" s="155"/>
      <c r="BD130" s="150"/>
      <c r="BE130" s="156"/>
      <c r="BF130" s="42"/>
    </row>
    <row r="131" spans="47:61" ht="17" thickTop="1" thickBot="1" x14ac:dyDescent="0.25">
      <c r="AV131" s="140"/>
      <c r="AW131" s="140"/>
      <c r="AX131" s="141"/>
      <c r="AY131" s="157" t="s">
        <v>159</v>
      </c>
      <c r="AZ131" s="157"/>
      <c r="BA131" s="141"/>
      <c r="BB131" s="140"/>
      <c r="BC131" s="140"/>
      <c r="BD131" s="158"/>
      <c r="BE131" s="158"/>
      <c r="BF131" s="42"/>
    </row>
    <row r="132" spans="47:61" x14ac:dyDescent="0.2">
      <c r="AV132" s="42"/>
      <c r="AW132" s="42"/>
      <c r="AX132" s="159" t="s">
        <v>517</v>
      </c>
      <c r="AY132" s="42">
        <f>_xlfn.XLOOKUP("Cash",BegBalSht[Account],BegBalSht[Amount])</f>
        <v>0</v>
      </c>
      <c r="AZ132" s="42"/>
      <c r="BA132" s="160"/>
      <c r="BB132" s="42"/>
      <c r="BC132" s="42"/>
      <c r="BD132" s="42"/>
      <c r="BE132" s="42"/>
      <c r="BF132" s="42"/>
    </row>
    <row r="133" spans="47:61" x14ac:dyDescent="0.2">
      <c r="AV133" s="42"/>
      <c r="AW133" s="42"/>
      <c r="AX133" s="160"/>
      <c r="AY133" s="161" t="s">
        <v>436</v>
      </c>
      <c r="AZ133" s="161"/>
      <c r="BA133" s="160"/>
      <c r="BB133" s="42"/>
      <c r="BC133" s="42"/>
      <c r="BD133" s="42"/>
      <c r="BE133" s="42"/>
      <c r="BF133" s="42"/>
    </row>
    <row r="134" spans="47:61" x14ac:dyDescent="0.2">
      <c r="AV134" s="42"/>
      <c r="AW134" s="42"/>
      <c r="AX134" s="160" t="s">
        <v>518</v>
      </c>
      <c r="AY134" s="162">
        <f>F35</f>
        <v>0</v>
      </c>
      <c r="AZ134" s="42"/>
      <c r="BA134" s="160" t="s">
        <v>519</v>
      </c>
      <c r="BB134" s="42"/>
      <c r="BC134" s="42"/>
      <c r="BD134" s="42"/>
      <c r="BE134" s="42"/>
      <c r="BF134" s="42"/>
      <c r="BG134" s="42"/>
      <c r="BH134" s="159" t="s">
        <v>331</v>
      </c>
      <c r="BI134" s="159" t="s">
        <v>333</v>
      </c>
    </row>
    <row r="135" spans="47:61" x14ac:dyDescent="0.2">
      <c r="AV135" s="42"/>
      <c r="AW135" s="42"/>
      <c r="AX135" s="160" t="s">
        <v>520</v>
      </c>
      <c r="AY135" s="85">
        <f>IFERROR(_xlfn.XLOOKUP("Loss on Sale of PP&amp;E",AI27:AI32,AK27:AK32),0)</f>
        <v>0</v>
      </c>
      <c r="AZ135" s="42">
        <f>IFERROR(_xlfn.XLOOKUP("Gain on Sale of PP&amp;E",AJ27:AJ32,AL27:AL32),0)</f>
        <v>0</v>
      </c>
      <c r="BA135" s="160" t="s">
        <v>521</v>
      </c>
      <c r="BB135" s="42"/>
      <c r="BC135" s="42"/>
      <c r="BD135" s="42"/>
      <c r="BE135" s="42"/>
      <c r="BF135" s="42"/>
      <c r="BG135" s="42" t="s">
        <v>522</v>
      </c>
      <c r="BH135" s="42">
        <f ca="1">SUM(AY3:AY130)</f>
        <v>0</v>
      </c>
      <c r="BI135" s="42">
        <f ca="1">SUM(AZ3:AZ130)</f>
        <v>0</v>
      </c>
    </row>
    <row r="136" spans="47:61" x14ac:dyDescent="0.2">
      <c r="AV136" s="42"/>
      <c r="AW136" s="42"/>
      <c r="AX136" s="160" t="s">
        <v>523</v>
      </c>
      <c r="AY136" s="85">
        <f>IFERROR(_xlfn.XLOOKUP("Loss on Sale of Subsidiary",$AI$67:$AI$80,$AK$67:$AK$80),0)</f>
        <v>0</v>
      </c>
      <c r="AZ136" s="140">
        <f>IFERROR(_xlfn.XLOOKUP("Gain on Sale of Subsidiary",$AJ$67:$AJ$80,$AL$67:$AL$80),0)</f>
        <v>0</v>
      </c>
      <c r="BA136" s="141" t="s">
        <v>524</v>
      </c>
      <c r="BB136" s="42"/>
      <c r="BC136" s="42"/>
      <c r="BD136" s="42"/>
      <c r="BE136" s="42"/>
      <c r="BF136" s="42"/>
      <c r="BG136" s="42" t="s">
        <v>525</v>
      </c>
      <c r="BH136" s="42">
        <f ca="1">SUM(BD3:BD130)</f>
        <v>0</v>
      </c>
      <c r="BI136" s="42">
        <f ca="1">SUM(BE3:BE130)</f>
        <v>0</v>
      </c>
    </row>
    <row r="137" spans="47:61" x14ac:dyDescent="0.2">
      <c r="AV137" s="42"/>
      <c r="AW137" s="42"/>
      <c r="AX137" s="160" t="s">
        <v>526</v>
      </c>
      <c r="AY137" s="85">
        <f>IFERROR(_xlfn.XLOOKUP("LOss on Retirement of Debt",AB59:AB64,AD59:AD64),0)</f>
        <v>0</v>
      </c>
      <c r="AZ137" s="42">
        <f>IFERROR(_xlfn.XLOOKUP("Gain on Retirement of Debt",AC59:AC64,AE59:AE64),0)</f>
        <v>0</v>
      </c>
      <c r="BA137" s="160" t="s">
        <v>527</v>
      </c>
      <c r="BB137" s="42"/>
      <c r="BC137" s="42"/>
      <c r="BD137" s="42"/>
      <c r="BE137" s="42"/>
      <c r="BF137" s="42"/>
      <c r="BG137" s="42" t="s">
        <v>436</v>
      </c>
      <c r="BH137" s="42">
        <f ca="1">SUM(AY134:AY159)</f>
        <v>0</v>
      </c>
      <c r="BI137" s="42">
        <f ca="1">SUM(AZ134:AZ159)</f>
        <v>0</v>
      </c>
    </row>
    <row r="138" spans="47:61" x14ac:dyDescent="0.2">
      <c r="AV138" s="42"/>
      <c r="AW138" s="42"/>
      <c r="AX138" s="160" t="s">
        <v>292</v>
      </c>
      <c r="AY138" s="85">
        <f ca="1">BE11</f>
        <v>0</v>
      </c>
      <c r="AZ138" s="42">
        <f ca="1">BD11</f>
        <v>0</v>
      </c>
      <c r="BA138" s="160" t="s">
        <v>282</v>
      </c>
      <c r="BB138" s="42"/>
      <c r="BC138" s="42"/>
      <c r="BD138" s="42"/>
      <c r="BE138" s="42"/>
      <c r="BF138" s="42"/>
      <c r="BG138" s="42" t="s">
        <v>528</v>
      </c>
      <c r="BH138" s="42">
        <f>SUM(AY176:AY182)</f>
        <v>0</v>
      </c>
      <c r="BI138" s="42">
        <f>SUM(AZ176:AZ182)</f>
        <v>0</v>
      </c>
    </row>
    <row r="139" spans="47:61" x14ac:dyDescent="0.2">
      <c r="AV139" s="42"/>
      <c r="AW139" s="42"/>
      <c r="AY139" s="85"/>
      <c r="AZ139" s="42"/>
      <c r="BB139" s="42"/>
      <c r="BC139" s="42"/>
      <c r="BD139" s="42"/>
      <c r="BE139" s="42"/>
      <c r="BF139" s="42"/>
      <c r="BG139" s="42" t="s">
        <v>529</v>
      </c>
      <c r="BH139" s="42">
        <f>SUM(AY185:AY191)</f>
        <v>0</v>
      </c>
      <c r="BI139" s="42">
        <f>SUM(AZ185:AZ191)</f>
        <v>0</v>
      </c>
    </row>
    <row r="140" spans="47:61" ht="16" thickBot="1" x14ac:dyDescent="0.25">
      <c r="AV140" s="42"/>
      <c r="AW140" s="42"/>
      <c r="AX140" s="160" t="s">
        <v>530</v>
      </c>
      <c r="AY140" s="85">
        <f ca="1">BE35</f>
        <v>0</v>
      </c>
      <c r="AZ140" s="42"/>
      <c r="BA140" s="160"/>
      <c r="BB140" s="42"/>
      <c r="BC140" s="42"/>
      <c r="BD140" s="42"/>
      <c r="BE140" s="42"/>
      <c r="BF140" s="42"/>
      <c r="BG140" s="42" t="s">
        <v>409</v>
      </c>
      <c r="BH140" s="163">
        <f ca="1">SUM(BH135:BH139)</f>
        <v>0</v>
      </c>
      <c r="BI140" s="163">
        <f ca="1">SUM(BI135:BI139)</f>
        <v>0</v>
      </c>
    </row>
    <row r="141" spans="47:61" ht="16" thickTop="1" x14ac:dyDescent="0.2">
      <c r="AV141" s="42"/>
      <c r="AW141" s="42"/>
      <c r="AX141" s="160" t="s">
        <v>531</v>
      </c>
      <c r="AY141" s="85">
        <f>BE39</f>
        <v>0</v>
      </c>
      <c r="AZ141" s="42"/>
      <c r="BA141" s="160"/>
      <c r="BB141" s="42"/>
      <c r="BC141" s="42"/>
      <c r="BD141" s="42"/>
      <c r="BE141" s="42"/>
      <c r="BF141" s="42"/>
      <c r="BG141" s="42"/>
      <c r="BH141" s="42"/>
      <c r="BI141" s="42"/>
    </row>
    <row r="142" spans="47:61" x14ac:dyDescent="0.2">
      <c r="AV142" s="42"/>
      <c r="AW142" s="42"/>
      <c r="AX142" s="160"/>
      <c r="AY142" s="85"/>
      <c r="AZ142" s="42"/>
      <c r="BA142" s="160"/>
      <c r="BB142" s="42"/>
      <c r="BC142" s="42"/>
      <c r="BD142" s="42"/>
      <c r="BE142" s="42"/>
      <c r="BF142" s="42"/>
      <c r="BG142" s="42"/>
      <c r="BH142" s="42"/>
      <c r="BI142" s="42"/>
    </row>
    <row r="143" spans="47:61" x14ac:dyDescent="0.2">
      <c r="AV143" s="42"/>
      <c r="AW143" s="42"/>
      <c r="AX143" s="160" t="s">
        <v>210</v>
      </c>
      <c r="AY143" s="85">
        <f ca="1">BE3</f>
        <v>0</v>
      </c>
      <c r="AZ143" s="42">
        <f ca="1">BD3</f>
        <v>0</v>
      </c>
      <c r="BA143" s="160" t="s">
        <v>210</v>
      </c>
      <c r="BB143" s="42"/>
      <c r="BC143" s="42"/>
      <c r="BD143" s="42"/>
      <c r="BE143" s="42"/>
      <c r="BF143" s="42"/>
      <c r="BG143" s="42"/>
      <c r="BH143" s="42"/>
      <c r="BI143" s="42"/>
    </row>
    <row r="144" spans="47:61" x14ac:dyDescent="0.2">
      <c r="AV144" s="42"/>
      <c r="AW144" s="42"/>
      <c r="AX144" s="160"/>
      <c r="AY144" s="85"/>
      <c r="AZ144" s="42">
        <f>BD7</f>
        <v>0</v>
      </c>
      <c r="BA144" s="160" t="s">
        <v>211</v>
      </c>
      <c r="BB144" s="42"/>
      <c r="BC144" s="42"/>
      <c r="BD144" s="42"/>
      <c r="BE144" s="42"/>
      <c r="BF144" s="42"/>
      <c r="BG144" s="42"/>
      <c r="BH144" s="42"/>
      <c r="BI144" s="42"/>
    </row>
    <row r="145" spans="48:61" x14ac:dyDescent="0.2">
      <c r="AV145" s="42"/>
      <c r="AW145" s="42"/>
      <c r="AX145" s="160" t="s">
        <v>532</v>
      </c>
      <c r="AY145" s="85">
        <f>BE15</f>
        <v>0</v>
      </c>
      <c r="AZ145" s="42">
        <f>BD15</f>
        <v>0</v>
      </c>
      <c r="BA145" s="160" t="s">
        <v>532</v>
      </c>
      <c r="BB145" s="42"/>
      <c r="BC145" s="42"/>
      <c r="BD145" s="42"/>
      <c r="BE145" s="42"/>
      <c r="BF145" s="42"/>
      <c r="BG145" s="42"/>
      <c r="BH145" s="42"/>
      <c r="BI145" s="42"/>
    </row>
    <row r="146" spans="48:61" x14ac:dyDescent="0.2">
      <c r="AV146" s="42"/>
      <c r="AW146" s="42"/>
      <c r="AX146" s="160" t="s">
        <v>215</v>
      </c>
      <c r="AY146" s="85">
        <f ca="1">BE19</f>
        <v>0</v>
      </c>
      <c r="AZ146" s="42">
        <f ca="1">BD19</f>
        <v>0</v>
      </c>
      <c r="BA146" s="160" t="s">
        <v>215</v>
      </c>
      <c r="BB146" s="42"/>
      <c r="BC146" s="42"/>
      <c r="BD146" s="42"/>
      <c r="BE146" s="42"/>
      <c r="BF146" s="42"/>
      <c r="BG146" s="42"/>
      <c r="BH146" s="42"/>
      <c r="BI146" s="42"/>
    </row>
    <row r="147" spans="48:61" x14ac:dyDescent="0.2">
      <c r="AV147" s="42"/>
      <c r="AW147" s="42"/>
      <c r="AX147" s="160" t="s">
        <v>216</v>
      </c>
      <c r="AY147" s="85">
        <f>BE23</f>
        <v>0</v>
      </c>
      <c r="AZ147" s="42">
        <f>BD23</f>
        <v>0</v>
      </c>
      <c r="BA147" s="160" t="s">
        <v>216</v>
      </c>
      <c r="BB147" s="42"/>
      <c r="BC147" s="42"/>
      <c r="BD147" s="42"/>
      <c r="BE147" s="42"/>
      <c r="BF147" s="42"/>
      <c r="BG147" s="42"/>
      <c r="BH147" s="42"/>
      <c r="BI147" s="42"/>
    </row>
    <row r="148" spans="48:61" x14ac:dyDescent="0.2">
      <c r="AV148" s="42"/>
      <c r="AW148" s="42"/>
      <c r="AX148" s="160" t="s">
        <v>217</v>
      </c>
      <c r="AY148" s="85">
        <f ca="1">BE27</f>
        <v>0</v>
      </c>
      <c r="AZ148" s="42">
        <f ca="1">BD27</f>
        <v>0</v>
      </c>
      <c r="BA148" s="160" t="s">
        <v>217</v>
      </c>
      <c r="BB148" s="42"/>
      <c r="BC148" s="42"/>
      <c r="BD148" s="42"/>
      <c r="BE148" s="42"/>
      <c r="BF148" s="42"/>
      <c r="BG148" s="42"/>
      <c r="BH148" s="42"/>
      <c r="BI148" s="42"/>
    </row>
    <row r="149" spans="48:61" x14ac:dyDescent="0.2">
      <c r="AV149" s="42"/>
      <c r="AW149" s="42"/>
      <c r="AX149" s="160" t="s">
        <v>218</v>
      </c>
      <c r="AY149" s="85">
        <f>BE31</f>
        <v>0</v>
      </c>
      <c r="AZ149" s="42">
        <f>BD31</f>
        <v>0</v>
      </c>
      <c r="BA149" s="160" t="s">
        <v>218</v>
      </c>
      <c r="BB149" s="42"/>
      <c r="BC149" s="42"/>
      <c r="BD149" s="42"/>
      <c r="BE149" s="42"/>
      <c r="BF149" s="42"/>
      <c r="BG149" s="42"/>
      <c r="BH149" s="42"/>
      <c r="BI149" s="42"/>
    </row>
    <row r="150" spans="48:61" x14ac:dyDescent="0.2">
      <c r="AV150" s="42"/>
      <c r="AW150" s="42"/>
      <c r="AX150" s="160" t="s">
        <v>533</v>
      </c>
      <c r="AY150" s="85">
        <f ca="1">BE43</f>
        <v>0</v>
      </c>
      <c r="AZ150" s="42">
        <f ca="1">BD43</f>
        <v>0</v>
      </c>
      <c r="BA150" s="160" t="s">
        <v>533</v>
      </c>
      <c r="BB150" s="42"/>
      <c r="BC150" s="42"/>
      <c r="BD150" s="42"/>
      <c r="BE150" s="42"/>
      <c r="BF150" s="42"/>
      <c r="BG150" s="42"/>
      <c r="BH150" s="42"/>
      <c r="BI150" s="42"/>
    </row>
    <row r="151" spans="48:61" x14ac:dyDescent="0.2">
      <c r="AV151" s="42"/>
      <c r="AW151" s="42"/>
      <c r="AX151" s="160" t="s">
        <v>534</v>
      </c>
      <c r="AY151" s="85">
        <f>BE47</f>
        <v>0</v>
      </c>
      <c r="AZ151" s="42">
        <f>BD47</f>
        <v>0</v>
      </c>
      <c r="BA151" s="160" t="s">
        <v>534</v>
      </c>
      <c r="BB151" s="42"/>
      <c r="BC151" s="42"/>
      <c r="BD151" s="42"/>
      <c r="BE151" s="42"/>
      <c r="BF151" s="42"/>
      <c r="BG151" s="42"/>
      <c r="BH151" s="42"/>
      <c r="BI151" s="42"/>
    </row>
    <row r="152" spans="48:61" x14ac:dyDescent="0.2">
      <c r="AV152" s="42"/>
      <c r="AW152" s="42"/>
      <c r="AX152" s="1" t="s">
        <v>224</v>
      </c>
      <c r="AY152" s="85">
        <f ca="1">BE51</f>
        <v>0</v>
      </c>
      <c r="AZ152" s="42">
        <f ca="1">BD51</f>
        <v>0</v>
      </c>
      <c r="BA152" s="1" t="s">
        <v>224</v>
      </c>
      <c r="BB152" s="42"/>
      <c r="BC152" s="42"/>
      <c r="BD152" s="42"/>
      <c r="BE152" s="42"/>
      <c r="BF152" s="42"/>
      <c r="BG152" s="42"/>
      <c r="BH152" s="42"/>
      <c r="BI152" s="42"/>
    </row>
    <row r="153" spans="48:61" x14ac:dyDescent="0.2">
      <c r="AV153" s="42"/>
      <c r="AW153" s="42"/>
      <c r="AX153" s="160"/>
      <c r="AY153" s="85"/>
      <c r="AZ153" s="42"/>
      <c r="BA153" s="160"/>
      <c r="BB153" s="42"/>
      <c r="BC153" s="42"/>
      <c r="BD153" s="42"/>
      <c r="BE153" s="42"/>
      <c r="BF153" s="42"/>
      <c r="BG153" s="42"/>
      <c r="BH153" s="42"/>
      <c r="BI153" s="42"/>
    </row>
    <row r="154" spans="48:61" x14ac:dyDescent="0.2">
      <c r="AV154" s="42"/>
      <c r="AW154" s="42"/>
      <c r="AX154" s="160" t="s">
        <v>227</v>
      </c>
      <c r="AY154" s="85">
        <f>BE55</f>
        <v>0</v>
      </c>
      <c r="AZ154" s="42">
        <f>BD55</f>
        <v>0</v>
      </c>
      <c r="BA154" s="160" t="s">
        <v>227</v>
      </c>
      <c r="BB154" s="42"/>
      <c r="BC154" s="42"/>
      <c r="BD154" s="42"/>
      <c r="BE154" s="42"/>
      <c r="BF154" s="42"/>
      <c r="BG154" s="42"/>
      <c r="BH154" s="42"/>
      <c r="BI154" s="42"/>
    </row>
    <row r="155" spans="48:61" x14ac:dyDescent="0.2">
      <c r="AV155" s="42"/>
      <c r="AW155" s="42"/>
      <c r="AX155" s="160" t="s">
        <v>238</v>
      </c>
      <c r="AY155" s="85">
        <f ca="1">BE59</f>
        <v>0</v>
      </c>
      <c r="AZ155" s="42">
        <f ca="1">BD59</f>
        <v>0</v>
      </c>
      <c r="BA155" s="160" t="s">
        <v>238</v>
      </c>
      <c r="BB155" s="42"/>
      <c r="BC155" s="42"/>
      <c r="BD155" s="42"/>
      <c r="BE155" s="42"/>
      <c r="BF155" s="42"/>
      <c r="BG155" s="42"/>
      <c r="BH155" s="42"/>
      <c r="BI155" s="42"/>
    </row>
    <row r="156" spans="48:61" x14ac:dyDescent="0.2">
      <c r="AV156" s="42"/>
      <c r="AW156" s="42"/>
      <c r="AX156" s="160" t="s">
        <v>535</v>
      </c>
      <c r="AY156" s="85">
        <f>BE63</f>
        <v>0</v>
      </c>
      <c r="AZ156" s="42">
        <f>BD63</f>
        <v>0</v>
      </c>
      <c r="BA156" s="160" t="s">
        <v>535</v>
      </c>
      <c r="BB156" s="42"/>
      <c r="BC156" s="42"/>
      <c r="BD156" s="42"/>
      <c r="BE156" s="42"/>
      <c r="BF156" s="42"/>
      <c r="BG156" s="42"/>
      <c r="BH156" s="42"/>
      <c r="BI156" s="42"/>
    </row>
    <row r="157" spans="48:61" x14ac:dyDescent="0.2">
      <c r="AV157" s="42"/>
      <c r="AW157" s="42"/>
      <c r="AX157" s="160" t="s">
        <v>229</v>
      </c>
      <c r="AY157" s="85">
        <f ca="1">BE67</f>
        <v>0</v>
      </c>
      <c r="AZ157" s="42">
        <f ca="1">BD67</f>
        <v>0</v>
      </c>
      <c r="BA157" s="160" t="s">
        <v>229</v>
      </c>
      <c r="BB157" s="42"/>
      <c r="BC157" s="42"/>
      <c r="BD157" s="42"/>
      <c r="BE157" s="42"/>
      <c r="BF157" s="42"/>
      <c r="BG157" s="42"/>
      <c r="BH157" s="42"/>
      <c r="BI157" s="42"/>
    </row>
    <row r="158" spans="48:61" x14ac:dyDescent="0.2">
      <c r="AV158" s="42"/>
      <c r="AW158" s="42"/>
      <c r="AX158" s="160" t="s">
        <v>230</v>
      </c>
      <c r="AY158" s="85">
        <f>BE71</f>
        <v>0</v>
      </c>
      <c r="AZ158" s="42">
        <f>BD71</f>
        <v>0</v>
      </c>
      <c r="BA158" s="160" t="s">
        <v>230</v>
      </c>
      <c r="BB158" s="42"/>
      <c r="BC158" s="42"/>
      <c r="BD158" s="42"/>
      <c r="BE158" s="42"/>
      <c r="BF158" s="42"/>
      <c r="BG158" s="42"/>
      <c r="BH158" s="42"/>
      <c r="BI158" s="42"/>
    </row>
    <row r="159" spans="48:61" x14ac:dyDescent="0.2">
      <c r="AV159" s="42"/>
      <c r="AW159" s="42"/>
      <c r="AX159" s="160" t="s">
        <v>536</v>
      </c>
      <c r="AY159" s="85">
        <f ca="1">BE75</f>
        <v>0</v>
      </c>
      <c r="AZ159" s="42">
        <f ca="1">BD75</f>
        <v>0</v>
      </c>
      <c r="BA159" s="160" t="s">
        <v>536</v>
      </c>
      <c r="BB159" s="42"/>
      <c r="BC159" s="42"/>
      <c r="BD159" s="42"/>
      <c r="BE159" s="42"/>
      <c r="BF159" s="42"/>
      <c r="BG159" s="42"/>
      <c r="BH159" s="42"/>
      <c r="BI159" s="42"/>
    </row>
    <row r="160" spans="48:61" x14ac:dyDescent="0.2">
      <c r="AV160" s="42"/>
      <c r="AW160" s="42"/>
      <c r="AX160" s="160" t="s">
        <v>232</v>
      </c>
      <c r="AY160" s="85">
        <f>BE79</f>
        <v>0</v>
      </c>
      <c r="AZ160" s="42">
        <f>BD79</f>
        <v>0</v>
      </c>
      <c r="BA160" s="160" t="s">
        <v>232</v>
      </c>
      <c r="BB160" s="42"/>
      <c r="BC160" s="42"/>
      <c r="BD160" s="42"/>
      <c r="BE160" s="42"/>
      <c r="BF160" s="42"/>
      <c r="BG160" s="42"/>
      <c r="BH160" s="42"/>
      <c r="BI160" s="42"/>
    </row>
    <row r="161" spans="48:61" x14ac:dyDescent="0.2">
      <c r="AV161" s="42"/>
      <c r="AW161" s="42"/>
      <c r="AX161" s="160" t="s">
        <v>233</v>
      </c>
      <c r="AY161" s="85">
        <f ca="1">BE83</f>
        <v>0</v>
      </c>
      <c r="AZ161" s="42">
        <f ca="1">BD83</f>
        <v>0</v>
      </c>
      <c r="BA161" s="160" t="s">
        <v>233</v>
      </c>
      <c r="BB161" s="42"/>
      <c r="BC161" s="42"/>
      <c r="BD161" s="42"/>
      <c r="BE161" s="42"/>
      <c r="BF161" s="42"/>
      <c r="BG161" s="42"/>
      <c r="BH161" s="42"/>
      <c r="BI161" s="42"/>
    </row>
    <row r="162" spans="48:61" x14ac:dyDescent="0.2">
      <c r="AV162" s="42"/>
      <c r="AW162" s="42"/>
      <c r="AX162" s="160" t="s">
        <v>234</v>
      </c>
      <c r="AY162" s="85">
        <f>BE87</f>
        <v>0</v>
      </c>
      <c r="AZ162" s="42">
        <f>BD87</f>
        <v>0</v>
      </c>
      <c r="BA162" s="160" t="s">
        <v>234</v>
      </c>
      <c r="BB162" s="42"/>
      <c r="BC162" s="42"/>
      <c r="BD162" s="42"/>
      <c r="BE162" s="42"/>
      <c r="BF162" s="42"/>
      <c r="BG162" s="42"/>
      <c r="BH162" s="42"/>
      <c r="BI162" s="42"/>
    </row>
    <row r="163" spans="48:61" x14ac:dyDescent="0.2">
      <c r="AV163" s="42"/>
      <c r="AW163" s="42"/>
      <c r="AX163" s="160" t="s">
        <v>235</v>
      </c>
      <c r="AY163" s="85">
        <f ca="1">BE91</f>
        <v>0</v>
      </c>
      <c r="AZ163" s="42">
        <f ca="1">BD91</f>
        <v>0</v>
      </c>
      <c r="BA163" s="160" t="s">
        <v>235</v>
      </c>
      <c r="BB163" s="42"/>
      <c r="BC163" s="42"/>
      <c r="BD163" s="42"/>
      <c r="BE163" s="42"/>
      <c r="BF163" s="42"/>
      <c r="BG163" s="42"/>
      <c r="BH163" s="42"/>
      <c r="BI163" s="42"/>
    </row>
    <row r="164" spans="48:61" x14ac:dyDescent="0.2">
      <c r="AV164" s="42"/>
      <c r="AW164" s="42"/>
      <c r="AX164" s="160" t="s">
        <v>236</v>
      </c>
      <c r="AY164" s="85">
        <f>BE95</f>
        <v>0</v>
      </c>
      <c r="AZ164" s="42">
        <f>BD95</f>
        <v>0</v>
      </c>
      <c r="BA164" s="160" t="s">
        <v>236</v>
      </c>
      <c r="BB164" s="42"/>
      <c r="BC164" s="42"/>
      <c r="BD164" s="42"/>
      <c r="BE164" s="42"/>
      <c r="BF164" s="42"/>
      <c r="BG164" s="42"/>
      <c r="BH164" s="42"/>
      <c r="BI164" s="42"/>
    </row>
    <row r="165" spans="48:61" x14ac:dyDescent="0.2">
      <c r="AV165" s="42"/>
      <c r="AW165" s="42"/>
      <c r="AX165" s="160" t="s">
        <v>237</v>
      </c>
      <c r="AY165" s="85">
        <f>BE99</f>
        <v>0</v>
      </c>
      <c r="AZ165" s="42">
        <f>BD99</f>
        <v>0</v>
      </c>
      <c r="BA165" s="160" t="s">
        <v>237</v>
      </c>
      <c r="BB165" s="42"/>
      <c r="BC165" s="42"/>
      <c r="BD165" s="42"/>
      <c r="BE165" s="42"/>
      <c r="BF165" s="42"/>
      <c r="BG165" s="42"/>
      <c r="BH165" s="42"/>
      <c r="BI165" s="42"/>
    </row>
    <row r="166" spans="48:61" x14ac:dyDescent="0.2">
      <c r="AV166" s="42"/>
      <c r="AW166" s="42"/>
      <c r="AX166" s="160"/>
      <c r="AY166" s="85"/>
      <c r="AZ166" s="42"/>
      <c r="BA166" s="160"/>
      <c r="BB166" s="42"/>
      <c r="BC166" s="42"/>
      <c r="BD166" s="42"/>
      <c r="BE166" s="42"/>
      <c r="BF166" s="42"/>
      <c r="BG166" s="42"/>
      <c r="BH166" s="42"/>
      <c r="BI166" s="42"/>
    </row>
    <row r="167" spans="48:61" x14ac:dyDescent="0.2">
      <c r="AV167" s="42"/>
      <c r="AW167" s="42"/>
      <c r="AX167" s="160" t="s">
        <v>537</v>
      </c>
      <c r="AY167" s="85">
        <f>BE103</f>
        <v>0</v>
      </c>
      <c r="AZ167" s="42">
        <f>BD103</f>
        <v>0</v>
      </c>
      <c r="BA167" s="160" t="s">
        <v>537</v>
      </c>
      <c r="BB167" s="42"/>
      <c r="BC167" s="42"/>
      <c r="BD167" s="42"/>
      <c r="BE167" s="42"/>
      <c r="BF167" s="42"/>
      <c r="BG167" s="42"/>
      <c r="BH167" s="42"/>
      <c r="BI167" s="42"/>
    </row>
    <row r="168" spans="48:61" x14ac:dyDescent="0.2">
      <c r="AV168" s="42"/>
      <c r="AW168" s="42"/>
      <c r="AX168" s="160" t="s">
        <v>241</v>
      </c>
      <c r="AY168" s="85">
        <f>BE107</f>
        <v>0</v>
      </c>
      <c r="AZ168" s="42">
        <f>BD107</f>
        <v>0</v>
      </c>
      <c r="BA168" s="160" t="s">
        <v>241</v>
      </c>
      <c r="BB168" s="42"/>
      <c r="BC168" s="42"/>
      <c r="BD168" s="42"/>
      <c r="BE168" s="42"/>
      <c r="BF168" s="42"/>
      <c r="BG168" s="42"/>
      <c r="BH168" s="42"/>
      <c r="BI168" s="42"/>
    </row>
    <row r="169" spans="48:61" x14ac:dyDescent="0.2">
      <c r="AV169" s="42"/>
      <c r="AW169" s="42"/>
      <c r="AX169" s="160" t="s">
        <v>242</v>
      </c>
      <c r="AY169" s="85">
        <f>BE111</f>
        <v>0</v>
      </c>
      <c r="AZ169" s="42">
        <f>BD111</f>
        <v>0</v>
      </c>
      <c r="BA169" s="160" t="s">
        <v>242</v>
      </c>
      <c r="BB169" s="42"/>
      <c r="BC169" s="42"/>
      <c r="BD169" s="42"/>
      <c r="BE169" s="42"/>
      <c r="BF169" s="42"/>
      <c r="BG169" s="42"/>
      <c r="BH169" s="42"/>
      <c r="BI169" s="42"/>
    </row>
    <row r="170" spans="48:61" x14ac:dyDescent="0.2">
      <c r="AV170" s="42"/>
      <c r="AW170" s="42"/>
      <c r="AX170" s="160" t="s">
        <v>243</v>
      </c>
      <c r="AY170" s="85">
        <f>BE115</f>
        <v>0</v>
      </c>
      <c r="AZ170" s="42">
        <f>BD115</f>
        <v>0</v>
      </c>
      <c r="BA170" s="160" t="s">
        <v>243</v>
      </c>
      <c r="BB170" s="42"/>
      <c r="BC170" s="42"/>
      <c r="BD170" s="42"/>
      <c r="BE170" s="42"/>
      <c r="BF170" s="42"/>
      <c r="BG170" s="42"/>
      <c r="BH170" s="42"/>
      <c r="BI170" s="42"/>
    </row>
    <row r="171" spans="48:61" x14ac:dyDescent="0.2">
      <c r="AV171" s="42"/>
      <c r="AW171" s="42"/>
      <c r="AX171" s="1" t="s">
        <v>246</v>
      </c>
      <c r="AY171" s="85">
        <f>BE123</f>
        <v>0</v>
      </c>
      <c r="AZ171" s="42">
        <f>BD123</f>
        <v>0</v>
      </c>
      <c r="BA171" s="1" t="s">
        <v>246</v>
      </c>
      <c r="BB171" s="42"/>
      <c r="BC171" s="42"/>
      <c r="BD171" s="42"/>
      <c r="BE171" s="42"/>
      <c r="BF171" s="42"/>
      <c r="BG171" s="42"/>
      <c r="BH171" s="42"/>
      <c r="BI171" s="42"/>
    </row>
    <row r="172" spans="48:61" x14ac:dyDescent="0.2">
      <c r="AV172" s="42"/>
      <c r="AW172" s="42"/>
      <c r="AX172" s="1" t="s">
        <v>248</v>
      </c>
      <c r="AY172" s="85">
        <f>BE127</f>
        <v>0</v>
      </c>
      <c r="AZ172" s="42">
        <f>BD127</f>
        <v>0</v>
      </c>
      <c r="BA172" s="1" t="s">
        <v>248</v>
      </c>
      <c r="BB172" s="42"/>
      <c r="BC172" s="42"/>
      <c r="BD172" s="42"/>
      <c r="BE172" s="42"/>
      <c r="BF172" s="42"/>
      <c r="BG172" s="42"/>
      <c r="BH172" s="42"/>
      <c r="BI172" s="42"/>
    </row>
    <row r="173" spans="48:61" x14ac:dyDescent="0.2">
      <c r="AV173" s="42"/>
      <c r="AW173" s="42"/>
      <c r="AY173" s="85"/>
      <c r="AZ173" s="42"/>
      <c r="BB173" s="42"/>
      <c r="BC173" s="42"/>
      <c r="BD173" s="42"/>
      <c r="BE173" s="42"/>
      <c r="BF173" s="42"/>
      <c r="BG173" s="42"/>
      <c r="BH173" s="42"/>
      <c r="BI173" s="42"/>
    </row>
    <row r="174" spans="48:61" x14ac:dyDescent="0.2">
      <c r="AV174" s="42"/>
      <c r="AW174" s="42"/>
      <c r="AX174" s="160"/>
      <c r="AY174" s="164">
        <f ca="1">MAX(SUM(AY134:AY173)-SUM(AZ134:AZ173),0)</f>
        <v>0</v>
      </c>
      <c r="AZ174" s="165">
        <f ca="1">-MIN(SUM(AY134:AY173)-SUM(AZ134:AZ173),0)</f>
        <v>0</v>
      </c>
      <c r="BA174" s="160"/>
      <c r="BB174" s="42"/>
      <c r="BC174" s="42"/>
      <c r="BD174" s="42"/>
      <c r="BE174" s="42"/>
    </row>
    <row r="175" spans="48:61" x14ac:dyDescent="0.2">
      <c r="AV175" s="42"/>
      <c r="AW175" s="42"/>
      <c r="AX175" s="160"/>
      <c r="AY175" s="161" t="s">
        <v>528</v>
      </c>
      <c r="AZ175" s="161"/>
      <c r="BA175" s="160"/>
      <c r="BB175" s="42"/>
      <c r="BC175" s="42"/>
      <c r="BD175" s="42"/>
      <c r="BE175" s="42"/>
    </row>
    <row r="176" spans="48:61" x14ac:dyDescent="0.2">
      <c r="AV176" s="42"/>
      <c r="AW176" s="42"/>
      <c r="AX176" s="160" t="s">
        <v>478</v>
      </c>
      <c r="AY176" s="162">
        <f>IFERROR(_xlfn.XLOOKUP("Cash",AI11:AI16,AK11:AK16),0)</f>
        <v>0</v>
      </c>
      <c r="AZ176" s="42">
        <f>IFERROR(_xlfn.XLOOKUP("Cash",AJ3:AJ8,AL3:AL8),0)</f>
        <v>0</v>
      </c>
      <c r="BA176" s="160" t="s">
        <v>116</v>
      </c>
      <c r="BB176" s="42"/>
      <c r="BC176" s="42"/>
      <c r="BD176" s="42"/>
      <c r="BE176" s="42"/>
    </row>
    <row r="177" spans="48:57" x14ac:dyDescent="0.2">
      <c r="AV177" s="42"/>
      <c r="AW177" s="42"/>
      <c r="AX177" s="160" t="s">
        <v>120</v>
      </c>
      <c r="AY177" s="85">
        <f>IFERROR(_xlfn.XLOOKUP("Cash",AI27:AI32,AK27:AK32),0)</f>
        <v>0</v>
      </c>
      <c r="AZ177" s="42">
        <f>IFERROR(_xlfn.XLOOKUP("Cash",AJ19:AJ24,AL19:AL24),0)</f>
        <v>0</v>
      </c>
      <c r="BA177" s="160" t="s">
        <v>118</v>
      </c>
      <c r="BB177" s="42"/>
      <c r="BC177" s="42"/>
      <c r="BD177" s="42"/>
      <c r="BE177" s="42"/>
    </row>
    <row r="178" spans="48:57" x14ac:dyDescent="0.2">
      <c r="AX178" s="160" t="s">
        <v>126</v>
      </c>
      <c r="AY178" s="85">
        <f>IFERROR(_xlfn.XLOOKUP("Cash",AI43:AI48,AK43:AK48),0)</f>
        <v>0</v>
      </c>
      <c r="AZ178" s="42">
        <f>IFERROR(_xlfn.XLOOKUP("Cash",AJ35:AJ40,AL35:AL40),0)</f>
        <v>0</v>
      </c>
      <c r="BA178" s="160" t="s">
        <v>124</v>
      </c>
    </row>
    <row r="179" spans="48:57" x14ac:dyDescent="0.2">
      <c r="AX179" s="160" t="s">
        <v>94</v>
      </c>
      <c r="AY179" s="85">
        <f>IFERROR(_xlfn.XLOOKUP("Cash",AI67:AI80,AK67:AK80),0)</f>
        <v>0</v>
      </c>
      <c r="AZ179" s="42">
        <f>IFERROR(_xlfn.XLOOKUP("Cash",AJ51:AJ64,AL51:AL64),0)</f>
        <v>0</v>
      </c>
      <c r="BA179" s="160" t="s">
        <v>128</v>
      </c>
    </row>
    <row r="180" spans="48:57" x14ac:dyDescent="0.2">
      <c r="AX180" s="160" t="s">
        <v>133</v>
      </c>
      <c r="AY180" s="85">
        <f>IFERROR(_xlfn.XLOOKUP("Cash",AI83:AI88,AK83:AK88),0)</f>
        <v>0</v>
      </c>
      <c r="AZ180" s="42">
        <f>IFERROR(_xlfn.XLOOKUP("Cash",AJ83:AJ88,AL83:AL88),0)</f>
        <v>0</v>
      </c>
      <c r="BA180" s="160" t="s">
        <v>131</v>
      </c>
    </row>
    <row r="181" spans="48:57" x14ac:dyDescent="0.2">
      <c r="AX181" s="160"/>
      <c r="AY181" s="85"/>
      <c r="AZ181" s="42"/>
      <c r="BA181" s="160"/>
    </row>
    <row r="182" spans="48:57" x14ac:dyDescent="0.2">
      <c r="AX182" s="160"/>
      <c r="AY182" s="85"/>
      <c r="AZ182" s="42"/>
      <c r="BA182" s="160"/>
    </row>
    <row r="183" spans="48:57" x14ac:dyDescent="0.2">
      <c r="AX183" s="160"/>
      <c r="AY183" s="164">
        <f>MAX(SUM(AY176:AY182)-SUM(AZ176:AZ182),0)</f>
        <v>0</v>
      </c>
      <c r="AZ183" s="165">
        <f>-MIN(SUM(AY176:AY182)-SUM(AZ176:AZ182),0)</f>
        <v>0</v>
      </c>
      <c r="BA183" s="160"/>
    </row>
    <row r="184" spans="48:57" x14ac:dyDescent="0.2">
      <c r="AX184" s="160"/>
      <c r="AY184" s="161" t="s">
        <v>529</v>
      </c>
      <c r="AZ184" s="161"/>
      <c r="BA184" s="160"/>
    </row>
    <row r="185" spans="48:57" x14ac:dyDescent="0.2">
      <c r="AX185" s="160" t="s">
        <v>96</v>
      </c>
      <c r="AY185" s="162">
        <f>IFERROR(_xlfn.XLOOKUP("Cash",AB3:AB8,AD3:AD8),0)</f>
        <v>0</v>
      </c>
      <c r="AZ185" s="42">
        <f>IFERROR(_xlfn.XLOOKUP("Cash",AC59:AC64,AE59:AE64),0)</f>
        <v>0</v>
      </c>
      <c r="BA185" s="160" t="s">
        <v>110</v>
      </c>
    </row>
    <row r="186" spans="48:57" x14ac:dyDescent="0.2">
      <c r="AX186" s="160" t="s">
        <v>98</v>
      </c>
      <c r="AY186" s="85">
        <f>IFERROR(_xlfn.XLOOKUP("Cash",AB11:AB16,AD11:AD16),0)</f>
        <v>0</v>
      </c>
      <c r="AZ186" s="42">
        <f>IFERROR(_xlfn.XLOOKUP("Cash",AC51:AC56,AE51:AE56),0)</f>
        <v>0</v>
      </c>
      <c r="BA186" s="160" t="s">
        <v>108</v>
      </c>
    </row>
    <row r="187" spans="48:57" x14ac:dyDescent="0.2">
      <c r="AX187" s="160" t="s">
        <v>100</v>
      </c>
      <c r="AY187" s="85">
        <f>IFERROR(_xlfn.XLOOKUP("Cash",AB19:AB24,AD19:AD24),0)</f>
        <v>0</v>
      </c>
      <c r="AZ187" s="42">
        <f>IFERROR(_xlfn.XLOOKUP("Cash",AC67:AC72,AE67:AE72),0)</f>
        <v>0</v>
      </c>
      <c r="BA187" s="160" t="s">
        <v>112</v>
      </c>
    </row>
    <row r="188" spans="48:57" x14ac:dyDescent="0.2">
      <c r="AX188" s="160" t="s">
        <v>102</v>
      </c>
      <c r="AY188" s="85">
        <f>IFERROR(_xlfn.XLOOKUP("Cash",AB27:AB32,AD27:AD32),0)</f>
        <v>0</v>
      </c>
      <c r="AZ188" s="42"/>
      <c r="BA188" s="160"/>
    </row>
    <row r="189" spans="48:57" x14ac:dyDescent="0.2">
      <c r="AX189" s="160" t="s">
        <v>104</v>
      </c>
      <c r="AY189" s="85">
        <f>IFERROR(_xlfn.XLOOKUP("Cash",AB35:AB40,AD35:AD40),0)</f>
        <v>0</v>
      </c>
      <c r="AZ189" s="42"/>
      <c r="BA189" s="160"/>
    </row>
    <row r="190" spans="48:57" x14ac:dyDescent="0.2">
      <c r="AX190" s="160" t="s">
        <v>114</v>
      </c>
      <c r="AY190" s="85">
        <f>IFERROR(_xlfn.XLOOKUP("Cash",AB75:AB80,AD75:AD80),0)</f>
        <v>0</v>
      </c>
      <c r="AZ190" s="42"/>
      <c r="BA190" s="160"/>
    </row>
    <row r="191" spans="48:57" x14ac:dyDescent="0.2">
      <c r="AX191" s="160"/>
      <c r="AY191" s="85"/>
      <c r="AZ191" s="42"/>
      <c r="BA191" s="160"/>
    </row>
    <row r="192" spans="48:57" x14ac:dyDescent="0.2">
      <c r="AX192" s="160"/>
      <c r="AY192" s="164">
        <f>MAX(SUM(AY185:AY191)-SUM(AZ185:AZ191),0)</f>
        <v>0</v>
      </c>
      <c r="AZ192" s="165">
        <f>-MIN(SUM(AY185:AY191)-SUM(AZ185:AZ191),0)</f>
        <v>0</v>
      </c>
      <c r="BA192" s="160"/>
    </row>
    <row r="193" spans="50:53" x14ac:dyDescent="0.2">
      <c r="AX193" s="160" t="s">
        <v>538</v>
      </c>
      <c r="AY193" s="42">
        <f ca="1">AY132+AY174+AY183+AY192-AZ174-AZ183-AZ192</f>
        <v>0</v>
      </c>
      <c r="AZ193" s="42"/>
      <c r="BA193" s="160"/>
    </row>
    <row r="194" spans="50:53" x14ac:dyDescent="0.2">
      <c r="AX194" s="160" t="s">
        <v>539</v>
      </c>
      <c r="AY194" s="42">
        <f>U8</f>
        <v>0</v>
      </c>
      <c r="AZ194" s="42"/>
      <c r="BA194" s="160"/>
    </row>
    <row r="195" spans="50:53" x14ac:dyDescent="0.2">
      <c r="AX195" s="160" t="s">
        <v>303</v>
      </c>
      <c r="AY195" s="42">
        <f ca="1">AY193-AY194</f>
        <v>0</v>
      </c>
      <c r="AZ195" s="42"/>
      <c r="BA195" s="160"/>
    </row>
    <row r="196" spans="50:53" x14ac:dyDescent="0.2">
      <c r="AX196" s="160"/>
      <c r="AY196" s="42"/>
      <c r="AZ196" s="42"/>
      <c r="BA196" s="160"/>
    </row>
  </sheetData>
  <sheetProtection formatColumns="0"/>
  <conditionalFormatting sqref="Z3:AE8">
    <cfRule type="cellIs" dxfId="314" priority="78" operator="equal">
      <formula>0</formula>
    </cfRule>
  </conditionalFormatting>
  <conditionalFormatting sqref="Z12:AE16 AA11:AE11">
    <cfRule type="cellIs" dxfId="313" priority="77" operator="equal">
      <formula>0</formula>
    </cfRule>
  </conditionalFormatting>
  <conditionalFormatting sqref="Z20:AE24 AA19:AE19">
    <cfRule type="cellIs" dxfId="312" priority="76" operator="equal">
      <formula>0</formula>
    </cfRule>
  </conditionalFormatting>
  <conditionalFormatting sqref="Z28:AE32 AA27:AE27">
    <cfRule type="cellIs" dxfId="311" priority="75" operator="equal">
      <formula>0</formula>
    </cfRule>
  </conditionalFormatting>
  <conditionalFormatting sqref="Z36:AE40 AA35:AE35">
    <cfRule type="cellIs" dxfId="310" priority="74" operator="equal">
      <formula>0</formula>
    </cfRule>
  </conditionalFormatting>
  <conditionalFormatting sqref="Z44:AE48 AA43:AE43">
    <cfRule type="cellIs" dxfId="309" priority="73" operator="equal">
      <formula>0</formula>
    </cfRule>
  </conditionalFormatting>
  <conditionalFormatting sqref="Z52:AE56 AA51:AE51">
    <cfRule type="cellIs" dxfId="308" priority="72" operator="equal">
      <formula>0</formula>
    </cfRule>
  </conditionalFormatting>
  <conditionalFormatting sqref="Z60:AE64 AA59:AE59">
    <cfRule type="cellIs" dxfId="307" priority="71" operator="equal">
      <formula>0</formula>
    </cfRule>
  </conditionalFormatting>
  <conditionalFormatting sqref="AG3:AL8">
    <cfRule type="cellIs" dxfId="306" priority="70" operator="between">
      <formula>-0.00000001</formula>
      <formula>0.00000001</formula>
    </cfRule>
  </conditionalFormatting>
  <conditionalFormatting sqref="Z68:AE72 AA67:AE67">
    <cfRule type="cellIs" dxfId="305" priority="69" operator="equal">
      <formula>0</formula>
    </cfRule>
  </conditionalFormatting>
  <conditionalFormatting sqref="Z76:AE80 AA75:AE75">
    <cfRule type="cellIs" dxfId="304" priority="68" operator="equal">
      <formula>0</formula>
    </cfRule>
  </conditionalFormatting>
  <conditionalFormatting sqref="BJ2">
    <cfRule type="cellIs" dxfId="303" priority="57" operator="notBetween">
      <formula>-0.0000001</formula>
      <formula>0.000001</formula>
    </cfRule>
  </conditionalFormatting>
  <conditionalFormatting sqref="AY195">
    <cfRule type="cellIs" dxfId="302" priority="56" operator="notBetween">
      <formula>-0.0000001</formula>
      <formula>0.000001</formula>
    </cfRule>
  </conditionalFormatting>
  <conditionalFormatting sqref="AG57:AL64">
    <cfRule type="cellIs" dxfId="301" priority="50" operator="between">
      <formula>-0.00000001</formula>
      <formula>0.00000001</formula>
    </cfRule>
  </conditionalFormatting>
  <conditionalFormatting sqref="AG68:AL80 AH67:AL67">
    <cfRule type="cellIs" dxfId="300" priority="49" operator="between">
      <formula>-0.00000001</formula>
      <formula>0.00000001</formula>
    </cfRule>
  </conditionalFormatting>
  <conditionalFormatting sqref="AG84:AL88 AH83:AL83">
    <cfRule type="cellIs" dxfId="299" priority="48" operator="between">
      <formula>-0.00000001</formula>
      <formula>0.00000001</formula>
    </cfRule>
  </conditionalFormatting>
  <conditionalFormatting sqref="AG92:AL96 AH91:AL91">
    <cfRule type="cellIs" dxfId="298" priority="47" operator="between">
      <formula>-0.00000001</formula>
      <formula>0.00000001</formula>
    </cfRule>
  </conditionalFormatting>
  <conditionalFormatting sqref="AG19:AL24">
    <cfRule type="cellIs" dxfId="297" priority="46" operator="between">
      <formula>-0.00000001</formula>
      <formula>0.00000001</formula>
    </cfRule>
  </conditionalFormatting>
  <conditionalFormatting sqref="AG27:AL32">
    <cfRule type="cellIs" dxfId="296" priority="45" operator="between">
      <formula>-0.00000001</formula>
      <formula>0.00000001</formula>
    </cfRule>
  </conditionalFormatting>
  <conditionalFormatting sqref="AG35:AL40">
    <cfRule type="cellIs" dxfId="295" priority="44" operator="between">
      <formula>-0.00000001</formula>
      <formula>0.00000001</formula>
    </cfRule>
  </conditionalFormatting>
  <conditionalFormatting sqref="AG43:AL48">
    <cfRule type="cellIs" dxfId="294" priority="43" operator="between">
      <formula>-0.00000001</formula>
      <formula>0.00000001</formula>
    </cfRule>
  </conditionalFormatting>
  <conditionalFormatting sqref="AG51:AL56">
    <cfRule type="cellIs" dxfId="293" priority="42" operator="between">
      <formula>-0.00000001</formula>
      <formula>0.00000001</formula>
    </cfRule>
  </conditionalFormatting>
  <conditionalFormatting sqref="AG67">
    <cfRule type="cellIs" dxfId="292" priority="41" operator="between">
      <formula>-0.00000001</formula>
      <formula>0.00000001</formula>
    </cfRule>
  </conditionalFormatting>
  <conditionalFormatting sqref="AG83">
    <cfRule type="cellIs" dxfId="291" priority="40" operator="between">
      <formula>-0.00000001</formula>
      <formula>0.00000001</formula>
    </cfRule>
  </conditionalFormatting>
  <conditionalFormatting sqref="AG91">
    <cfRule type="cellIs" dxfId="290" priority="39" operator="between">
      <formula>-0.00000001</formula>
      <formula>0.00000001</formula>
    </cfRule>
  </conditionalFormatting>
  <conditionalFormatting sqref="Z11">
    <cfRule type="cellIs" dxfId="289" priority="38" operator="equal">
      <formula>0</formula>
    </cfRule>
  </conditionalFormatting>
  <conditionalFormatting sqref="Z19">
    <cfRule type="cellIs" dxfId="288" priority="37" operator="equal">
      <formula>0</formula>
    </cfRule>
  </conditionalFormatting>
  <conditionalFormatting sqref="Z27">
    <cfRule type="cellIs" dxfId="287" priority="36" operator="equal">
      <formula>0</formula>
    </cfRule>
  </conditionalFormatting>
  <conditionalFormatting sqref="Z35">
    <cfRule type="cellIs" dxfId="286" priority="35" operator="equal">
      <formula>0</formula>
    </cfRule>
  </conditionalFormatting>
  <conditionalFormatting sqref="Z43">
    <cfRule type="cellIs" dxfId="285" priority="34" operator="equal">
      <formula>0</formula>
    </cfRule>
  </conditionalFormatting>
  <conditionalFormatting sqref="Z51">
    <cfRule type="cellIs" dxfId="284" priority="33" operator="equal">
      <formula>0</formula>
    </cfRule>
  </conditionalFormatting>
  <conditionalFormatting sqref="Z59">
    <cfRule type="cellIs" dxfId="283" priority="32" operator="equal">
      <formula>0</formula>
    </cfRule>
  </conditionalFormatting>
  <conditionalFormatting sqref="Z67">
    <cfRule type="cellIs" dxfId="282" priority="31" operator="equal">
      <formula>0</formula>
    </cfRule>
  </conditionalFormatting>
  <conditionalFormatting sqref="Z75">
    <cfRule type="cellIs" dxfId="281" priority="30" operator="equal">
      <formula>0</formula>
    </cfRule>
  </conditionalFormatting>
  <conditionalFormatting sqref="AG11:AL16">
    <cfRule type="cellIs" dxfId="280" priority="27" operator="between">
      <formula>-0.00000001</formula>
      <formula>0.00000001</formula>
    </cfRule>
  </conditionalFormatting>
  <conditionalFormatting sqref="AN3">
    <cfRule type="cellIs" dxfId="279" priority="22" operator="equal">
      <formula>0</formula>
    </cfRule>
  </conditionalFormatting>
  <conditionalFormatting sqref="AN3:AS8">
    <cfRule type="cellIs" dxfId="278" priority="21" operator="equal">
      <formula>0</formula>
    </cfRule>
  </conditionalFormatting>
  <conditionalFormatting sqref="AN11">
    <cfRule type="cellIs" dxfId="277" priority="20" operator="equal">
      <formula>0</formula>
    </cfRule>
  </conditionalFormatting>
  <conditionalFormatting sqref="AN11:AS16">
    <cfRule type="cellIs" dxfId="276" priority="19" operator="equal">
      <formula>0</formula>
    </cfRule>
  </conditionalFormatting>
  <conditionalFormatting sqref="AN19">
    <cfRule type="cellIs" dxfId="275" priority="18" operator="equal">
      <formula>0</formula>
    </cfRule>
  </conditionalFormatting>
  <conditionalFormatting sqref="AN19:AS24">
    <cfRule type="cellIs" dxfId="274" priority="17" operator="equal">
      <formula>0</formula>
    </cfRule>
  </conditionalFormatting>
  <conditionalFormatting sqref="AN27">
    <cfRule type="cellIs" dxfId="273" priority="16" operator="equal">
      <formula>0</formula>
    </cfRule>
  </conditionalFormatting>
  <conditionalFormatting sqref="AN27:AS32">
    <cfRule type="cellIs" dxfId="272" priority="15" operator="equal">
      <formula>0</formula>
    </cfRule>
  </conditionalFormatting>
  <conditionalFormatting sqref="AN35">
    <cfRule type="cellIs" dxfId="271" priority="14" operator="equal">
      <formula>0</formula>
    </cfRule>
  </conditionalFormatting>
  <conditionalFormatting sqref="AN35:AS40">
    <cfRule type="cellIs" dxfId="270" priority="13" operator="equal">
      <formula>0</formula>
    </cfRule>
  </conditionalFormatting>
  <conditionalFormatting sqref="AN43">
    <cfRule type="cellIs" dxfId="269" priority="12" operator="equal">
      <formula>0</formula>
    </cfRule>
  </conditionalFormatting>
  <conditionalFormatting sqref="AN43:AS48">
    <cfRule type="cellIs" dxfId="268" priority="11" operator="equal">
      <formula>0</formula>
    </cfRule>
  </conditionalFormatting>
  <conditionalFormatting sqref="AN51">
    <cfRule type="cellIs" dxfId="267" priority="10" operator="equal">
      <formula>0</formula>
    </cfRule>
  </conditionalFormatting>
  <conditionalFormatting sqref="AN51:AS56">
    <cfRule type="cellIs" dxfId="266" priority="9" operator="equal">
      <formula>0</formula>
    </cfRule>
  </conditionalFormatting>
  <conditionalFormatting sqref="AN59">
    <cfRule type="cellIs" dxfId="265" priority="8" operator="equal">
      <formula>0</formula>
    </cfRule>
  </conditionalFormatting>
  <conditionalFormatting sqref="AN59:AS64">
    <cfRule type="cellIs" dxfId="264" priority="7" operator="equal">
      <formula>0</formula>
    </cfRule>
  </conditionalFormatting>
  <conditionalFormatting sqref="AN67">
    <cfRule type="cellIs" dxfId="263" priority="6" operator="equal">
      <formula>0</formula>
    </cfRule>
  </conditionalFormatting>
  <conditionalFormatting sqref="AN67:AS72">
    <cfRule type="cellIs" dxfId="262" priority="5" operator="equal">
      <formula>0</formula>
    </cfRule>
  </conditionalFormatting>
  <conditionalFormatting sqref="AN75">
    <cfRule type="cellIs" dxfId="261" priority="4" operator="equal">
      <formula>0</formula>
    </cfRule>
  </conditionalFormatting>
  <conditionalFormatting sqref="AN75:AS80">
    <cfRule type="cellIs" dxfId="260" priority="3" operator="equal">
      <formula>0</formula>
    </cfRule>
  </conditionalFormatting>
  <conditionalFormatting sqref="AN83">
    <cfRule type="cellIs" dxfId="259" priority="2" operator="equal">
      <formula>0</formula>
    </cfRule>
  </conditionalFormatting>
  <conditionalFormatting sqref="AN83:AS88">
    <cfRule type="cellIs" dxfId="258" priority="1" operator="equal">
      <formula>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1B93051-354D-423E-BC8C-66EFD7C41E62}">
          <x14:formula1>
            <xm:f>INDIRECT(AccountData!$A$18)</xm:f>
          </x14:formula1>
          <xm:sqref>B8:B17 T20:T29 T8:T17 B20:B29</xm:sqref>
        </x14:dataValidation>
        <x14:dataValidation type="list" allowBlank="1" showInputMessage="1" showErrorMessage="1" xr:uid="{D27C6E27-7872-477C-A1CB-9648788B1B2D}">
          <x14:formula1>
            <xm:f>INDIRECT(AccountData!$A$38)</xm:f>
          </x14:formula1>
          <xm:sqref>B34:B43 T46:T55 T34:T43 B46:B55</xm:sqref>
        </x14:dataValidation>
        <x14:dataValidation type="list" allowBlank="1" showInputMessage="1" showErrorMessage="1" xr:uid="{994AFC50-EE41-4862-800B-461B87A981A1}">
          <x14:formula1>
            <xm:f>INDIRECT(AccountData!$A$56)</xm:f>
          </x14:formula1>
          <xm:sqref>T59:T64 B59:B65</xm:sqref>
        </x14:dataValidation>
        <x14:dataValidation type="list" allowBlank="1" showInputMessage="1" showErrorMessage="1" xr:uid="{1E8F11F7-5FA1-4B4A-8DDC-8A2DE73260DA}">
          <x14:formula1>
            <xm:f>INDIRECT(AccountData!$B$56)</xm:f>
          </x14:formula1>
          <xm:sqref>I8:N8</xm:sqref>
        </x14:dataValidation>
        <x14:dataValidation type="list" allowBlank="1" showInputMessage="1" showErrorMessage="1" xr:uid="{329F16F5-D697-48F7-A9DC-BD1AC5B26F2A}">
          <x14:formula1>
            <xm:f>INDIRECT(AccountData!$H$23)</xm:f>
          </x14:formula1>
          <xm:sqref>E14:E21</xm:sqref>
        </x14:dataValidation>
        <x14:dataValidation type="list" allowBlank="1" showInputMessage="1" showErrorMessage="1" xr:uid="{AFF1F8C1-FF82-40BC-8B91-E798B3C562AB}">
          <x14:formula1>
            <xm:f>INDIRECT(AccountData!$H$8)</xm:f>
          </x14:formula1>
          <xm:sqref>E8:E11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8FD30-BC0B-475E-AABB-4A1C9800D120}">
  <sheetPr>
    <tabColor theme="7" tint="0.59999389629810485"/>
  </sheetPr>
  <dimension ref="A1:AH110"/>
  <sheetViews>
    <sheetView zoomScale="115" zoomScaleNormal="115" workbookViewId="0"/>
  </sheetViews>
  <sheetFormatPr baseColWidth="10" defaultColWidth="8.83203125" defaultRowHeight="15" x14ac:dyDescent="0.2"/>
  <cols>
    <col min="1" max="1" width="9.83203125" bestFit="1" customWidth="1"/>
    <col min="2" max="2" width="37.5" bestFit="1" customWidth="1"/>
    <col min="3" max="3" width="39.1640625" bestFit="1" customWidth="1"/>
    <col min="6" max="16" width="8.83203125" customWidth="1"/>
    <col min="17" max="17" width="12.6640625" customWidth="1"/>
    <col min="18" max="18" width="16.33203125" customWidth="1"/>
    <col min="19" max="20" width="8.83203125" customWidth="1"/>
  </cols>
  <sheetData>
    <row r="1" spans="1:34" ht="15.5" customHeight="1" thickBot="1" x14ac:dyDescent="0.25">
      <c r="A1" s="338">
        <v>26</v>
      </c>
      <c r="B1" s="229" t="s">
        <v>540</v>
      </c>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row>
    <row r="2" spans="1:34" ht="16" thickBot="1" x14ac:dyDescent="0.25">
      <c r="A2" s="5" t="s">
        <v>541</v>
      </c>
      <c r="F2" s="116"/>
      <c r="G2" s="116"/>
      <c r="H2" s="116"/>
      <c r="I2" s="116"/>
      <c r="J2" s="116"/>
      <c r="K2" s="116"/>
      <c r="L2" s="116"/>
      <c r="M2" s="116"/>
      <c r="N2" s="116"/>
      <c r="O2" s="116"/>
      <c r="P2" s="116"/>
      <c r="Q2" s="116"/>
      <c r="R2" s="116"/>
      <c r="S2" s="116"/>
      <c r="T2" s="116"/>
      <c r="U2" s="116"/>
      <c r="V2" s="116"/>
      <c r="W2" s="116"/>
      <c r="X2" s="116"/>
      <c r="Y2" s="116"/>
      <c r="Z2" s="116"/>
      <c r="AA2" s="116"/>
      <c r="AB2" s="116"/>
      <c r="AC2" s="116"/>
      <c r="AD2" s="116"/>
      <c r="AE2" s="116"/>
      <c r="AF2" s="116"/>
      <c r="AG2" s="116"/>
      <c r="AH2" s="116"/>
    </row>
    <row r="3" spans="1:34" x14ac:dyDescent="0.2">
      <c r="A3" s="237" t="s">
        <v>305</v>
      </c>
      <c r="B3" s="238" t="s">
        <v>306</v>
      </c>
      <c r="C3" s="238" t="s">
        <v>307</v>
      </c>
      <c r="D3" s="238" t="s">
        <v>308</v>
      </c>
      <c r="E3" s="239" t="s">
        <v>309</v>
      </c>
      <c r="F3" s="200"/>
      <c r="G3" s="201"/>
      <c r="H3" s="201"/>
      <c r="I3" s="201"/>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row>
    <row r="4" spans="1:34" x14ac:dyDescent="0.2">
      <c r="A4" s="176" t="str" cm="1">
        <f t="array" aca="1" ref="A4" ca="1">IFERROR(_xlfn._xlws.FILTER(Journal[AccntType]:Journal[CrAmt],Journal[ref]=$A$1,""),"")</f>
        <v/>
      </c>
      <c r="B4" s="171"/>
      <c r="C4" s="171"/>
      <c r="D4" s="232"/>
      <c r="E4" s="233"/>
      <c r="F4" s="116"/>
      <c r="G4" s="116"/>
      <c r="H4" s="116"/>
      <c r="I4" s="116"/>
      <c r="J4" s="116"/>
      <c r="K4" s="116"/>
      <c r="L4" s="116"/>
      <c r="M4" s="116"/>
      <c r="N4" s="116"/>
      <c r="O4" s="116"/>
      <c r="P4" s="116"/>
      <c r="Q4" s="116"/>
      <c r="R4" s="116"/>
      <c r="S4" s="116"/>
      <c r="T4" s="116"/>
      <c r="U4" s="116"/>
      <c r="V4" s="116"/>
      <c r="W4" s="116"/>
      <c r="X4" s="116"/>
      <c r="Y4" s="116"/>
      <c r="Z4" s="116"/>
      <c r="AA4" s="116"/>
      <c r="AB4" s="116"/>
      <c r="AC4" s="116"/>
      <c r="AD4" s="116"/>
      <c r="AE4" s="116"/>
      <c r="AF4" s="116"/>
      <c r="AG4" s="116"/>
      <c r="AH4" s="116"/>
    </row>
    <row r="5" spans="1:34" x14ac:dyDescent="0.2">
      <c r="A5" s="17"/>
      <c r="D5" s="232"/>
      <c r="E5" s="233"/>
      <c r="F5" s="116"/>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row>
    <row r="6" spans="1:34" x14ac:dyDescent="0.2">
      <c r="A6" s="17"/>
      <c r="D6" s="232"/>
      <c r="E6" s="233"/>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row>
    <row r="7" spans="1:34" x14ac:dyDescent="0.2">
      <c r="A7" s="17"/>
      <c r="D7" s="232"/>
      <c r="E7" s="233"/>
      <c r="F7" s="116"/>
      <c r="G7" s="116"/>
      <c r="H7" s="116"/>
      <c r="I7" s="116"/>
      <c r="J7" s="116"/>
      <c r="K7" s="116"/>
      <c r="L7" s="116"/>
      <c r="M7" s="116"/>
      <c r="N7" s="116"/>
      <c r="O7" s="116"/>
      <c r="P7" s="116"/>
      <c r="Q7" s="116"/>
      <c r="R7" s="116"/>
      <c r="S7" s="116"/>
      <c r="T7" s="116"/>
      <c r="U7" s="116"/>
      <c r="V7" s="116"/>
      <c r="W7" s="116"/>
      <c r="X7" s="116"/>
      <c r="Y7" s="116"/>
      <c r="Z7" s="116"/>
      <c r="AA7" s="116"/>
      <c r="AB7" s="116"/>
      <c r="AC7" s="116"/>
      <c r="AD7" s="116"/>
      <c r="AE7" s="116"/>
      <c r="AF7" s="116"/>
      <c r="AG7" s="116"/>
      <c r="AH7" s="116"/>
    </row>
    <row r="8" spans="1:34" x14ac:dyDescent="0.2">
      <c r="A8" s="17"/>
      <c r="D8" s="232"/>
      <c r="E8" s="233"/>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row>
    <row r="9" spans="1:34" x14ac:dyDescent="0.2">
      <c r="A9" s="17"/>
      <c r="D9" s="234"/>
      <c r="E9" s="235"/>
      <c r="F9" s="116"/>
      <c r="G9" s="116"/>
      <c r="H9" s="116"/>
      <c r="I9" s="116"/>
      <c r="J9" s="116"/>
      <c r="K9" s="116"/>
      <c r="L9" s="116"/>
      <c r="M9" s="116"/>
      <c r="N9" s="116"/>
      <c r="O9" s="116"/>
      <c r="P9" s="116"/>
      <c r="Q9" s="116"/>
      <c r="R9" s="116"/>
      <c r="S9" s="116"/>
      <c r="T9" s="116"/>
      <c r="U9" s="116"/>
      <c r="V9" s="116"/>
      <c r="W9" s="116"/>
      <c r="X9" s="116"/>
      <c r="Y9" s="116"/>
      <c r="Z9" s="116"/>
      <c r="AA9" s="116"/>
      <c r="AB9" s="116"/>
      <c r="AC9" s="116"/>
      <c r="AD9" s="116"/>
      <c r="AE9" s="116"/>
      <c r="AF9" s="116"/>
      <c r="AG9" s="116"/>
      <c r="AH9" s="116"/>
    </row>
    <row r="10" spans="1:34" x14ac:dyDescent="0.2">
      <c r="A10" s="17"/>
      <c r="D10" s="234"/>
      <c r="E10" s="235"/>
      <c r="F10" s="116"/>
      <c r="G10" s="116"/>
      <c r="H10" s="116"/>
      <c r="I10" s="116"/>
      <c r="J10" s="116"/>
      <c r="K10" s="116"/>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row>
    <row r="11" spans="1:34" x14ac:dyDescent="0.2">
      <c r="A11" s="17"/>
      <c r="D11" s="234"/>
      <c r="E11" s="235"/>
      <c r="F11" s="116"/>
      <c r="G11" s="116"/>
      <c r="H11" s="116"/>
      <c r="I11" s="116"/>
      <c r="J11" s="116"/>
      <c r="K11" s="116"/>
      <c r="L11" s="116"/>
      <c r="M11" s="116"/>
      <c r="N11" s="116"/>
      <c r="O11" s="116"/>
      <c r="P11" s="116"/>
      <c r="Q11" s="116"/>
      <c r="R11" s="116"/>
      <c r="S11" s="116"/>
      <c r="T11" s="116"/>
      <c r="U11" s="116"/>
      <c r="V11" s="116"/>
      <c r="W11" s="116"/>
      <c r="X11" s="116"/>
      <c r="Y11" s="116"/>
      <c r="Z11" s="116"/>
      <c r="AA11" s="116"/>
      <c r="AB11" s="116"/>
      <c r="AC11" s="116"/>
      <c r="AD11" s="116"/>
      <c r="AE11" s="116"/>
      <c r="AF11" s="116"/>
      <c r="AG11" s="116"/>
      <c r="AH11" s="116"/>
    </row>
    <row r="12" spans="1:34" x14ac:dyDescent="0.2">
      <c r="A12" s="17"/>
      <c r="D12" s="234"/>
      <c r="E12" s="235"/>
      <c r="F12" s="116"/>
      <c r="G12" s="116"/>
      <c r="H12" s="116"/>
      <c r="I12" s="116"/>
      <c r="J12" s="116"/>
      <c r="K12" s="116"/>
      <c r="L12" s="116"/>
      <c r="M12" s="116"/>
      <c r="N12" s="116"/>
      <c r="O12" s="116"/>
      <c r="P12" s="116"/>
      <c r="Q12" s="116"/>
      <c r="R12" s="116"/>
      <c r="S12" s="116"/>
      <c r="T12" s="116"/>
      <c r="U12" s="116"/>
      <c r="V12" s="116"/>
      <c r="W12" s="116"/>
      <c r="X12" s="116"/>
      <c r="Y12" s="116"/>
      <c r="Z12" s="116"/>
      <c r="AA12" s="116"/>
      <c r="AB12" s="116"/>
      <c r="AC12" s="116"/>
      <c r="AD12" s="116"/>
      <c r="AE12" s="116"/>
      <c r="AF12" s="116"/>
      <c r="AG12" s="116"/>
      <c r="AH12" s="116"/>
    </row>
    <row r="13" spans="1:34" x14ac:dyDescent="0.2">
      <c r="A13" s="17"/>
      <c r="D13" s="234"/>
      <c r="E13" s="235"/>
      <c r="F13" s="116"/>
      <c r="G13" s="116"/>
      <c r="H13" s="116"/>
      <c r="I13" s="116"/>
      <c r="J13" s="116"/>
      <c r="K13" s="116"/>
      <c r="L13" s="116"/>
      <c r="M13" s="116"/>
      <c r="N13" s="116"/>
      <c r="O13" s="116"/>
      <c r="P13" s="116"/>
      <c r="Q13" s="116"/>
      <c r="R13" s="116"/>
      <c r="S13" s="116"/>
      <c r="T13" s="116"/>
      <c r="U13" s="116"/>
      <c r="V13" s="116"/>
      <c r="W13" s="116"/>
      <c r="X13" s="116"/>
      <c r="Y13" s="116"/>
      <c r="Z13" s="116"/>
      <c r="AA13" s="116"/>
      <c r="AB13" s="116"/>
      <c r="AC13" s="116"/>
      <c r="AD13" s="116"/>
      <c r="AE13" s="116"/>
      <c r="AF13" s="116"/>
      <c r="AG13" s="116"/>
      <c r="AH13" s="116"/>
    </row>
    <row r="14" spans="1:34" x14ac:dyDescent="0.2">
      <c r="A14" s="236"/>
      <c r="B14" s="1"/>
      <c r="C14" s="1"/>
      <c r="D14" s="1"/>
      <c r="E14" s="94"/>
      <c r="F14" s="202"/>
      <c r="G14" s="116"/>
      <c r="H14" s="116"/>
      <c r="I14" s="116"/>
      <c r="J14" s="116"/>
      <c r="K14" s="116"/>
      <c r="L14" s="116"/>
      <c r="M14" s="116"/>
      <c r="N14" s="116"/>
      <c r="O14" s="116"/>
      <c r="P14" s="116"/>
      <c r="Q14" s="116"/>
      <c r="R14" s="116"/>
      <c r="S14" s="116"/>
      <c r="T14" s="116"/>
      <c r="U14" s="116"/>
      <c r="V14" s="116"/>
      <c r="W14" s="116"/>
      <c r="X14" s="116"/>
      <c r="Y14" s="116"/>
      <c r="Z14" s="116"/>
      <c r="AA14" s="116"/>
      <c r="AB14" s="116"/>
      <c r="AC14" s="116"/>
      <c r="AD14" s="116"/>
      <c r="AE14" s="116"/>
      <c r="AF14" s="116"/>
      <c r="AG14" s="116"/>
      <c r="AH14" s="116"/>
    </row>
    <row r="15" spans="1:34" x14ac:dyDescent="0.2">
      <c r="A15" s="17"/>
      <c r="E15" s="18"/>
      <c r="F15" s="116"/>
      <c r="G15" s="116"/>
      <c r="H15" s="116"/>
      <c r="I15" s="116"/>
      <c r="J15" s="116"/>
      <c r="K15" s="116"/>
      <c r="L15" s="116"/>
      <c r="M15" s="116"/>
      <c r="N15" s="116"/>
      <c r="O15" s="116"/>
      <c r="P15" s="116"/>
      <c r="Q15" s="116"/>
      <c r="R15" s="116"/>
      <c r="S15" s="116"/>
      <c r="T15" s="116"/>
      <c r="U15" s="116"/>
      <c r="V15" s="116"/>
      <c r="W15" s="116"/>
      <c r="X15" s="116"/>
      <c r="Y15" s="116"/>
      <c r="Z15" s="116"/>
      <c r="AA15" s="116"/>
      <c r="AB15" s="116"/>
      <c r="AC15" s="116"/>
      <c r="AD15" s="116"/>
      <c r="AE15" s="116"/>
      <c r="AF15" s="116"/>
      <c r="AG15" s="116"/>
      <c r="AH15" s="116"/>
    </row>
    <row r="16" spans="1:34" x14ac:dyDescent="0.2">
      <c r="A16" s="17"/>
      <c r="E16" s="18"/>
      <c r="F16" s="116"/>
      <c r="G16" s="116"/>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6"/>
      <c r="AG16" s="116"/>
      <c r="AH16" s="116"/>
    </row>
    <row r="17" spans="1:34" x14ac:dyDescent="0.2">
      <c r="A17" s="17"/>
      <c r="E17" s="18"/>
      <c r="F17" s="116"/>
      <c r="G17" s="116"/>
      <c r="H17" s="116"/>
      <c r="I17" s="116"/>
      <c r="J17" s="116"/>
      <c r="K17" s="116"/>
      <c r="L17" s="116"/>
      <c r="M17" s="116"/>
      <c r="N17" s="116"/>
      <c r="O17" s="116"/>
      <c r="P17" s="116"/>
      <c r="Q17" s="116"/>
      <c r="R17" s="116"/>
      <c r="S17" s="116"/>
      <c r="T17" s="116"/>
      <c r="U17" s="116"/>
      <c r="V17" s="116"/>
      <c r="W17" s="116"/>
      <c r="X17" s="116"/>
      <c r="Y17" s="116"/>
      <c r="Z17" s="116"/>
      <c r="AA17" s="116"/>
      <c r="AB17" s="116"/>
      <c r="AC17" s="116"/>
      <c r="AD17" s="116"/>
      <c r="AE17" s="116"/>
      <c r="AF17" s="116"/>
      <c r="AG17" s="116"/>
      <c r="AH17" s="116"/>
    </row>
    <row r="18" spans="1:34" x14ac:dyDescent="0.2">
      <c r="A18" s="17"/>
      <c r="E18" s="18"/>
      <c r="F18" s="116"/>
      <c r="G18" s="116"/>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16"/>
      <c r="AG18" s="116"/>
      <c r="AH18" s="116"/>
    </row>
    <row r="19" spans="1:34" x14ac:dyDescent="0.2">
      <c r="A19" s="17"/>
      <c r="E19" s="18"/>
      <c r="F19" s="116"/>
      <c r="G19" s="116"/>
      <c r="H19" s="116"/>
      <c r="I19" s="116"/>
      <c r="J19" s="116"/>
      <c r="K19" s="116"/>
      <c r="L19" s="116"/>
      <c r="M19" s="116"/>
      <c r="N19" s="116"/>
      <c r="O19" s="116"/>
      <c r="P19" s="116"/>
      <c r="Q19" s="116"/>
      <c r="R19" s="116"/>
      <c r="S19" s="116"/>
      <c r="T19" s="116"/>
      <c r="U19" s="116"/>
      <c r="V19" s="116"/>
      <c r="W19" s="116"/>
      <c r="X19" s="116"/>
      <c r="Y19" s="116"/>
      <c r="Z19" s="116"/>
      <c r="AA19" s="116"/>
      <c r="AB19" s="116"/>
      <c r="AC19" s="116"/>
      <c r="AD19" s="116"/>
      <c r="AE19" s="116"/>
      <c r="AF19" s="116"/>
      <c r="AG19" s="116"/>
      <c r="AH19" s="116"/>
    </row>
    <row r="20" spans="1:34" x14ac:dyDescent="0.2">
      <c r="A20" s="17"/>
      <c r="E20" s="18"/>
      <c r="F20" s="116"/>
      <c r="G20" s="116"/>
      <c r="H20" s="116"/>
      <c r="I20" s="116"/>
      <c r="J20" s="116" t="str" cm="1">
        <f t="array" ref="J20">IF($D7&lt;&gt;0,A7:E7,"")</f>
        <v/>
      </c>
      <c r="K20" s="116"/>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row>
    <row r="21" spans="1:34" x14ac:dyDescent="0.2">
      <c r="A21" s="17"/>
      <c r="E21" s="18"/>
      <c r="F21" s="116"/>
      <c r="G21" s="116"/>
      <c r="H21" s="116"/>
      <c r="I21" s="116"/>
      <c r="J21" s="116" t="str" cm="1">
        <f t="array" ref="J21">IF($D8&lt;&gt;0,A8:E8,"")</f>
        <v/>
      </c>
      <c r="K21" s="116"/>
      <c r="L21" s="116"/>
      <c r="M21" s="116"/>
      <c r="N21" s="116"/>
      <c r="O21" s="116"/>
      <c r="P21" s="116"/>
      <c r="Q21" s="116"/>
      <c r="R21" s="116"/>
      <c r="S21" s="116"/>
      <c r="T21" s="116"/>
      <c r="U21" s="116"/>
      <c r="V21" s="116"/>
      <c r="W21" s="116"/>
      <c r="X21" s="116"/>
      <c r="Y21" s="116"/>
      <c r="Z21" s="116"/>
      <c r="AA21" s="116"/>
      <c r="AB21" s="116"/>
      <c r="AC21" s="116"/>
      <c r="AD21" s="116"/>
      <c r="AE21" s="116"/>
      <c r="AF21" s="116"/>
      <c r="AG21" s="116"/>
      <c r="AH21" s="116"/>
    </row>
    <row r="22" spans="1:34" x14ac:dyDescent="0.2">
      <c r="A22" s="17"/>
      <c r="E22" s="18"/>
      <c r="F22" s="116"/>
      <c r="G22" s="116"/>
      <c r="H22" s="116"/>
      <c r="I22" s="116"/>
      <c r="J22" s="116" t="str" cm="1">
        <f t="array" ref="J22">IF($D9&lt;&gt;0,A9:E9,"")</f>
        <v/>
      </c>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row>
    <row r="23" spans="1:34" ht="16" thickBot="1" x14ac:dyDescent="0.25">
      <c r="A23" s="24"/>
      <c r="B23" s="113"/>
      <c r="C23" s="113"/>
      <c r="D23" s="113"/>
      <c r="E23" s="25"/>
      <c r="F23" s="116"/>
      <c r="G23" s="116"/>
      <c r="H23" s="116"/>
      <c r="I23" s="116"/>
      <c r="J23" s="116"/>
      <c r="K23" s="116"/>
      <c r="L23" s="116"/>
      <c r="M23" s="116"/>
      <c r="N23" s="116"/>
      <c r="O23" s="116"/>
      <c r="P23" s="116"/>
      <c r="Q23" s="116"/>
      <c r="R23" s="116"/>
      <c r="S23" s="116"/>
      <c r="T23" s="116"/>
      <c r="U23" s="116"/>
      <c r="V23" s="116"/>
      <c r="W23" s="116"/>
      <c r="X23" s="116"/>
      <c r="Y23" s="116"/>
      <c r="Z23" s="116"/>
      <c r="AA23" s="116"/>
      <c r="AB23" s="116"/>
      <c r="AC23" s="116"/>
      <c r="AD23" s="116"/>
      <c r="AE23" s="116"/>
      <c r="AF23" s="116"/>
      <c r="AG23" s="116"/>
      <c r="AH23" s="116"/>
    </row>
    <row r="24" spans="1:34" x14ac:dyDescent="0.2">
      <c r="F24" s="116"/>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6"/>
      <c r="AG24" s="116"/>
      <c r="AH24" s="116"/>
    </row>
    <row r="25" spans="1:34" ht="16" thickBot="1" x14ac:dyDescent="0.25">
      <c r="A25" s="240" t="s">
        <v>542</v>
      </c>
      <c r="F25" s="116"/>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row>
    <row r="26" spans="1:34" ht="16" thickBot="1" x14ac:dyDescent="0.25">
      <c r="A26" s="339" t="s">
        <v>329</v>
      </c>
      <c r="B26" s="229" t="s">
        <v>543</v>
      </c>
      <c r="C26" s="4" t="str">
        <f>IF(ROUND(SUM(D28:D37)-SUM(E38:E47),2)&lt;&gt;0,"OUT OF BALANCE","")</f>
        <v/>
      </c>
      <c r="F26" s="103"/>
      <c r="G26" s="103"/>
      <c r="H26" s="103"/>
      <c r="I26" s="317" t="s">
        <v>305</v>
      </c>
      <c r="J26" s="317"/>
      <c r="K26" s="317"/>
      <c r="L26" s="103"/>
      <c r="M26" s="317" t="s">
        <v>544</v>
      </c>
      <c r="N26" s="318"/>
      <c r="O26" s="318"/>
      <c r="P26" s="103"/>
      <c r="Q26" s="317" t="s">
        <v>545</v>
      </c>
      <c r="R26" s="317"/>
      <c r="S26" s="317"/>
      <c r="T26" s="317"/>
      <c r="U26" s="116"/>
      <c r="V26" s="116"/>
      <c r="W26" s="116"/>
      <c r="X26" s="116"/>
      <c r="Y26" s="116"/>
      <c r="Z26" s="116"/>
      <c r="AA26" s="116"/>
      <c r="AB26" s="116"/>
      <c r="AC26" s="116"/>
      <c r="AD26" s="116"/>
      <c r="AE26" s="116"/>
      <c r="AF26" s="116"/>
      <c r="AG26" s="116"/>
      <c r="AH26" s="116"/>
    </row>
    <row r="27" spans="1:34" ht="16" thickBot="1" x14ac:dyDescent="0.25">
      <c r="A27" s="243" t="s">
        <v>305</v>
      </c>
      <c r="B27" s="203" t="s">
        <v>306</v>
      </c>
      <c r="C27" s="203" t="s">
        <v>307</v>
      </c>
      <c r="D27" s="203" t="s">
        <v>308</v>
      </c>
      <c r="E27" s="204" t="s">
        <v>309</v>
      </c>
      <c r="F27" s="103"/>
      <c r="G27" s="33" t="s">
        <v>546</v>
      </c>
      <c r="H27" s="33" t="s">
        <v>329</v>
      </c>
      <c r="I27" s="33" t="s">
        <v>547</v>
      </c>
      <c r="J27" s="33" t="s">
        <v>548</v>
      </c>
      <c r="K27" s="33" t="s">
        <v>549</v>
      </c>
      <c r="L27" s="33" t="s">
        <v>550</v>
      </c>
      <c r="M27" s="33" t="s">
        <v>547</v>
      </c>
      <c r="N27" s="33" t="s">
        <v>548</v>
      </c>
      <c r="O27" s="33" t="s">
        <v>549</v>
      </c>
      <c r="P27" s="103"/>
      <c r="Q27" s="32" t="s">
        <v>551</v>
      </c>
      <c r="R27" s="32" t="s">
        <v>552</v>
      </c>
      <c r="S27" s="32" t="s">
        <v>553</v>
      </c>
      <c r="T27" s="32" t="s">
        <v>549</v>
      </c>
      <c r="U27" s="116"/>
      <c r="V27" s="116"/>
      <c r="W27" s="116"/>
      <c r="X27" s="116"/>
      <c r="Y27" s="116"/>
      <c r="Z27" s="116"/>
      <c r="AA27" s="116"/>
      <c r="AB27" s="116"/>
      <c r="AC27" s="116"/>
      <c r="AD27" s="116"/>
      <c r="AE27" s="116"/>
      <c r="AF27" s="116"/>
      <c r="AG27" s="116"/>
      <c r="AH27" s="116"/>
    </row>
    <row r="28" spans="1:34" x14ac:dyDescent="0.2">
      <c r="A28" s="172" t="str" cm="1">
        <f t="array" ref="A28">IF(D4&lt;&gt;0,A4:E4,"")</f>
        <v/>
      </c>
      <c r="B28" s="173"/>
      <c r="C28" s="173"/>
      <c r="D28" s="230"/>
      <c r="E28" s="231"/>
      <c r="F28" s="103"/>
      <c r="G28" s="103" t="str">
        <f>B28&amp;"-"&amp;D28</f>
        <v>-</v>
      </c>
      <c r="H28" s="199" t="str" cm="1">
        <f t="array" ref="H28:H37">IF(NOT(ISBLANK(D28:D37)),IFERROR(_xlfn.XMATCH($G$28:$G$37,$G$85:$G$94,0),"X"),"")</f>
        <v/>
      </c>
      <c r="I28" s="199">
        <f t="shared" ref="I28:I37" si="0">COUNTIF($A$28:$A$37,A28)</f>
        <v>10</v>
      </c>
      <c r="J28" s="199">
        <f t="shared" ref="J28:J37" si="1">COUNTIF($A$85:$A$94,A28)</f>
        <v>10</v>
      </c>
      <c r="K28" s="199" t="b">
        <f>I28=J28</f>
        <v>1</v>
      </c>
      <c r="L28" s="199" t="str">
        <f t="shared" ref="L28:L37" si="2">IF( ISBLANK(B28),"",COUNTIF($B$85:$B$94,B28))</f>
        <v/>
      </c>
      <c r="M28" s="199" t="str">
        <f t="shared" ref="M28:M37" si="3">IF( ISBLANK(D28),"",COUNTIF($D$28:$D$37,D28))</f>
        <v/>
      </c>
      <c r="N28" s="199" t="str">
        <f t="shared" ref="N28:N37" si="4">IF( ISBLANK(D28),"",COUNTIF($D$62:$D$71,D28))</f>
        <v/>
      </c>
      <c r="O28" s="199" t="str" cm="1">
        <f t="array" ref="O28">IFERROR(_xlfn.IFS(ISBLANK(M28),"",M28-N28=0,"TRUE",M28-N28&lt;&gt;0,"FALSE"),"")</f>
        <v/>
      </c>
      <c r="P28" s="103"/>
      <c r="Q28" s="199" t="str" cm="1">
        <f t="array" ref="Q28">IFERROR(_xlfn.IFS(ISBLANK(L28),"",L28=1,"TRUE",L28=0,"FALSE"),"")</f>
        <v/>
      </c>
      <c r="R28" s="199" t="str">
        <f>IF(NOT(ISBLANK(B28)),_xlfn.XLOOKUP(B28,$B$85:$B$94,$D$85:$D$94,"FALSE"),"")</f>
        <v/>
      </c>
      <c r="S28" s="316" t="str">
        <f>IFERROR(IF(NOT(ISBLANK(B28)),D28-R28,""),"FALSE")</f>
        <v/>
      </c>
      <c r="T28" s="199" t="str" cm="1">
        <f t="array" ref="T28">_xlfn.IFS(ISBLANK(B28),"",AND(NOT(ISBLANK(B28)),S28&lt;&gt;0),"FALSE",AND(NOT(ISBLANK(B28)),S28=0),"TRUE")</f>
        <v/>
      </c>
      <c r="U28" s="116"/>
      <c r="V28" s="116"/>
      <c r="W28" s="116"/>
      <c r="X28" s="116"/>
      <c r="Y28" s="116"/>
      <c r="Z28" s="116"/>
      <c r="AA28" s="116"/>
      <c r="AB28" s="116"/>
      <c r="AC28" s="116"/>
      <c r="AD28" s="116"/>
      <c r="AE28" s="116"/>
      <c r="AF28" s="116"/>
      <c r="AG28" s="116"/>
      <c r="AH28" s="116"/>
    </row>
    <row r="29" spans="1:34" x14ac:dyDescent="0.2">
      <c r="A29" s="176" t="str" cm="1">
        <f t="array" ref="A29">IF(D5&lt;&gt;0,A5:E5,"")</f>
        <v/>
      </c>
      <c r="D29" s="232"/>
      <c r="E29" s="233"/>
      <c r="F29" s="103"/>
      <c r="G29" s="103" t="str">
        <f t="shared" ref="G29:G37" si="5">B29&amp;"-"&amp;D29</f>
        <v>-</v>
      </c>
      <c r="H29" s="199" t="str">
        <v/>
      </c>
      <c r="I29" s="199">
        <f t="shared" si="0"/>
        <v>10</v>
      </c>
      <c r="J29" s="199">
        <f t="shared" si="1"/>
        <v>10</v>
      </c>
      <c r="K29" s="199" t="b">
        <f t="shared" ref="K29:K47" si="6">I29=J29</f>
        <v>1</v>
      </c>
      <c r="L29" s="199" t="str">
        <f t="shared" si="2"/>
        <v/>
      </c>
      <c r="M29" s="199" t="str">
        <f t="shared" si="3"/>
        <v/>
      </c>
      <c r="N29" s="199" t="str">
        <f t="shared" si="4"/>
        <v/>
      </c>
      <c r="O29" s="199" t="str" cm="1">
        <f t="array" ref="O29">IFERROR(_xlfn.IFS(ISBLANK(M29),"",M29-N29=0,"TRUE",M29-N29&lt;&gt;0,"FALSE"),"")</f>
        <v/>
      </c>
      <c r="P29" s="103"/>
      <c r="Q29" s="199" t="str" cm="1">
        <f t="array" ref="Q29">IFERROR(_xlfn.IFS(ISBLANK(L29),"",L29=1,"TRUE",L29=0,"FALSE"),"")</f>
        <v/>
      </c>
      <c r="R29" s="199" t="str">
        <f t="shared" ref="R29:R37" si="7">IF(NOT(ISBLANK(B29)),_xlfn.XLOOKUP(B29,$B$85:$B$94,$D$85:$D$94,"FALSE"),"")</f>
        <v/>
      </c>
      <c r="S29" s="316" t="str">
        <f t="shared" ref="S29:S37" si="8">IFERROR(IF(NOT(ISBLANK(B29)),D29-R29,""),"FALSE")</f>
        <v/>
      </c>
      <c r="T29" s="199" t="str" cm="1">
        <f t="array" ref="T29">_xlfn.IFS(ISBLANK(B29),"",AND(NOT(ISBLANK(B29)),S29&lt;&gt;0),"FALSE",AND(NOT(ISBLANK(B29)),S29=0),"TRUE")</f>
        <v/>
      </c>
      <c r="U29" s="116"/>
      <c r="V29" s="116"/>
      <c r="W29" s="116"/>
      <c r="X29" s="116"/>
      <c r="Y29" s="116"/>
      <c r="Z29" s="116"/>
      <c r="AA29" s="116"/>
      <c r="AB29" s="116"/>
      <c r="AC29" s="116"/>
      <c r="AD29" s="116"/>
      <c r="AE29" s="116"/>
      <c r="AF29" s="116"/>
      <c r="AG29" s="116"/>
      <c r="AH29" s="116"/>
    </row>
    <row r="30" spans="1:34" x14ac:dyDescent="0.2">
      <c r="A30" s="176" t="str" cm="1">
        <f t="array" ref="A30">IF(D6&lt;&gt;0,A6:E6,"")</f>
        <v/>
      </c>
      <c r="D30" s="232"/>
      <c r="E30" s="233"/>
      <c r="F30" s="103"/>
      <c r="G30" s="103" t="str">
        <f t="shared" si="5"/>
        <v>-</v>
      </c>
      <c r="H30" s="199" t="str">
        <v/>
      </c>
      <c r="I30" s="199">
        <f t="shared" si="0"/>
        <v>10</v>
      </c>
      <c r="J30" s="199">
        <f t="shared" si="1"/>
        <v>10</v>
      </c>
      <c r="K30" s="199" t="b">
        <f t="shared" si="6"/>
        <v>1</v>
      </c>
      <c r="L30" s="199" t="str">
        <f t="shared" si="2"/>
        <v/>
      </c>
      <c r="M30" s="199" t="str">
        <f t="shared" si="3"/>
        <v/>
      </c>
      <c r="N30" s="199" t="str">
        <f t="shared" si="4"/>
        <v/>
      </c>
      <c r="O30" s="199" t="str" cm="1">
        <f t="array" ref="O30">IFERROR(_xlfn.IFS(ISBLANK(M30),"",M30-N30=0,"TRUE",M30-N30&lt;&gt;0,"FALSE"),"")</f>
        <v/>
      </c>
      <c r="P30" s="103"/>
      <c r="Q30" s="199" t="str" cm="1">
        <f t="array" ref="Q30">IFERROR(_xlfn.IFS(ISBLANK(L30),"",L30=1,"TRUE",L30=0,"FALSE"),"")</f>
        <v/>
      </c>
      <c r="R30" s="199" t="str">
        <f t="shared" si="7"/>
        <v/>
      </c>
      <c r="S30" s="316" t="str">
        <f t="shared" si="8"/>
        <v/>
      </c>
      <c r="T30" s="199" t="str" cm="1">
        <f t="array" ref="T30">_xlfn.IFS(ISBLANK(B30),"",AND(NOT(ISBLANK(B30)),S30&lt;&gt;0),"FALSE",AND(NOT(ISBLANK(B30)),S30=0),"TRUE")</f>
        <v/>
      </c>
      <c r="U30" s="116"/>
      <c r="V30" s="116"/>
      <c r="W30" s="116"/>
      <c r="X30" s="116"/>
      <c r="Y30" s="116"/>
      <c r="Z30" s="116"/>
      <c r="AA30" s="116"/>
      <c r="AB30" s="116"/>
      <c r="AC30" s="116"/>
      <c r="AD30" s="116"/>
      <c r="AE30" s="116"/>
      <c r="AF30" s="116"/>
      <c r="AG30" s="116"/>
      <c r="AH30" s="116"/>
    </row>
    <row r="31" spans="1:34" x14ac:dyDescent="0.2">
      <c r="A31" s="176" t="str" cm="1">
        <f t="array" ref="A31">IF(D7&lt;&gt;0,A7:E7,"")</f>
        <v/>
      </c>
      <c r="D31" s="232"/>
      <c r="E31" s="233"/>
      <c r="F31" s="103"/>
      <c r="G31" s="103" t="str">
        <f t="shared" si="5"/>
        <v>-</v>
      </c>
      <c r="H31" s="199" t="str">
        <v/>
      </c>
      <c r="I31" s="199">
        <f t="shared" si="0"/>
        <v>10</v>
      </c>
      <c r="J31" s="199">
        <f t="shared" si="1"/>
        <v>10</v>
      </c>
      <c r="K31" s="199" t="b">
        <f t="shared" si="6"/>
        <v>1</v>
      </c>
      <c r="L31" s="199" t="str">
        <f t="shared" si="2"/>
        <v/>
      </c>
      <c r="M31" s="199" t="str">
        <f t="shared" si="3"/>
        <v/>
      </c>
      <c r="N31" s="199" t="str">
        <f t="shared" si="4"/>
        <v/>
      </c>
      <c r="O31" s="199" t="str" cm="1">
        <f t="array" ref="O31">IFERROR(_xlfn.IFS(ISBLANK(M31),"",M31-N31=0,"TRUE",M31-N31&lt;&gt;0,"FALSE"),"")</f>
        <v/>
      </c>
      <c r="P31" s="103"/>
      <c r="Q31" s="199" t="str" cm="1">
        <f t="array" ref="Q31">IFERROR(_xlfn.IFS(ISBLANK(L31),"",L31=1,"TRUE",L31=0,"FALSE"),"")</f>
        <v/>
      </c>
      <c r="R31" s="199" t="str">
        <f t="shared" si="7"/>
        <v/>
      </c>
      <c r="S31" s="316" t="str">
        <f t="shared" si="8"/>
        <v/>
      </c>
      <c r="T31" s="199" t="str" cm="1">
        <f t="array" ref="T31">_xlfn.IFS(ISBLANK(B31),"",AND(NOT(ISBLANK(B31)),S31&lt;&gt;0),"FALSE",AND(NOT(ISBLANK(B31)),S31=0),"TRUE")</f>
        <v/>
      </c>
      <c r="U31" s="116"/>
      <c r="V31" s="116"/>
      <c r="W31" s="116"/>
      <c r="X31" s="116"/>
      <c r="Y31" s="116"/>
      <c r="Z31" s="116"/>
      <c r="AA31" s="116"/>
      <c r="AB31" s="116"/>
      <c r="AC31" s="116"/>
      <c r="AD31" s="116"/>
      <c r="AE31" s="116"/>
      <c r="AF31" s="116"/>
      <c r="AG31" s="116"/>
      <c r="AH31" s="116"/>
    </row>
    <row r="32" spans="1:34" x14ac:dyDescent="0.2">
      <c r="A32" s="176" t="str" cm="1">
        <f t="array" ref="A32">IF(D8&lt;&gt;0,A8:E8,"")</f>
        <v/>
      </c>
      <c r="D32" s="232"/>
      <c r="E32" s="233"/>
      <c r="F32" s="103"/>
      <c r="G32" s="103" t="str">
        <f t="shared" si="5"/>
        <v>-</v>
      </c>
      <c r="H32" s="199" t="str">
        <v/>
      </c>
      <c r="I32" s="199">
        <f t="shared" si="0"/>
        <v>10</v>
      </c>
      <c r="J32" s="199">
        <f t="shared" si="1"/>
        <v>10</v>
      </c>
      <c r="K32" s="199" t="b">
        <f t="shared" si="6"/>
        <v>1</v>
      </c>
      <c r="L32" s="199" t="str">
        <f t="shared" si="2"/>
        <v/>
      </c>
      <c r="M32" s="199" t="str">
        <f t="shared" si="3"/>
        <v/>
      </c>
      <c r="N32" s="199" t="str">
        <f t="shared" si="4"/>
        <v/>
      </c>
      <c r="O32" s="199" t="str" cm="1">
        <f t="array" ref="O32">IFERROR(_xlfn.IFS(ISBLANK(M32),"",M32-N32=0,"TRUE",M32-N32&lt;&gt;0,"FALSE"),"")</f>
        <v/>
      </c>
      <c r="P32" s="103"/>
      <c r="Q32" s="199" t="str" cm="1">
        <f t="array" ref="Q32">IFERROR(_xlfn.IFS(ISBLANK(L32),"",L32=1,"TRUE",L32=0,"FALSE"),"")</f>
        <v/>
      </c>
      <c r="R32" s="199" t="str">
        <f t="shared" si="7"/>
        <v/>
      </c>
      <c r="S32" s="316" t="str">
        <f t="shared" si="8"/>
        <v/>
      </c>
      <c r="T32" s="199" t="str" cm="1">
        <f t="array" ref="T32">_xlfn.IFS(ISBLANK(B32),"",AND(NOT(ISBLANK(B32)),S32&lt;&gt;0),"FALSE",AND(NOT(ISBLANK(B32)),S32=0),"TRUE")</f>
        <v/>
      </c>
      <c r="U32" s="116"/>
      <c r="V32" s="116"/>
      <c r="W32" s="116"/>
      <c r="X32" s="116"/>
      <c r="Y32" s="116"/>
      <c r="Z32" s="116"/>
      <c r="AA32" s="116"/>
      <c r="AB32" s="116"/>
      <c r="AC32" s="116"/>
      <c r="AD32" s="116"/>
      <c r="AE32" s="116"/>
      <c r="AF32" s="116"/>
      <c r="AG32" s="116"/>
      <c r="AH32" s="116"/>
    </row>
    <row r="33" spans="1:34" x14ac:dyDescent="0.2">
      <c r="A33" s="176" t="str" cm="1">
        <f t="array" ref="A33">IF(D9&lt;&gt;0,A9:E9,"")</f>
        <v/>
      </c>
      <c r="D33" s="234"/>
      <c r="E33" s="235"/>
      <c r="F33" s="103"/>
      <c r="G33" s="103" t="str">
        <f t="shared" si="5"/>
        <v>-</v>
      </c>
      <c r="H33" s="199" t="str">
        <v/>
      </c>
      <c r="I33" s="199">
        <f t="shared" si="0"/>
        <v>10</v>
      </c>
      <c r="J33" s="199">
        <f t="shared" si="1"/>
        <v>10</v>
      </c>
      <c r="K33" s="199" t="b">
        <f t="shared" si="6"/>
        <v>1</v>
      </c>
      <c r="L33" s="199" t="str">
        <f t="shared" si="2"/>
        <v/>
      </c>
      <c r="M33" s="199" t="str">
        <f t="shared" si="3"/>
        <v/>
      </c>
      <c r="N33" s="199" t="str">
        <f t="shared" si="4"/>
        <v/>
      </c>
      <c r="O33" s="199" t="str" cm="1">
        <f t="array" ref="O33">IFERROR(_xlfn.IFS(ISBLANK(M33),"",M33-N33=0,"TRUE",M33-N33&lt;&gt;0,"FALSE"),"")</f>
        <v/>
      </c>
      <c r="P33" s="103"/>
      <c r="Q33" s="199" t="str" cm="1">
        <f t="array" ref="Q33">IFERROR(_xlfn.IFS(ISBLANK(L33),"",L33=1,"TRUE",L33=0,"FALSE"),"")</f>
        <v/>
      </c>
      <c r="R33" s="199" t="str">
        <f t="shared" si="7"/>
        <v/>
      </c>
      <c r="S33" s="316" t="str">
        <f t="shared" si="8"/>
        <v/>
      </c>
      <c r="T33" s="199" t="str" cm="1">
        <f t="array" ref="T33">_xlfn.IFS(ISBLANK(B33),"",AND(NOT(ISBLANK(B33)),S33&lt;&gt;0),"FALSE",AND(NOT(ISBLANK(B33)),S33=0),"TRUE")</f>
        <v/>
      </c>
      <c r="U33" s="116"/>
      <c r="V33" s="116"/>
      <c r="W33" s="116"/>
      <c r="X33" s="116"/>
      <c r="Y33" s="116"/>
      <c r="Z33" s="116"/>
      <c r="AA33" s="116"/>
      <c r="AB33" s="116"/>
      <c r="AC33" s="116"/>
      <c r="AD33" s="116"/>
      <c r="AE33" s="116"/>
      <c r="AF33" s="116"/>
      <c r="AG33" s="116"/>
      <c r="AH33" s="116"/>
    </row>
    <row r="34" spans="1:34" x14ac:dyDescent="0.2">
      <c r="A34" s="176" t="str" cm="1">
        <f t="array" ref="A34">IF(D10&lt;&gt;0,A10:E10,"")</f>
        <v/>
      </c>
      <c r="D34" s="234"/>
      <c r="E34" s="235"/>
      <c r="F34" s="103"/>
      <c r="G34" s="103" t="str">
        <f t="shared" si="5"/>
        <v>-</v>
      </c>
      <c r="H34" s="199" t="str">
        <v/>
      </c>
      <c r="I34" s="199">
        <f t="shared" si="0"/>
        <v>10</v>
      </c>
      <c r="J34" s="199">
        <f t="shared" si="1"/>
        <v>10</v>
      </c>
      <c r="K34" s="199" t="b">
        <f t="shared" si="6"/>
        <v>1</v>
      </c>
      <c r="L34" s="199" t="str">
        <f t="shared" si="2"/>
        <v/>
      </c>
      <c r="M34" s="199" t="str">
        <f t="shared" si="3"/>
        <v/>
      </c>
      <c r="N34" s="199" t="str">
        <f t="shared" si="4"/>
        <v/>
      </c>
      <c r="O34" s="199" t="str" cm="1">
        <f t="array" ref="O34">IFERROR(_xlfn.IFS(ISBLANK(M34),"",M34-N34=0,"TRUE",M34-N34&lt;&gt;0,"FALSE"),"")</f>
        <v/>
      </c>
      <c r="P34" s="103"/>
      <c r="Q34" s="199" t="str" cm="1">
        <f t="array" ref="Q34">IFERROR(_xlfn.IFS(ISBLANK(L34),"",L34=1,"TRUE",L34=0,"FALSE"),"")</f>
        <v/>
      </c>
      <c r="R34" s="199" t="str">
        <f t="shared" si="7"/>
        <v/>
      </c>
      <c r="S34" s="316" t="str">
        <f t="shared" si="8"/>
        <v/>
      </c>
      <c r="T34" s="199" t="str" cm="1">
        <f t="array" ref="T34">_xlfn.IFS(ISBLANK(B34),"",AND(NOT(ISBLANK(B34)),S34&lt;&gt;0),"FALSE",AND(NOT(ISBLANK(B34)),S34=0),"TRUE")</f>
        <v/>
      </c>
      <c r="U34" s="116"/>
      <c r="V34" s="116"/>
      <c r="W34" s="116"/>
      <c r="X34" s="116"/>
      <c r="Y34" s="116"/>
      <c r="Z34" s="116"/>
      <c r="AA34" s="116"/>
      <c r="AB34" s="116"/>
      <c r="AC34" s="116"/>
      <c r="AD34" s="116"/>
      <c r="AE34" s="116"/>
      <c r="AF34" s="116"/>
      <c r="AG34" s="116"/>
      <c r="AH34" s="116"/>
    </row>
    <row r="35" spans="1:34" x14ac:dyDescent="0.2">
      <c r="A35" s="176" t="str" cm="1">
        <f t="array" ref="A35">IF(D11&lt;&gt;0,A11:E11,"")</f>
        <v/>
      </c>
      <c r="D35" s="234"/>
      <c r="E35" s="235"/>
      <c r="F35" s="103"/>
      <c r="G35" s="103" t="str">
        <f t="shared" si="5"/>
        <v>-</v>
      </c>
      <c r="H35" s="199" t="str">
        <v/>
      </c>
      <c r="I35" s="199">
        <f t="shared" si="0"/>
        <v>10</v>
      </c>
      <c r="J35" s="199">
        <f t="shared" si="1"/>
        <v>10</v>
      </c>
      <c r="K35" s="199" t="b">
        <f t="shared" si="6"/>
        <v>1</v>
      </c>
      <c r="L35" s="199" t="str">
        <f t="shared" si="2"/>
        <v/>
      </c>
      <c r="M35" s="199" t="str">
        <f t="shared" si="3"/>
        <v/>
      </c>
      <c r="N35" s="199" t="str">
        <f t="shared" si="4"/>
        <v/>
      </c>
      <c r="O35" s="199" t="str" cm="1">
        <f t="array" ref="O35">IFERROR(_xlfn.IFS(ISBLANK(M35),"",M35-N35=0,"TRUE",M35-N35&lt;&gt;0,"FALSE"),"")</f>
        <v/>
      </c>
      <c r="P35" s="103"/>
      <c r="Q35" s="199" t="str" cm="1">
        <f t="array" ref="Q35">IFERROR(_xlfn.IFS(ISBLANK(L35),"",L35=1,"TRUE",L35=0,"FALSE"),"")</f>
        <v/>
      </c>
      <c r="R35" s="199" t="str">
        <f t="shared" si="7"/>
        <v/>
      </c>
      <c r="S35" s="316" t="str">
        <f t="shared" si="8"/>
        <v/>
      </c>
      <c r="T35" s="199" t="str" cm="1">
        <f t="array" ref="T35">_xlfn.IFS(ISBLANK(B35),"",AND(NOT(ISBLANK(B35)),S35&lt;&gt;0),"FALSE",AND(NOT(ISBLANK(B35)),S35=0),"TRUE")</f>
        <v/>
      </c>
      <c r="U35" s="116"/>
      <c r="V35" s="116"/>
      <c r="W35" s="116"/>
      <c r="X35" s="116"/>
      <c r="Y35" s="116"/>
      <c r="Z35" s="116"/>
      <c r="AA35" s="116"/>
      <c r="AB35" s="116"/>
      <c r="AC35" s="116"/>
      <c r="AD35" s="116"/>
      <c r="AE35" s="116"/>
      <c r="AF35" s="116"/>
      <c r="AG35" s="116"/>
      <c r="AH35" s="116"/>
    </row>
    <row r="36" spans="1:34" x14ac:dyDescent="0.2">
      <c r="A36" s="176" t="str" cm="1">
        <f t="array" ref="A36">IF(D12&lt;&gt;0,A12:E12,"")</f>
        <v/>
      </c>
      <c r="D36" s="234"/>
      <c r="E36" s="235"/>
      <c r="F36" s="103"/>
      <c r="G36" s="103" t="str">
        <f t="shared" si="5"/>
        <v>-</v>
      </c>
      <c r="H36" s="199" t="str">
        <v/>
      </c>
      <c r="I36" s="199">
        <f t="shared" si="0"/>
        <v>10</v>
      </c>
      <c r="J36" s="199">
        <f t="shared" si="1"/>
        <v>10</v>
      </c>
      <c r="K36" s="199" t="b">
        <f t="shared" si="6"/>
        <v>1</v>
      </c>
      <c r="L36" s="199" t="str">
        <f t="shared" si="2"/>
        <v/>
      </c>
      <c r="M36" s="199" t="str">
        <f t="shared" si="3"/>
        <v/>
      </c>
      <c r="N36" s="199" t="str">
        <f t="shared" si="4"/>
        <v/>
      </c>
      <c r="O36" s="199" t="str" cm="1">
        <f t="array" ref="O36">IFERROR(_xlfn.IFS(ISBLANK(M36),"",M36-N36=0,"TRUE",M36-N36&lt;&gt;0,"FALSE"),"")</f>
        <v/>
      </c>
      <c r="P36" s="103"/>
      <c r="Q36" s="199" t="str" cm="1">
        <f t="array" ref="Q36">IFERROR(_xlfn.IFS(ISBLANK(L36),"",L36=1,"TRUE",L36=0,"FALSE"),"")</f>
        <v/>
      </c>
      <c r="R36" s="199" t="str">
        <f t="shared" si="7"/>
        <v/>
      </c>
      <c r="S36" s="316" t="str">
        <f t="shared" si="8"/>
        <v/>
      </c>
      <c r="T36" s="199" t="str" cm="1">
        <f t="array" ref="T36">_xlfn.IFS(ISBLANK(B36),"",AND(NOT(ISBLANK(B36)),S36&lt;&gt;0),"FALSE",AND(NOT(ISBLANK(B36)),S36=0),"TRUE")</f>
        <v/>
      </c>
      <c r="U36" s="116"/>
      <c r="V36" s="116"/>
      <c r="W36" s="116"/>
      <c r="X36" s="116"/>
      <c r="Y36" s="116"/>
      <c r="Z36" s="116"/>
      <c r="AA36" s="116"/>
      <c r="AB36" s="116"/>
      <c r="AC36" s="116"/>
      <c r="AD36" s="116"/>
      <c r="AE36" s="116"/>
      <c r="AF36" s="116"/>
      <c r="AG36" s="116"/>
      <c r="AH36" s="116"/>
    </row>
    <row r="37" spans="1:34" ht="16" thickBot="1" x14ac:dyDescent="0.25">
      <c r="A37" s="178" t="str" cm="1">
        <f t="array" ref="A37">IF(D13&lt;&gt;0,A13:E13,"")</f>
        <v/>
      </c>
      <c r="B37" s="113"/>
      <c r="C37" s="113"/>
      <c r="D37" s="241"/>
      <c r="E37" s="242"/>
      <c r="F37" s="103"/>
      <c r="G37" s="103" t="str">
        <f t="shared" si="5"/>
        <v>-</v>
      </c>
      <c r="H37" s="199" t="str">
        <v/>
      </c>
      <c r="I37" s="199">
        <f t="shared" si="0"/>
        <v>10</v>
      </c>
      <c r="J37" s="199">
        <f t="shared" si="1"/>
        <v>10</v>
      </c>
      <c r="K37" s="199" t="b">
        <f t="shared" si="6"/>
        <v>1</v>
      </c>
      <c r="L37" s="199" t="str">
        <f t="shared" si="2"/>
        <v/>
      </c>
      <c r="M37" s="199" t="str">
        <f t="shared" si="3"/>
        <v/>
      </c>
      <c r="N37" s="199" t="str">
        <f t="shared" si="4"/>
        <v/>
      </c>
      <c r="O37" s="199" t="str" cm="1">
        <f t="array" ref="O37">IFERROR(_xlfn.IFS(ISBLANK(M37),"",M37-N37=0,"TRUE",M37-N37&lt;&gt;0,"FALSE"),"")</f>
        <v/>
      </c>
      <c r="P37" s="103"/>
      <c r="Q37" s="199" t="str" cm="1">
        <f t="array" ref="Q37">IFERROR(_xlfn.IFS(ISBLANK(L37),"",L37=1,"TRUE",L37=0,"FALSE"),"")</f>
        <v/>
      </c>
      <c r="R37" s="199" t="str">
        <f t="shared" si="7"/>
        <v/>
      </c>
      <c r="S37" s="316" t="str">
        <f t="shared" si="8"/>
        <v/>
      </c>
      <c r="T37" s="199" t="str" cm="1">
        <f t="array" ref="T37">_xlfn.IFS(ISBLANK(B37),"",AND(NOT(ISBLANK(B37)),S37&lt;&gt;0),"FALSE",AND(NOT(ISBLANK(B37)),S37=0),"TRUE")</f>
        <v/>
      </c>
      <c r="U37" s="116"/>
      <c r="V37" s="116"/>
      <c r="W37" s="116"/>
      <c r="X37" s="116"/>
      <c r="Y37" s="116"/>
      <c r="Z37" s="116"/>
      <c r="AA37" s="116"/>
      <c r="AB37" s="116"/>
      <c r="AC37" s="116"/>
      <c r="AD37" s="116"/>
      <c r="AE37" s="116"/>
      <c r="AF37" s="116"/>
      <c r="AG37" s="116"/>
      <c r="AH37" s="116"/>
    </row>
    <row r="38" spans="1:34" x14ac:dyDescent="0.2">
      <c r="A38" s="176" t="str" cm="1">
        <f t="array" ref="A38">IF(E4&lt;&gt;0,A4:E4,"")</f>
        <v/>
      </c>
      <c r="D38" s="234"/>
      <c r="E38" s="235"/>
      <c r="F38" s="103"/>
      <c r="G38" s="103" t="str">
        <f>C38&amp;"-"&amp;E38</f>
        <v>-</v>
      </c>
      <c r="H38" s="199" t="str" cm="1">
        <f t="array" ref="H38:H47">IF(NOT(ISBLANK(E38:E47)),IFERROR(_xlfn.XMATCH($G$38:$G$47,$G$95:$G$104,0),"X"),"")</f>
        <v/>
      </c>
      <c r="I38" s="199">
        <f t="shared" ref="I38:I47" si="9">COUNTIF($A$38:$A$47,A38)</f>
        <v>10</v>
      </c>
      <c r="J38" s="199">
        <f t="shared" ref="J38:J47" si="10">COUNTIF($A$95:$A$104,A38)</f>
        <v>10</v>
      </c>
      <c r="K38" s="199" t="b">
        <f t="shared" si="6"/>
        <v>1</v>
      </c>
      <c r="L38" s="199" t="str">
        <f t="shared" ref="L38:L47" si="11">IF( ISBLANK(C38),"",COUNTIF($C$95:$C$104,C38))</f>
        <v/>
      </c>
      <c r="M38" s="199" t="str">
        <f t="shared" ref="M38:M47" si="12">IF( ISBLANK(E38),"",COUNTIF($E$38:$E$47,E38))</f>
        <v/>
      </c>
      <c r="N38" s="199" t="str">
        <f t="shared" ref="N38:N47" si="13">IF( ISBLANK(E38),"",COUNTIF($E$62:$E$71,E38))</f>
        <v/>
      </c>
      <c r="O38" s="199" t="str" cm="1">
        <f t="array" ref="O38">IFERROR(_xlfn.IFS(ISBLANK(M38),"",M38-N38=0,"TRUE",M38-N38&lt;&gt;0,"FALSE"),"")</f>
        <v/>
      </c>
      <c r="P38" s="103"/>
      <c r="Q38" s="199" t="str" cm="1">
        <f t="array" ref="Q38">IFERROR(_xlfn.IFS(ISBLANK(L38),"",L38=1,"TRUE",L38=0,"FALSE"),"")</f>
        <v/>
      </c>
      <c r="R38" s="199" t="str">
        <f>IF(NOT(ISBLANK(C38)),_xlfn.XLOOKUP(C38,$C$95:$C$104,$E$95:$E$104,"FALSE"),"")</f>
        <v/>
      </c>
      <c r="S38" s="316" t="str">
        <f>IFERROR(IF(NOT(ISBLANK(C38)),E38-R38,""),"FALSE")</f>
        <v/>
      </c>
      <c r="T38" s="199" t="str" cm="1">
        <f t="array" ref="T38">_xlfn.IFS(ISBLANK(B38),"",AND(NOT(ISBLANK(B38)),S38&lt;&gt;0),"FALSE",AND(NOT(ISBLANK(B38)),S38=0),"TRUE")</f>
        <v/>
      </c>
      <c r="U38" s="116"/>
      <c r="V38" s="116"/>
      <c r="W38" s="116"/>
      <c r="X38" s="116"/>
      <c r="Y38" s="116"/>
      <c r="Z38" s="116"/>
      <c r="AA38" s="116"/>
      <c r="AB38" s="116"/>
      <c r="AC38" s="116"/>
      <c r="AD38" s="116"/>
      <c r="AE38" s="116"/>
      <c r="AF38" s="116"/>
      <c r="AG38" s="116"/>
      <c r="AH38" s="116"/>
    </row>
    <row r="39" spans="1:34" x14ac:dyDescent="0.2">
      <c r="A39" s="176" t="str" cm="1">
        <f t="array" ref="A39">IF(E5&lt;&gt;0,A5:E5,"")</f>
        <v/>
      </c>
      <c r="D39" s="232"/>
      <c r="E39" s="233"/>
      <c r="F39" s="103"/>
      <c r="G39" s="103" t="str">
        <f t="shared" ref="G39:G47" si="14">C39&amp;"-"&amp;E39</f>
        <v>-</v>
      </c>
      <c r="H39" s="199" t="str">
        <v/>
      </c>
      <c r="I39" s="199">
        <f t="shared" si="9"/>
        <v>10</v>
      </c>
      <c r="J39" s="199">
        <f t="shared" si="10"/>
        <v>10</v>
      </c>
      <c r="K39" s="199" t="b">
        <f t="shared" si="6"/>
        <v>1</v>
      </c>
      <c r="L39" s="199" t="str">
        <f t="shared" si="11"/>
        <v/>
      </c>
      <c r="M39" s="199" t="str">
        <f t="shared" si="12"/>
        <v/>
      </c>
      <c r="N39" s="199" t="str">
        <f t="shared" si="13"/>
        <v/>
      </c>
      <c r="O39" s="199" t="str" cm="1">
        <f t="array" ref="O39">IFERROR(_xlfn.IFS(ISBLANK(M39),"",M39-N39=0,"TRUE",M39-N39&lt;&gt;0,"FALSE"),"")</f>
        <v/>
      </c>
      <c r="P39" s="103"/>
      <c r="Q39" s="199" t="str" cm="1">
        <f t="array" ref="Q39">IFERROR(_xlfn.IFS(ISBLANK(L39),"",L39=1,"TRUE",L39=0,"FALSE"),"")</f>
        <v/>
      </c>
      <c r="R39" s="199" t="str">
        <f t="shared" ref="R39:R47" si="15">IF(NOT(ISBLANK(C39)),_xlfn.XLOOKUP(C39,$C$95:$C$104,$E$95:$E$104,"FALSE"),"")</f>
        <v/>
      </c>
      <c r="S39" s="316" t="str">
        <f t="shared" ref="S39:S47" si="16">IFERROR(IF(NOT(ISBLANK(C39)),E39-R39,""),"FALSE")</f>
        <v/>
      </c>
      <c r="T39" s="199" t="str" cm="1">
        <f t="array" ref="T39">_xlfn.IFS(ISBLANK(B39),"",AND(NOT(ISBLANK(B39)),S39&lt;&gt;0),"FALSE",AND(NOT(ISBLANK(B39)),S39=0),"TRUE")</f>
        <v/>
      </c>
      <c r="U39" s="116"/>
      <c r="V39" s="116"/>
      <c r="W39" s="116"/>
      <c r="X39" s="116"/>
      <c r="Y39" s="116"/>
      <c r="Z39" s="116"/>
      <c r="AA39" s="116"/>
      <c r="AB39" s="116"/>
      <c r="AC39" s="116"/>
      <c r="AD39" s="116"/>
      <c r="AE39" s="116"/>
      <c r="AF39" s="116"/>
      <c r="AG39" s="116"/>
      <c r="AH39" s="116"/>
    </row>
    <row r="40" spans="1:34" x14ac:dyDescent="0.2">
      <c r="A40" s="176" t="str" cm="1">
        <f t="array" ref="A40">IF(E6&lt;&gt;0,A6:E6,"")</f>
        <v/>
      </c>
      <c r="D40" s="232"/>
      <c r="E40" s="233"/>
      <c r="F40" s="103"/>
      <c r="G40" s="103" t="str">
        <f t="shared" si="14"/>
        <v>-</v>
      </c>
      <c r="H40" s="199" t="str">
        <v/>
      </c>
      <c r="I40" s="199">
        <f t="shared" si="9"/>
        <v>10</v>
      </c>
      <c r="J40" s="199">
        <f t="shared" si="10"/>
        <v>10</v>
      </c>
      <c r="K40" s="199" t="b">
        <f t="shared" si="6"/>
        <v>1</v>
      </c>
      <c r="L40" s="199" t="str">
        <f t="shared" si="11"/>
        <v/>
      </c>
      <c r="M40" s="199" t="str">
        <f t="shared" si="12"/>
        <v/>
      </c>
      <c r="N40" s="199" t="str">
        <f t="shared" si="13"/>
        <v/>
      </c>
      <c r="O40" s="199" t="str" cm="1">
        <f t="array" ref="O40">IFERROR(_xlfn.IFS(ISBLANK(M40),"",M40-N40=0,"TRUE",M40-N40&lt;&gt;0,"FALSE"),"")</f>
        <v/>
      </c>
      <c r="P40" s="103"/>
      <c r="Q40" s="199" t="str" cm="1">
        <f t="array" ref="Q40">IFERROR(_xlfn.IFS(ISBLANK(L40),"",L40=1,"TRUE",L40=0,"FALSE"),"")</f>
        <v/>
      </c>
      <c r="R40" s="199" t="str">
        <f t="shared" si="15"/>
        <v/>
      </c>
      <c r="S40" s="316" t="str">
        <f t="shared" si="16"/>
        <v/>
      </c>
      <c r="T40" s="199" t="str" cm="1">
        <f t="array" ref="T40">_xlfn.IFS(ISBLANK(B40),"",AND(NOT(ISBLANK(B40)),S40&lt;&gt;0),"FALSE",AND(NOT(ISBLANK(B40)),S40=0),"TRUE")</f>
        <v/>
      </c>
      <c r="U40" s="116"/>
      <c r="V40" s="116"/>
      <c r="W40" s="116"/>
      <c r="X40" s="116"/>
      <c r="Y40" s="116"/>
      <c r="Z40" s="116"/>
      <c r="AA40" s="116"/>
      <c r="AB40" s="116"/>
      <c r="AC40" s="116"/>
      <c r="AD40" s="116"/>
      <c r="AE40" s="116"/>
      <c r="AF40" s="116"/>
      <c r="AG40" s="116"/>
      <c r="AH40" s="116"/>
    </row>
    <row r="41" spans="1:34" x14ac:dyDescent="0.2">
      <c r="A41" s="176" t="str" cm="1">
        <f t="array" ref="A41">IF(E7&lt;&gt;0,A7:E7,"")</f>
        <v/>
      </c>
      <c r="D41" s="232"/>
      <c r="E41" s="233"/>
      <c r="F41" s="103"/>
      <c r="G41" s="103" t="str">
        <f t="shared" si="14"/>
        <v>-</v>
      </c>
      <c r="H41" s="199" t="str">
        <v/>
      </c>
      <c r="I41" s="199">
        <f t="shared" si="9"/>
        <v>10</v>
      </c>
      <c r="J41" s="199">
        <f t="shared" si="10"/>
        <v>10</v>
      </c>
      <c r="K41" s="199" t="b">
        <f t="shared" si="6"/>
        <v>1</v>
      </c>
      <c r="L41" s="199" t="str">
        <f t="shared" si="11"/>
        <v/>
      </c>
      <c r="M41" s="199" t="str">
        <f t="shared" si="12"/>
        <v/>
      </c>
      <c r="N41" s="199" t="str">
        <f t="shared" si="13"/>
        <v/>
      </c>
      <c r="O41" s="199" t="str" cm="1">
        <f t="array" ref="O41">IFERROR(_xlfn.IFS(ISBLANK(M41),"",M41-N41=0,"TRUE",M41-N41&lt;&gt;0,"FALSE"),"")</f>
        <v/>
      </c>
      <c r="P41" s="103"/>
      <c r="Q41" s="199" t="str" cm="1">
        <f t="array" ref="Q41">IFERROR(_xlfn.IFS(ISBLANK(L41),"",L41=1,"TRUE",L41=0,"FALSE"),"")</f>
        <v/>
      </c>
      <c r="R41" s="199" t="str">
        <f t="shared" si="15"/>
        <v/>
      </c>
      <c r="S41" s="316" t="str">
        <f t="shared" si="16"/>
        <v/>
      </c>
      <c r="T41" s="199" t="str" cm="1">
        <f t="array" ref="T41">_xlfn.IFS(ISBLANK(B41),"",AND(NOT(ISBLANK(B41)),S41&lt;&gt;0),"FALSE",AND(NOT(ISBLANK(B41)),S41=0),"TRUE")</f>
        <v/>
      </c>
      <c r="U41" s="116"/>
      <c r="V41" s="116"/>
      <c r="W41" s="116"/>
      <c r="X41" s="116"/>
      <c r="Y41" s="116"/>
      <c r="Z41" s="116"/>
      <c r="AA41" s="116"/>
      <c r="AB41" s="116"/>
      <c r="AC41" s="116"/>
      <c r="AD41" s="116"/>
      <c r="AE41" s="116"/>
      <c r="AF41" s="116"/>
      <c r="AG41" s="116"/>
      <c r="AH41" s="116"/>
    </row>
    <row r="42" spans="1:34" x14ac:dyDescent="0.2">
      <c r="A42" s="176" t="str" cm="1">
        <f t="array" ref="A42">IF(E8&lt;&gt;0,A8:E8,"")</f>
        <v/>
      </c>
      <c r="D42" s="232"/>
      <c r="E42" s="233"/>
      <c r="F42" s="103"/>
      <c r="G42" s="103" t="str">
        <f t="shared" si="14"/>
        <v>-</v>
      </c>
      <c r="H42" s="199" t="str">
        <v/>
      </c>
      <c r="I42" s="199">
        <f t="shared" si="9"/>
        <v>10</v>
      </c>
      <c r="J42" s="199">
        <f t="shared" si="10"/>
        <v>10</v>
      </c>
      <c r="K42" s="199" t="b">
        <f t="shared" si="6"/>
        <v>1</v>
      </c>
      <c r="L42" s="199" t="str">
        <f t="shared" si="11"/>
        <v/>
      </c>
      <c r="M42" s="199" t="str">
        <f t="shared" si="12"/>
        <v/>
      </c>
      <c r="N42" s="199" t="str">
        <f t="shared" si="13"/>
        <v/>
      </c>
      <c r="O42" s="199" t="str" cm="1">
        <f t="array" ref="O42">IFERROR(_xlfn.IFS(ISBLANK(M42),"",M42-N42=0,"TRUE",M42-N42&lt;&gt;0,"FALSE"),"")</f>
        <v/>
      </c>
      <c r="P42" s="103"/>
      <c r="Q42" s="199" t="str" cm="1">
        <f t="array" ref="Q42">IFERROR(_xlfn.IFS(ISBLANK(L42),"",L42=1,"TRUE",L42=0,"FALSE"),"")</f>
        <v/>
      </c>
      <c r="R42" s="199" t="str">
        <f t="shared" si="15"/>
        <v/>
      </c>
      <c r="S42" s="316" t="str">
        <f t="shared" si="16"/>
        <v/>
      </c>
      <c r="T42" s="199" t="str" cm="1">
        <f t="array" ref="T42">_xlfn.IFS(ISBLANK(B42),"",AND(NOT(ISBLANK(B42)),S42&lt;&gt;0),"FALSE",AND(NOT(ISBLANK(B42)),S42=0),"TRUE")</f>
        <v/>
      </c>
      <c r="U42" s="116"/>
      <c r="V42" s="116"/>
      <c r="W42" s="116"/>
      <c r="X42" s="116"/>
      <c r="Y42" s="116"/>
      <c r="Z42" s="116"/>
      <c r="AA42" s="116"/>
      <c r="AB42" s="116"/>
      <c r="AC42" s="116"/>
      <c r="AD42" s="116"/>
      <c r="AE42" s="116"/>
      <c r="AF42" s="116"/>
      <c r="AG42" s="116"/>
      <c r="AH42" s="116"/>
    </row>
    <row r="43" spans="1:34" x14ac:dyDescent="0.2">
      <c r="A43" s="176" t="str" cm="1">
        <f t="array" ref="A43">IF(E9&lt;&gt;0,A9:E9,"")</f>
        <v/>
      </c>
      <c r="D43" s="234"/>
      <c r="E43" s="235"/>
      <c r="F43" s="103"/>
      <c r="G43" s="103" t="str">
        <f t="shared" si="14"/>
        <v>-</v>
      </c>
      <c r="H43" s="199" t="str">
        <v/>
      </c>
      <c r="I43" s="199">
        <f t="shared" si="9"/>
        <v>10</v>
      </c>
      <c r="J43" s="199">
        <f t="shared" si="10"/>
        <v>10</v>
      </c>
      <c r="K43" s="199" t="b">
        <f t="shared" si="6"/>
        <v>1</v>
      </c>
      <c r="L43" s="199" t="str">
        <f t="shared" si="11"/>
        <v/>
      </c>
      <c r="M43" s="199" t="str">
        <f t="shared" si="12"/>
        <v/>
      </c>
      <c r="N43" s="199" t="str">
        <f t="shared" si="13"/>
        <v/>
      </c>
      <c r="O43" s="199" t="str" cm="1">
        <f t="array" ref="O43">IFERROR(_xlfn.IFS(ISBLANK(M43),"",M43-N43=0,"TRUE",M43-N43&lt;&gt;0,"FALSE"),"")</f>
        <v/>
      </c>
      <c r="P43" s="103"/>
      <c r="Q43" s="199" t="str" cm="1">
        <f t="array" ref="Q43">IFERROR(_xlfn.IFS(ISBLANK(L43),"",L43=1,"TRUE",L43=0,"FALSE"),"")</f>
        <v/>
      </c>
      <c r="R43" s="199" t="str">
        <f t="shared" si="15"/>
        <v/>
      </c>
      <c r="S43" s="316" t="str">
        <f t="shared" si="16"/>
        <v/>
      </c>
      <c r="T43" s="199" t="str" cm="1">
        <f t="array" ref="T43">_xlfn.IFS(ISBLANK(B43),"",AND(NOT(ISBLANK(B43)),S43&lt;&gt;0),"FALSE",AND(NOT(ISBLANK(B43)),S43=0),"TRUE")</f>
        <v/>
      </c>
      <c r="U43" s="116"/>
      <c r="V43" s="116"/>
      <c r="W43" s="116"/>
      <c r="X43" s="116"/>
      <c r="Y43" s="116"/>
      <c r="Z43" s="116"/>
      <c r="AA43" s="116"/>
      <c r="AB43" s="116"/>
      <c r="AC43" s="116"/>
      <c r="AD43" s="116"/>
      <c r="AE43" s="116"/>
      <c r="AF43" s="116"/>
      <c r="AG43" s="116"/>
      <c r="AH43" s="116"/>
    </row>
    <row r="44" spans="1:34" x14ac:dyDescent="0.2">
      <c r="A44" s="176" t="str" cm="1">
        <f t="array" ref="A44">IF(E10&lt;&gt;0,A10:E10,"")</f>
        <v/>
      </c>
      <c r="D44" s="234"/>
      <c r="E44" s="235"/>
      <c r="F44" s="103"/>
      <c r="G44" s="103" t="str">
        <f t="shared" si="14"/>
        <v>-</v>
      </c>
      <c r="H44" s="199" t="str">
        <v/>
      </c>
      <c r="I44" s="199">
        <f t="shared" si="9"/>
        <v>10</v>
      </c>
      <c r="J44" s="199">
        <f t="shared" si="10"/>
        <v>10</v>
      </c>
      <c r="K44" s="199" t="b">
        <f t="shared" si="6"/>
        <v>1</v>
      </c>
      <c r="L44" s="199" t="str">
        <f t="shared" si="11"/>
        <v/>
      </c>
      <c r="M44" s="199" t="str">
        <f t="shared" si="12"/>
        <v/>
      </c>
      <c r="N44" s="199" t="str">
        <f t="shared" si="13"/>
        <v/>
      </c>
      <c r="O44" s="199" t="str" cm="1">
        <f t="array" ref="O44">IFERROR(_xlfn.IFS(ISBLANK(M44),"",M44-N44=0,"TRUE",M44-N44&lt;&gt;0,"FALSE"),"")</f>
        <v/>
      </c>
      <c r="P44" s="103"/>
      <c r="Q44" s="199" t="str" cm="1">
        <f t="array" ref="Q44">IFERROR(_xlfn.IFS(ISBLANK(L44),"",L44=1,"TRUE",L44=0,"FALSE"),"")</f>
        <v/>
      </c>
      <c r="R44" s="199" t="str">
        <f t="shared" si="15"/>
        <v/>
      </c>
      <c r="S44" s="316" t="str">
        <f t="shared" si="16"/>
        <v/>
      </c>
      <c r="T44" s="199" t="str" cm="1">
        <f t="array" ref="T44">_xlfn.IFS(ISBLANK(B44),"",AND(NOT(ISBLANK(B44)),S44&lt;&gt;0),"FALSE",AND(NOT(ISBLANK(B44)),S44=0),"TRUE")</f>
        <v/>
      </c>
      <c r="U44" s="116"/>
      <c r="V44" s="116"/>
      <c r="W44" s="116"/>
      <c r="X44" s="116"/>
      <c r="Y44" s="116"/>
      <c r="Z44" s="116"/>
      <c r="AA44" s="116"/>
      <c r="AB44" s="116"/>
      <c r="AC44" s="116"/>
      <c r="AD44" s="116"/>
      <c r="AE44" s="116"/>
      <c r="AF44" s="116"/>
      <c r="AG44" s="116"/>
      <c r="AH44" s="116"/>
    </row>
    <row r="45" spans="1:34" x14ac:dyDescent="0.2">
      <c r="A45" s="176" t="str" cm="1">
        <f t="array" ref="A45">IF(E11&lt;&gt;0,A11:E11,"")</f>
        <v/>
      </c>
      <c r="D45" s="234"/>
      <c r="E45" s="235"/>
      <c r="F45" s="103"/>
      <c r="G45" s="103" t="str">
        <f t="shared" si="14"/>
        <v>-</v>
      </c>
      <c r="H45" s="199" t="str">
        <v/>
      </c>
      <c r="I45" s="199">
        <f t="shared" si="9"/>
        <v>10</v>
      </c>
      <c r="J45" s="199">
        <f t="shared" si="10"/>
        <v>10</v>
      </c>
      <c r="K45" s="199" t="b">
        <f t="shared" si="6"/>
        <v>1</v>
      </c>
      <c r="L45" s="199" t="str">
        <f t="shared" si="11"/>
        <v/>
      </c>
      <c r="M45" s="199" t="str">
        <f t="shared" si="12"/>
        <v/>
      </c>
      <c r="N45" s="199" t="str">
        <f t="shared" si="13"/>
        <v/>
      </c>
      <c r="O45" s="199" t="str" cm="1">
        <f t="array" ref="O45">IFERROR(_xlfn.IFS(ISBLANK(M45),"",M45-N45=0,"TRUE",M45-N45&lt;&gt;0,"FALSE"),"")</f>
        <v/>
      </c>
      <c r="P45" s="103"/>
      <c r="Q45" s="199" t="str" cm="1">
        <f t="array" ref="Q45">IFERROR(_xlfn.IFS(ISBLANK(L45),"",L45=1,"TRUE",L45=0,"FALSE"),"")</f>
        <v/>
      </c>
      <c r="R45" s="199" t="str">
        <f t="shared" si="15"/>
        <v/>
      </c>
      <c r="S45" s="316" t="str">
        <f t="shared" si="16"/>
        <v/>
      </c>
      <c r="T45" s="199" t="str" cm="1">
        <f t="array" ref="T45">_xlfn.IFS(ISBLANK(B45),"",AND(NOT(ISBLANK(B45)),S45&lt;&gt;0),"FALSE",AND(NOT(ISBLANK(B45)),S45=0),"TRUE")</f>
        <v/>
      </c>
      <c r="U45" s="116"/>
      <c r="V45" s="116"/>
      <c r="W45" s="116"/>
      <c r="X45" s="116"/>
      <c r="Y45" s="116"/>
      <c r="Z45" s="116"/>
      <c r="AA45" s="116"/>
      <c r="AB45" s="116"/>
      <c r="AC45" s="116"/>
      <c r="AD45" s="116"/>
      <c r="AE45" s="116"/>
      <c r="AF45" s="116"/>
      <c r="AG45" s="116"/>
      <c r="AH45" s="116"/>
    </row>
    <row r="46" spans="1:34" x14ac:dyDescent="0.2">
      <c r="A46" s="176" t="str" cm="1">
        <f t="array" ref="A46">IF(E12&lt;&gt;0,A12:E12,"")</f>
        <v/>
      </c>
      <c r="D46" s="234"/>
      <c r="E46" s="235"/>
      <c r="F46" s="103"/>
      <c r="G46" s="103" t="str">
        <f t="shared" si="14"/>
        <v>-</v>
      </c>
      <c r="H46" s="199" t="str">
        <v/>
      </c>
      <c r="I46" s="199">
        <f t="shared" si="9"/>
        <v>10</v>
      </c>
      <c r="J46" s="199">
        <f t="shared" si="10"/>
        <v>10</v>
      </c>
      <c r="K46" s="199" t="b">
        <f t="shared" si="6"/>
        <v>1</v>
      </c>
      <c r="L46" s="199" t="str">
        <f t="shared" si="11"/>
        <v/>
      </c>
      <c r="M46" s="199" t="str">
        <f t="shared" si="12"/>
        <v/>
      </c>
      <c r="N46" s="199" t="str">
        <f t="shared" si="13"/>
        <v/>
      </c>
      <c r="O46" s="199" t="str" cm="1">
        <f t="array" ref="O46">IFERROR(_xlfn.IFS(ISBLANK(M46),"",M46-N46=0,"TRUE",M46-N46&lt;&gt;0,"FALSE"),"")</f>
        <v/>
      </c>
      <c r="P46" s="103"/>
      <c r="Q46" s="199" t="str" cm="1">
        <f t="array" ref="Q46">IFERROR(_xlfn.IFS(ISBLANK(L46),"",L46=1,"TRUE",L46=0,"FALSE"),"")</f>
        <v/>
      </c>
      <c r="R46" s="199" t="str">
        <f t="shared" si="15"/>
        <v/>
      </c>
      <c r="S46" s="316" t="str">
        <f t="shared" si="16"/>
        <v/>
      </c>
      <c r="T46" s="199" t="str" cm="1">
        <f t="array" ref="T46">_xlfn.IFS(ISBLANK(B46),"",AND(NOT(ISBLANK(B46)),S46&lt;&gt;0),"FALSE",AND(NOT(ISBLANK(B46)),S46=0),"TRUE")</f>
        <v/>
      </c>
      <c r="U46" s="116"/>
      <c r="V46" s="116"/>
      <c r="W46" s="116"/>
      <c r="X46" s="116"/>
      <c r="Y46" s="116"/>
      <c r="Z46" s="116"/>
      <c r="AA46" s="116"/>
      <c r="AB46" s="116"/>
      <c r="AC46" s="116"/>
      <c r="AD46" s="116"/>
      <c r="AE46" s="116"/>
      <c r="AF46" s="116"/>
      <c r="AG46" s="116"/>
      <c r="AH46" s="116"/>
    </row>
    <row r="47" spans="1:34" ht="16" thickBot="1" x14ac:dyDescent="0.25">
      <c r="A47" s="178" t="str" cm="1">
        <f t="array" ref="A47">IF(E13&lt;&gt;0,A13:E13,"")</f>
        <v/>
      </c>
      <c r="B47" s="113"/>
      <c r="C47" s="113"/>
      <c r="D47" s="241"/>
      <c r="E47" s="242"/>
      <c r="F47" s="103"/>
      <c r="G47" s="103" t="str">
        <f t="shared" si="14"/>
        <v>-</v>
      </c>
      <c r="H47" s="199" t="str">
        <v/>
      </c>
      <c r="I47" s="199">
        <f t="shared" si="9"/>
        <v>10</v>
      </c>
      <c r="J47" s="199">
        <f t="shared" si="10"/>
        <v>10</v>
      </c>
      <c r="K47" s="199" t="b">
        <f t="shared" si="6"/>
        <v>1</v>
      </c>
      <c r="L47" s="199" t="str">
        <f t="shared" si="11"/>
        <v/>
      </c>
      <c r="M47" s="199" t="str">
        <f t="shared" si="12"/>
        <v/>
      </c>
      <c r="N47" s="199" t="str">
        <f t="shared" si="13"/>
        <v/>
      </c>
      <c r="O47" s="199" t="str" cm="1">
        <f t="array" ref="O47">IFERROR(_xlfn.IFS(ISBLANK(M47),"",M47-N47=0,"TRUE",M47-N47&lt;&gt;0,"FALSE"),"")</f>
        <v/>
      </c>
      <c r="P47" s="103"/>
      <c r="Q47" s="199" t="str" cm="1">
        <f t="array" ref="Q47">IFERROR(_xlfn.IFS(ISBLANK(L47),"",L47=1,"TRUE",L47=0,"FALSE"),"")</f>
        <v/>
      </c>
      <c r="R47" s="199" t="str">
        <f t="shared" si="15"/>
        <v/>
      </c>
      <c r="S47" s="316" t="str">
        <f t="shared" si="16"/>
        <v/>
      </c>
      <c r="T47" s="199" t="str" cm="1">
        <f t="array" ref="T47">_xlfn.IFS(ISBLANK(B47),"",AND(NOT(ISBLANK(B47)),S47&lt;&gt;0),"FALSE",AND(NOT(ISBLANK(B47)),S47=0),"TRUE")</f>
        <v/>
      </c>
      <c r="U47" s="116"/>
      <c r="V47" s="116"/>
      <c r="W47" s="116"/>
      <c r="X47" s="116"/>
      <c r="Y47" s="116"/>
      <c r="Z47" s="116"/>
      <c r="AA47" s="116"/>
      <c r="AB47" s="116"/>
      <c r="AC47" s="116"/>
      <c r="AD47" s="116"/>
      <c r="AE47" s="116"/>
      <c r="AF47" s="116"/>
      <c r="AG47" s="116"/>
      <c r="AH47" s="116"/>
    </row>
    <row r="48" spans="1:34" x14ac:dyDescent="0.2">
      <c r="F48" s="103"/>
      <c r="G48" s="103"/>
      <c r="H48" s="103"/>
      <c r="I48" s="103"/>
      <c r="J48" s="103"/>
      <c r="K48" s="103"/>
      <c r="L48" s="103"/>
      <c r="M48" s="103"/>
      <c r="N48" s="103"/>
      <c r="O48" s="103"/>
      <c r="P48" s="103"/>
      <c r="Q48" s="103"/>
      <c r="R48" s="103"/>
      <c r="S48" s="103"/>
      <c r="T48" s="103"/>
      <c r="U48" s="116"/>
      <c r="V48" s="116"/>
      <c r="W48" s="116"/>
      <c r="X48" s="116"/>
      <c r="Y48" s="116"/>
      <c r="Z48" s="116"/>
      <c r="AA48" s="116"/>
      <c r="AB48" s="116"/>
      <c r="AC48" s="116"/>
      <c r="AD48" s="116"/>
      <c r="AE48" s="116"/>
      <c r="AF48" s="116"/>
      <c r="AG48" s="116"/>
      <c r="AH48" s="116"/>
    </row>
    <row r="49" spans="1:34" hidden="1" x14ac:dyDescent="0.2">
      <c r="A49" s="199"/>
      <c r="B49" s="103" t="str" cm="1">
        <f t="array" ref="B49">_xlfn._xlws.FILTER(Feedback[Item],Feedback[Yes/No]="YES","None Available")</f>
        <v>None Available</v>
      </c>
      <c r="C49" s="103"/>
      <c r="D49" s="103"/>
      <c r="E49" s="103"/>
      <c r="F49" s="103"/>
      <c r="G49" s="103"/>
      <c r="H49" s="103"/>
      <c r="I49" s="103"/>
      <c r="J49" s="103"/>
      <c r="K49" s="103"/>
      <c r="L49" s="103"/>
      <c r="M49" s="103"/>
      <c r="N49" s="103"/>
      <c r="O49" s="103"/>
      <c r="P49" s="103"/>
      <c r="Q49" s="103"/>
      <c r="R49" s="103"/>
      <c r="S49" s="103"/>
      <c r="T49" s="103"/>
      <c r="U49" s="116"/>
      <c r="V49" s="116"/>
      <c r="W49" s="116"/>
      <c r="X49" s="116"/>
      <c r="Y49" s="116"/>
      <c r="Z49" s="116"/>
      <c r="AA49" s="116"/>
      <c r="AB49" s="116"/>
      <c r="AC49" s="116"/>
      <c r="AD49" s="116"/>
      <c r="AE49" s="116"/>
      <c r="AF49" s="116"/>
      <c r="AG49" s="116"/>
      <c r="AH49" s="116"/>
    </row>
    <row r="50" spans="1:34" hidden="1" x14ac:dyDescent="0.2">
      <c r="A50" s="199"/>
      <c r="B50" s="103"/>
      <c r="C50" s="103"/>
      <c r="D50" s="103"/>
      <c r="E50" s="103"/>
      <c r="F50" s="103">
        <v>22</v>
      </c>
      <c r="G50" s="103"/>
      <c r="H50" s="103"/>
      <c r="I50" s="103"/>
      <c r="J50" s="103"/>
      <c r="K50" s="103"/>
      <c r="L50" s="103"/>
      <c r="M50" s="103"/>
      <c r="N50" s="103"/>
      <c r="O50" s="103"/>
      <c r="P50" s="103"/>
      <c r="Q50" s="103"/>
      <c r="R50" s="103"/>
      <c r="S50" s="103"/>
      <c r="T50" s="103"/>
      <c r="U50" s="116"/>
      <c r="V50" s="116"/>
      <c r="W50" s="116"/>
      <c r="X50" s="116"/>
      <c r="Y50" s="116"/>
      <c r="Z50" s="116"/>
      <c r="AA50" s="116"/>
      <c r="AB50" s="116"/>
      <c r="AC50" s="116"/>
      <c r="AD50" s="116"/>
      <c r="AE50" s="116"/>
      <c r="AF50" s="116"/>
      <c r="AG50" s="116"/>
      <c r="AH50" s="116"/>
    </row>
    <row r="51" spans="1:34" hidden="1" x14ac:dyDescent="0.2">
      <c r="A51" s="199"/>
      <c r="B51" s="103"/>
      <c r="C51" s="103"/>
      <c r="D51" s="103"/>
      <c r="E51" s="103"/>
      <c r="F51" s="116"/>
      <c r="G51" s="116"/>
      <c r="H51" s="116"/>
      <c r="I51" s="116"/>
      <c r="J51" s="116"/>
      <c r="K51" s="11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row>
    <row r="52" spans="1:34" hidden="1" x14ac:dyDescent="0.2">
      <c r="A52" s="199"/>
      <c r="B52" s="103"/>
      <c r="C52" s="103"/>
      <c r="D52" s="103"/>
      <c r="E52" s="103"/>
      <c r="F52" s="116"/>
      <c r="G52" s="116"/>
      <c r="H52" s="116"/>
      <c r="I52" s="116"/>
      <c r="J52" s="116"/>
      <c r="K52" s="116"/>
      <c r="L52" s="116"/>
      <c r="M52" s="116"/>
      <c r="N52" s="116"/>
      <c r="O52" s="116"/>
      <c r="P52" s="116"/>
      <c r="Q52" s="116"/>
      <c r="R52" s="116"/>
      <c r="S52" s="116"/>
      <c r="T52" s="116"/>
      <c r="U52" s="116"/>
      <c r="V52" s="116"/>
      <c r="W52" s="116"/>
      <c r="X52" s="116"/>
      <c r="Y52" s="116"/>
      <c r="Z52" s="116"/>
      <c r="AA52" s="116"/>
      <c r="AB52" s="116"/>
      <c r="AC52" s="116"/>
      <c r="AD52" s="116"/>
      <c r="AE52" s="116"/>
      <c r="AF52" s="116"/>
      <c r="AG52" s="116"/>
      <c r="AH52" s="116"/>
    </row>
    <row r="53" spans="1:34" hidden="1" x14ac:dyDescent="0.2">
      <c r="A53" s="199"/>
      <c r="B53" s="103"/>
      <c r="C53" s="103"/>
      <c r="D53" s="103"/>
      <c r="E53" s="103"/>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row>
    <row r="54" spans="1:34" hidden="1" x14ac:dyDescent="0.2">
      <c r="A54" s="199"/>
      <c r="B54" s="103"/>
      <c r="C54" s="103"/>
      <c r="D54" s="103"/>
      <c r="E54" s="103"/>
      <c r="F54" s="116"/>
      <c r="G54" s="116"/>
      <c r="H54" s="116"/>
      <c r="I54" s="116"/>
      <c r="J54" s="116"/>
      <c r="K54" s="116"/>
      <c r="L54" s="116"/>
      <c r="M54" s="116"/>
      <c r="N54" s="116"/>
      <c r="O54" s="116"/>
      <c r="P54" s="116"/>
      <c r="Q54" s="116"/>
      <c r="R54" s="116"/>
      <c r="S54" s="116"/>
      <c r="T54" s="116"/>
      <c r="U54" s="116"/>
      <c r="V54" s="116"/>
      <c r="W54" s="116"/>
      <c r="X54" s="116"/>
      <c r="Y54" s="116"/>
      <c r="Z54" s="116"/>
      <c r="AA54" s="116"/>
      <c r="AB54" s="116"/>
      <c r="AC54" s="116"/>
      <c r="AD54" s="116"/>
      <c r="AE54" s="116"/>
      <c r="AF54" s="116"/>
      <c r="AG54" s="116"/>
      <c r="AH54" s="116"/>
    </row>
    <row r="55" spans="1:34" hidden="1" x14ac:dyDescent="0.2">
      <c r="A55" s="103"/>
      <c r="B55" s="103"/>
      <c r="C55" s="103"/>
      <c r="D55" s="103"/>
      <c r="E55" s="103"/>
      <c r="F55" s="116"/>
      <c r="G55" s="116"/>
      <c r="H55" s="116"/>
      <c r="I55" s="116"/>
      <c r="J55" s="116"/>
      <c r="K55" s="116"/>
      <c r="L55" s="116"/>
      <c r="M55" s="116"/>
      <c r="N55" s="116"/>
      <c r="O55" s="116"/>
      <c r="P55" s="116"/>
      <c r="Q55" s="116"/>
      <c r="R55" s="116"/>
      <c r="S55" s="116"/>
      <c r="T55" s="116"/>
      <c r="U55" s="116"/>
      <c r="V55" s="116"/>
      <c r="W55" s="116"/>
      <c r="X55" s="116"/>
      <c r="Y55" s="116"/>
      <c r="Z55" s="116"/>
      <c r="AA55" s="116"/>
      <c r="AB55" s="116"/>
      <c r="AC55" s="116"/>
      <c r="AD55" s="116"/>
      <c r="AE55" s="116"/>
      <c r="AF55" s="116"/>
      <c r="AG55" s="116"/>
      <c r="AH55" s="116"/>
    </row>
    <row r="56" spans="1:34" hidden="1" x14ac:dyDescent="0.2">
      <c r="A56" s="103"/>
      <c r="B56" s="103"/>
      <c r="C56" s="103"/>
      <c r="D56" s="103"/>
      <c r="E56" s="103"/>
      <c r="F56" s="116"/>
      <c r="G56" s="116"/>
      <c r="H56" s="116"/>
      <c r="I56" s="116"/>
      <c r="J56" s="116"/>
      <c r="K56" s="116"/>
      <c r="L56" s="116"/>
      <c r="M56" s="116"/>
      <c r="N56" s="116"/>
      <c r="O56" s="116"/>
      <c r="P56" s="116"/>
      <c r="Q56" s="116"/>
      <c r="R56" s="116"/>
      <c r="S56" s="116"/>
      <c r="T56" s="116"/>
      <c r="U56" s="116"/>
      <c r="V56" s="116"/>
      <c r="W56" s="116"/>
      <c r="X56" s="116"/>
      <c r="Y56" s="116"/>
      <c r="Z56" s="116"/>
      <c r="AA56" s="116"/>
      <c r="AB56" s="116"/>
      <c r="AC56" s="116"/>
      <c r="AD56" s="116"/>
      <c r="AE56" s="116"/>
      <c r="AF56" s="116"/>
      <c r="AG56" s="116"/>
      <c r="AH56" s="116"/>
    </row>
    <row r="57" spans="1:34" hidden="1" x14ac:dyDescent="0.2">
      <c r="A57" s="103"/>
      <c r="B57" s="103"/>
      <c r="C57" s="103"/>
      <c r="D57" s="103"/>
      <c r="E57" s="103"/>
      <c r="F57" s="116"/>
      <c r="G57" s="116"/>
      <c r="H57" s="116"/>
      <c r="I57" s="116"/>
      <c r="J57" s="116"/>
      <c r="K57" s="116"/>
      <c r="L57" s="116"/>
      <c r="M57" s="116"/>
      <c r="N57" s="116"/>
      <c r="O57" s="116"/>
      <c r="P57" s="116"/>
      <c r="Q57" s="116"/>
      <c r="R57" s="116"/>
      <c r="S57" s="116"/>
      <c r="T57" s="116"/>
      <c r="U57" s="116"/>
      <c r="V57" s="116"/>
      <c r="W57" s="116"/>
      <c r="X57" s="116"/>
      <c r="Y57" s="116"/>
      <c r="Z57" s="116"/>
      <c r="AA57" s="116"/>
      <c r="AB57" s="116"/>
      <c r="AC57" s="116"/>
      <c r="AD57" s="116"/>
      <c r="AE57" s="116"/>
      <c r="AF57" s="116"/>
      <c r="AG57" s="116"/>
      <c r="AH57" s="116"/>
    </row>
    <row r="58" spans="1:34" hidden="1" x14ac:dyDescent="0.2">
      <c r="A58" s="103"/>
      <c r="B58" s="103"/>
      <c r="C58" s="103"/>
      <c r="D58" s="103"/>
      <c r="E58" s="103"/>
      <c r="F58" s="116"/>
      <c r="G58" s="116"/>
      <c r="H58" s="116"/>
      <c r="I58" s="116"/>
      <c r="J58" s="116"/>
      <c r="K58" s="116"/>
      <c r="L58" s="116"/>
      <c r="M58" s="116"/>
      <c r="N58" s="116"/>
      <c r="O58" s="116"/>
      <c r="P58" s="116"/>
      <c r="Q58" s="116"/>
      <c r="R58" s="116"/>
      <c r="S58" s="116"/>
      <c r="T58" s="116"/>
      <c r="U58" s="116"/>
      <c r="V58" s="116"/>
      <c r="W58" s="116"/>
      <c r="X58" s="116"/>
      <c r="Y58" s="116"/>
      <c r="Z58" s="116"/>
      <c r="AA58" s="116"/>
      <c r="AB58" s="116"/>
      <c r="AC58" s="116"/>
      <c r="AD58" s="116"/>
      <c r="AE58" s="116"/>
      <c r="AF58" s="116"/>
      <c r="AG58" s="116"/>
      <c r="AH58" s="116"/>
    </row>
    <row r="59" spans="1:34" hidden="1" x14ac:dyDescent="0.2">
      <c r="A59" s="103"/>
      <c r="B59" s="103"/>
      <c r="C59" s="103"/>
      <c r="D59" s="103"/>
      <c r="E59" s="103"/>
      <c r="F59" s="116"/>
      <c r="G59" s="116"/>
      <c r="H59" s="116"/>
      <c r="I59" s="116"/>
      <c r="J59" s="116"/>
      <c r="K59" s="116"/>
      <c r="L59" s="116"/>
      <c r="M59" s="116"/>
      <c r="N59" s="116"/>
      <c r="O59" s="116"/>
      <c r="P59" s="116"/>
      <c r="Q59" s="116"/>
      <c r="R59" s="116"/>
      <c r="S59" s="116"/>
      <c r="T59" s="116"/>
      <c r="U59" s="116"/>
      <c r="V59" s="116"/>
      <c r="W59" s="116"/>
      <c r="X59" s="116"/>
      <c r="Y59" s="116"/>
      <c r="Z59" s="116"/>
      <c r="AA59" s="116"/>
      <c r="AB59" s="116"/>
      <c r="AC59" s="116"/>
      <c r="AD59" s="116"/>
      <c r="AE59" s="116"/>
      <c r="AF59" s="116"/>
      <c r="AG59" s="116"/>
      <c r="AH59" s="116"/>
    </row>
    <row r="60" spans="1:34" hidden="1" x14ac:dyDescent="0.2">
      <c r="A60" s="103"/>
      <c r="B60" s="103"/>
      <c r="C60" s="103"/>
      <c r="D60" s="103"/>
      <c r="E60" s="103"/>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6"/>
      <c r="AE60" s="116"/>
      <c r="AF60" s="116"/>
      <c r="AG60" s="116"/>
      <c r="AH60" s="116"/>
    </row>
    <row r="61" spans="1:34" hidden="1" x14ac:dyDescent="0.2">
      <c r="A61" s="33" t="s">
        <v>305</v>
      </c>
      <c r="B61" s="33" t="s">
        <v>306</v>
      </c>
      <c r="C61" s="33" t="s">
        <v>307</v>
      </c>
      <c r="D61" s="33" t="s">
        <v>308</v>
      </c>
      <c r="E61" s="33" t="s">
        <v>309</v>
      </c>
      <c r="F61" s="200"/>
      <c r="G61" s="201" t="s">
        <v>554</v>
      </c>
      <c r="H61" s="201" t="s">
        <v>331</v>
      </c>
      <c r="I61" s="201" t="s">
        <v>333</v>
      </c>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row>
    <row r="62" spans="1:34" hidden="1" x14ac:dyDescent="0.2">
      <c r="A62" s="314" t="str" cm="1">
        <f t="array" aca="1" ref="A62" ca="1">IFERROR(_xlfn._xlws.FILTER(Answers[AccntType]:Answers[CrAmt],Answers[ref]=$A$1,""),"")</f>
        <v/>
      </c>
      <c r="B62" s="314"/>
      <c r="C62" s="314"/>
      <c r="D62" s="315"/>
      <c r="E62" s="315"/>
      <c r="F62" s="116"/>
      <c r="G62" s="116">
        <v>1</v>
      </c>
      <c r="H62" s="116">
        <f>IFERROR(LARGE($D$62:$D$81,G62),0)</f>
        <v>0</v>
      </c>
      <c r="I62" s="116">
        <f t="shared" ref="I62:I71" si="17">IFERROR(LARGE($E$62:$E$81,G62),0)</f>
        <v>0</v>
      </c>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row>
    <row r="63" spans="1:34" hidden="1" x14ac:dyDescent="0.2">
      <c r="A63" s="103"/>
      <c r="B63" s="103"/>
      <c r="C63" s="103"/>
      <c r="D63" s="315"/>
      <c r="E63" s="315"/>
      <c r="F63" s="116"/>
      <c r="G63" s="116">
        <v>2</v>
      </c>
      <c r="H63" s="116">
        <f t="shared" ref="H63:H71" si="18">IFERROR(LARGE($D$4:$D$23,G63),0)</f>
        <v>0</v>
      </c>
      <c r="I63" s="116">
        <f t="shared" si="17"/>
        <v>0</v>
      </c>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16"/>
      <c r="AG63" s="116"/>
      <c r="AH63" s="116"/>
    </row>
    <row r="64" spans="1:34" hidden="1" x14ac:dyDescent="0.2">
      <c r="A64" s="103"/>
      <c r="B64" s="103"/>
      <c r="C64" s="103"/>
      <c r="D64" s="315"/>
      <c r="E64" s="315"/>
      <c r="F64" s="116"/>
      <c r="G64" s="116">
        <v>3</v>
      </c>
      <c r="H64" s="116">
        <f t="shared" si="18"/>
        <v>0</v>
      </c>
      <c r="I64" s="116">
        <f t="shared" si="17"/>
        <v>0</v>
      </c>
      <c r="J64" s="116"/>
      <c r="K64" s="116"/>
      <c r="L64" s="116"/>
      <c r="M64" s="116"/>
      <c r="N64" s="116"/>
      <c r="O64" s="116"/>
      <c r="P64" s="116"/>
      <c r="Q64" s="116"/>
      <c r="R64" s="116"/>
      <c r="S64" s="116"/>
      <c r="T64" s="116"/>
      <c r="U64" s="116"/>
      <c r="V64" s="116"/>
      <c r="W64" s="116"/>
      <c r="X64" s="116"/>
      <c r="Y64" s="116"/>
      <c r="Z64" s="116"/>
      <c r="AA64" s="116"/>
      <c r="AB64" s="116"/>
      <c r="AC64" s="116"/>
      <c r="AD64" s="116"/>
      <c r="AE64" s="116"/>
      <c r="AF64" s="116"/>
      <c r="AG64" s="116"/>
      <c r="AH64" s="116"/>
    </row>
    <row r="65" spans="1:34" hidden="1" x14ac:dyDescent="0.2">
      <c r="A65" s="103"/>
      <c r="B65" s="103"/>
      <c r="C65" s="103"/>
      <c r="D65" s="315"/>
      <c r="E65" s="315"/>
      <c r="F65" s="116"/>
      <c r="G65" s="116">
        <v>4</v>
      </c>
      <c r="H65" s="116">
        <f t="shared" si="18"/>
        <v>0</v>
      </c>
      <c r="I65" s="116">
        <f t="shared" si="17"/>
        <v>0</v>
      </c>
      <c r="J65" s="116"/>
      <c r="K65" s="116"/>
      <c r="L65" s="116"/>
      <c r="M65" s="116"/>
      <c r="N65" s="116"/>
      <c r="O65" s="116"/>
      <c r="P65" s="116"/>
      <c r="Q65" s="116"/>
      <c r="R65" s="116"/>
      <c r="S65" s="116"/>
      <c r="T65" s="116"/>
      <c r="U65" s="116"/>
      <c r="V65" s="116"/>
      <c r="W65" s="116"/>
      <c r="X65" s="116"/>
      <c r="Y65" s="116"/>
      <c r="Z65" s="116"/>
      <c r="AA65" s="116"/>
      <c r="AB65" s="116"/>
      <c r="AC65" s="116"/>
      <c r="AD65" s="116"/>
      <c r="AE65" s="116"/>
      <c r="AF65" s="116"/>
      <c r="AG65" s="116"/>
      <c r="AH65" s="116"/>
    </row>
    <row r="66" spans="1:34" hidden="1" x14ac:dyDescent="0.2">
      <c r="A66" s="103"/>
      <c r="B66" s="103"/>
      <c r="C66" s="103"/>
      <c r="D66" s="315"/>
      <c r="E66" s="315"/>
      <c r="F66" s="116"/>
      <c r="G66" s="116">
        <v>5</v>
      </c>
      <c r="H66" s="116">
        <f t="shared" si="18"/>
        <v>0</v>
      </c>
      <c r="I66" s="116">
        <f t="shared" si="17"/>
        <v>0</v>
      </c>
      <c r="J66" s="116"/>
      <c r="K66" s="116"/>
      <c r="L66" s="116"/>
      <c r="M66" s="116"/>
      <c r="N66" s="116"/>
      <c r="O66" s="116"/>
      <c r="P66" s="116"/>
      <c r="Q66" s="116"/>
      <c r="R66" s="116"/>
      <c r="S66" s="116"/>
      <c r="T66" s="116"/>
      <c r="U66" s="116"/>
      <c r="V66" s="116"/>
      <c r="W66" s="116"/>
      <c r="X66" s="116"/>
      <c r="Y66" s="116"/>
      <c r="Z66" s="116"/>
      <c r="AA66" s="116"/>
      <c r="AB66" s="116"/>
      <c r="AC66" s="116"/>
      <c r="AD66" s="116"/>
      <c r="AE66" s="116"/>
      <c r="AF66" s="116"/>
      <c r="AG66" s="116"/>
      <c r="AH66" s="116"/>
    </row>
    <row r="67" spans="1:34" hidden="1" x14ac:dyDescent="0.2">
      <c r="A67" s="103"/>
      <c r="B67" s="103"/>
      <c r="C67" s="103"/>
      <c r="D67" s="103"/>
      <c r="E67" s="103"/>
      <c r="F67" s="103"/>
      <c r="G67" s="103">
        <v>6</v>
      </c>
      <c r="H67" s="103">
        <f t="shared" si="18"/>
        <v>0</v>
      </c>
      <c r="I67" s="103">
        <f t="shared" si="17"/>
        <v>0</v>
      </c>
    </row>
    <row r="68" spans="1:34" hidden="1" x14ac:dyDescent="0.2">
      <c r="A68" s="103"/>
      <c r="B68" s="103"/>
      <c r="C68" s="103"/>
      <c r="D68" s="103"/>
      <c r="E68" s="103"/>
      <c r="F68" s="103"/>
      <c r="G68" s="103">
        <v>7</v>
      </c>
      <c r="H68" s="103">
        <f t="shared" si="18"/>
        <v>0</v>
      </c>
      <c r="I68" s="103">
        <f t="shared" si="17"/>
        <v>0</v>
      </c>
    </row>
    <row r="69" spans="1:34" hidden="1" x14ac:dyDescent="0.2">
      <c r="A69" s="103"/>
      <c r="B69" s="103"/>
      <c r="C69" s="103"/>
      <c r="D69" s="103"/>
      <c r="E69" s="103"/>
      <c r="F69" s="103"/>
      <c r="G69" s="103">
        <v>8</v>
      </c>
      <c r="H69" s="103">
        <f t="shared" si="18"/>
        <v>0</v>
      </c>
      <c r="I69" s="103">
        <f t="shared" si="17"/>
        <v>0</v>
      </c>
    </row>
    <row r="70" spans="1:34" hidden="1" x14ac:dyDescent="0.2">
      <c r="A70" s="103"/>
      <c r="B70" s="103"/>
      <c r="C70" s="103"/>
      <c r="D70" s="103"/>
      <c r="E70" s="103"/>
      <c r="F70" s="103"/>
      <c r="G70" s="103">
        <v>9</v>
      </c>
      <c r="H70" s="103">
        <f t="shared" si="18"/>
        <v>0</v>
      </c>
      <c r="I70" s="103">
        <f t="shared" si="17"/>
        <v>0</v>
      </c>
    </row>
    <row r="71" spans="1:34" hidden="1" x14ac:dyDescent="0.2">
      <c r="A71" s="103"/>
      <c r="B71" s="103"/>
      <c r="C71" s="103"/>
      <c r="D71" s="103"/>
      <c r="E71" s="103"/>
      <c r="F71" s="103"/>
      <c r="G71" s="103">
        <v>10</v>
      </c>
      <c r="H71" s="103">
        <f t="shared" si="18"/>
        <v>0</v>
      </c>
      <c r="I71" s="103">
        <f t="shared" si="17"/>
        <v>0</v>
      </c>
    </row>
    <row r="72" spans="1:34" hidden="1" x14ac:dyDescent="0.2">
      <c r="A72" s="4"/>
      <c r="B72" s="1"/>
      <c r="C72" s="1"/>
      <c r="D72" s="1"/>
      <c r="E72" s="1"/>
      <c r="F72" s="202"/>
      <c r="G72" s="116"/>
      <c r="H72" s="116"/>
      <c r="I72" s="116"/>
    </row>
    <row r="73" spans="1:34" hidden="1" x14ac:dyDescent="0.2">
      <c r="F73" s="116"/>
      <c r="G73" s="116"/>
      <c r="H73" s="116"/>
      <c r="I73" s="116"/>
    </row>
    <row r="74" spans="1:34" hidden="1" x14ac:dyDescent="0.2">
      <c r="F74" s="116"/>
      <c r="G74" s="116"/>
      <c r="H74" s="116"/>
      <c r="I74" s="116"/>
    </row>
    <row r="75" spans="1:34" hidden="1" x14ac:dyDescent="0.2">
      <c r="F75" s="116"/>
      <c r="G75" s="116"/>
      <c r="H75" s="116"/>
      <c r="I75" s="116"/>
    </row>
    <row r="76" spans="1:34" hidden="1" x14ac:dyDescent="0.2">
      <c r="F76" s="116"/>
      <c r="G76" s="116"/>
      <c r="H76" s="116"/>
      <c r="I76" s="116"/>
    </row>
    <row r="77" spans="1:34" hidden="1" x14ac:dyDescent="0.2">
      <c r="F77" s="116"/>
      <c r="G77" s="116"/>
      <c r="H77" s="116"/>
      <c r="I77" s="116"/>
    </row>
    <row r="78" spans="1:34" hidden="1" x14ac:dyDescent="0.2">
      <c r="F78" s="116"/>
      <c r="G78" s="116"/>
      <c r="H78" s="116"/>
      <c r="I78" s="116"/>
    </row>
    <row r="79" spans="1:34" hidden="1" x14ac:dyDescent="0.2">
      <c r="F79" s="116"/>
      <c r="G79" s="116"/>
      <c r="H79" s="116"/>
      <c r="I79" s="116"/>
    </row>
    <row r="80" spans="1:34" hidden="1" x14ac:dyDescent="0.2">
      <c r="F80" s="116"/>
      <c r="G80" s="116"/>
      <c r="H80" s="116"/>
      <c r="I80" s="116"/>
    </row>
    <row r="81" spans="1:9" hidden="1" x14ac:dyDescent="0.2">
      <c r="F81" s="116"/>
      <c r="G81" s="116"/>
      <c r="H81" s="116"/>
      <c r="I81" s="116"/>
    </row>
    <row r="82" spans="1:9" hidden="1" x14ac:dyDescent="0.2">
      <c r="F82" s="116"/>
      <c r="G82" s="116"/>
      <c r="H82" s="116"/>
      <c r="I82" s="116"/>
    </row>
    <row r="83" spans="1:9" ht="16" hidden="1" thickBot="1" x14ac:dyDescent="0.25">
      <c r="A83" s="5"/>
      <c r="F83" s="116"/>
      <c r="G83" s="116"/>
      <c r="H83" s="116"/>
      <c r="I83" s="116"/>
    </row>
    <row r="84" spans="1:9" ht="16" hidden="1" thickBot="1" x14ac:dyDescent="0.25">
      <c r="A84" s="179" t="s">
        <v>305</v>
      </c>
      <c r="B84" s="180" t="s">
        <v>306</v>
      </c>
      <c r="C84" s="180" t="s">
        <v>307</v>
      </c>
      <c r="D84" s="180" t="s">
        <v>308</v>
      </c>
      <c r="E84" s="181" t="s">
        <v>309</v>
      </c>
      <c r="F84" s="116"/>
    </row>
    <row r="85" spans="1:9" hidden="1" x14ac:dyDescent="0.2">
      <c r="A85" s="172" t="str" cm="1">
        <f t="array" ref="A85">IF($D62&lt;&gt;0,A62:E62,"")</f>
        <v/>
      </c>
      <c r="B85" s="173"/>
      <c r="C85" s="173"/>
      <c r="D85" s="174"/>
      <c r="E85" s="175"/>
      <c r="F85" s="116"/>
      <c r="G85" s="116" t="str">
        <f>B85&amp;"-"&amp;D85</f>
        <v>-</v>
      </c>
      <c r="H85" s="116"/>
      <c r="I85" s="116"/>
    </row>
    <row r="86" spans="1:9" hidden="1" x14ac:dyDescent="0.2">
      <c r="A86" s="176" t="str" cm="1">
        <f t="array" ref="A86">IF($D63&lt;&gt;0,A63:E63,"")</f>
        <v/>
      </c>
      <c r="D86" s="170"/>
      <c r="E86" s="177"/>
      <c r="F86" s="116"/>
      <c r="G86" s="116" t="str">
        <f t="shared" ref="G86:G94" si="19">B86&amp;"-"&amp;D86</f>
        <v>-</v>
      </c>
      <c r="H86" s="116"/>
      <c r="I86" s="116"/>
    </row>
    <row r="87" spans="1:9" hidden="1" x14ac:dyDescent="0.2">
      <c r="A87" s="176" t="str" cm="1">
        <f t="array" ref="A87">IF($D64&lt;&gt;0,A64:E64,"")</f>
        <v/>
      </c>
      <c r="D87" s="170"/>
      <c r="E87" s="177"/>
      <c r="F87" s="116"/>
      <c r="G87" s="116" t="str">
        <f t="shared" si="19"/>
        <v>-</v>
      </c>
      <c r="H87" s="116"/>
      <c r="I87" s="116"/>
    </row>
    <row r="88" spans="1:9" hidden="1" x14ac:dyDescent="0.2">
      <c r="A88" s="176" t="str" cm="1">
        <f t="array" ref="A88">IF($D65&lt;&gt;0,A65:E65,"")</f>
        <v/>
      </c>
      <c r="D88" s="170"/>
      <c r="E88" s="177"/>
      <c r="F88" s="116"/>
      <c r="G88" s="116" t="str">
        <f t="shared" si="19"/>
        <v>-</v>
      </c>
      <c r="H88" s="116"/>
      <c r="I88" s="116"/>
    </row>
    <row r="89" spans="1:9" hidden="1" x14ac:dyDescent="0.2">
      <c r="A89" s="176" t="str" cm="1">
        <f t="array" ref="A89">IF($D66&lt;&gt;0,A66:E66,"")</f>
        <v/>
      </c>
      <c r="D89" s="170"/>
      <c r="E89" s="177"/>
      <c r="F89" s="116"/>
      <c r="G89" s="116" t="str">
        <f t="shared" si="19"/>
        <v>-</v>
      </c>
      <c r="H89" s="116"/>
      <c r="I89" s="116"/>
    </row>
    <row r="90" spans="1:9" hidden="1" x14ac:dyDescent="0.2">
      <c r="A90" s="176" t="str" cm="1">
        <f t="array" ref="A90">IF($D67&lt;&gt;0,A67:E67,"")</f>
        <v/>
      </c>
      <c r="E90" s="18"/>
      <c r="F90" s="116"/>
      <c r="G90" s="116" t="str">
        <f t="shared" si="19"/>
        <v>-</v>
      </c>
      <c r="H90" s="116"/>
      <c r="I90" s="116"/>
    </row>
    <row r="91" spans="1:9" hidden="1" x14ac:dyDescent="0.2">
      <c r="A91" s="176" t="str" cm="1">
        <f t="array" ref="A91">IF($D68&lt;&gt;0,A68:E68,"")</f>
        <v/>
      </c>
      <c r="E91" s="18"/>
      <c r="F91" s="116"/>
      <c r="G91" s="116" t="str">
        <f t="shared" si="19"/>
        <v>-</v>
      </c>
      <c r="H91" s="116"/>
      <c r="I91" s="116"/>
    </row>
    <row r="92" spans="1:9" hidden="1" x14ac:dyDescent="0.2">
      <c r="A92" s="176" t="str" cm="1">
        <f t="array" ref="A92">IF($D69&lt;&gt;0,A69:E69,"")</f>
        <v/>
      </c>
      <c r="E92" s="18"/>
      <c r="F92" s="116"/>
      <c r="G92" s="116" t="str">
        <f t="shared" si="19"/>
        <v>-</v>
      </c>
      <c r="H92" s="116"/>
      <c r="I92" s="116"/>
    </row>
    <row r="93" spans="1:9" hidden="1" x14ac:dyDescent="0.2">
      <c r="A93" s="176" t="str" cm="1">
        <f t="array" ref="A93">IF($D70&lt;&gt;0,A70:E70,"")</f>
        <v/>
      </c>
      <c r="E93" s="18"/>
      <c r="F93" s="116"/>
      <c r="G93" s="116" t="str">
        <f t="shared" si="19"/>
        <v>-</v>
      </c>
      <c r="H93" s="116"/>
      <c r="I93" s="116"/>
    </row>
    <row r="94" spans="1:9" ht="16" hidden="1" thickBot="1" x14ac:dyDescent="0.25">
      <c r="A94" s="176" t="str" cm="1">
        <f t="array" ref="A94">IF($D71&lt;&gt;0,A71:E71,"")</f>
        <v/>
      </c>
      <c r="B94" s="113"/>
      <c r="C94" s="113"/>
      <c r="D94" s="113"/>
      <c r="E94" s="25"/>
      <c r="F94" s="116"/>
      <c r="G94" s="116" t="str">
        <f t="shared" si="19"/>
        <v>-</v>
      </c>
      <c r="H94" s="116"/>
      <c r="I94" s="116"/>
    </row>
    <row r="95" spans="1:9" hidden="1" x14ac:dyDescent="0.2">
      <c r="A95" s="172" t="str" cm="1">
        <f t="array" ref="A95">IF($E62&lt;&gt;0,A62:E62,"")</f>
        <v/>
      </c>
      <c r="B95" s="173"/>
      <c r="C95" s="173"/>
      <c r="D95" s="174"/>
      <c r="E95" s="175"/>
      <c r="F95" s="116"/>
      <c r="G95" s="116" t="str">
        <f>C95&amp;"-"&amp;E95</f>
        <v>-</v>
      </c>
      <c r="H95" s="116"/>
      <c r="I95" s="116"/>
    </row>
    <row r="96" spans="1:9" hidden="1" x14ac:dyDescent="0.2">
      <c r="A96" s="176" t="str" cm="1">
        <f t="array" ref="A96">IF($E63&lt;&gt;0,A63:E63,"")</f>
        <v/>
      </c>
      <c r="D96" s="170"/>
      <c r="E96" s="177"/>
      <c r="F96" s="116"/>
      <c r="G96" s="116" t="str">
        <f t="shared" ref="G96:G104" si="20">C96&amp;"-"&amp;E96</f>
        <v>-</v>
      </c>
      <c r="H96" s="116"/>
      <c r="I96" s="116"/>
    </row>
    <row r="97" spans="1:9" hidden="1" x14ac:dyDescent="0.2">
      <c r="A97" s="176" t="str" cm="1">
        <f t="array" ref="A97">IF($E64&lt;&gt;0,A64:E64,"")</f>
        <v/>
      </c>
      <c r="D97" s="170"/>
      <c r="E97" s="177"/>
      <c r="F97" s="116"/>
      <c r="G97" s="116" t="str">
        <f t="shared" si="20"/>
        <v>-</v>
      </c>
      <c r="H97" s="116"/>
      <c r="I97" s="116"/>
    </row>
    <row r="98" spans="1:9" hidden="1" x14ac:dyDescent="0.2">
      <c r="A98" s="176" t="str" cm="1">
        <f t="array" ref="A98">IF($E65&lt;&gt;0,A65:E65,"")</f>
        <v/>
      </c>
      <c r="D98" s="170"/>
      <c r="E98" s="177"/>
      <c r="F98" s="116"/>
      <c r="G98" s="116" t="str">
        <f t="shared" si="20"/>
        <v>-</v>
      </c>
      <c r="H98" s="116"/>
      <c r="I98" s="116"/>
    </row>
    <row r="99" spans="1:9" hidden="1" x14ac:dyDescent="0.2">
      <c r="A99" s="176" t="str" cm="1">
        <f t="array" ref="A99">IF($E66&lt;&gt;0,A66:E66,"")</f>
        <v/>
      </c>
      <c r="D99" s="170"/>
      <c r="E99" s="177"/>
      <c r="F99" s="116"/>
      <c r="G99" s="116" t="str">
        <f t="shared" si="20"/>
        <v>-</v>
      </c>
      <c r="H99" s="116"/>
      <c r="I99" s="116"/>
    </row>
    <row r="100" spans="1:9" hidden="1" x14ac:dyDescent="0.2">
      <c r="A100" s="176" t="str" cm="1">
        <f t="array" ref="A100">IF($E67&lt;&gt;0,A67:E67,"")</f>
        <v/>
      </c>
      <c r="E100" s="18"/>
      <c r="F100" s="116"/>
      <c r="G100" s="116" t="str">
        <f t="shared" si="20"/>
        <v>-</v>
      </c>
      <c r="H100" s="116"/>
      <c r="I100" s="116"/>
    </row>
    <row r="101" spans="1:9" hidden="1" x14ac:dyDescent="0.2">
      <c r="A101" s="176" t="str" cm="1">
        <f t="array" ref="A101">IF($E68&lt;&gt;0,A68:E68,"")</f>
        <v/>
      </c>
      <c r="E101" s="18"/>
      <c r="F101" s="116"/>
      <c r="G101" s="116" t="str">
        <f t="shared" si="20"/>
        <v>-</v>
      </c>
      <c r="H101" s="116"/>
      <c r="I101" s="116"/>
    </row>
    <row r="102" spans="1:9" hidden="1" x14ac:dyDescent="0.2">
      <c r="A102" s="176" t="str" cm="1">
        <f t="array" ref="A102">IF($E69&lt;&gt;0,A69:E69,"")</f>
        <v/>
      </c>
      <c r="E102" s="18"/>
      <c r="F102" s="116"/>
      <c r="G102" s="116" t="str">
        <f t="shared" si="20"/>
        <v>-</v>
      </c>
      <c r="H102" s="116"/>
      <c r="I102" s="116"/>
    </row>
    <row r="103" spans="1:9" hidden="1" x14ac:dyDescent="0.2">
      <c r="A103" s="176" t="str" cm="1">
        <f t="array" ref="A103">IF($E70&lt;&gt;0,A70:E70,"")</f>
        <v/>
      </c>
      <c r="E103" s="18"/>
      <c r="F103" s="116"/>
      <c r="G103" s="116" t="str">
        <f t="shared" si="20"/>
        <v>-</v>
      </c>
      <c r="H103" s="116"/>
      <c r="I103" s="116"/>
    </row>
    <row r="104" spans="1:9" ht="16" hidden="1" thickBot="1" x14ac:dyDescent="0.25">
      <c r="A104" s="178" t="str" cm="1">
        <f t="array" ref="A104">IF($E71&lt;&gt;0,A71:E71,"")</f>
        <v/>
      </c>
      <c r="B104" s="113"/>
      <c r="C104" s="113"/>
      <c r="D104" s="113"/>
      <c r="E104" s="25"/>
      <c r="F104" s="116"/>
      <c r="G104" s="116" t="str">
        <f t="shared" si="20"/>
        <v>-</v>
      </c>
      <c r="H104" s="116"/>
      <c r="I104" s="116"/>
    </row>
    <row r="105" spans="1:9" hidden="1" x14ac:dyDescent="0.2"/>
    <row r="106" spans="1:9" hidden="1" x14ac:dyDescent="0.2"/>
    <row r="107" spans="1:9" hidden="1" x14ac:dyDescent="0.2"/>
    <row r="108" spans="1:9" hidden="1" x14ac:dyDescent="0.2"/>
    <row r="109" spans="1:9" hidden="1" x14ac:dyDescent="0.2"/>
    <row r="110" spans="1:9" hidden="1" x14ac:dyDescent="0.2"/>
  </sheetData>
  <conditionalFormatting sqref="A4:E25">
    <cfRule type="cellIs" dxfId="257" priority="77" operator="between">
      <formula>-0.000001</formula>
      <formula>0.000001</formula>
    </cfRule>
  </conditionalFormatting>
  <conditionalFormatting sqref="A62:E81 A82:B82 D82:E82">
    <cfRule type="cellIs" dxfId="256" priority="74" operator="between">
      <formula>-0.000001</formula>
      <formula>0.000001</formula>
    </cfRule>
  </conditionalFormatting>
  <conditionalFormatting sqref="C26">
    <cfRule type="expression" dxfId="255" priority="70">
      <formula>ROUND(SUM(D28:D37)-SUM(E38:E47),2)&lt;&gt;0</formula>
    </cfRule>
  </conditionalFormatting>
  <conditionalFormatting sqref="A4:E23">
    <cfRule type="expression" dxfId="254" priority="48">
      <formula>$A4&lt;&gt;""</formula>
    </cfRule>
  </conditionalFormatting>
  <conditionalFormatting sqref="A28:E47">
    <cfRule type="expression" dxfId="253" priority="152">
      <formula>A28&lt;&gt;""</formula>
    </cfRule>
    <cfRule type="cellIs" dxfId="252" priority="153" operator="between">
      <formula>-0.000001</formula>
      <formula>0.000001</formula>
    </cfRule>
  </conditionalFormatting>
  <conditionalFormatting sqref="A85:E104">
    <cfRule type="cellIs" dxfId="251" priority="21" operator="between">
      <formula>-0.00001</formula>
      <formula>0.00001</formula>
    </cfRule>
  </conditionalFormatting>
  <dataValidations count="1">
    <dataValidation type="list" allowBlank="1" showInputMessage="1" showErrorMessage="1" sqref="A26" xr:uid="{29FFDD46-FE16-422C-B354-D30F898B314E}">
      <formula1>$B$49:$B$59</formula1>
    </dataValidation>
  </dataValidation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87" id="{696A3065-3EFB-409C-A978-3CD09F360FD4}">
            <xm:f>AND(InstructorChoices!$B$42,$A$26="Line",NOT($H28="X"),A28=0,A28&lt;&gt;"")</xm:f>
            <x14:dxf>
              <font>
                <b/>
                <i val="0"/>
                <color theme="9" tint="0.59996337778862885"/>
              </font>
              <fill>
                <patternFill>
                  <bgColor theme="9" tint="0.59996337778862885"/>
                </patternFill>
              </fill>
            </x14:dxf>
          </x14:cfRule>
          <x14:cfRule type="expression" priority="188" id="{E32CC728-B19B-43C7-A29C-F5C042C660A4}">
            <xm:f>AND(InstructorChoices!$B$42,$A$26="Line",$H28="X")</xm:f>
            <x14:dxf>
              <font>
                <b/>
                <i val="0"/>
              </font>
              <fill>
                <patternFill>
                  <bgColor rgb="FFFFFF00"/>
                </patternFill>
              </fill>
            </x14:dxf>
          </x14:cfRule>
          <x14:cfRule type="expression" priority="189" id="{D0543A45-4538-4A0D-B05B-83300F23A2EB}">
            <xm:f>AND(InstructorChoices!$B$42,$A$26="Line",NOT($H28="X"),A28&lt;&gt;"")</xm:f>
            <x14:dxf>
              <font>
                <b/>
                <i val="0"/>
              </font>
              <fill>
                <patternFill>
                  <bgColor theme="9" tint="0.59996337778862885"/>
                </patternFill>
              </fill>
            </x14:dxf>
          </x14:cfRule>
          <x14:cfRule type="expression" priority="190" id="{F79D8D5A-BA1B-46CD-872E-A2501E8E610D}">
            <xm:f>AND(InstructorChoices!$B$42,$A$26="Line",$H28="X",A28=0)</xm:f>
            <x14:dxf>
              <font>
                <b/>
                <i val="0"/>
                <color rgb="FFFFFF00"/>
              </font>
              <fill>
                <patternFill>
                  <bgColor rgb="FFFFFF00"/>
                </patternFill>
              </fill>
            </x14:dxf>
          </x14:cfRule>
          <xm:sqref>A28:E47</xm:sqref>
        </x14:conditionalFormatting>
        <x14:conditionalFormatting xmlns:xm="http://schemas.microsoft.com/office/excel/2006/main">
          <x14:cfRule type="expression" priority="191" id="{78A54035-09E6-4B3F-AD00-49FF49DC6B1D}">
            <xm:f>AND(InstructorChoices!$B$36,$A$26="DrAccntType",A28&lt;&gt;"",AND($K$28:$K$37))</xm:f>
            <x14:dxf>
              <font>
                <b/>
                <i val="0"/>
              </font>
              <fill>
                <patternFill>
                  <bgColor theme="9" tint="0.59996337778862885"/>
                </patternFill>
              </fill>
            </x14:dxf>
          </x14:cfRule>
          <x14:cfRule type="expression" priority="192" id="{925C3E01-D9BE-4A18-9076-4D7C526DAC6B}">
            <xm:f>AND(InstructorChoices!$B$36,$A$26="DrAccntType",A28&lt;&gt;"",NOT(AND($K$28:$K$37)))</xm:f>
            <x14:dxf>
              <font>
                <b/>
                <i val="0"/>
              </font>
              <fill>
                <patternFill>
                  <bgColor rgb="FFFFFF00"/>
                </patternFill>
              </fill>
            </x14:dxf>
          </x14:cfRule>
          <xm:sqref>A28:A37</xm:sqref>
        </x14:conditionalFormatting>
        <x14:conditionalFormatting xmlns:xm="http://schemas.microsoft.com/office/excel/2006/main">
          <x14:cfRule type="expression" priority="193" id="{F933E3DE-6FA1-44A8-9A16-D5DD53D38DEA}">
            <xm:f>AND(InstructorChoices!$B$37,$A$26="CrAccntType",A38&lt;&gt;"",NOT(AND($K$38:$K$47)))</xm:f>
            <x14:dxf>
              <font>
                <b/>
                <i val="0"/>
              </font>
              <fill>
                <patternFill>
                  <bgColor rgb="FFFFFF00"/>
                </patternFill>
              </fill>
            </x14:dxf>
          </x14:cfRule>
          <x14:cfRule type="expression" priority="194" id="{C249F87B-5E85-416E-81A6-720A2792A436}">
            <xm:f>AND(InstructorChoices!$B$37,$A$26="CrAccntType",A38&lt;&gt;"",AND($K$38:$K$47))</xm:f>
            <x14:dxf>
              <font>
                <b/>
                <i val="0"/>
              </font>
              <fill>
                <patternFill>
                  <bgColor theme="9" tint="0.59996337778862885"/>
                </patternFill>
              </fill>
            </x14:dxf>
          </x14:cfRule>
          <xm:sqref>A38:A47</xm:sqref>
        </x14:conditionalFormatting>
        <x14:conditionalFormatting xmlns:xm="http://schemas.microsoft.com/office/excel/2006/main">
          <x14:cfRule type="expression" priority="195" id="{F9BC3269-9B3A-4962-8A1F-2EEB10D5FBB9}">
            <xm:f>AND(InstructorChoices!$B$33,$A$26="Any",$A28&lt;&gt;"",COUNTIF($H$28:$H$47,"X")=0)</xm:f>
            <x14:dxf>
              <font>
                <b/>
                <i val="0"/>
              </font>
              <fill>
                <patternFill>
                  <bgColor theme="9" tint="0.59996337778862885"/>
                </patternFill>
              </fill>
            </x14:dxf>
          </x14:cfRule>
          <x14:cfRule type="expression" priority="196" id="{EF4A328A-706F-41B9-89B9-8B2B789303A1}">
            <xm:f>AND(InstructorChoices!$B$33,$A$26="Any",$A28&lt;&gt;"",COUNTIF($H$28:$H$47,"X")=0,A28=0)</xm:f>
            <x14:dxf>
              <font>
                <color theme="9" tint="0.59996337778862885"/>
              </font>
              <fill>
                <patternFill>
                  <bgColor theme="9" tint="0.59996337778862885"/>
                </patternFill>
              </fill>
            </x14:dxf>
          </x14:cfRule>
          <x14:cfRule type="expression" priority="197" id="{CAB101D5-369A-4AC3-88A4-4104F727810D}">
            <xm:f>AND(InstructorChoices!$B$33,$A$26="Any",$A28&lt;&gt;"",COUNTIF($H$28:$H$47,"X")&gt;0)</xm:f>
            <x14:dxf>
              <font>
                <b/>
                <i val="0"/>
              </font>
              <fill>
                <patternFill>
                  <bgColor rgb="FFFFFF00"/>
                </patternFill>
              </fill>
            </x14:dxf>
          </x14:cfRule>
          <x14:cfRule type="expression" priority="198" id="{A85FCA07-F16C-4724-A0A6-14A5371FC37F}">
            <xm:f>AND(InstructorChoices!$B$33,$A$26="Any",$A28&lt;&gt;"",COUNTIF($H$28:$H$47,"X")&gt;0,A28=0)</xm:f>
            <x14:dxf>
              <font>
                <color rgb="FFFFFF00"/>
              </font>
              <fill>
                <patternFill>
                  <bgColor rgb="FFFFFF00"/>
                </patternFill>
              </fill>
            </x14:dxf>
          </x14:cfRule>
          <xm:sqref>A28:E47</xm:sqref>
        </x14:conditionalFormatting>
        <x14:conditionalFormatting xmlns:xm="http://schemas.microsoft.com/office/excel/2006/main">
          <x14:cfRule type="expression" priority="199" id="{F93A4B95-4BFD-4F2F-89B7-090A00F766E4}">
            <xm:f>AND(InstructorChoices!$B$34,$A$26="Debits",$A28&lt;&gt;"",COUNTIF($H$28:$H$37,"X")=0)</xm:f>
            <x14:dxf>
              <font>
                <b/>
                <i val="0"/>
              </font>
              <fill>
                <patternFill>
                  <bgColor theme="9" tint="0.59996337778862885"/>
                </patternFill>
              </fill>
            </x14:dxf>
          </x14:cfRule>
          <x14:cfRule type="expression" priority="200" id="{3B945367-729E-4563-A288-A36C16DCC2B3}">
            <xm:f>AND(InstructorChoices!$B$34,$A$26="Debits",$A28&lt;&gt;"",COUNTIF($H$28:$H$37,"X")=0,A28=0)</xm:f>
            <x14:dxf>
              <font>
                <strike val="0"/>
                <color theme="9" tint="0.59996337778862885"/>
              </font>
              <fill>
                <patternFill>
                  <bgColor theme="9" tint="0.59996337778862885"/>
                </patternFill>
              </fill>
            </x14:dxf>
          </x14:cfRule>
          <x14:cfRule type="expression" priority="201" id="{4822BFFF-7248-47C1-970C-4EFAC9E4398C}">
            <xm:f>AND(InstructorChoices!$B$34,$A$26="Debits",$A28&lt;&gt;"",COUNTIF($H$28:$H$37,"X")&gt;0)</xm:f>
            <x14:dxf>
              <font>
                <b/>
                <i val="0"/>
                <strike val="0"/>
              </font>
              <fill>
                <patternFill>
                  <bgColor rgb="FFFFFF00"/>
                </patternFill>
              </fill>
            </x14:dxf>
          </x14:cfRule>
          <x14:cfRule type="expression" priority="202" id="{9B6C58F8-CD32-4C6F-B4C9-84C3C093AB54}">
            <xm:f>AND(InstructorChoices!$B$34,$A$26="Debits",$A28&lt;&gt;"",COUNTIF($H$28:$H$37,"X")&gt;0,A28=0)</xm:f>
            <x14:dxf>
              <font>
                <color rgb="FFFFFF00"/>
              </font>
              <fill>
                <patternFill>
                  <bgColor rgb="FFFFFF00"/>
                </patternFill>
              </fill>
            </x14:dxf>
          </x14:cfRule>
          <xm:sqref>A28:E37</xm:sqref>
        </x14:conditionalFormatting>
        <x14:conditionalFormatting xmlns:xm="http://schemas.microsoft.com/office/excel/2006/main">
          <x14:cfRule type="expression" priority="203" id="{5AA99614-0C58-4DC3-B812-550D459DD5E6}">
            <xm:f>AND(InstructorChoices!$B$34,$A$26="Credits",$A38&lt;&gt;"",COUNTIF($H$38:$H$47,"X")=0)</xm:f>
            <x14:dxf>
              <font>
                <b/>
                <i val="0"/>
              </font>
              <fill>
                <patternFill>
                  <bgColor theme="9" tint="0.59996337778862885"/>
                </patternFill>
              </fill>
            </x14:dxf>
          </x14:cfRule>
          <x14:cfRule type="expression" priority="204" id="{EB96D4C8-8E8F-4422-B403-5D731E116927}">
            <xm:f>AND(InstructorChoices!$B$35,$A$26="Credits",$A38&lt;&gt;"",COUNTIF($H$38:$H$47,"X")&gt;0,A38=0)</xm:f>
            <x14:dxf>
              <font>
                <strike val="0"/>
                <color rgb="FFFFFF00"/>
              </font>
              <fill>
                <patternFill>
                  <bgColor rgb="FFFFFF00"/>
                </patternFill>
              </fill>
            </x14:dxf>
          </x14:cfRule>
          <x14:cfRule type="expression" priority="205" id="{8E69FED7-B988-426E-B5DA-52C70091E413}">
            <xm:f>AND(InstructorChoices!$B$35,$A$26="Credits",A38&lt;&gt;"",COUNTIF($H$38:$H$47,"X")=0,A38=0)</xm:f>
            <x14:dxf>
              <font>
                <strike val="0"/>
                <color theme="9" tint="0.59996337778862885"/>
              </font>
              <fill>
                <patternFill>
                  <bgColor theme="9" tint="0.59996337778862885"/>
                </patternFill>
              </fill>
            </x14:dxf>
          </x14:cfRule>
          <x14:cfRule type="expression" priority="206" id="{A2A7016A-2154-41EB-8BBA-F01DB510241B}">
            <xm:f>AND(InstructorChoices!$B$35,$A$26="Credits",$A38&lt;&gt;"",COUNTIF($H$38:$H$47,"X")&gt;0)</xm:f>
            <x14:dxf>
              <font>
                <b/>
                <i val="0"/>
                <strike val="0"/>
              </font>
              <fill>
                <patternFill>
                  <bgColor rgb="FFFFFF00"/>
                </patternFill>
              </fill>
            </x14:dxf>
          </x14:cfRule>
          <xm:sqref>A38:E47</xm:sqref>
        </x14:conditionalFormatting>
        <x14:conditionalFormatting xmlns:xm="http://schemas.microsoft.com/office/excel/2006/main">
          <x14:cfRule type="expression" priority="207" id="{4E003589-2562-4EAC-81BF-62EE4C86E535}">
            <xm:f>AND(InstructorChoices!$B$36,$A$26="DrAccnt",$L28=1,$B28&lt;&gt;"")</xm:f>
            <x14:dxf>
              <font>
                <b/>
                <i val="0"/>
                <strike val="0"/>
              </font>
              <fill>
                <patternFill>
                  <bgColor theme="9" tint="0.59996337778862885"/>
                </patternFill>
              </fill>
            </x14:dxf>
          </x14:cfRule>
          <x14:cfRule type="expression" priority="208" id="{2C7824DF-FE15-4735-8513-6923938FD904}">
            <xm:f>AND(InstructorChoices!$B$36,$A$26="DrAccnt",$L28=0,$B28&lt;&gt;"")</xm:f>
            <x14:dxf>
              <font>
                <b/>
                <i val="0"/>
                <strike val="0"/>
              </font>
              <fill>
                <patternFill>
                  <bgColor rgb="FFFFFF00"/>
                </patternFill>
              </fill>
            </x14:dxf>
          </x14:cfRule>
          <x14:cfRule type="expression" priority="209" id="{0B50A445-61C8-41AC-A053-C8E2856E8631}">
            <xm:f>AND(InstructorChoices!$B$43,$A$26="ALL",Q28="TRUE",B28&lt;&gt;"")</xm:f>
            <x14:dxf>
              <font>
                <b/>
                <i val="0"/>
              </font>
              <fill>
                <patternFill>
                  <bgColor theme="9" tint="0.59996337778862885"/>
                </patternFill>
              </fill>
            </x14:dxf>
          </x14:cfRule>
          <x14:cfRule type="expression" priority="210" id="{3B065347-BF92-4CF8-AD0C-7AA465612451}">
            <xm:f>AND(InstructorChoices!$B$43,$A$26="ALL",NOT($Q28))</xm:f>
            <x14:dxf>
              <font>
                <b/>
                <i val="0"/>
              </font>
              <fill>
                <patternFill>
                  <bgColor rgb="FFFFFF00"/>
                </patternFill>
              </fill>
            </x14:dxf>
          </x14:cfRule>
          <xm:sqref>B28:B37</xm:sqref>
        </x14:conditionalFormatting>
        <x14:conditionalFormatting xmlns:xm="http://schemas.microsoft.com/office/excel/2006/main">
          <x14:cfRule type="expression" priority="211" id="{CE451308-27F3-4C1A-8EB6-6C530FB3FC55}">
            <xm:f>AND(InstructorChoices!$B$40,$A$26="DrAmt",$L28=1,$O28="TRUE")</xm:f>
            <x14:dxf>
              <font>
                <b/>
                <i val="0"/>
                <strike val="0"/>
              </font>
              <fill>
                <patternFill>
                  <bgColor theme="9" tint="0.59996337778862885"/>
                </patternFill>
              </fill>
            </x14:dxf>
          </x14:cfRule>
          <x14:cfRule type="expression" priority="212" id="{AB997A15-3584-4846-8089-80A9FECDE122}">
            <xm:f>AND(InstructorChoices!$B$40,$A$26="DrAmt",$L28=1,$O28="FALSE")</xm:f>
            <x14:dxf>
              <font>
                <b/>
                <i val="0"/>
                <strike val="0"/>
              </font>
              <fill>
                <patternFill>
                  <bgColor rgb="FFFFFF00"/>
                </patternFill>
              </fill>
            </x14:dxf>
          </x14:cfRule>
          <x14:cfRule type="expression" priority="213" id="{4BC42CFD-D6DD-4CFF-A710-6E9A9C8AB4AE}">
            <xm:f>AND(InstructorChoices!$B$43,$A$26="ALL",T28="TRUE",D28&lt;&gt;"")</xm:f>
            <x14:dxf>
              <font>
                <b/>
                <i val="0"/>
              </font>
              <fill>
                <patternFill>
                  <bgColor theme="9" tint="0.59996337778862885"/>
                </patternFill>
              </fill>
            </x14:dxf>
          </x14:cfRule>
          <x14:cfRule type="expression" priority="214" id="{68258426-5874-42AC-918B-3C7866519C4A}">
            <xm:f>AND(InstructorChoices!$B$43,$A$26="ALL",NOT(T28),D28&lt;&gt;"")</xm:f>
            <x14:dxf>
              <font>
                <b/>
                <i val="0"/>
              </font>
              <fill>
                <patternFill>
                  <bgColor rgb="FFFFFF00"/>
                </patternFill>
              </fill>
            </x14:dxf>
          </x14:cfRule>
          <xm:sqref>D28:D37</xm:sqref>
        </x14:conditionalFormatting>
        <x14:conditionalFormatting xmlns:xm="http://schemas.microsoft.com/office/excel/2006/main">
          <x14:cfRule type="expression" priority="215" id="{534E73F7-8CCF-4CEA-8294-4B2F5153EB98}">
            <xm:f>AND(InstructorChoices!$B$39,$A$26="CrAccnt",$L38=1,$C38&lt;&gt;"")</xm:f>
            <x14:dxf>
              <font>
                <b/>
                <i val="0"/>
                <strike val="0"/>
              </font>
              <fill>
                <patternFill>
                  <bgColor theme="9" tint="0.59996337778862885"/>
                </patternFill>
              </fill>
            </x14:dxf>
          </x14:cfRule>
          <x14:cfRule type="expression" priority="216" id="{6ABA7A7B-5690-4566-8AFF-5DD38B83C5A4}">
            <xm:f>AND(InstructorChoices!$B$39,$A$26="CrAccnt",NOT($L38=1),$C38&lt;&gt;"")</xm:f>
            <x14:dxf>
              <font>
                <b/>
                <i val="0"/>
                <strike val="0"/>
              </font>
              <fill>
                <patternFill>
                  <bgColor rgb="FFFFFF00"/>
                </patternFill>
              </fill>
            </x14:dxf>
          </x14:cfRule>
          <x14:cfRule type="expression" priority="217" id="{EE4C38C9-12E0-43A8-B18C-4F2F0DF8422D}">
            <xm:f>AND(InstructorChoices!$B$43,$A$26="ALL",Q38="TRUE",C38&lt;&gt;"")</xm:f>
            <x14:dxf>
              <font>
                <b/>
                <i val="0"/>
              </font>
              <fill>
                <patternFill>
                  <bgColor theme="9" tint="0.59996337778862885"/>
                </patternFill>
              </fill>
            </x14:dxf>
          </x14:cfRule>
          <x14:cfRule type="expression" priority="218" id="{A4CDDACD-35D5-40E0-9E78-948ECD9519E9}">
            <xm:f>AND(InstructorChoices!$B$43,$A$26="ALL",Q38="FALSE",C38&lt;&gt;"")</xm:f>
            <x14:dxf>
              <font>
                <b/>
                <i val="0"/>
              </font>
              <fill>
                <patternFill>
                  <bgColor rgb="FFFFFF00"/>
                </patternFill>
              </fill>
            </x14:dxf>
          </x14:cfRule>
          <xm:sqref>C38:C47</xm:sqref>
        </x14:conditionalFormatting>
        <x14:conditionalFormatting xmlns:xm="http://schemas.microsoft.com/office/excel/2006/main">
          <x14:cfRule type="expression" priority="219" id="{4EBFE888-48D5-40F5-A383-731E514EA5EF}">
            <xm:f>AND(InstructorChoices!$B$41,$A$26="CrAmt",$L38=1,$O38="TRUE")</xm:f>
            <x14:dxf>
              <font>
                <b/>
                <i val="0"/>
                <strike val="0"/>
              </font>
              <fill>
                <patternFill>
                  <bgColor theme="9" tint="0.59996337778862885"/>
                </patternFill>
              </fill>
            </x14:dxf>
          </x14:cfRule>
          <x14:cfRule type="expression" priority="220" id="{66753187-DB6A-41B5-B0BD-408456F5CF77}">
            <xm:f>AND(InstructorChoices!$B$41,$A$26="CrAmt",$L38=1,$O38="FALSE")</xm:f>
            <x14:dxf>
              <font>
                <b/>
                <i val="0"/>
                <strike val="0"/>
              </font>
              <fill>
                <patternFill>
                  <bgColor rgb="FFFFFF00"/>
                </patternFill>
              </fill>
            </x14:dxf>
          </x14:cfRule>
          <x14:cfRule type="expression" priority="221" id="{01A86E4F-537D-42E0-B36F-96917ABA53DB}">
            <xm:f>AND(InstructorChoices!$B$43,$A$26="ALL",T38="TRUE",E38&lt;&gt;"")</xm:f>
            <x14:dxf>
              <font>
                <b/>
                <i val="0"/>
              </font>
              <fill>
                <patternFill>
                  <bgColor theme="9" tint="0.59996337778862885"/>
                </patternFill>
              </fill>
            </x14:dxf>
          </x14:cfRule>
          <x14:cfRule type="expression" priority="222" id="{567D70A7-C387-48FD-B5A2-7882A12F1870}">
            <xm:f>AND(InstructorChoices!$B$43,$A$26="ALL",T38="FALSE",E38&lt;&gt;"")</xm:f>
            <x14:dxf>
              <font>
                <b/>
                <i val="0"/>
              </font>
              <fill>
                <patternFill>
                  <bgColor rgb="FFFFFF00"/>
                </patternFill>
              </fill>
            </x14:dxf>
          </x14:cfRule>
          <xm:sqref>E38:E47</xm:sqref>
        </x14:conditionalFormatting>
        <x14:conditionalFormatting xmlns:xm="http://schemas.microsoft.com/office/excel/2006/main">
          <x14:cfRule type="expression" priority="223" id="{40B2E839-0FE9-4815-876F-559C8F10A6D2}">
            <xm:f>AND(InstructorChoices!$B$43,$A$26="All",$A28&lt;&gt;"",$I28&lt;&gt;$J28)</xm:f>
            <x14:dxf>
              <font>
                <b/>
                <i val="0"/>
              </font>
              <fill>
                <patternFill>
                  <bgColor rgb="FFFFFF00"/>
                </patternFill>
              </fill>
            </x14:dxf>
          </x14:cfRule>
          <x14:cfRule type="expression" priority="224" id="{1AB02FAE-A506-4461-AF77-CFEA8F0DE39C}">
            <xm:f>AND(InstructorChoices!$B$43,$A$26="All",$A28&lt;&gt;"",$I28=$J28)</xm:f>
            <x14:dxf>
              <font>
                <b/>
                <i val="0"/>
              </font>
              <fill>
                <patternFill>
                  <bgColor theme="9" tint="0.59996337778862885"/>
                </patternFill>
              </fill>
            </x14:dxf>
          </x14:cfRule>
          <xm:sqref>A28:A47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6B540F2B-E2A4-41DB-87BC-5ED4C6DA2E84}">
          <x14:formula1>
            <xm:f>INDIRECT(Trans_Events_Data!$A$53)</xm:f>
          </x14:formula1>
          <xm:sqref>A1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5B674-DF6E-4539-83A1-7411CE5304E3}">
  <sheetPr>
    <tabColor theme="7" tint="0.59999389629810485"/>
  </sheetPr>
  <dimension ref="B1:H53"/>
  <sheetViews>
    <sheetView workbookViewId="0"/>
  </sheetViews>
  <sheetFormatPr baseColWidth="10" defaultColWidth="8.83203125" defaultRowHeight="15" x14ac:dyDescent="0.2"/>
  <cols>
    <col min="1" max="1" width="3.83203125" customWidth="1"/>
    <col min="2" max="2" width="4.5" customWidth="1"/>
    <col min="3" max="3" width="22.83203125" customWidth="1"/>
    <col min="4" max="4" width="22.5" customWidth="1"/>
    <col min="5" max="5" width="5" customWidth="1"/>
  </cols>
  <sheetData>
    <row r="1" spans="2:8" x14ac:dyDescent="0.2">
      <c r="C1" s="103" t="str">
        <f>D4&amp;"[Name]"</f>
        <v>Asset[Name]</v>
      </c>
      <c r="D1" s="103" t="str">
        <f>_xlfn.XLOOKUP(D5,BegBalSht[Account],BegBalSht[BalType])</f>
        <v>Credit</v>
      </c>
    </row>
    <row r="3" spans="2:8" x14ac:dyDescent="0.2">
      <c r="C3" s="3" t="s">
        <v>555</v>
      </c>
      <c r="D3" s="3"/>
    </row>
    <row r="4" spans="2:8" x14ac:dyDescent="0.2">
      <c r="C4" t="s">
        <v>396</v>
      </c>
      <c r="D4" s="340" t="s">
        <v>154</v>
      </c>
    </row>
    <row r="5" spans="2:8" x14ac:dyDescent="0.2">
      <c r="C5" t="s">
        <v>399</v>
      </c>
      <c r="D5" s="340" t="s">
        <v>170</v>
      </c>
    </row>
    <row r="7" spans="2:8" ht="16" thickBot="1" x14ac:dyDescent="0.25">
      <c r="B7" s="11" t="s">
        <v>89</v>
      </c>
      <c r="C7" s="44" t="str">
        <f>D5</f>
        <v>Accumulated Depreciation</v>
      </c>
      <c r="D7" s="44"/>
      <c r="E7" s="11" t="s">
        <v>89</v>
      </c>
    </row>
    <row r="8" spans="2:8" ht="16" thickTop="1" x14ac:dyDescent="0.2">
      <c r="B8" s="45" t="str" cm="1">
        <f t="array" ref="B8">_xlfn.IFS(D1="Debit","BB",AND(D1="Either",_xlfn.XLOOKUP(D5,BegBalSht[Account],BegBalSht[Amount],0)&lt;0),"BB",TRUE,"")</f>
        <v/>
      </c>
      <c r="C8" s="90">
        <f>G9</f>
        <v>0</v>
      </c>
      <c r="D8" s="42">
        <f>H9</f>
        <v>0</v>
      </c>
      <c r="E8" s="45" t="str" cm="1">
        <f t="array" ref="E8">_xlfn.IFS(D1="Credit","BB",AND(D1="Either",_xlfn.XLOOKUP(D5,BegBalSht[Account],BegBalSht[Amount],0)&gt;=0),"BB",TRUE,"")</f>
        <v>BB</v>
      </c>
      <c r="G8" s="103">
        <f>_xlfn.XLOOKUP(C7,BegBalSht[Account],BegBalSht[Amount])</f>
        <v>0</v>
      </c>
      <c r="H8" s="103"/>
    </row>
    <row r="9" spans="2:8" x14ac:dyDescent="0.2">
      <c r="B9" s="45" t="str" cm="1">
        <f t="array" ref="B9">_xlfn._xlws.FILTER(Journal[ref],Journal[DrAccnt]=D5,"")</f>
        <v/>
      </c>
      <c r="C9" s="85" t="str" cm="1">
        <f t="array" ref="C9">_xlfn._xlws.FILTER(Journal[DrAmt],Journal[DrAccnt]=D5,"")</f>
        <v/>
      </c>
      <c r="D9" s="42" t="str" cm="1">
        <f t="array" ref="D9">_xlfn._xlws.FILTER(Journal[CrAmt],Journal[CrAccnt]=D5,"")</f>
        <v/>
      </c>
      <c r="E9" s="45" t="str" cm="1">
        <f t="array" ref="E9">_xlfn._xlws.FILTER(Journal[ref],Journal[CrAccnt]=D5,"")</f>
        <v/>
      </c>
      <c r="G9" s="103" cm="1">
        <f t="array" ref="G9">IFERROR(_xlfn.IFS(AND(D4="Asset",D1="Debit",G8&gt;0),G8,AND(D4="Asset",D1="Debit",G8&gt;0),G8,AND(D4="Equity",D1="Either",G8&lt;0),-G8),0)</f>
        <v>0</v>
      </c>
      <c r="H9" s="103" cm="1">
        <f t="array" ref="H9">IFERROR(_xlfn.IFS(AND(D4="Asset",D1="Credit",G8&lt;0),-G8,AND(D4="Liability",D1="Credit",G8&gt;0),G8,AND(D4="Equity",D1="Either",G8&gt;0),G8,AND(D4="Equity",D1="Credit",G8&gt;0),G8),0)</f>
        <v>0</v>
      </c>
    </row>
    <row r="10" spans="2:8" x14ac:dyDescent="0.2">
      <c r="B10" s="45"/>
      <c r="C10" s="85"/>
      <c r="D10" s="42"/>
      <c r="E10" s="45"/>
    </row>
    <row r="11" spans="2:8" x14ac:dyDescent="0.2">
      <c r="B11" s="45"/>
      <c r="C11" s="85"/>
      <c r="D11" s="42"/>
      <c r="E11" s="45"/>
    </row>
    <row r="12" spans="2:8" x14ac:dyDescent="0.2">
      <c r="B12" s="45"/>
      <c r="C12" s="85"/>
      <c r="D12" s="42"/>
      <c r="E12" s="45"/>
    </row>
    <row r="13" spans="2:8" x14ac:dyDescent="0.2">
      <c r="B13" s="45"/>
      <c r="C13" s="85"/>
      <c r="D13" s="42"/>
      <c r="E13" s="45"/>
    </row>
    <row r="14" spans="2:8" x14ac:dyDescent="0.2">
      <c r="B14" s="45"/>
      <c r="C14" s="85"/>
      <c r="D14" s="42"/>
      <c r="E14" s="45"/>
    </row>
    <row r="15" spans="2:8" x14ac:dyDescent="0.2">
      <c r="B15" s="45"/>
      <c r="C15" s="85"/>
      <c r="D15" s="42"/>
      <c r="E15" s="45"/>
    </row>
    <row r="16" spans="2:8" x14ac:dyDescent="0.2">
      <c r="B16" s="45"/>
      <c r="C16" s="85"/>
      <c r="D16" s="42"/>
      <c r="E16" s="45"/>
    </row>
    <row r="17" spans="2:5" x14ac:dyDescent="0.2">
      <c r="B17" s="45"/>
      <c r="C17" s="85"/>
      <c r="D17" s="42"/>
      <c r="E17" s="45"/>
    </row>
    <row r="18" spans="2:5" x14ac:dyDescent="0.2">
      <c r="B18" s="45"/>
      <c r="C18" s="85"/>
      <c r="D18" s="42"/>
      <c r="E18" s="45"/>
    </row>
    <row r="19" spans="2:5" x14ac:dyDescent="0.2">
      <c r="B19" s="45"/>
      <c r="C19" s="85"/>
      <c r="D19" s="42"/>
      <c r="E19" s="45"/>
    </row>
    <row r="20" spans="2:5" x14ac:dyDescent="0.2">
      <c r="B20" s="45"/>
      <c r="C20" s="85"/>
      <c r="D20" s="42"/>
      <c r="E20" s="45"/>
    </row>
    <row r="21" spans="2:5" x14ac:dyDescent="0.2">
      <c r="B21" s="45"/>
      <c r="C21" s="85"/>
      <c r="D21" s="42"/>
      <c r="E21" s="45"/>
    </row>
    <row r="22" spans="2:5" x14ac:dyDescent="0.2">
      <c r="B22" s="45"/>
      <c r="C22" s="85"/>
      <c r="D22" s="42"/>
      <c r="E22" s="45"/>
    </row>
    <row r="23" spans="2:5" x14ac:dyDescent="0.2">
      <c r="B23" s="45"/>
      <c r="C23" s="85"/>
      <c r="D23" s="42"/>
      <c r="E23" s="45"/>
    </row>
    <row r="24" spans="2:5" ht="16" thickBot="1" x14ac:dyDescent="0.25">
      <c r="B24" s="254"/>
      <c r="C24" s="86"/>
      <c r="D24" s="87"/>
      <c r="E24" s="254"/>
    </row>
    <row r="25" spans="2:5" ht="17" thickTop="1" thickBot="1" x14ac:dyDescent="0.25">
      <c r="C25" s="88">
        <f>MAX(SUM(C8:C24)-SUM(D8:D24),0)</f>
        <v>0</v>
      </c>
      <c r="D25" s="89">
        <f>MAX(SUM(D8:D24)-SUM(C8:C24),0)</f>
        <v>0</v>
      </c>
    </row>
    <row r="26" spans="2:5" ht="16" thickTop="1" x14ac:dyDescent="0.2"/>
    <row r="28" spans="2:5" x14ac:dyDescent="0.2">
      <c r="C28" s="103" t="str">
        <f>D31&amp;"[Name]"</f>
        <v>_Expense[Name]</v>
      </c>
      <c r="D28" s="103" t="e">
        <f>_xlfn.XLOOKUP(D32,BegBalSht[Account],BegBalSht[BalType])</f>
        <v>#N/A</v>
      </c>
    </row>
    <row r="30" spans="2:5" x14ac:dyDescent="0.2">
      <c r="C30" s="3" t="s">
        <v>556</v>
      </c>
      <c r="D30" s="3"/>
    </row>
    <row r="31" spans="2:5" x14ac:dyDescent="0.2">
      <c r="C31" t="s">
        <v>396</v>
      </c>
      <c r="D31" s="340" t="s">
        <v>169</v>
      </c>
    </row>
    <row r="32" spans="2:5" x14ac:dyDescent="0.2">
      <c r="C32" t="s">
        <v>399</v>
      </c>
      <c r="D32" s="340" t="s">
        <v>259</v>
      </c>
    </row>
    <row r="34" spans="2:5" ht="16" thickBot="1" x14ac:dyDescent="0.25">
      <c r="B34" s="11" t="s">
        <v>89</v>
      </c>
      <c r="C34" s="44" t="str">
        <f>D32</f>
        <v>Selling, General and Administrative Expenses</v>
      </c>
      <c r="D34" s="44"/>
      <c r="E34" s="11" t="s">
        <v>89</v>
      </c>
    </row>
    <row r="35" spans="2:5" ht="16" thickTop="1" x14ac:dyDescent="0.2">
      <c r="B35" s="45" t="str" cm="1">
        <f t="array" ref="B35">_xlfn._xlws.FILTER(Journal[ref],Journal[DrAccnt]=D32,"")</f>
        <v/>
      </c>
      <c r="C35" s="90" t="str" cm="1">
        <f t="array" ref="C35">_xlfn._xlws.FILTER(Journal[DrAmt],Journal[DrAccnt]=D32,"")</f>
        <v/>
      </c>
      <c r="D35" s="42" t="str" cm="1">
        <f t="array" ref="D35">_xlfn._xlws.FILTER(Journal[CrAmt],Journal[CrAccnt]=D32,"")</f>
        <v/>
      </c>
      <c r="E35" s="45" t="str" cm="1">
        <f t="array" ref="E35">_xlfn._xlws.FILTER(Journal[ref],Journal[CrAccnt]=D32,"")</f>
        <v/>
      </c>
    </row>
    <row r="36" spans="2:5" x14ac:dyDescent="0.2">
      <c r="B36" s="45"/>
      <c r="C36" s="85"/>
      <c r="D36" s="42"/>
      <c r="E36" s="45"/>
    </row>
    <row r="37" spans="2:5" x14ac:dyDescent="0.2">
      <c r="B37" s="45"/>
      <c r="C37" s="85"/>
      <c r="D37" s="42"/>
      <c r="E37" s="45"/>
    </row>
    <row r="38" spans="2:5" x14ac:dyDescent="0.2">
      <c r="B38" s="45"/>
      <c r="C38" s="85"/>
      <c r="D38" s="42"/>
      <c r="E38" s="45"/>
    </row>
    <row r="39" spans="2:5" x14ac:dyDescent="0.2">
      <c r="B39" s="45"/>
      <c r="C39" s="85"/>
      <c r="D39" s="42"/>
      <c r="E39" s="45"/>
    </row>
    <row r="40" spans="2:5" x14ac:dyDescent="0.2">
      <c r="B40" s="45"/>
      <c r="C40" s="85"/>
      <c r="D40" s="42"/>
      <c r="E40" s="45"/>
    </row>
    <row r="41" spans="2:5" x14ac:dyDescent="0.2">
      <c r="B41" s="45"/>
      <c r="C41" s="85"/>
      <c r="D41" s="42"/>
      <c r="E41" s="45"/>
    </row>
    <row r="42" spans="2:5" x14ac:dyDescent="0.2">
      <c r="B42" s="45"/>
      <c r="C42" s="85"/>
      <c r="D42" s="42"/>
      <c r="E42" s="45"/>
    </row>
    <row r="43" spans="2:5" x14ac:dyDescent="0.2">
      <c r="B43" s="45"/>
      <c r="C43" s="85"/>
      <c r="D43" s="42"/>
      <c r="E43" s="45"/>
    </row>
    <row r="44" spans="2:5" x14ac:dyDescent="0.2">
      <c r="B44" s="45"/>
      <c r="C44" s="85"/>
      <c r="D44" s="42"/>
      <c r="E44" s="45"/>
    </row>
    <row r="45" spans="2:5" x14ac:dyDescent="0.2">
      <c r="B45" s="45"/>
      <c r="C45" s="85"/>
      <c r="D45" s="42"/>
      <c r="E45" s="45"/>
    </row>
    <row r="46" spans="2:5" x14ac:dyDescent="0.2">
      <c r="B46" s="45"/>
      <c r="C46" s="85"/>
      <c r="D46" s="42"/>
      <c r="E46" s="45"/>
    </row>
    <row r="47" spans="2:5" x14ac:dyDescent="0.2">
      <c r="B47" s="45"/>
      <c r="C47" s="85"/>
      <c r="D47" s="42"/>
      <c r="E47" s="45"/>
    </row>
    <row r="48" spans="2:5" x14ac:dyDescent="0.2">
      <c r="B48" s="45"/>
      <c r="C48" s="85"/>
      <c r="D48" s="42"/>
      <c r="E48" s="45"/>
    </row>
    <row r="49" spans="2:5" x14ac:dyDescent="0.2">
      <c r="B49" s="45"/>
      <c r="C49" s="85"/>
      <c r="D49" s="42"/>
      <c r="E49" s="45"/>
    </row>
    <row r="50" spans="2:5" x14ac:dyDescent="0.2">
      <c r="B50" s="45"/>
      <c r="C50" s="85"/>
      <c r="D50" s="42"/>
      <c r="E50" s="45"/>
    </row>
    <row r="51" spans="2:5" ht="16" thickBot="1" x14ac:dyDescent="0.25">
      <c r="B51" s="254"/>
      <c r="C51" s="86"/>
      <c r="D51" s="87"/>
      <c r="E51" s="254"/>
    </row>
    <row r="52" spans="2:5" ht="17" thickTop="1" thickBot="1" x14ac:dyDescent="0.25">
      <c r="C52" s="88">
        <f>MAX(SUM(C35:C51)-SUM(D35:D51),0)</f>
        <v>0</v>
      </c>
      <c r="D52" s="89">
        <f>MAX(SUM(D35:D51)-SUM(C35:C51),0)</f>
        <v>0</v>
      </c>
    </row>
    <row r="53" spans="2:5" ht="16" thickTop="1" x14ac:dyDescent="0.2"/>
  </sheetData>
  <dataValidations disablePrompts="1" count="4">
    <dataValidation type="list" allowBlank="1" showInputMessage="1" showErrorMessage="1" sqref="D5" xr:uid="{9464F7BB-513E-43E7-B7E1-E27909CFCB09}">
      <formula1>INDIRECT($C$1)</formula1>
    </dataValidation>
    <dataValidation type="list" allowBlank="1" showInputMessage="1" showErrorMessage="1" sqref="D4" xr:uid="{88907793-C5D4-40E4-9845-79CDE42EB2F5}">
      <formula1>"Asset,Liability,Equity"</formula1>
    </dataValidation>
    <dataValidation type="list" allowBlank="1" showInputMessage="1" showErrorMessage="1" sqref="D31" xr:uid="{D5720646-874E-411A-BADC-3E7609262309}">
      <formula1>"_Revenue,_Expense,_Gain,_Loss"</formula1>
    </dataValidation>
    <dataValidation type="list" allowBlank="1" showInputMessage="1" showErrorMessage="1" sqref="D32" xr:uid="{98234A22-5E11-476E-9880-57D6F31E8C09}">
      <formula1>INDIRECT($C$28)</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5EF8E-6F14-4673-8413-4451A8CAC697}">
  <sheetPr>
    <tabColor theme="7" tint="0.59999389629810485"/>
  </sheetPr>
  <dimension ref="A1:H33"/>
  <sheetViews>
    <sheetView workbookViewId="0"/>
  </sheetViews>
  <sheetFormatPr baseColWidth="10" defaultColWidth="8.83203125" defaultRowHeight="15" x14ac:dyDescent="0.2"/>
  <cols>
    <col min="2" max="2" width="37.5" bestFit="1" customWidth="1"/>
    <col min="4" max="4" width="10.5" customWidth="1"/>
    <col min="5" max="5" width="10.5" style="4" customWidth="1"/>
    <col min="6" max="6" width="11" customWidth="1"/>
  </cols>
  <sheetData>
    <row r="1" spans="1:8" x14ac:dyDescent="0.2">
      <c r="A1" s="5" t="s">
        <v>366</v>
      </c>
    </row>
    <row r="2" spans="1:8" x14ac:dyDescent="0.2">
      <c r="B2" s="33" t="s">
        <v>557</v>
      </c>
    </row>
    <row r="3" spans="1:8" x14ac:dyDescent="0.2">
      <c r="B3" s="4" t="s">
        <v>367</v>
      </c>
      <c r="C3" s="4"/>
      <c r="D3" s="4" t="s">
        <v>558</v>
      </c>
      <c r="F3" s="4"/>
      <c r="H3" s="4"/>
    </row>
    <row r="4" spans="1:8" x14ac:dyDescent="0.2">
      <c r="B4" t="str" cm="1">
        <f t="array" ref="B4:B7">IF(ISBLANK(_Revenue[Name]),"",_Revenue[Name])</f>
        <v>Sales</v>
      </c>
      <c r="D4" s="9">
        <f>SUMIF(Journal[CrAccnt],B4,Journal[CrAmt])-SUMIF(Journal[DrAccnt],B4,Journal[DrAmt])</f>
        <v>0</v>
      </c>
      <c r="E4" s="313" t="s">
        <v>212</v>
      </c>
      <c r="F4" s="32" t="s">
        <v>559</v>
      </c>
    </row>
    <row r="5" spans="1:8" x14ac:dyDescent="0.2">
      <c r="B5" t="str">
        <v/>
      </c>
      <c r="D5" s="9">
        <f>SUMIF(Journal[CrAccnt],B5,Journal[CrAmt])-SUMIF(Journal[DrAccnt],B5,Journal[DrAmt])</f>
        <v>0</v>
      </c>
      <c r="E5" s="313" t="s">
        <v>212</v>
      </c>
      <c r="F5" s="32" t="s">
        <v>559</v>
      </c>
    </row>
    <row r="6" spans="1:8" x14ac:dyDescent="0.2">
      <c r="B6" t="str">
        <v/>
      </c>
      <c r="D6" s="9">
        <f>SUMIF(Journal[CrAccnt],B6,Journal[CrAmt])-SUMIF(Journal[DrAccnt],B6,Journal[DrAmt])</f>
        <v>0</v>
      </c>
      <c r="E6" s="313" t="s">
        <v>212</v>
      </c>
      <c r="F6" s="32" t="s">
        <v>559</v>
      </c>
    </row>
    <row r="7" spans="1:8" x14ac:dyDescent="0.2">
      <c r="B7" t="str">
        <v/>
      </c>
      <c r="D7" s="9">
        <f>SUMIF(Journal[CrAccnt],B7,Journal[CrAmt])-SUMIF(Journal[DrAccnt],B7,Journal[DrAmt])</f>
        <v>0</v>
      </c>
      <c r="E7" s="313" t="s">
        <v>212</v>
      </c>
      <c r="F7" s="32" t="s">
        <v>559</v>
      </c>
    </row>
    <row r="8" spans="1:8" x14ac:dyDescent="0.2">
      <c r="E8" s="33"/>
    </row>
    <row r="9" spans="1:8" x14ac:dyDescent="0.2">
      <c r="B9" s="4" t="s">
        <v>368</v>
      </c>
      <c r="E9" s="33"/>
    </row>
    <row r="10" spans="1:8" x14ac:dyDescent="0.2">
      <c r="B10" t="str" cm="1">
        <f t="array" ref="B10:B19">IF(ISBLANK(_Expense[Name]),"",_Expense[Name])</f>
        <v>Cost of Goods Sold</v>
      </c>
      <c r="D10" s="9">
        <f>SUMIF(Journal[DrAccnt],B10,Journal[DrAmt])-SUMIF(Journal[CrAccnt],B10,Journal[CrAmt])</f>
        <v>0</v>
      </c>
      <c r="E10" s="313" t="s">
        <v>208</v>
      </c>
      <c r="F10" s="32" t="s">
        <v>559</v>
      </c>
    </row>
    <row r="11" spans="1:8" x14ac:dyDescent="0.2">
      <c r="B11" t="str">
        <v/>
      </c>
      <c r="D11" s="9">
        <f>SUMIF(Journal[DrAccnt],B11,Journal[DrAmt])-SUMIF(Journal[CrAccnt],B11,Journal[CrAmt])</f>
        <v>0</v>
      </c>
      <c r="E11" s="313" t="s">
        <v>208</v>
      </c>
      <c r="F11" s="32" t="s">
        <v>559</v>
      </c>
    </row>
    <row r="12" spans="1:8" x14ac:dyDescent="0.2">
      <c r="B12" t="str">
        <v/>
      </c>
      <c r="D12" s="9">
        <f>SUMIF(Journal[DrAccnt],B12,Journal[DrAmt])-SUMIF(Journal[CrAccnt],B12,Journal[CrAmt])</f>
        <v>0</v>
      </c>
      <c r="E12" s="313" t="s">
        <v>208</v>
      </c>
      <c r="F12" s="32" t="s">
        <v>559</v>
      </c>
    </row>
    <row r="13" spans="1:8" x14ac:dyDescent="0.2">
      <c r="B13" t="str">
        <v/>
      </c>
      <c r="D13" s="9">
        <f>SUMIF(Journal[DrAccnt],B13,Journal[DrAmt])-SUMIF(Journal[CrAccnt],B13,Journal[CrAmt])</f>
        <v>0</v>
      </c>
      <c r="E13" s="313" t="s">
        <v>208</v>
      </c>
      <c r="F13" s="32" t="s">
        <v>559</v>
      </c>
    </row>
    <row r="14" spans="1:8" x14ac:dyDescent="0.2">
      <c r="B14" t="str">
        <v/>
      </c>
      <c r="D14" s="9">
        <f>SUMIF(Journal[DrAccnt],B14,Journal[DrAmt])-SUMIF(Journal[CrAccnt],B14,Journal[CrAmt])</f>
        <v>0</v>
      </c>
      <c r="E14" s="313" t="s">
        <v>208</v>
      </c>
      <c r="F14" s="32" t="s">
        <v>559</v>
      </c>
    </row>
    <row r="15" spans="1:8" x14ac:dyDescent="0.2">
      <c r="B15" t="str">
        <v/>
      </c>
      <c r="D15" s="9">
        <f>SUMIF(Journal[DrAccnt],B15,Journal[DrAmt])-SUMIF(Journal[CrAccnt],B15,Journal[CrAmt])</f>
        <v>0</v>
      </c>
      <c r="E15" s="313" t="s">
        <v>208</v>
      </c>
      <c r="F15" s="32" t="s">
        <v>559</v>
      </c>
    </row>
    <row r="16" spans="1:8" x14ac:dyDescent="0.2">
      <c r="B16" t="str">
        <v/>
      </c>
      <c r="D16" s="9">
        <f>SUMIF(Journal[DrAccnt],B16,Journal[DrAmt])-SUMIF(Journal[CrAccnt],B16,Journal[CrAmt])</f>
        <v>0</v>
      </c>
      <c r="E16" s="313" t="s">
        <v>208</v>
      </c>
      <c r="F16" s="32" t="s">
        <v>559</v>
      </c>
    </row>
    <row r="17" spans="2:6" x14ac:dyDescent="0.2">
      <c r="B17" t="str">
        <v/>
      </c>
      <c r="D17" s="9">
        <f>SUMIF(Journal[DrAccnt],B17,Journal[DrAmt])-SUMIF(Journal[CrAccnt],B17,Journal[CrAmt])</f>
        <v>0</v>
      </c>
      <c r="E17" s="313" t="s">
        <v>208</v>
      </c>
      <c r="F17" s="32" t="s">
        <v>559</v>
      </c>
    </row>
    <row r="18" spans="2:6" x14ac:dyDescent="0.2">
      <c r="B18" t="str">
        <v/>
      </c>
      <c r="D18" s="9">
        <f>SUMIF(Journal[DrAccnt],B18,Journal[DrAmt])-SUMIF(Journal[CrAccnt],B18,Journal[CrAmt])</f>
        <v>0</v>
      </c>
      <c r="E18" s="313" t="s">
        <v>208</v>
      </c>
      <c r="F18" s="32" t="s">
        <v>559</v>
      </c>
    </row>
    <row r="19" spans="2:6" x14ac:dyDescent="0.2">
      <c r="B19" t="str">
        <v/>
      </c>
      <c r="D19" s="9">
        <f>SUMIF(Journal[DrAccnt],B19,Journal[DrAmt])-SUMIF(Journal[CrAccnt],B19,Journal[CrAmt])</f>
        <v>0</v>
      </c>
      <c r="E19" s="313" t="s">
        <v>208</v>
      </c>
      <c r="F19" s="32" t="s">
        <v>559</v>
      </c>
    </row>
    <row r="20" spans="2:6" x14ac:dyDescent="0.2">
      <c r="E20" s="33"/>
      <c r="F20" s="5"/>
    </row>
    <row r="21" spans="2:6" x14ac:dyDescent="0.2">
      <c r="B21" s="4" t="s">
        <v>560</v>
      </c>
      <c r="E21" s="33"/>
      <c r="F21" s="5"/>
    </row>
    <row r="22" spans="2:6" x14ac:dyDescent="0.2">
      <c r="B22" t="str" cm="1">
        <f t="array" ref="B22:B26">IF(ISBLANK(_Gain[Name]),"",_Gain[Name])</f>
        <v>Gain on Sale of Subsidiary</v>
      </c>
      <c r="D22" s="9">
        <f>SUMIF(Journal[CrAccnt],B22,Journal[CrAmt])-SUMIF(Journal[DrAccnt],B22,Journal[DrAmt])</f>
        <v>0</v>
      </c>
      <c r="E22" s="313" t="s">
        <v>212</v>
      </c>
      <c r="F22" s="32" t="s">
        <v>559</v>
      </c>
    </row>
    <row r="23" spans="2:6" x14ac:dyDescent="0.2">
      <c r="B23" t="str">
        <v/>
      </c>
      <c r="D23" s="9">
        <f>SUMIF(Journal[CrAccnt],B23,Journal[CrAmt])-SUMIF(Journal[DrAccnt],B23,Journal[DrAmt])</f>
        <v>0</v>
      </c>
      <c r="E23" s="313" t="s">
        <v>212</v>
      </c>
      <c r="F23" s="32" t="s">
        <v>559</v>
      </c>
    </row>
    <row r="24" spans="2:6" x14ac:dyDescent="0.2">
      <c r="B24" t="str">
        <v/>
      </c>
      <c r="D24" s="9">
        <f>SUMIF(Journal[CrAccnt],B24,Journal[CrAmt])-SUMIF(Journal[DrAccnt],B24,Journal[DrAmt])</f>
        <v>0</v>
      </c>
      <c r="E24" s="313" t="s">
        <v>212</v>
      </c>
      <c r="F24" s="32" t="s">
        <v>559</v>
      </c>
    </row>
    <row r="25" spans="2:6" x14ac:dyDescent="0.2">
      <c r="B25" t="str">
        <v/>
      </c>
      <c r="D25" s="9">
        <f>SUMIF(Journal[CrAccnt],B25,Journal[CrAmt])-SUMIF(Journal[DrAccnt],B25,Journal[DrAmt])</f>
        <v>0</v>
      </c>
      <c r="E25" s="313" t="s">
        <v>212</v>
      </c>
      <c r="F25" s="32" t="s">
        <v>559</v>
      </c>
    </row>
    <row r="26" spans="2:6" x14ac:dyDescent="0.2">
      <c r="B26" t="str">
        <v/>
      </c>
      <c r="D26" s="9">
        <f>SUMIF(Journal[CrAccnt],B26,Journal[CrAmt])-SUMIF(Journal[DrAccnt],B26,Journal[DrAmt])</f>
        <v>0</v>
      </c>
      <c r="E26" s="313" t="s">
        <v>212</v>
      </c>
      <c r="F26" s="32" t="s">
        <v>559</v>
      </c>
    </row>
    <row r="27" spans="2:6" x14ac:dyDescent="0.2">
      <c r="E27" s="33"/>
    </row>
    <row r="28" spans="2:6" x14ac:dyDescent="0.2">
      <c r="B28" s="4" t="s">
        <v>561</v>
      </c>
      <c r="E28" s="33"/>
    </row>
    <row r="29" spans="2:6" x14ac:dyDescent="0.2">
      <c r="B29" t="str" cm="1">
        <f t="array" ref="B29:B33">IF(ISBLANK(_Loss[Name]),"",_Loss[Name])</f>
        <v>Loss on Sale of Subsidiary</v>
      </c>
      <c r="D29" s="9">
        <f>SUMIF(Journal[DrAccnt],B29,Journal[DrAmt])-SUMIF(Journal[CrAccnt],B29,Journal[CrAmt])</f>
        <v>0</v>
      </c>
      <c r="E29" s="313" t="s">
        <v>208</v>
      </c>
      <c r="F29" s="32" t="s">
        <v>559</v>
      </c>
    </row>
    <row r="30" spans="2:6" x14ac:dyDescent="0.2">
      <c r="B30" t="str">
        <v/>
      </c>
      <c r="D30" s="9">
        <f>SUMIF(Journal[DrAccnt],B30,Journal[DrAmt])-SUMIF(Journal[CrAccnt],B30,Journal[CrAmt])</f>
        <v>0</v>
      </c>
      <c r="E30" s="313" t="s">
        <v>208</v>
      </c>
      <c r="F30" s="32" t="s">
        <v>559</v>
      </c>
    </row>
    <row r="31" spans="2:6" x14ac:dyDescent="0.2">
      <c r="B31" t="str">
        <v/>
      </c>
      <c r="D31" s="9">
        <f>SUMIF(Journal[DrAccnt],B31,Journal[DrAmt])-SUMIF(Journal[CrAccnt],B31,Journal[CrAmt])</f>
        <v>0</v>
      </c>
      <c r="E31" s="313" t="s">
        <v>208</v>
      </c>
      <c r="F31" s="32" t="s">
        <v>559</v>
      </c>
    </row>
    <row r="32" spans="2:6" x14ac:dyDescent="0.2">
      <c r="B32" t="str">
        <v/>
      </c>
      <c r="D32" s="9">
        <f>SUMIF(Journal[DrAccnt],B32,Journal[DrAmt])-SUMIF(Journal[CrAccnt],B32,Journal[CrAmt])</f>
        <v>0</v>
      </c>
      <c r="E32" s="313" t="s">
        <v>208</v>
      </c>
      <c r="F32" s="32" t="s">
        <v>559</v>
      </c>
    </row>
    <row r="33" spans="2:6" x14ac:dyDescent="0.2">
      <c r="B33" t="str">
        <v/>
      </c>
      <c r="D33" s="9">
        <f>SUMIF(Journal[DrAccnt],B33,Journal[DrAmt])-SUMIF(Journal[CrAccnt],B33,Journal[CrAmt])</f>
        <v>0</v>
      </c>
      <c r="E33" s="313" t="s">
        <v>208</v>
      </c>
      <c r="F33" s="32" t="s">
        <v>559</v>
      </c>
    </row>
  </sheetData>
  <conditionalFormatting sqref="F4:F7 F10:F19 F22:F26 F29:F33">
    <cfRule type="expression" dxfId="212" priority="3">
      <formula>ROUND(D4,2)</formula>
    </cfRule>
  </conditionalFormatting>
  <conditionalFormatting sqref="E4:E33">
    <cfRule type="expression" dxfId="211" priority="2">
      <formula>ROUND(D4,2)&lt;&gt;0</formula>
    </cfRule>
  </conditionalFormatting>
  <conditionalFormatting sqref="B2">
    <cfRule type="expression" dxfId="210" priority="1">
      <formula>ROUND(SUM($D$4:$D$33),2)=0</formula>
    </cfRule>
  </conditionalFormatting>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968B-C0F6-407E-B1F3-00B5D24123DC}">
  <sheetPr>
    <tabColor theme="7" tint="-0.249977111117893"/>
  </sheetPr>
  <dimension ref="A1:AC190"/>
  <sheetViews>
    <sheetView zoomScale="145" zoomScaleNormal="145" workbookViewId="0">
      <pane ySplit="3" topLeftCell="A4" activePane="bottomLeft" state="frozen"/>
      <selection pane="bottomLeft"/>
    </sheetView>
  </sheetViews>
  <sheetFormatPr baseColWidth="10" defaultColWidth="8.83203125" defaultRowHeight="15" outlineLevelRow="1" outlineLevelCol="1" x14ac:dyDescent="0.2"/>
  <cols>
    <col min="1" max="1" width="24.33203125" bestFit="1" customWidth="1"/>
    <col min="2" max="3" width="9.5" bestFit="1" customWidth="1"/>
    <col min="4" max="4" width="4.1640625" customWidth="1"/>
    <col min="5" max="5" width="4.1640625" customWidth="1" outlineLevel="1"/>
    <col min="6" max="6" width="9.5" customWidth="1" outlineLevel="1"/>
    <col min="7" max="7" width="8.83203125" customWidth="1" outlineLevel="1"/>
    <col min="8" max="8" width="3.5" customWidth="1" outlineLevel="1"/>
    <col min="9" max="9" width="3.5" customWidth="1"/>
    <col min="10" max="10" width="4.1640625" customWidth="1" outlineLevel="1"/>
    <col min="11" max="11" width="9.5" customWidth="1" outlineLevel="1"/>
    <col min="12" max="12" width="8.83203125" customWidth="1" outlineLevel="1"/>
    <col min="13" max="13" width="3.5" customWidth="1" outlineLevel="1"/>
    <col min="14" max="14" width="3.5" customWidth="1"/>
    <col min="15" max="15" width="10.5" customWidth="1" outlineLevel="1"/>
    <col min="16" max="16" width="9.5" customWidth="1" outlineLevel="1"/>
    <col min="17" max="17" width="9.33203125" customWidth="1" outlineLevel="1"/>
    <col min="18" max="18" width="10.5" customWidth="1" outlineLevel="1"/>
    <col min="19" max="19" width="4.6640625" bestFit="1" customWidth="1"/>
    <col min="23" max="26" width="8.83203125" hidden="1" customWidth="1"/>
    <col min="27" max="27" width="8.83203125" customWidth="1"/>
  </cols>
  <sheetData>
    <row r="1" spans="1:29" ht="16" thickBot="1" x14ac:dyDescent="0.25">
      <c r="A1" s="322"/>
      <c r="B1" s="265" t="s">
        <v>562</v>
      </c>
      <c r="C1" s="265"/>
      <c r="D1" s="266"/>
      <c r="E1" s="265" t="s">
        <v>563</v>
      </c>
      <c r="F1" s="265"/>
      <c r="G1" s="265"/>
      <c r="H1" s="265"/>
      <c r="I1" s="266"/>
      <c r="J1" s="265" t="s">
        <v>564</v>
      </c>
      <c r="K1" s="265"/>
      <c r="L1" s="265"/>
      <c r="M1" s="265"/>
      <c r="N1" s="266"/>
      <c r="O1" s="265" t="s">
        <v>565</v>
      </c>
      <c r="P1" s="265"/>
      <c r="Q1" s="265"/>
      <c r="R1" s="265"/>
      <c r="S1" s="266"/>
      <c r="T1" s="265" t="s">
        <v>566</v>
      </c>
      <c r="U1" s="265"/>
      <c r="V1" s="278" t="s">
        <v>567</v>
      </c>
      <c r="AA1" s="252">
        <f>SUM(F4:F145)+SUM(K4:K145)-SUM(G4:G145)-SUM(L4:L145)+SUM(P142:P148)-SUM(Q142:Q148)</f>
        <v>0</v>
      </c>
    </row>
    <row r="2" spans="1:29" ht="16" thickBot="1" x14ac:dyDescent="0.25">
      <c r="A2" s="264"/>
      <c r="B2" s="267" t="s">
        <v>568</v>
      </c>
      <c r="C2" s="267" t="s">
        <v>569</v>
      </c>
      <c r="D2" s="266"/>
      <c r="E2" s="268" t="s">
        <v>570</v>
      </c>
      <c r="F2" s="267" t="s">
        <v>568</v>
      </c>
      <c r="G2" s="267" t="s">
        <v>569</v>
      </c>
      <c r="H2" s="268" t="s">
        <v>570</v>
      </c>
      <c r="I2" s="266"/>
      <c r="J2" s="268" t="s">
        <v>570</v>
      </c>
      <c r="K2" s="267" t="s">
        <v>568</v>
      </c>
      <c r="L2" s="267" t="s">
        <v>569</v>
      </c>
      <c r="M2" s="268" t="s">
        <v>570</v>
      </c>
      <c r="N2" s="268"/>
      <c r="O2" s="269" t="s">
        <v>93</v>
      </c>
      <c r="P2" s="267" t="s">
        <v>568</v>
      </c>
      <c r="Q2" s="267" t="s">
        <v>569</v>
      </c>
      <c r="R2" s="269" t="s">
        <v>93</v>
      </c>
      <c r="S2" s="269"/>
      <c r="T2" s="267" t="s">
        <v>568</v>
      </c>
      <c r="U2" s="267" t="s">
        <v>569</v>
      </c>
      <c r="W2" t="s">
        <v>331</v>
      </c>
      <c r="X2" t="s">
        <v>333</v>
      </c>
    </row>
    <row r="3" spans="1:29" x14ac:dyDescent="0.2">
      <c r="A3" s="260" t="s">
        <v>363</v>
      </c>
      <c r="B3" s="261"/>
      <c r="C3" s="262"/>
      <c r="D3" s="262"/>
      <c r="E3" s="262"/>
      <c r="F3" s="261"/>
      <c r="G3" s="262"/>
      <c r="H3" s="262"/>
      <c r="I3" s="262"/>
      <c r="J3" s="262"/>
      <c r="K3" s="261"/>
      <c r="L3" s="262"/>
      <c r="M3" s="262"/>
      <c r="N3" s="262"/>
      <c r="O3" s="262"/>
      <c r="P3" s="261"/>
      <c r="Q3" s="262"/>
      <c r="R3" s="263"/>
      <c r="S3" s="262"/>
      <c r="T3" s="261"/>
      <c r="U3" s="262"/>
    </row>
    <row r="4" spans="1:29" x14ac:dyDescent="0.2">
      <c r="A4" s="279" t="str">
        <f>IFERROR(IF(_xlfn.XLOOKUP(2,Asset[Num],Asset[Name])=0,"",_xlfn.XLOOKUP(2,Asset[Num],Asset[Name])),"")</f>
        <v>Accounts Receivable</v>
      </c>
      <c r="B4" s="283">
        <f>IF(_xlfn.XLOOKUP(A4,BegBalSht[Account],BegBalSht[BalType])="Debit",_xlfn.XLOOKUP(A4,BegBalSht[Account],BegBalSht[Amount]),0)</f>
        <v>0</v>
      </c>
      <c r="C4" s="284">
        <f>IF(_xlfn.XLOOKUP(A4,BegBalSht[Account],BegBalSht[BalType])="Credit",-_xlfn.XLOOKUP(A4,BegBalSht[Account],BegBalSht[Amount]),0)</f>
        <v>0</v>
      </c>
      <c r="E4" s="337"/>
      <c r="F4" s="311"/>
      <c r="G4" s="325"/>
      <c r="H4" s="337"/>
      <c r="J4" s="337"/>
      <c r="K4" s="311"/>
      <c r="L4" s="325"/>
      <c r="M4" s="337"/>
      <c r="O4" s="295" t="str">
        <f>IFERROR($V$1&amp;_xlfn.XLOOKUP(Indirect_CFO_Worksheet_Tool!A4,Asset[Name],Asset[Abbr]),"")</f>
        <v>ΔAR</v>
      </c>
      <c r="P4" s="275">
        <f>IF((T4-U4)-(B4-C4)-SUM(F4:F7)+SUM(G4:G7)-SUM(K4:K7)+SUM(L4:L7)&gt;0,(T4-U4)-(B4-C4)-SUM(F4:F7)+SUM(G4:G7)-SUM(K4:K7)+SUM(L4:L7),0)</f>
        <v>0</v>
      </c>
      <c r="Q4" s="312">
        <f>IF((T4-U4)-(B4-C4)-SUM(F4:F7)+SUM(G4:G7)-SUM(K4:K7)+SUM(L4:L7)&lt;0,-((T4-U4)-(B4-C4)-SUM(F4:F7)+SUM(G4:G7)-SUM(K4:K7)+SUM(L4:L7)),0)</f>
        <v>0</v>
      </c>
      <c r="R4" s="295" t="str">
        <f>O4</f>
        <v>ΔAR</v>
      </c>
      <c r="T4" s="283">
        <f>IF(Y4&gt;0,Y4,0)</f>
        <v>0</v>
      </c>
      <c r="U4" s="284">
        <f>IF(Z4&gt;0,Z4,0)</f>
        <v>0</v>
      </c>
      <c r="V4" s="252"/>
      <c r="W4" s="42">
        <f>SUMIF(Journal[DrAccnt],A4,Journal[DrAmt])</f>
        <v>0</v>
      </c>
      <c r="X4" s="42">
        <f>SUMIF(Journal[CrAccnt],A4,Journal[CrAmt])</f>
        <v>0</v>
      </c>
      <c r="Y4" s="252">
        <f>B4-C4+W4-X4</f>
        <v>0</v>
      </c>
      <c r="Z4" s="252">
        <f>C4-B4+X4-W4</f>
        <v>0</v>
      </c>
    </row>
    <row r="5" spans="1:29" hidden="1" outlineLevel="1" x14ac:dyDescent="0.2">
      <c r="A5" s="215"/>
      <c r="B5" s="285"/>
      <c r="C5" s="286"/>
      <c r="E5" s="337"/>
      <c r="F5" s="309"/>
      <c r="G5" s="308"/>
      <c r="H5" s="337"/>
      <c r="J5" s="337"/>
      <c r="K5" s="309"/>
      <c r="L5" s="308"/>
      <c r="M5" s="337"/>
      <c r="O5" s="1"/>
      <c r="P5" s="246"/>
      <c r="R5" s="1"/>
      <c r="T5" s="292"/>
      <c r="U5" s="215"/>
    </row>
    <row r="6" spans="1:29" hidden="1" outlineLevel="1" x14ac:dyDescent="0.2">
      <c r="A6" s="215"/>
      <c r="B6" s="285"/>
      <c r="C6" s="286"/>
      <c r="E6" s="337"/>
      <c r="F6" s="309"/>
      <c r="G6" s="308"/>
      <c r="H6" s="337"/>
      <c r="J6" s="337"/>
      <c r="K6" s="309"/>
      <c r="L6" s="308"/>
      <c r="M6" s="337"/>
      <c r="O6" s="1"/>
      <c r="P6" s="246"/>
      <c r="R6" s="1"/>
      <c r="T6" s="292"/>
      <c r="U6" s="215"/>
    </row>
    <row r="7" spans="1:29" hidden="1" outlineLevel="1" x14ac:dyDescent="0.2">
      <c r="A7" s="294"/>
      <c r="B7" s="287"/>
      <c r="C7" s="288"/>
      <c r="E7" s="337"/>
      <c r="F7" s="326"/>
      <c r="G7" s="327"/>
      <c r="H7" s="337"/>
      <c r="J7" s="337"/>
      <c r="K7" s="326"/>
      <c r="L7" s="327"/>
      <c r="M7" s="337"/>
      <c r="O7" s="1"/>
      <c r="P7" s="251"/>
      <c r="Q7" s="250"/>
      <c r="R7" s="1"/>
      <c r="T7" s="293"/>
      <c r="U7" s="294"/>
    </row>
    <row r="8" spans="1:29" collapsed="1" x14ac:dyDescent="0.2">
      <c r="A8" s="279" t="str">
        <f>IFERROR(IF(_xlfn.XLOOKUP(3,Asset[Num],Asset[Name])=0,"",_xlfn.XLOOKUP(3,Asset[Num],Asset[Name])),"")</f>
        <v>Allowance for Doubtful Accounts</v>
      </c>
      <c r="B8" s="283">
        <f>IF(_xlfn.XLOOKUP(A8,BegBalSht[Account],BegBalSht[BalType])="Debit",_xlfn.XLOOKUP(A8,BegBalSht[Account],BegBalSht[Amount]),0)</f>
        <v>0</v>
      </c>
      <c r="C8" s="284">
        <f>IF(_xlfn.XLOOKUP(A8,BegBalSht[Account],BegBalSht[BalType])="Credit",-_xlfn.XLOOKUP(A8,BegBalSht[Account],BegBalSht[Amount]),0)</f>
        <v>0</v>
      </c>
      <c r="E8" s="337"/>
      <c r="F8" s="311"/>
      <c r="G8" s="325"/>
      <c r="H8" s="337"/>
      <c r="J8" s="337"/>
      <c r="K8" s="311"/>
      <c r="L8" s="325"/>
      <c r="M8" s="337"/>
      <c r="O8" s="295" t="str">
        <f>IFERROR($V$1&amp;_xlfn.XLOOKUP(Indirect_CFO_Worksheet_Tool!A8,Asset[Name],Asset[Abbr]),"")</f>
        <v>ΔADA</v>
      </c>
      <c r="P8" s="275">
        <f>IF((T8-U8)-(B8-C8)-SUM(F8:F11)+SUM(G8:G11)-SUM(K8:K11)+SUM(L8:L11)&gt;0,(T8-U8)-(B8-C8)-SUM(F8:F11)+SUM(G8:G11)-SUM(K8:K11)+SUM(L8:L11),0)</f>
        <v>0</v>
      </c>
      <c r="Q8" s="312">
        <f>IF((T8-U8)-(B8-C8)-SUM(F8:F11)+SUM(G8:G11)-SUM(K8:K11)+SUM(L8:L11)&lt;0,-((T8-U8)-(B8-C8)-SUM(F8:F11)+SUM(G8:G11)-SUM(K8:K11)+SUM(L8:L11)),0)</f>
        <v>0</v>
      </c>
      <c r="R8" s="295" t="str">
        <f t="shared" ref="R8:R73" si="0">O8</f>
        <v>ΔADA</v>
      </c>
      <c r="T8" s="283">
        <f>IF(Y8&gt;0,Y8,0)</f>
        <v>0</v>
      </c>
      <c r="U8" s="284">
        <f>IF(Z8&gt;0,Z8,0)</f>
        <v>0</v>
      </c>
      <c r="W8" s="42">
        <f>SUMIF(Journal[DrAccnt],A8,Journal[DrAmt])</f>
        <v>0</v>
      </c>
      <c r="X8" s="42">
        <f>SUMIF(Journal[CrAccnt],A8,Journal[CrAmt])</f>
        <v>0</v>
      </c>
      <c r="Y8" s="252">
        <f>B8-C8+W8-X8</f>
        <v>0</v>
      </c>
      <c r="Z8" s="252">
        <f>C8-B8+X8-W8</f>
        <v>0</v>
      </c>
    </row>
    <row r="9" spans="1:29" hidden="1" outlineLevel="1" x14ac:dyDescent="0.2">
      <c r="A9" s="215"/>
      <c r="B9" s="285"/>
      <c r="C9" s="286"/>
      <c r="E9" s="337"/>
      <c r="F9" s="309"/>
      <c r="G9" s="308"/>
      <c r="H9" s="337"/>
      <c r="J9" s="337"/>
      <c r="K9" s="309"/>
      <c r="L9" s="308"/>
      <c r="M9" s="337"/>
      <c r="O9" s="1"/>
      <c r="P9" s="246"/>
      <c r="R9" s="1"/>
      <c r="T9" s="292"/>
      <c r="U9" s="215"/>
    </row>
    <row r="10" spans="1:29" hidden="1" outlineLevel="1" x14ac:dyDescent="0.2">
      <c r="A10" s="215"/>
      <c r="B10" s="285"/>
      <c r="C10" s="286"/>
      <c r="E10" s="337"/>
      <c r="F10" s="309"/>
      <c r="G10" s="308"/>
      <c r="H10" s="337"/>
      <c r="J10" s="337"/>
      <c r="K10" s="309"/>
      <c r="L10" s="308"/>
      <c r="M10" s="337"/>
      <c r="O10" s="1"/>
      <c r="P10" s="246"/>
      <c r="R10" s="1"/>
      <c r="T10" s="292"/>
      <c r="U10" s="215"/>
    </row>
    <row r="11" spans="1:29" hidden="1" outlineLevel="1" x14ac:dyDescent="0.2">
      <c r="A11" s="294"/>
      <c r="B11" s="287"/>
      <c r="C11" s="288"/>
      <c r="E11" s="337"/>
      <c r="F11" s="326"/>
      <c r="G11" s="327"/>
      <c r="H11" s="337"/>
      <c r="J11" s="337"/>
      <c r="K11" s="326"/>
      <c r="L11" s="327"/>
      <c r="M11" s="337"/>
      <c r="O11" s="1"/>
      <c r="P11" s="251"/>
      <c r="Q11" s="250"/>
      <c r="R11" s="1"/>
      <c r="T11" s="293"/>
      <c r="U11" s="294"/>
    </row>
    <row r="12" spans="1:29" collapsed="1" x14ac:dyDescent="0.2">
      <c r="A12" s="279" t="str">
        <f>IFERROR(IF(_xlfn.XLOOKUP(4,Asset[Num],Asset[Name])=0,"",_xlfn.XLOOKUP(4,Asset[Num],Asset[Name])),"")</f>
        <v>Marketable Securities</v>
      </c>
      <c r="B12" s="283">
        <f>IF(_xlfn.XLOOKUP(A12,BegBalSht[Account],BegBalSht[BalType])="Debit",_xlfn.XLOOKUP(A12,BegBalSht[Account],BegBalSht[Amount]),0)</f>
        <v>0</v>
      </c>
      <c r="C12" s="284">
        <f>IF(_xlfn.XLOOKUP(A12,BegBalSht[Account],BegBalSht[BalType])="Credit",-_xlfn.XLOOKUP(A12,BegBalSht[Account],BegBalSht[Amount]),0)</f>
        <v>0</v>
      </c>
      <c r="E12" s="337"/>
      <c r="F12" s="311"/>
      <c r="G12" s="325"/>
      <c r="H12" s="337"/>
      <c r="J12" s="337"/>
      <c r="K12" s="311"/>
      <c r="L12" s="325"/>
      <c r="M12" s="337"/>
      <c r="O12" s="295" t="str">
        <f>IFERROR($V$1&amp;_xlfn.XLOOKUP(Indirect_CFO_Worksheet_Tool!A12,Asset[Name],Asset[Abbr]),"")</f>
        <v>ΔMS</v>
      </c>
      <c r="P12" s="275">
        <f>IF((T12-U12)-(B12-C12)-SUM(F12:F15)+SUM(G12:G15)-SUM(K12:K15)+SUM(L12:L15)&gt;0,(T12-U12)-(B12-C12)-SUM(F12:F15)+SUM(G12:G15)-SUM(K12:K15)+SUM(L12:L15),0)</f>
        <v>0</v>
      </c>
      <c r="Q12" s="312">
        <f>IF((T12-U12)-(B12-C12)-SUM(F12:F15)+SUM(G12:G15)-SUM(K12:K15)+SUM(L12:L15)&lt;0,-((T12-U12)-(B12-C12)-SUM(F12:F15)+SUM(G12:G15)-SUM(K12:K15)+SUM(L12:L15)),0)</f>
        <v>0</v>
      </c>
      <c r="R12" s="295" t="str">
        <f t="shared" si="0"/>
        <v>ΔMS</v>
      </c>
      <c r="T12" s="283">
        <f>IF(Y12&gt;0,Y12,0)</f>
        <v>0</v>
      </c>
      <c r="U12" s="284">
        <f>IF(Z12&gt;0,Z12,0)</f>
        <v>0</v>
      </c>
      <c r="W12" s="42">
        <f>SUMIF(Journal[DrAccnt],A12,Journal[DrAmt])</f>
        <v>0</v>
      </c>
      <c r="X12" s="42">
        <f>SUMIF(Journal[CrAccnt],A12,Journal[CrAmt])</f>
        <v>0</v>
      </c>
      <c r="Y12" s="252">
        <f>B12-C12+W12-X12</f>
        <v>0</v>
      </c>
      <c r="Z12" s="252">
        <f>C12-B12+X12-W12</f>
        <v>0</v>
      </c>
      <c r="AB12" s="334"/>
      <c r="AC12" s="334"/>
    </row>
    <row r="13" spans="1:29" hidden="1" outlineLevel="1" x14ac:dyDescent="0.2">
      <c r="A13" s="215"/>
      <c r="B13" s="285"/>
      <c r="C13" s="286"/>
      <c r="E13" s="337"/>
      <c r="F13" s="309"/>
      <c r="G13" s="308"/>
      <c r="H13" s="337"/>
      <c r="J13" s="337"/>
      <c r="K13" s="309"/>
      <c r="L13" s="308"/>
      <c r="M13" s="337"/>
      <c r="O13" s="1"/>
      <c r="P13" s="246"/>
      <c r="R13" s="1"/>
      <c r="T13" s="292"/>
      <c r="U13" s="215"/>
      <c r="AB13" s="334"/>
      <c r="AC13" s="334"/>
    </row>
    <row r="14" spans="1:29" hidden="1" outlineLevel="1" x14ac:dyDescent="0.2">
      <c r="A14" s="215"/>
      <c r="B14" s="285"/>
      <c r="C14" s="286"/>
      <c r="E14" s="337"/>
      <c r="F14" s="309"/>
      <c r="G14" s="308"/>
      <c r="H14" s="337"/>
      <c r="J14" s="337"/>
      <c r="K14" s="309"/>
      <c r="L14" s="308"/>
      <c r="M14" s="337"/>
      <c r="O14" s="1"/>
      <c r="P14" s="246"/>
      <c r="R14" s="1"/>
      <c r="T14" s="292"/>
      <c r="U14" s="215"/>
      <c r="AB14" s="334"/>
      <c r="AC14" s="334"/>
    </row>
    <row r="15" spans="1:29" hidden="1" outlineLevel="1" x14ac:dyDescent="0.2">
      <c r="A15" s="294"/>
      <c r="B15" s="287"/>
      <c r="C15" s="288"/>
      <c r="E15" s="337"/>
      <c r="F15" s="326"/>
      <c r="G15" s="327"/>
      <c r="H15" s="337"/>
      <c r="J15" s="337"/>
      <c r="K15" s="326"/>
      <c r="L15" s="327"/>
      <c r="M15" s="337"/>
      <c r="O15" s="1"/>
      <c r="P15" s="251"/>
      <c r="Q15" s="250"/>
      <c r="R15" s="1"/>
      <c r="T15" s="293"/>
      <c r="U15" s="294"/>
      <c r="AB15" s="334"/>
      <c r="AC15" s="334"/>
    </row>
    <row r="16" spans="1:29" collapsed="1" x14ac:dyDescent="0.2">
      <c r="A16" s="279" t="str">
        <f>IFERROR(IF(_xlfn.XLOOKUP(5,Asset[Num],Asset[Name])=0,"",_xlfn.XLOOKUP(5,Asset[Num],Asset[Name])),"")</f>
        <v>Inventories</v>
      </c>
      <c r="B16" s="283">
        <f>IF(_xlfn.XLOOKUP(A16,BegBalSht[Account],BegBalSht[BalType])="Debit",_xlfn.XLOOKUP(A16,BegBalSht[Account],BegBalSht[Amount]),0)</f>
        <v>0</v>
      </c>
      <c r="C16" s="284">
        <f>IF(_xlfn.XLOOKUP(A16,BegBalSht[Account],BegBalSht[BalType])="Credit",-_xlfn.XLOOKUP(A16,BegBalSht[Account],BegBalSht[Amount]),0)</f>
        <v>0</v>
      </c>
      <c r="E16" s="337"/>
      <c r="F16" s="311"/>
      <c r="G16" s="325"/>
      <c r="H16" s="337"/>
      <c r="J16" s="337"/>
      <c r="K16" s="311"/>
      <c r="L16" s="325"/>
      <c r="M16" s="337"/>
      <c r="O16" s="295" t="str">
        <f>IFERROR($V$1&amp;_xlfn.XLOOKUP(Indirect_CFO_Worksheet_Tool!A16,Asset[Name],Asset[Abbr]),"")</f>
        <v>ΔInv</v>
      </c>
      <c r="P16" s="275">
        <f>IF((T16-U16)-(B16-C16)-SUM(F16:F19)+SUM(G16:G19)-SUM(K16:K19)+SUM(L16:L19)&gt;0,(T16-U16)-(B16-C16)-SUM(F16:F19)+SUM(G16:G19)-SUM(K16:K19)+SUM(L16:L19),0)</f>
        <v>0</v>
      </c>
      <c r="Q16" s="312">
        <f>IF((T16-U16)-(B16-C16)-SUM(F16:F19)+SUM(G16:G19)-SUM(K16:K19)+SUM(L16:L19)&lt;0,-((T16-U16)-(B16-C16)-SUM(F16:F19)+SUM(G16:G19)-SUM(K16:K19)+SUM(L16:L19)),0)</f>
        <v>0</v>
      </c>
      <c r="R16" s="295" t="str">
        <f t="shared" si="0"/>
        <v>ΔInv</v>
      </c>
      <c r="T16" s="283">
        <f>IF(Y16&gt;0,Y16,0)</f>
        <v>0</v>
      </c>
      <c r="U16" s="284">
        <f>IF(Z16&gt;0,Z16,0)</f>
        <v>0</v>
      </c>
      <c r="W16" s="42">
        <f>SUMIF(Journal[DrAccnt],A16,Journal[DrAmt])</f>
        <v>0</v>
      </c>
      <c r="X16" s="42">
        <f>SUMIF(Journal[CrAccnt],A16,Journal[CrAmt])</f>
        <v>0</v>
      </c>
      <c r="Y16" s="252">
        <f>B16-C16+W16-X16</f>
        <v>0</v>
      </c>
      <c r="Z16" s="252">
        <f>C16-B16+X16-W16</f>
        <v>0</v>
      </c>
      <c r="AB16" s="334"/>
      <c r="AC16" s="334"/>
    </row>
    <row r="17" spans="1:29" hidden="1" outlineLevel="1" collapsed="1" x14ac:dyDescent="0.2">
      <c r="A17" s="215"/>
      <c r="B17" s="285"/>
      <c r="C17" s="286"/>
      <c r="E17" s="337"/>
      <c r="F17" s="309"/>
      <c r="G17" s="308"/>
      <c r="H17" s="337"/>
      <c r="J17" s="337"/>
      <c r="K17" s="309"/>
      <c r="L17" s="308"/>
      <c r="M17" s="337"/>
      <c r="O17" s="1"/>
      <c r="P17" s="246"/>
      <c r="R17" s="1"/>
      <c r="T17" s="292"/>
      <c r="U17" s="215"/>
      <c r="AB17" s="334"/>
      <c r="AC17" s="334"/>
    </row>
    <row r="18" spans="1:29" hidden="1" outlineLevel="1" x14ac:dyDescent="0.2">
      <c r="A18" s="215"/>
      <c r="B18" s="285"/>
      <c r="C18" s="286"/>
      <c r="E18" s="337"/>
      <c r="F18" s="309"/>
      <c r="G18" s="308"/>
      <c r="H18" s="337"/>
      <c r="J18" s="337"/>
      <c r="K18" s="309"/>
      <c r="L18" s="308"/>
      <c r="M18" s="337"/>
      <c r="O18" s="1"/>
      <c r="P18" s="246"/>
      <c r="R18" s="1"/>
      <c r="T18" s="292"/>
      <c r="U18" s="215"/>
      <c r="AB18" s="334"/>
      <c r="AC18" s="334"/>
    </row>
    <row r="19" spans="1:29" hidden="1" outlineLevel="1" x14ac:dyDescent="0.2">
      <c r="A19" s="294"/>
      <c r="B19" s="287"/>
      <c r="C19" s="288"/>
      <c r="E19" s="337"/>
      <c r="F19" s="326"/>
      <c r="G19" s="327"/>
      <c r="H19" s="337"/>
      <c r="J19" s="337"/>
      <c r="K19" s="326"/>
      <c r="L19" s="327"/>
      <c r="M19" s="337"/>
      <c r="O19" s="1"/>
      <c r="P19" s="251"/>
      <c r="Q19" s="250"/>
      <c r="R19" s="1"/>
      <c r="T19" s="293"/>
      <c r="U19" s="294"/>
      <c r="AB19" s="334"/>
      <c r="AC19" s="334"/>
    </row>
    <row r="20" spans="1:29" collapsed="1" x14ac:dyDescent="0.2">
      <c r="A20" s="279" t="str">
        <f>IFERROR(IF(_xlfn.XLOOKUP(6,Asset[Num],Asset[Name])=0,"",_xlfn.XLOOKUP(6,Asset[Num],Asset[Name])),"")</f>
        <v>Prepaid Expenses</v>
      </c>
      <c r="B20" s="283">
        <f>IF(_xlfn.XLOOKUP(A20,BegBalSht[Account],BegBalSht[BalType])="Debit",_xlfn.XLOOKUP(A20,BegBalSht[Account],BegBalSht[Amount]),0)</f>
        <v>0</v>
      </c>
      <c r="C20" s="284">
        <f>IF(_xlfn.XLOOKUP(A20,BegBalSht[Account],BegBalSht[BalType])="Credit",-_xlfn.XLOOKUP(A20,BegBalSht[Account],BegBalSht[Amount]),0)</f>
        <v>0</v>
      </c>
      <c r="E20" s="337"/>
      <c r="F20" s="311"/>
      <c r="G20" s="325"/>
      <c r="H20" s="337"/>
      <c r="J20" s="337"/>
      <c r="K20" s="311"/>
      <c r="L20" s="325"/>
      <c r="M20" s="337"/>
      <c r="O20" s="295" t="str">
        <f>IFERROR($V$1&amp;_xlfn.XLOOKUP(Indirect_CFO_Worksheet_Tool!A20,Asset[Name],Asset[Abbr]),"")</f>
        <v>ΔPPdE</v>
      </c>
      <c r="P20" s="275">
        <f>IF((T20-U20)-(B20-C20)-SUM(F20:F23)+SUM(G20:G23)-SUM(K20:K23)+SUM(L20:L23)&gt;0,(T20-U20)-(B20-C20)-SUM(F20:F23)+SUM(G20:G23)-SUM(K20:K23)+SUM(L20:L23),0)</f>
        <v>0</v>
      </c>
      <c r="Q20" s="312">
        <f>IF((T20-U20)-(B20-C20)-SUM(F20:F23)+SUM(G20:G23)-SUM(K20:K23)+SUM(L20:L23)&lt;0,-((T20-U20)-(B20-C20)-SUM(F20:F23)+SUM(G20:G23)-SUM(K20:K23)+SUM(L20:L23)),0)</f>
        <v>0</v>
      </c>
      <c r="R20" s="295" t="str">
        <f t="shared" si="0"/>
        <v>ΔPPdE</v>
      </c>
      <c r="T20" s="283">
        <f>IF(Y20&gt;0,Y20,0)</f>
        <v>0</v>
      </c>
      <c r="U20" s="284">
        <f>IF(Z20&gt;0,Z20,0)</f>
        <v>0</v>
      </c>
      <c r="W20" s="42">
        <f>SUMIF(Journal[DrAccnt],A20,Journal[DrAmt])</f>
        <v>0</v>
      </c>
      <c r="X20" s="42">
        <f>SUMIF(Journal[CrAccnt],A20,Journal[CrAmt])</f>
        <v>0</v>
      </c>
      <c r="Y20" s="252">
        <f>B20-C20+W20-X20</f>
        <v>0</v>
      </c>
      <c r="Z20" s="252">
        <f>C20-B20+X20-W20</f>
        <v>0</v>
      </c>
      <c r="AB20" s="334"/>
      <c r="AC20" s="334"/>
    </row>
    <row r="21" spans="1:29" hidden="1" outlineLevel="1" x14ac:dyDescent="0.2">
      <c r="A21" s="215"/>
      <c r="B21" s="285"/>
      <c r="C21" s="286"/>
      <c r="E21" s="337"/>
      <c r="F21" s="309"/>
      <c r="G21" s="308"/>
      <c r="H21" s="337"/>
      <c r="J21" s="337"/>
      <c r="K21" s="309"/>
      <c r="L21" s="308"/>
      <c r="M21" s="337"/>
      <c r="O21" s="1"/>
      <c r="P21" s="246"/>
      <c r="R21" s="1"/>
      <c r="T21" s="292"/>
      <c r="U21" s="215"/>
      <c r="AB21" s="334"/>
      <c r="AC21" s="334"/>
    </row>
    <row r="22" spans="1:29" hidden="1" outlineLevel="1" collapsed="1" x14ac:dyDescent="0.2">
      <c r="A22" s="215"/>
      <c r="B22" s="285"/>
      <c r="C22" s="286"/>
      <c r="E22" s="337"/>
      <c r="F22" s="309"/>
      <c r="G22" s="308"/>
      <c r="H22" s="337"/>
      <c r="J22" s="337"/>
      <c r="K22" s="309"/>
      <c r="L22" s="308"/>
      <c r="M22" s="337"/>
      <c r="O22" s="1"/>
      <c r="P22" s="246"/>
      <c r="R22" s="1"/>
      <c r="T22" s="292"/>
      <c r="U22" s="215"/>
      <c r="AB22" s="334"/>
      <c r="AC22" s="334"/>
    </row>
    <row r="23" spans="1:29" hidden="1" outlineLevel="1" x14ac:dyDescent="0.2">
      <c r="A23" s="294"/>
      <c r="B23" s="287"/>
      <c r="C23" s="288"/>
      <c r="E23" s="337"/>
      <c r="F23" s="326"/>
      <c r="G23" s="327"/>
      <c r="H23" s="337"/>
      <c r="J23" s="337"/>
      <c r="K23" s="326"/>
      <c r="L23" s="327"/>
      <c r="M23" s="337"/>
      <c r="O23" s="1"/>
      <c r="P23" s="251"/>
      <c r="Q23" s="250"/>
      <c r="R23" s="1"/>
      <c r="T23" s="293"/>
      <c r="U23" s="294"/>
      <c r="AB23" s="334"/>
      <c r="AC23" s="334"/>
    </row>
    <row r="24" spans="1:29" collapsed="1" x14ac:dyDescent="0.2">
      <c r="A24" s="279" t="str">
        <f>IFERROR(IF(_xlfn.XLOOKUP(7,Asset[Num],Asset[Name])=0,"",_xlfn.XLOOKUP(7,Asset[Num],Asset[Name])),"")</f>
        <v>Prepaid Rent</v>
      </c>
      <c r="B24" s="283">
        <f>IF(_xlfn.XLOOKUP(A24,BegBalSht[Account],BegBalSht[BalType])="Debit",_xlfn.XLOOKUP(A24,BegBalSht[Account],BegBalSht[Amount]),0)</f>
        <v>0</v>
      </c>
      <c r="C24" s="284">
        <f>IF(_xlfn.XLOOKUP(A24,BegBalSht[Account],BegBalSht[BalType])="Credit",-_xlfn.XLOOKUP(A24,BegBalSht[Account],BegBalSht[Amount]),0)</f>
        <v>0</v>
      </c>
      <c r="E24" s="337"/>
      <c r="F24" s="311"/>
      <c r="G24" s="325"/>
      <c r="H24" s="337"/>
      <c r="J24" s="337"/>
      <c r="K24" s="311"/>
      <c r="L24" s="325"/>
      <c r="M24" s="337"/>
      <c r="O24" s="295" t="str">
        <f>IFERROR($V$1&amp;_xlfn.XLOOKUP(Indirect_CFO_Worksheet_Tool!A24,Asset[Name],Asset[Abbr]),"")</f>
        <v>ΔPPdR</v>
      </c>
      <c r="P24" s="275">
        <f>IF((T24-U24)-(B24-C24)-SUM(F24:F27)+SUM(G24:G27)-SUM(K24:K27)+SUM(L24:L27)&gt;0,(T24-U24)-(B24-C24)-SUM(F24:F27)+SUM(G24:G27)-SUM(K24:K27)+SUM(L24:L27),0)</f>
        <v>0</v>
      </c>
      <c r="Q24" s="312">
        <f>IF((T24-U24)-(B24-C24)-SUM(F24:F27)+SUM(G24:G27)-SUM(K24:K27)+SUM(L24:L27)&lt;0,-((T24-U24)-(B24-C24)-SUM(F24:F27)+SUM(G24:G27)-SUM(K24:K27)+SUM(L24:L27)),0)</f>
        <v>0</v>
      </c>
      <c r="R24" s="295" t="str">
        <f t="shared" si="0"/>
        <v>ΔPPdR</v>
      </c>
      <c r="T24" s="283">
        <f>IF(Y24&gt;0,Y24,0)</f>
        <v>0</v>
      </c>
      <c r="U24" s="284">
        <f>IF(Z24&gt;0,Z24,0)</f>
        <v>0</v>
      </c>
      <c r="W24" s="42">
        <f>SUMIF(Journal[DrAccnt],A24,Journal[DrAmt])</f>
        <v>0</v>
      </c>
      <c r="X24" s="42">
        <f>SUMIF(Journal[CrAccnt],A24,Journal[CrAmt])</f>
        <v>0</v>
      </c>
      <c r="Y24" s="252">
        <f>B24-C24+W24-X24</f>
        <v>0</v>
      </c>
      <c r="Z24" s="252">
        <f>C24-B24+X24-W24</f>
        <v>0</v>
      </c>
      <c r="AB24" s="334"/>
      <c r="AC24" s="334"/>
    </row>
    <row r="25" spans="1:29" hidden="1" outlineLevel="1" x14ac:dyDescent="0.2">
      <c r="A25" s="215"/>
      <c r="B25" s="285"/>
      <c r="C25" s="286"/>
      <c r="E25" s="337"/>
      <c r="F25" s="309"/>
      <c r="G25" s="308"/>
      <c r="H25" s="337"/>
      <c r="J25" s="337"/>
      <c r="K25" s="309"/>
      <c r="L25" s="308"/>
      <c r="M25" s="337"/>
      <c r="O25" s="1"/>
      <c r="P25" s="246"/>
      <c r="R25" s="1"/>
      <c r="T25" s="292"/>
      <c r="U25" s="215"/>
      <c r="AB25" s="334"/>
      <c r="AC25" s="334"/>
    </row>
    <row r="26" spans="1:29" hidden="1" outlineLevel="1" x14ac:dyDescent="0.2">
      <c r="A26" s="215"/>
      <c r="B26" s="285"/>
      <c r="C26" s="286"/>
      <c r="E26" s="337"/>
      <c r="F26" s="309"/>
      <c r="G26" s="308"/>
      <c r="H26" s="337"/>
      <c r="J26" s="337"/>
      <c r="K26" s="309"/>
      <c r="L26" s="308"/>
      <c r="M26" s="337"/>
      <c r="O26" s="1"/>
      <c r="P26" s="246"/>
      <c r="R26" s="1"/>
      <c r="T26" s="292"/>
      <c r="U26" s="215"/>
      <c r="AB26" s="334"/>
      <c r="AC26" s="334"/>
    </row>
    <row r="27" spans="1:29" hidden="1" outlineLevel="1" x14ac:dyDescent="0.2">
      <c r="A27" s="294"/>
      <c r="B27" s="287"/>
      <c r="C27" s="288"/>
      <c r="E27" s="337"/>
      <c r="F27" s="326"/>
      <c r="G27" s="327"/>
      <c r="H27" s="337"/>
      <c r="J27" s="337"/>
      <c r="K27" s="326"/>
      <c r="L27" s="327"/>
      <c r="M27" s="337"/>
      <c r="O27" s="1"/>
      <c r="P27" s="251"/>
      <c r="Q27" s="250"/>
      <c r="R27" s="1"/>
      <c r="T27" s="293"/>
      <c r="U27" s="294"/>
      <c r="AB27" s="334"/>
      <c r="AC27" s="334"/>
    </row>
    <row r="28" spans="1:29" collapsed="1" x14ac:dyDescent="0.2">
      <c r="A28" s="279" t="str">
        <f>IFERROR(IF(_xlfn.XLOOKUP(8,Asset[Num],Asset[Name])=0,"",_xlfn.XLOOKUP(8,Asset[Num],Asset[Name])),"")</f>
        <v>Other Current Assets</v>
      </c>
      <c r="B28" s="283">
        <f>IF(_xlfn.XLOOKUP(A28,BegBalSht[Account],BegBalSht[BalType])="Debit",_xlfn.XLOOKUP(A28,BegBalSht[Account],BegBalSht[Amount]),0)</f>
        <v>0</v>
      </c>
      <c r="C28" s="284">
        <f>IF(_xlfn.XLOOKUP(A28,BegBalSht[Account],BegBalSht[BalType])="Credit",-_xlfn.XLOOKUP(A28,BegBalSht[Account],BegBalSht[Amount]),0)</f>
        <v>0</v>
      </c>
      <c r="E28" s="337"/>
      <c r="F28" s="311"/>
      <c r="G28" s="325"/>
      <c r="H28" s="337"/>
      <c r="J28" s="337"/>
      <c r="K28" s="311"/>
      <c r="L28" s="325"/>
      <c r="M28" s="337"/>
      <c r="O28" s="295" t="str">
        <f>IFERROR($V$1&amp;_xlfn.XLOOKUP(Indirect_CFO_Worksheet_Tool!A28,Asset[Name],Asset[Abbr]),"")</f>
        <v>ΔOCA</v>
      </c>
      <c r="P28" s="275">
        <f>IF((T28-U28)-(B28-C28)-SUM(F28:F31)+SUM(G28:G31)-SUM(K28:K31)+SUM(L28:L31)&gt;0,(T28-U28)-(B28-C28)-SUM(F28:F31)+SUM(G28:G31)-SUM(K28:K31)+SUM(L28:L31),0)</f>
        <v>0</v>
      </c>
      <c r="Q28" s="312">
        <f>IF((T28-U28)-(B28-C28)-SUM(F28:F31)+SUM(G28:G31)-SUM(K28:K31)+SUM(L28:L31)&lt;0,-((T28-U28)-(B28-C28)-SUM(F28:F31)+SUM(G28:G31)-SUM(K28:K31)+SUM(L28:L31)),0)</f>
        <v>0</v>
      </c>
      <c r="R28" s="295" t="str">
        <f t="shared" si="0"/>
        <v>ΔOCA</v>
      </c>
      <c r="T28" s="283">
        <f>IF(Y28&gt;0,Y28,0)</f>
        <v>0</v>
      </c>
      <c r="U28" s="284">
        <f>IF(Z28&gt;0,Z28,0)</f>
        <v>0</v>
      </c>
      <c r="W28" s="42">
        <f>SUMIF(Journal[DrAccnt],A28,Journal[DrAmt])</f>
        <v>0</v>
      </c>
      <c r="X28" s="42">
        <f>SUMIF(Journal[CrAccnt],A28,Journal[CrAmt])</f>
        <v>0</v>
      </c>
      <c r="Y28" s="252">
        <f>B28-C28+W28-X28</f>
        <v>0</v>
      </c>
      <c r="Z28" s="252">
        <f>C28-B28+X28-W28</f>
        <v>0</v>
      </c>
      <c r="AB28" s="334"/>
      <c r="AC28" s="334"/>
    </row>
    <row r="29" spans="1:29" hidden="1" outlineLevel="1" collapsed="1" x14ac:dyDescent="0.2">
      <c r="A29" s="215"/>
      <c r="B29" s="285"/>
      <c r="C29" s="286"/>
      <c r="E29" s="337"/>
      <c r="F29" s="309"/>
      <c r="G29" s="308"/>
      <c r="H29" s="337"/>
      <c r="J29" s="337"/>
      <c r="K29" s="309"/>
      <c r="L29" s="308"/>
      <c r="M29" s="337"/>
      <c r="O29" s="1"/>
      <c r="P29" s="246"/>
      <c r="R29" s="1"/>
      <c r="T29" s="292"/>
      <c r="U29" s="215"/>
      <c r="AB29" s="334"/>
      <c r="AC29" s="334"/>
    </row>
    <row r="30" spans="1:29" hidden="1" outlineLevel="1" x14ac:dyDescent="0.2">
      <c r="A30" s="215"/>
      <c r="B30" s="285"/>
      <c r="C30" s="286"/>
      <c r="E30" s="337"/>
      <c r="F30" s="309"/>
      <c r="G30" s="308"/>
      <c r="H30" s="337"/>
      <c r="J30" s="337"/>
      <c r="K30" s="309"/>
      <c r="L30" s="308"/>
      <c r="M30" s="337"/>
      <c r="O30" s="1"/>
      <c r="P30" s="246"/>
      <c r="R30" s="1"/>
      <c r="T30" s="292"/>
      <c r="U30" s="215"/>
      <c r="AB30" s="334"/>
      <c r="AC30" s="334"/>
    </row>
    <row r="31" spans="1:29" hidden="1" outlineLevel="1" x14ac:dyDescent="0.2">
      <c r="A31" s="294"/>
      <c r="B31" s="287"/>
      <c r="C31" s="288"/>
      <c r="E31" s="337"/>
      <c r="F31" s="326"/>
      <c r="G31" s="327"/>
      <c r="H31" s="337"/>
      <c r="J31" s="337"/>
      <c r="K31" s="326"/>
      <c r="L31" s="327"/>
      <c r="M31" s="337"/>
      <c r="O31" s="1"/>
      <c r="P31" s="251"/>
      <c r="Q31" s="250"/>
      <c r="R31" s="1"/>
      <c r="T31" s="293"/>
      <c r="U31" s="294"/>
      <c r="AB31" s="334"/>
      <c r="AC31" s="334"/>
    </row>
    <row r="32" spans="1:29" collapsed="1" x14ac:dyDescent="0.2">
      <c r="A32" s="279" t="str">
        <f>IFERROR(IF(_xlfn.XLOOKUP(9,Asset[Num],Asset[Name])=0,"",_xlfn.XLOOKUP(9,Asset[Num],Asset[Name])),"")</f>
        <v>Property, Plant &amp; Equipment</v>
      </c>
      <c r="B32" s="283">
        <f>IF(_xlfn.XLOOKUP(A32,BegBalSht[Account],BegBalSht[BalType])="Debit",_xlfn.XLOOKUP(A32,BegBalSht[Account],BegBalSht[Amount]),0)</f>
        <v>0</v>
      </c>
      <c r="C32" s="284">
        <f>IF(_xlfn.XLOOKUP(A32,BegBalSht[Account],BegBalSht[BalType])="Credit",-_xlfn.XLOOKUP(A32,BegBalSht[Account],BegBalSht[Amount]),0)</f>
        <v>0</v>
      </c>
      <c r="E32" s="337"/>
      <c r="F32" s="311"/>
      <c r="G32" s="325"/>
      <c r="H32" s="337"/>
      <c r="J32" s="337"/>
      <c r="K32" s="311"/>
      <c r="L32" s="325"/>
      <c r="M32" s="337"/>
      <c r="O32" s="295" t="str">
        <f>IFERROR($V$1&amp;_xlfn.XLOOKUP(Indirect_CFO_Worksheet_Tool!A32,Asset[Name],Asset[Abbr]),"")</f>
        <v>ΔPPE</v>
      </c>
      <c r="P32" s="275">
        <f>IF((T32-U32)-(B32-C32)-SUM(F32:F35)+SUM(G32:G35)-SUM(K32:K35)+SUM(L32:L35)&gt;0,(T32-U32)-(B32-C32)-SUM(F32:F35)+SUM(G32:G35)-SUM(K32:K35)+SUM(L32:L35),0)</f>
        <v>0</v>
      </c>
      <c r="Q32" s="312">
        <f>IF((T32-U32)-(B32-C32)-SUM(F32:F35)+SUM(G32:G35)-SUM(K32:K35)+SUM(L32:L35)&lt;0,-((T32-U32)-(B32-C32)-SUM(F32:F35)+SUM(G32:G35)-SUM(K32:K35)+SUM(L32:L35)),0)</f>
        <v>0</v>
      </c>
      <c r="R32" s="295" t="str">
        <f t="shared" si="0"/>
        <v>ΔPPE</v>
      </c>
      <c r="T32" s="283">
        <f>IF(Y32&gt;0,Y32,0)</f>
        <v>0</v>
      </c>
      <c r="U32" s="284">
        <f>IF(Z32&gt;0,Z32,0)</f>
        <v>0</v>
      </c>
      <c r="W32" s="42">
        <f>SUMIF(Journal[DrAccnt],A32,Journal[DrAmt])</f>
        <v>0</v>
      </c>
      <c r="X32" s="42">
        <f>SUMIF(Journal[CrAccnt],A32,Journal[CrAmt])</f>
        <v>0</v>
      </c>
      <c r="Y32" s="252">
        <f>B32-C32+W32-X32</f>
        <v>0</v>
      </c>
      <c r="Z32" s="252">
        <f>C32-B32+X32-W32</f>
        <v>0</v>
      </c>
      <c r="AB32" s="334"/>
      <c r="AC32" s="334"/>
    </row>
    <row r="33" spans="1:29" hidden="1" outlineLevel="1" collapsed="1" x14ac:dyDescent="0.2">
      <c r="A33" s="215"/>
      <c r="B33" s="285"/>
      <c r="C33" s="286"/>
      <c r="E33" s="337"/>
      <c r="F33" s="309"/>
      <c r="G33" s="308"/>
      <c r="H33" s="337"/>
      <c r="J33" s="337"/>
      <c r="K33" s="309"/>
      <c r="L33" s="308"/>
      <c r="M33" s="337"/>
      <c r="O33" s="1"/>
      <c r="P33" s="246"/>
      <c r="R33" s="1"/>
      <c r="T33" s="292"/>
      <c r="U33" s="215"/>
      <c r="AB33" s="334"/>
      <c r="AC33" s="334"/>
    </row>
    <row r="34" spans="1:29" hidden="1" outlineLevel="1" x14ac:dyDescent="0.2">
      <c r="A34" s="215"/>
      <c r="B34" s="285"/>
      <c r="C34" s="286"/>
      <c r="E34" s="337"/>
      <c r="F34" s="309"/>
      <c r="G34" s="308"/>
      <c r="H34" s="337"/>
      <c r="J34" s="337"/>
      <c r="K34" s="309"/>
      <c r="L34" s="308"/>
      <c r="M34" s="337"/>
      <c r="O34" s="1"/>
      <c r="P34" s="246"/>
      <c r="R34" s="1"/>
      <c r="T34" s="292"/>
      <c r="U34" s="215"/>
      <c r="AB34" s="334"/>
      <c r="AC34" s="334"/>
    </row>
    <row r="35" spans="1:29" hidden="1" outlineLevel="1" x14ac:dyDescent="0.2">
      <c r="A35" s="294"/>
      <c r="B35" s="287"/>
      <c r="C35" s="288"/>
      <c r="E35" s="337"/>
      <c r="F35" s="326"/>
      <c r="G35" s="327"/>
      <c r="H35" s="337"/>
      <c r="J35" s="337"/>
      <c r="K35" s="326"/>
      <c r="L35" s="327"/>
      <c r="M35" s="337"/>
      <c r="O35" s="1"/>
      <c r="P35" s="251"/>
      <c r="Q35" s="250"/>
      <c r="R35" s="1"/>
      <c r="T35" s="293"/>
      <c r="U35" s="294"/>
      <c r="AB35" s="334"/>
      <c r="AC35" s="334"/>
    </row>
    <row r="36" spans="1:29" collapsed="1" x14ac:dyDescent="0.2">
      <c r="A36" s="279" t="str">
        <f>IFERROR(IF(_xlfn.XLOOKUP(10,Asset[Num],Asset[Name])=0,"",_xlfn.XLOOKUP(10,Asset[Num],Asset[Name])),"")</f>
        <v>Accumulated Depreciation</v>
      </c>
      <c r="B36" s="283">
        <f>IF(_xlfn.XLOOKUP(A36,BegBalSht[Account],BegBalSht[BalType])="Debit",_xlfn.XLOOKUP(A36,BegBalSht[Account],BegBalSht[Amount]),0)</f>
        <v>0</v>
      </c>
      <c r="C36" s="284">
        <f>IF(_xlfn.XLOOKUP(A36,BegBalSht[Account],BegBalSht[BalType])="Credit",-_xlfn.XLOOKUP(A36,BegBalSht[Account],BegBalSht[Amount]),0)</f>
        <v>0</v>
      </c>
      <c r="E36" s="337"/>
      <c r="F36" s="311"/>
      <c r="G36" s="325"/>
      <c r="H36" s="337"/>
      <c r="J36" s="337"/>
      <c r="K36" s="311"/>
      <c r="L36" s="325"/>
      <c r="M36" s="337"/>
      <c r="O36" s="295" t="str">
        <f>IFERROR($V$1&amp;_xlfn.XLOOKUP(Indirect_CFO_Worksheet_Tool!A36,Asset[Name],Asset[Abbr]),"")</f>
        <v>ΔAccDepr</v>
      </c>
      <c r="P36" s="275">
        <f>IF((T36-U36)-(B36-C36)-SUM(F36:F39)+SUM(G36:G39)-SUM(K36:K39)+SUM(L36:L39)&gt;0,(T36-U36)-(B36-C36)-SUM(F36:F39)+SUM(G36:G39)-SUM(K36:K39)+SUM(L36:L39),0)</f>
        <v>0</v>
      </c>
      <c r="Q36" s="312">
        <f>IF((T36-U36)-(B36-C36)-SUM(F36:F39)+SUM(G36:G39)-SUM(K36:K39)+SUM(L36:L39)&lt;0,-((T36-U36)-(B36-C36)-SUM(F36:F39)+SUM(G36:G39)-SUM(K36:K39)+SUM(L36:L39)),0)</f>
        <v>0</v>
      </c>
      <c r="R36" s="295" t="str">
        <f t="shared" si="0"/>
        <v>ΔAccDepr</v>
      </c>
      <c r="T36" s="283">
        <f>IF(Y36&gt;0,Y36,0)</f>
        <v>0</v>
      </c>
      <c r="U36" s="284">
        <f>IF(Z36&gt;0,Z36,0)</f>
        <v>0</v>
      </c>
      <c r="W36" s="42">
        <f>SUMIF(Journal[DrAccnt],A36,Journal[DrAmt])</f>
        <v>0</v>
      </c>
      <c r="X36" s="42">
        <f>SUMIF(Journal[CrAccnt],A36,Journal[CrAmt])</f>
        <v>0</v>
      </c>
      <c r="Y36" s="252">
        <f>B36-C36+W36-X36</f>
        <v>0</v>
      </c>
      <c r="Z36" s="252">
        <f>C36-B36+X36-W36</f>
        <v>0</v>
      </c>
      <c r="AB36" s="334"/>
      <c r="AC36" s="334"/>
    </row>
    <row r="37" spans="1:29" hidden="1" outlineLevel="1" collapsed="1" x14ac:dyDescent="0.2">
      <c r="A37" s="215"/>
      <c r="B37" s="285"/>
      <c r="C37" s="286"/>
      <c r="E37" s="337"/>
      <c r="F37" s="309"/>
      <c r="G37" s="308"/>
      <c r="H37" s="337"/>
      <c r="J37" s="337"/>
      <c r="K37" s="309"/>
      <c r="L37" s="308"/>
      <c r="M37" s="337"/>
      <c r="O37" s="1"/>
      <c r="P37" s="246"/>
      <c r="R37" s="1"/>
      <c r="T37" s="292"/>
      <c r="U37" s="215"/>
      <c r="AB37" s="334"/>
      <c r="AC37" s="334"/>
    </row>
    <row r="38" spans="1:29" hidden="1" outlineLevel="1" x14ac:dyDescent="0.2">
      <c r="A38" s="215"/>
      <c r="B38" s="285"/>
      <c r="C38" s="286"/>
      <c r="E38" s="337"/>
      <c r="F38" s="309"/>
      <c r="G38" s="308"/>
      <c r="H38" s="337"/>
      <c r="J38" s="337"/>
      <c r="K38" s="309"/>
      <c r="L38" s="308"/>
      <c r="M38" s="337"/>
      <c r="O38" s="1"/>
      <c r="P38" s="246"/>
      <c r="R38" s="1"/>
      <c r="T38" s="292"/>
      <c r="U38" s="215"/>
      <c r="AB38" s="334"/>
      <c r="AC38" s="334"/>
    </row>
    <row r="39" spans="1:29" hidden="1" outlineLevel="1" x14ac:dyDescent="0.2">
      <c r="A39" s="294"/>
      <c r="B39" s="287"/>
      <c r="C39" s="288"/>
      <c r="E39" s="337"/>
      <c r="F39" s="326"/>
      <c r="G39" s="327"/>
      <c r="H39" s="337"/>
      <c r="J39" s="337"/>
      <c r="K39" s="326"/>
      <c r="L39" s="327"/>
      <c r="M39" s="337"/>
      <c r="O39" s="1"/>
      <c r="P39" s="251"/>
      <c r="Q39" s="250"/>
      <c r="R39" s="1"/>
      <c r="T39" s="293"/>
      <c r="U39" s="294"/>
      <c r="AB39" s="334"/>
      <c r="AC39" s="334"/>
    </row>
    <row r="40" spans="1:29" collapsed="1" x14ac:dyDescent="0.2">
      <c r="A40" s="279" t="str">
        <f>IFERROR(IF(_xlfn.XLOOKUP(11,Asset[Num],Asset[Name])=0,"",_xlfn.XLOOKUP(11,Asset[Num],Asset[Name])),"")</f>
        <v>Intangibles</v>
      </c>
      <c r="B40" s="283">
        <f>IF(_xlfn.XLOOKUP(A40,BegBalSht[Account],BegBalSht[BalType])="Debit",_xlfn.XLOOKUP(A40,BegBalSht[Account],BegBalSht[Amount]),0)</f>
        <v>0</v>
      </c>
      <c r="C40" s="284">
        <f>IF(_xlfn.XLOOKUP(A40,BegBalSht[Account],BegBalSht[BalType])="Credit",-_xlfn.XLOOKUP(A40,BegBalSht[Account],BegBalSht[Amount]),0)</f>
        <v>0</v>
      </c>
      <c r="E40" s="337"/>
      <c r="F40" s="311"/>
      <c r="G40" s="325"/>
      <c r="H40" s="337"/>
      <c r="J40" s="337"/>
      <c r="K40" s="311"/>
      <c r="L40" s="325"/>
      <c r="M40" s="337"/>
      <c r="O40" s="295" t="str">
        <f>IFERROR($V$1&amp;_xlfn.XLOOKUP(Indirect_CFO_Worksheet_Tool!A40,Asset[Name],Asset[Abbr]),"")</f>
        <v>ΔIntang</v>
      </c>
      <c r="P40" s="275">
        <f>IF((T40-U40)-(B40-C40)-SUM(F40:F43)+SUM(G40:G43)-SUM(K40:K43)+SUM(L40:L43)&gt;0,(T40-U40)-(B40-C40)-SUM(F40:F43)+SUM(G40:G43)-SUM(K40:K43)+SUM(L40:L43),0)</f>
        <v>0</v>
      </c>
      <c r="Q40" s="312">
        <f>IF((T40-U40)-(B40-C40)-SUM(F40:F43)+SUM(G40:G43)-SUM(K40:K43)+SUM(L40:L43)&lt;0,-((T40-U40)-(B40-C40)-SUM(F40:F43)+SUM(G40:G43)-SUM(K40:K43)+SUM(L40:L43)),0)</f>
        <v>0</v>
      </c>
      <c r="R40" s="295" t="str">
        <f t="shared" si="0"/>
        <v>ΔIntang</v>
      </c>
      <c r="T40" s="283">
        <f>IF(Y40&gt;0,Y40,0)</f>
        <v>0</v>
      </c>
      <c r="U40" s="284">
        <f>IF(Z40&gt;0,Z40,0)</f>
        <v>0</v>
      </c>
      <c r="W40" s="42">
        <f>SUMIF(Journal[DrAccnt],A40,Journal[DrAmt])</f>
        <v>0</v>
      </c>
      <c r="X40" s="42">
        <f>SUMIF(Journal[CrAccnt],A40,Journal[CrAmt])</f>
        <v>0</v>
      </c>
      <c r="Y40" s="252">
        <f>B40-C40+W40-X40</f>
        <v>0</v>
      </c>
      <c r="Z40" s="252">
        <f>C40-B40+X40-W40</f>
        <v>0</v>
      </c>
      <c r="AB40" s="334"/>
      <c r="AC40" s="334"/>
    </row>
    <row r="41" spans="1:29" hidden="1" outlineLevel="1" collapsed="1" x14ac:dyDescent="0.2">
      <c r="A41" s="215"/>
      <c r="B41" s="285"/>
      <c r="C41" s="286"/>
      <c r="E41" s="337"/>
      <c r="F41" s="309"/>
      <c r="G41" s="308"/>
      <c r="H41" s="337"/>
      <c r="J41" s="337"/>
      <c r="K41" s="309"/>
      <c r="L41" s="308"/>
      <c r="M41" s="337"/>
      <c r="O41" s="1"/>
      <c r="P41" s="246"/>
      <c r="R41" s="1"/>
      <c r="T41" s="292"/>
      <c r="U41" s="215"/>
      <c r="AB41" s="334"/>
      <c r="AC41" s="334"/>
    </row>
    <row r="42" spans="1:29" hidden="1" outlineLevel="1" x14ac:dyDescent="0.2">
      <c r="A42" s="215"/>
      <c r="B42" s="285"/>
      <c r="C42" s="286"/>
      <c r="E42" s="337"/>
      <c r="F42" s="309"/>
      <c r="G42" s="308"/>
      <c r="H42" s="337"/>
      <c r="J42" s="337"/>
      <c r="K42" s="309"/>
      <c r="L42" s="308"/>
      <c r="M42" s="337"/>
      <c r="O42" s="1"/>
      <c r="P42" s="246"/>
      <c r="R42" s="1"/>
      <c r="T42" s="292"/>
      <c r="U42" s="215"/>
      <c r="AB42" s="334"/>
      <c r="AC42" s="334"/>
    </row>
    <row r="43" spans="1:29" hidden="1" outlineLevel="1" x14ac:dyDescent="0.2">
      <c r="A43" s="294"/>
      <c r="B43" s="287"/>
      <c r="C43" s="288"/>
      <c r="E43" s="337"/>
      <c r="F43" s="326"/>
      <c r="G43" s="327"/>
      <c r="H43" s="337"/>
      <c r="J43" s="337"/>
      <c r="K43" s="326"/>
      <c r="L43" s="327"/>
      <c r="M43" s="337"/>
      <c r="O43" s="1"/>
      <c r="P43" s="251"/>
      <c r="Q43" s="250"/>
      <c r="R43" s="1"/>
      <c r="T43" s="293"/>
      <c r="U43" s="294"/>
      <c r="AB43" s="334"/>
      <c r="AC43" s="334"/>
    </row>
    <row r="44" spans="1:29" collapsed="1" x14ac:dyDescent="0.2">
      <c r="A44" s="279" t="str">
        <f>IFERROR(IF(_xlfn.XLOOKUP(12,Asset[Num],Asset[Name])=0,"",_xlfn.XLOOKUP(12,Asset[Num],Asset[Name])),"")</f>
        <v>Goodwill</v>
      </c>
      <c r="B44" s="283">
        <f>IF(_xlfn.XLOOKUP(A44,BegBalSht[Account],BegBalSht[BalType])="Debit",_xlfn.XLOOKUP(A44,BegBalSht[Account],BegBalSht[Amount]),0)</f>
        <v>0</v>
      </c>
      <c r="C44" s="284">
        <f>IF(_xlfn.XLOOKUP(A44,BegBalSht[Account],BegBalSht[BalType])="Credit",-_xlfn.XLOOKUP(A44,BegBalSht[Account],BegBalSht[Amount]),0)</f>
        <v>0</v>
      </c>
      <c r="E44" s="337"/>
      <c r="F44" s="311"/>
      <c r="G44" s="325"/>
      <c r="H44" s="337"/>
      <c r="J44" s="337"/>
      <c r="K44" s="311"/>
      <c r="L44" s="325"/>
      <c r="M44" s="337"/>
      <c r="O44" s="295" t="str">
        <f>IFERROR($V$1&amp;_xlfn.XLOOKUP(Indirect_CFO_Worksheet_Tool!A44,Asset[Name],Asset[Abbr]),"")</f>
        <v>ΔGdwll</v>
      </c>
      <c r="P44" s="275">
        <f>IF((T44-U44)-(B44-C44)-SUM(F44:F47)+SUM(G44:G47)-SUM(K44:K47)+SUM(L44:L47)&gt;0,(T44-U44)-(B44-C44)-SUM(F44:F47)+SUM(G44:G47)-SUM(K44:K47)+SUM(L44:L47),0)</f>
        <v>0</v>
      </c>
      <c r="Q44" s="312">
        <f>IF((T44-U44)-(B44-C44)-SUM(F44:F47)+SUM(G44:G47)-SUM(K44:K47)+SUM(L44:L47)&lt;0,-((T44-U44)-(B44-C44)-SUM(F44:F47)+SUM(G44:G47)-SUM(K44:K47)+SUM(L44:L47)),0)</f>
        <v>0</v>
      </c>
      <c r="R44" s="295" t="str">
        <f t="shared" si="0"/>
        <v>ΔGdwll</v>
      </c>
      <c r="T44" s="283">
        <f>IF(Y44&gt;0,Y44,0)</f>
        <v>0</v>
      </c>
      <c r="U44" s="284">
        <f>IF(Z44&gt;0,Z44,0)</f>
        <v>0</v>
      </c>
      <c r="W44" s="42">
        <f>SUMIF(Journal[DrAccnt],A44,Journal[DrAmt])</f>
        <v>0</v>
      </c>
      <c r="X44" s="42">
        <f>SUMIF(Journal[CrAccnt],A44,Journal[CrAmt])</f>
        <v>0</v>
      </c>
      <c r="Y44" s="252">
        <f>B44-C44+W44-X44</f>
        <v>0</v>
      </c>
      <c r="Z44" s="252">
        <f>C44-B44+X44-W44</f>
        <v>0</v>
      </c>
      <c r="AB44" s="334"/>
      <c r="AC44" s="334"/>
    </row>
    <row r="45" spans="1:29" hidden="1" outlineLevel="1" collapsed="1" x14ac:dyDescent="0.2">
      <c r="A45" s="215"/>
      <c r="B45" s="285"/>
      <c r="C45" s="286"/>
      <c r="E45" s="337"/>
      <c r="F45" s="309"/>
      <c r="G45" s="308"/>
      <c r="H45" s="337"/>
      <c r="J45" s="337"/>
      <c r="K45" s="309"/>
      <c r="L45" s="308"/>
      <c r="M45" s="337"/>
      <c r="O45" s="1"/>
      <c r="P45" s="246"/>
      <c r="R45" s="1"/>
      <c r="T45" s="292"/>
      <c r="U45" s="215"/>
      <c r="AB45" s="334"/>
      <c r="AC45" s="334"/>
    </row>
    <row r="46" spans="1:29" hidden="1" outlineLevel="1" x14ac:dyDescent="0.2">
      <c r="A46" s="215"/>
      <c r="B46" s="285"/>
      <c r="C46" s="286"/>
      <c r="E46" s="337"/>
      <c r="F46" s="309"/>
      <c r="G46" s="308"/>
      <c r="H46" s="337"/>
      <c r="J46" s="337"/>
      <c r="K46" s="309"/>
      <c r="L46" s="308"/>
      <c r="M46" s="337"/>
      <c r="O46" s="1"/>
      <c r="P46" s="246"/>
      <c r="R46" s="1"/>
      <c r="T46" s="292"/>
      <c r="U46" s="215"/>
      <c r="AB46" s="334"/>
      <c r="AC46" s="334"/>
    </row>
    <row r="47" spans="1:29" hidden="1" outlineLevel="1" x14ac:dyDescent="0.2">
      <c r="A47" s="294"/>
      <c r="B47" s="287"/>
      <c r="C47" s="288"/>
      <c r="E47" s="337"/>
      <c r="F47" s="326"/>
      <c r="G47" s="327"/>
      <c r="H47" s="337"/>
      <c r="J47" s="337"/>
      <c r="K47" s="326"/>
      <c r="L47" s="327"/>
      <c r="M47" s="337"/>
      <c r="O47" s="1"/>
      <c r="P47" s="251"/>
      <c r="Q47" s="250"/>
      <c r="R47" s="1"/>
      <c r="T47" s="293"/>
      <c r="U47" s="294"/>
      <c r="AB47" s="334"/>
      <c r="AC47" s="334"/>
    </row>
    <row r="48" spans="1:29" collapsed="1" x14ac:dyDescent="0.2">
      <c r="A48" s="279" t="str">
        <f>IFERROR(IF(_xlfn.XLOOKUP(13,Asset[Num],Asset[Name])=0,"",_xlfn.XLOOKUP(13,Asset[Num],Asset[Name])),"")</f>
        <v>Other Noncurrent Assets</v>
      </c>
      <c r="B48" s="283">
        <f>IF(_xlfn.XLOOKUP(A48,BegBalSht[Account],BegBalSht[BalType])="Debit",_xlfn.XLOOKUP(A48,BegBalSht[Account],BegBalSht[Amount]),0)</f>
        <v>0</v>
      </c>
      <c r="C48" s="284">
        <f>IF(_xlfn.XLOOKUP(A48,BegBalSht[Account],BegBalSht[BalType])="Credit",-_xlfn.XLOOKUP(A48,BegBalSht[Account],BegBalSht[Amount]),0)</f>
        <v>0</v>
      </c>
      <c r="E48" s="337"/>
      <c r="F48" s="311"/>
      <c r="G48" s="325"/>
      <c r="H48" s="337"/>
      <c r="J48" s="337"/>
      <c r="K48" s="311"/>
      <c r="L48" s="325"/>
      <c r="M48" s="337"/>
      <c r="O48" s="295" t="str">
        <f>IFERROR($V$1&amp;_xlfn.XLOOKUP(Indirect_CFO_Worksheet_Tool!A48,Asset[Name],Asset[Abbr]),"")</f>
        <v>ΔONCA</v>
      </c>
      <c r="P48" s="275">
        <f>IF((T48-U48)-(B48-C48)-SUM(F48:F51)+SUM(G48:G51)-SUM(K48:K51)+SUM(L48:L51)&gt;0,(T48-U48)-(B48-C48)-SUM(F48:F51)+SUM(G48:G51)-SUM(K48:K51)+SUM(L48:L51),0)</f>
        <v>0</v>
      </c>
      <c r="Q48" s="312">
        <f>IF((T48-U48)-(B48-C48)-SUM(F48:F51)+SUM(G48:G51)-SUM(K48:K51)+SUM(L48:L51)&lt;0,-((T48-U48)-(B48-C48)-SUM(F48:F51)+SUM(G48:G51)-SUM(K48:K51)+SUM(L48:L51)),0)</f>
        <v>0</v>
      </c>
      <c r="R48" s="295" t="str">
        <f t="shared" ref="R48" si="1">O48</f>
        <v>ΔONCA</v>
      </c>
      <c r="T48" s="283">
        <f>IF(Y48&gt;0,Y48,0)</f>
        <v>0</v>
      </c>
      <c r="U48" s="284">
        <f>IF(Z48&gt;0,Z48,0)</f>
        <v>0</v>
      </c>
      <c r="W48" s="42">
        <f>SUMIF(Journal[DrAccnt],A48,Journal[DrAmt])</f>
        <v>0</v>
      </c>
      <c r="X48" s="42">
        <f>SUMIF(Journal[CrAccnt],A48,Journal[CrAmt])</f>
        <v>0</v>
      </c>
      <c r="Y48" s="252">
        <f>B48-C48+W48-X48</f>
        <v>0</v>
      </c>
      <c r="Z48" s="252">
        <f>C48-B48+X48-W48</f>
        <v>0</v>
      </c>
      <c r="AB48" s="334"/>
      <c r="AC48" s="334"/>
    </row>
    <row r="49" spans="1:29" hidden="1" outlineLevel="1" collapsed="1" x14ac:dyDescent="0.2">
      <c r="A49" s="215"/>
      <c r="B49" s="285"/>
      <c r="C49" s="286"/>
      <c r="E49" s="337"/>
      <c r="F49" s="309"/>
      <c r="G49" s="308"/>
      <c r="H49" s="337"/>
      <c r="J49" s="337"/>
      <c r="K49" s="309"/>
      <c r="L49" s="308"/>
      <c r="M49" s="337"/>
      <c r="O49" s="1"/>
      <c r="P49" s="246"/>
      <c r="R49" s="1"/>
      <c r="T49" s="292"/>
      <c r="U49" s="215"/>
      <c r="AB49" s="334"/>
      <c r="AC49" s="334"/>
    </row>
    <row r="50" spans="1:29" hidden="1" outlineLevel="1" x14ac:dyDescent="0.2">
      <c r="A50" s="215"/>
      <c r="B50" s="285"/>
      <c r="C50" s="286"/>
      <c r="E50" s="337"/>
      <c r="F50" s="309"/>
      <c r="G50" s="308"/>
      <c r="H50" s="337"/>
      <c r="J50" s="337"/>
      <c r="K50" s="309"/>
      <c r="L50" s="308"/>
      <c r="M50" s="337"/>
      <c r="O50" s="1"/>
      <c r="P50" s="246"/>
      <c r="R50" s="1"/>
      <c r="T50" s="292"/>
      <c r="U50" s="215"/>
      <c r="AB50" s="334"/>
      <c r="AC50" s="334"/>
    </row>
    <row r="51" spans="1:29" hidden="1" outlineLevel="1" x14ac:dyDescent="0.2">
      <c r="A51" s="294"/>
      <c r="B51" s="287"/>
      <c r="C51" s="288"/>
      <c r="E51" s="337"/>
      <c r="F51" s="326"/>
      <c r="G51" s="327"/>
      <c r="H51" s="337"/>
      <c r="J51" s="337"/>
      <c r="K51" s="326"/>
      <c r="L51" s="327"/>
      <c r="M51" s="337"/>
      <c r="O51" s="1"/>
      <c r="P51" s="251"/>
      <c r="Q51" s="250"/>
      <c r="R51" s="1"/>
      <c r="T51" s="293"/>
      <c r="U51" s="294"/>
      <c r="AB51" s="334"/>
      <c r="AC51" s="334"/>
    </row>
    <row r="52" spans="1:29" collapsed="1" x14ac:dyDescent="0.2">
      <c r="A52" s="279" t="str">
        <f>IFERROR(IF(_xlfn.XLOOKUP(14,Asset[Num],Asset[Name])=0,"",_xlfn.XLOOKUP(14,Asset[Num],Asset[Name])),"")</f>
        <v>Deferred Tax Assets</v>
      </c>
      <c r="B52" s="283">
        <f>IF(_xlfn.XLOOKUP(A52,BegBalSht[Account],BegBalSht[BalType])="Debit",_xlfn.XLOOKUP(A52,BegBalSht[Account],BegBalSht[Amount]),0)</f>
        <v>0</v>
      </c>
      <c r="C52" s="284">
        <f>IF(_xlfn.XLOOKUP(A52,BegBalSht[Account],BegBalSht[BalType])="Credit",-_xlfn.XLOOKUP(A52,BegBalSht[Account],BegBalSht[Amount]),0)</f>
        <v>0</v>
      </c>
      <c r="E52" s="337"/>
      <c r="F52" s="311"/>
      <c r="G52" s="325"/>
      <c r="H52" s="337"/>
      <c r="J52" s="337"/>
      <c r="K52" s="311"/>
      <c r="L52" s="325"/>
      <c r="M52" s="337"/>
      <c r="O52" s="295" t="str">
        <f>IFERROR($V$1&amp;_xlfn.XLOOKUP(Indirect_CFO_Worksheet_Tool!A52,Asset[Name],Asset[Abbr]),"")</f>
        <v>ΔDefTxA</v>
      </c>
      <c r="P52" s="275">
        <f>IF((T52-U52)-(B52-C52)-SUM(F52:F55)+SUM(G52:G55)-SUM(K52:K55)+SUM(L52:L55)&gt;0,(T52-U52)-(B52-C52)-SUM(F52:F55)+SUM(G52:G55)-SUM(K52:K55)+SUM(L52:L55),0)</f>
        <v>0</v>
      </c>
      <c r="Q52" s="312">
        <f>IF((T52-U52)-(B52-C52)-SUM(F52:F55)+SUM(G52:G55)-SUM(K52:K55)+SUM(L52:L55)&lt;0,-((T52-U52)-(B52-C52)-SUM(F52:F55)+SUM(G52:G55)-SUM(K52:K55)+SUM(L52:L55)),0)</f>
        <v>0</v>
      </c>
      <c r="R52" s="295" t="str">
        <f t="shared" ref="R52" si="2">O52</f>
        <v>ΔDefTxA</v>
      </c>
      <c r="T52" s="283">
        <f>IF(Y52&gt;0,Y52,0)</f>
        <v>0</v>
      </c>
      <c r="U52" s="284">
        <f>IF(Z52&gt;0,Z52,0)</f>
        <v>0</v>
      </c>
      <c r="W52" s="42">
        <f>SUMIF(Journal[DrAccnt],A52,Journal[DrAmt])</f>
        <v>0</v>
      </c>
      <c r="X52" s="42">
        <f>SUMIF(Journal[CrAccnt],A52,Journal[CrAmt])</f>
        <v>0</v>
      </c>
      <c r="Y52" s="252">
        <f>B52-C52+W52-X52</f>
        <v>0</v>
      </c>
      <c r="Z52" s="252">
        <f>C52-B52+X52-W52</f>
        <v>0</v>
      </c>
      <c r="AB52" s="334"/>
      <c r="AC52" s="334"/>
    </row>
    <row r="53" spans="1:29" hidden="1" outlineLevel="1" collapsed="1" x14ac:dyDescent="0.2">
      <c r="A53" s="215"/>
      <c r="B53" s="285"/>
      <c r="C53" s="286"/>
      <c r="E53" s="337"/>
      <c r="F53" s="309"/>
      <c r="G53" s="308"/>
      <c r="H53" s="337"/>
      <c r="J53" s="337"/>
      <c r="K53" s="309"/>
      <c r="L53" s="308"/>
      <c r="M53" s="337"/>
      <c r="O53" s="1"/>
      <c r="P53" s="246"/>
      <c r="R53" s="1"/>
      <c r="T53" s="292"/>
      <c r="U53" s="215"/>
      <c r="AB53" s="334"/>
      <c r="AC53" s="334"/>
    </row>
    <row r="54" spans="1:29" hidden="1" outlineLevel="1" x14ac:dyDescent="0.2">
      <c r="A54" s="215"/>
      <c r="B54" s="285"/>
      <c r="C54" s="286"/>
      <c r="E54" s="337"/>
      <c r="F54" s="309"/>
      <c r="G54" s="308"/>
      <c r="H54" s="337"/>
      <c r="J54" s="337"/>
      <c r="K54" s="309"/>
      <c r="L54" s="308"/>
      <c r="M54" s="337"/>
      <c r="O54" s="1"/>
      <c r="P54" s="246"/>
      <c r="R54" s="1"/>
      <c r="T54" s="292"/>
      <c r="U54" s="215"/>
      <c r="AB54" s="334"/>
      <c r="AC54" s="334"/>
    </row>
    <row r="55" spans="1:29" hidden="1" outlineLevel="1" x14ac:dyDescent="0.2">
      <c r="A55" s="294"/>
      <c r="B55" s="287"/>
      <c r="C55" s="288"/>
      <c r="E55" s="337"/>
      <c r="F55" s="326"/>
      <c r="G55" s="327"/>
      <c r="H55" s="337"/>
      <c r="J55" s="337"/>
      <c r="K55" s="326"/>
      <c r="L55" s="327"/>
      <c r="M55" s="337"/>
      <c r="O55" s="1"/>
      <c r="P55" s="251"/>
      <c r="Q55" s="250"/>
      <c r="R55" s="1"/>
      <c r="T55" s="293"/>
      <c r="U55" s="294"/>
      <c r="AB55" s="334"/>
      <c r="AC55" s="334"/>
    </row>
    <row r="56" spans="1:29" collapsed="1" x14ac:dyDescent="0.2">
      <c r="A56" s="279" t="str">
        <f>IFERROR(IF(_xlfn.XLOOKUP(15,Asset[Num],Asset[Name])=0,"",_xlfn.XLOOKUP(15,Asset[Num],Asset[Name])),"")</f>
        <v>Accumulated Amortization</v>
      </c>
      <c r="B56" s="283">
        <f>IF(_xlfn.XLOOKUP(A56,BegBalSht[Account],BegBalSht[BalType])="Debit",_xlfn.XLOOKUP(A56,BegBalSht[Account],BegBalSht[Amount]),0)</f>
        <v>0</v>
      </c>
      <c r="C56" s="284">
        <f>IF(_xlfn.XLOOKUP(A56,BegBalSht[Account],BegBalSht[BalType])="Credit",-_xlfn.XLOOKUP(A56,BegBalSht[Account],BegBalSht[Amount]),0)</f>
        <v>0</v>
      </c>
      <c r="E56" s="337"/>
      <c r="F56" s="311"/>
      <c r="G56" s="325"/>
      <c r="H56" s="337"/>
      <c r="J56" s="337"/>
      <c r="K56" s="311"/>
      <c r="L56" s="325"/>
      <c r="M56" s="337"/>
      <c r="O56" s="295" t="str">
        <f>IFERROR($V$1&amp;_xlfn.XLOOKUP(Indirect_CFO_Worksheet_Tool!A56,Asset[Name],Asset[Abbr]),"")</f>
        <v>ΔAccAmort</v>
      </c>
      <c r="P56" s="275">
        <f>IF((T56-U56)-(B56-C56)-SUM(F56:F59)+SUM(G56:G59)-SUM(K56:K59)+SUM(L56:L59)&gt;0,(T56-U56)-(B56-C56)-SUM(F56:F59)+SUM(G56:G59)-SUM(K56:K59)+SUM(L56:L59),0)</f>
        <v>0</v>
      </c>
      <c r="Q56" s="312">
        <f>IF((T56-U56)-(B56-C56)-SUM(F56:F59)+SUM(G56:G59)-SUM(K56:K59)+SUM(L56:L59)&lt;0,-((T56-U56)-(B56-C56)-SUM(F56:F59)+SUM(G56:G59)-SUM(K56:K59)+SUM(L56:L59)),0)</f>
        <v>0</v>
      </c>
      <c r="R56" s="295" t="str">
        <f t="shared" ref="R56" si="3">O56</f>
        <v>ΔAccAmort</v>
      </c>
      <c r="T56" s="283">
        <f>IF(Y56&gt;0,Y56,0)</f>
        <v>0</v>
      </c>
      <c r="U56" s="284">
        <f>IF(Z56&gt;0,Z56,0)</f>
        <v>0</v>
      </c>
      <c r="W56" s="42">
        <f>SUMIF(Journal[DrAccnt],A56,Journal[DrAmt])</f>
        <v>0</v>
      </c>
      <c r="X56" s="42">
        <f>SUMIF(Journal[CrAccnt],A56,Journal[CrAmt])</f>
        <v>0</v>
      </c>
      <c r="Y56" s="252">
        <f>B56-C56+W56-X56</f>
        <v>0</v>
      </c>
      <c r="Z56" s="252">
        <f>C56-B56+X56-W56</f>
        <v>0</v>
      </c>
      <c r="AB56" s="334"/>
      <c r="AC56" s="334"/>
    </row>
    <row r="57" spans="1:29" hidden="1" outlineLevel="1" collapsed="1" x14ac:dyDescent="0.2">
      <c r="A57" s="215"/>
      <c r="B57" s="285"/>
      <c r="C57" s="286"/>
      <c r="E57" s="11"/>
      <c r="F57" s="303"/>
      <c r="G57" s="304"/>
      <c r="H57" s="11"/>
      <c r="J57" s="11"/>
      <c r="K57" s="303"/>
      <c r="L57" s="304"/>
      <c r="M57" s="11"/>
      <c r="O57" s="1"/>
      <c r="P57" s="246"/>
      <c r="R57" s="1"/>
      <c r="T57" s="292"/>
      <c r="U57" s="215"/>
      <c r="AB57" s="334"/>
      <c r="AC57" s="334"/>
    </row>
    <row r="58" spans="1:29" hidden="1" outlineLevel="1" x14ac:dyDescent="0.2">
      <c r="A58" s="215"/>
      <c r="B58" s="285"/>
      <c r="C58" s="286"/>
      <c r="E58" s="11"/>
      <c r="F58" s="303"/>
      <c r="G58" s="304"/>
      <c r="H58" s="11"/>
      <c r="J58" s="11"/>
      <c r="K58" s="303"/>
      <c r="L58" s="304"/>
      <c r="M58" s="11"/>
      <c r="O58" s="1"/>
      <c r="P58" s="246"/>
      <c r="R58" s="1"/>
      <c r="T58" s="292"/>
      <c r="U58" s="215"/>
      <c r="AB58" s="334"/>
      <c r="AC58" s="334"/>
    </row>
    <row r="59" spans="1:29" hidden="1" outlineLevel="1" x14ac:dyDescent="0.2">
      <c r="A59" s="294"/>
      <c r="B59" s="287"/>
      <c r="C59" s="288"/>
      <c r="E59" s="11"/>
      <c r="F59" s="305"/>
      <c r="G59" s="306"/>
      <c r="H59" s="11"/>
      <c r="J59" s="11"/>
      <c r="K59" s="305"/>
      <c r="L59" s="306"/>
      <c r="M59" s="11"/>
      <c r="O59" s="1"/>
      <c r="P59" s="251"/>
      <c r="Q59" s="250"/>
      <c r="R59" s="1"/>
      <c r="T59" s="293"/>
      <c r="U59" s="294"/>
      <c r="AB59" s="334"/>
      <c r="AC59" s="334"/>
    </row>
    <row r="60" spans="1:29" collapsed="1" x14ac:dyDescent="0.2">
      <c r="A60" s="270" t="s">
        <v>364</v>
      </c>
      <c r="B60" s="271"/>
      <c r="C60" s="272"/>
      <c r="D60" s="262"/>
      <c r="E60" s="324"/>
      <c r="F60" s="273"/>
      <c r="G60" s="274"/>
      <c r="H60" s="324"/>
      <c r="I60" s="262"/>
      <c r="J60" s="324"/>
      <c r="K60" s="273"/>
      <c r="L60" s="274"/>
      <c r="M60" s="324"/>
      <c r="N60" s="262"/>
      <c r="O60" s="263"/>
      <c r="P60" s="273"/>
      <c r="Q60" s="274"/>
      <c r="R60" s="263"/>
      <c r="S60" s="262"/>
      <c r="T60" s="273"/>
      <c r="U60" s="274"/>
      <c r="AB60" s="334"/>
      <c r="AC60" s="334"/>
    </row>
    <row r="61" spans="1:29" collapsed="1" x14ac:dyDescent="0.2">
      <c r="A61" s="279" t="str">
        <f>IFERROR(IF(_xlfn.XLOOKUP(1,Liability[Num],Liability[Name])=0,"",_xlfn.XLOOKUP(1,Liability[Num],Liability[Name])),"")</f>
        <v>Accounts Payable</v>
      </c>
      <c r="B61" s="283">
        <f>IF(_xlfn.XLOOKUP(A61,BegBalSht[Account],BegBalSht[BalType])="Debit",-_xlfn.XLOOKUP(A61,BegBalSht[Account],BegBalSht[Amount]),0)</f>
        <v>0</v>
      </c>
      <c r="C61" s="284">
        <f>IF(_xlfn.XLOOKUP(A61,BegBalSht[Account],BegBalSht[BalType])="Credit",_xlfn.XLOOKUP(A61,BegBalSht[Account],BegBalSht[Amount]),0)</f>
        <v>0</v>
      </c>
      <c r="E61" s="337"/>
      <c r="F61" s="311"/>
      <c r="G61" s="325"/>
      <c r="H61" s="337"/>
      <c r="J61" s="337"/>
      <c r="K61" s="311"/>
      <c r="L61" s="325"/>
      <c r="M61" s="337"/>
      <c r="O61" s="295" t="str">
        <f>IFERROR($V$1&amp;_xlfn.XLOOKUP(Indirect_CFO_Worksheet_Tool!A61,Liability[Name],Liability[Abbr]),"")</f>
        <v>ΔAP</v>
      </c>
      <c r="P61" s="275">
        <f>IF((T61-U61)-(B61-C61)-SUM(F61:F64)+SUM(G61:G64)-SUM(K61:K64)+SUM(L61:L64)&gt;0,(T61-U61)-(B61-C61)-SUM(F61:F64)+SUM(G61:G64)-SUM(K61:K64)+SUM(L61:L64),0)</f>
        <v>0</v>
      </c>
      <c r="Q61" s="312">
        <f>IF((T61-U61)-(B61-C61)-SUM(F61:F64)+SUM(G61:G64)-SUM(K61:K64)+SUM(L61:L64)&lt;0,-((T61-U61)-(B61-C61)-SUM(F61:F64)+SUM(G61:G64)-SUM(K61:K64)+SUM(L61:L64)),0)</f>
        <v>0</v>
      </c>
      <c r="R61" s="295" t="str">
        <f t="shared" si="0"/>
        <v>ΔAP</v>
      </c>
      <c r="T61" s="283">
        <f>IF(Y61&gt;0,Y61,0)</f>
        <v>0</v>
      </c>
      <c r="U61" s="284">
        <f>IF(Z61&gt;0,Z61,0)</f>
        <v>0</v>
      </c>
      <c r="W61" s="42">
        <f>SUMIF(Journal[DrAccnt],A61,Journal[DrAmt])</f>
        <v>0</v>
      </c>
      <c r="X61" s="42">
        <f>SUMIF(Journal[CrAccnt],A61,Journal[CrAmt])</f>
        <v>0</v>
      </c>
      <c r="Y61" s="252">
        <f>-B61-C61+W61-X61</f>
        <v>0</v>
      </c>
      <c r="Z61" s="252">
        <f>C61-B61+X61-W61</f>
        <v>0</v>
      </c>
      <c r="AB61" s="334"/>
      <c r="AC61" s="334"/>
    </row>
    <row r="62" spans="1:29" hidden="1" outlineLevel="1" x14ac:dyDescent="0.2">
      <c r="A62" s="215"/>
      <c r="B62" s="285"/>
      <c r="C62" s="289"/>
      <c r="E62" s="337"/>
      <c r="F62" s="309"/>
      <c r="G62" s="308"/>
      <c r="H62" s="337"/>
      <c r="J62" s="337"/>
      <c r="K62" s="309"/>
      <c r="L62" s="308"/>
      <c r="M62" s="337"/>
      <c r="O62" s="1"/>
      <c r="P62" s="246"/>
      <c r="R62" s="1"/>
      <c r="T62" s="292"/>
      <c r="U62" s="215"/>
      <c r="AB62" s="334"/>
      <c r="AC62" s="334"/>
    </row>
    <row r="63" spans="1:29" hidden="1" outlineLevel="1" x14ac:dyDescent="0.2">
      <c r="A63" s="215"/>
      <c r="B63" s="285"/>
      <c r="C63" s="289"/>
      <c r="E63" s="337"/>
      <c r="F63" s="309"/>
      <c r="G63" s="308"/>
      <c r="H63" s="337"/>
      <c r="J63" s="337"/>
      <c r="K63" s="309"/>
      <c r="L63" s="308"/>
      <c r="M63" s="337"/>
      <c r="O63" s="1"/>
      <c r="P63" s="246"/>
      <c r="R63" s="1"/>
      <c r="T63" s="292"/>
      <c r="U63" s="215"/>
      <c r="AB63" s="334"/>
      <c r="AC63" s="334"/>
    </row>
    <row r="64" spans="1:29" hidden="1" outlineLevel="1" x14ac:dyDescent="0.2">
      <c r="A64" s="294"/>
      <c r="B64" s="287"/>
      <c r="C64" s="288"/>
      <c r="E64" s="337"/>
      <c r="F64" s="309"/>
      <c r="G64" s="308"/>
      <c r="H64" s="337"/>
      <c r="J64" s="337"/>
      <c r="K64" s="309"/>
      <c r="L64" s="308"/>
      <c r="M64" s="337"/>
      <c r="O64" s="1"/>
      <c r="P64" s="246"/>
      <c r="R64" s="1"/>
      <c r="T64" s="292"/>
      <c r="U64" s="215"/>
      <c r="AB64" s="334"/>
      <c r="AC64" s="334"/>
    </row>
    <row r="65" spans="1:29" collapsed="1" x14ac:dyDescent="0.2">
      <c r="A65" s="279" t="str">
        <f>IFERROR(IF(_xlfn.XLOOKUP(2,Liability[Num],Liability[Name])=0,"",_xlfn.XLOOKUP(2,Liability[Num],Liability[Name])),"")</f>
        <v>Accrued Expenses</v>
      </c>
      <c r="B65" s="283">
        <f>IF(_xlfn.XLOOKUP(A65,BegBalSht[Account],BegBalSht[BalType])="Debit",-_xlfn.XLOOKUP(A65,BegBalSht[Account],BegBalSht[Amount]),0)</f>
        <v>0</v>
      </c>
      <c r="C65" s="284">
        <f>IF(_xlfn.XLOOKUP(A65,BegBalSht[Account],BegBalSht[BalType])="Credit",_xlfn.XLOOKUP(A65,BegBalSht[Account],BegBalSht[Amount]),0)</f>
        <v>0</v>
      </c>
      <c r="E65" s="337"/>
      <c r="F65" s="311"/>
      <c r="G65" s="325"/>
      <c r="H65" s="337"/>
      <c r="J65" s="337"/>
      <c r="K65" s="311"/>
      <c r="L65" s="325"/>
      <c r="M65" s="337"/>
      <c r="O65" s="295" t="str">
        <f>IFERROR($V$1&amp;_xlfn.XLOOKUP(Indirect_CFO_Worksheet_Tool!A65,Liability[Name],Liability[Abbr]),"")</f>
        <v>ΔAccExp</v>
      </c>
      <c r="P65" s="275">
        <f>IF((T65-U65)-(B65-C65)-SUM(F65:F68)+SUM(G65:G68)-SUM(K65:K68)+SUM(L65:L68)&gt;0,(T65-U65)-(B65-C65)-SUM(F65:F68)+SUM(G65:G68)-SUM(K65:K68)+SUM(L65:L68),0)</f>
        <v>0</v>
      </c>
      <c r="Q65" s="312">
        <f>IF((T65-U65)-(B65-C65)-SUM(F65:F68)+SUM(G65:G68)-SUM(K65:K68)+SUM(L65:L68)&lt;0,-((T65-U65)-(B65-C65)-SUM(F65:F68)+SUM(G65:G68)-SUM(K65:K68)+SUM(L65:L68)),0)</f>
        <v>0</v>
      </c>
      <c r="R65" s="295" t="str">
        <f t="shared" si="0"/>
        <v>ΔAccExp</v>
      </c>
      <c r="T65" s="283">
        <f>IF(Y65&gt;0,Y65,0)</f>
        <v>0</v>
      </c>
      <c r="U65" s="284">
        <f>IF(Z65&gt;0,Z65,0)</f>
        <v>0</v>
      </c>
      <c r="W65" s="42">
        <f>SUMIF(Journal[DrAccnt],A65,Journal[DrAmt])</f>
        <v>0</v>
      </c>
      <c r="X65" s="42">
        <f>SUMIF(Journal[CrAccnt],A65,Journal[CrAmt])</f>
        <v>0</v>
      </c>
      <c r="Y65" s="252">
        <f>B65-C65+W65-X65</f>
        <v>0</v>
      </c>
      <c r="Z65" s="252">
        <f>C65-B65+X65-W65</f>
        <v>0</v>
      </c>
      <c r="AB65" s="334"/>
      <c r="AC65" s="334"/>
    </row>
    <row r="66" spans="1:29" hidden="1" outlineLevel="1" x14ac:dyDescent="0.2">
      <c r="A66" s="215"/>
      <c r="B66" s="285"/>
      <c r="C66" s="289"/>
      <c r="E66" s="337"/>
      <c r="F66" s="309"/>
      <c r="G66" s="308"/>
      <c r="H66" s="337"/>
      <c r="J66" s="337"/>
      <c r="K66" s="309"/>
      <c r="L66" s="308"/>
      <c r="M66" s="337"/>
      <c r="O66" s="1"/>
      <c r="P66" s="246"/>
      <c r="R66" s="1"/>
      <c r="T66" s="292"/>
      <c r="U66" s="215"/>
      <c r="AB66" s="334"/>
      <c r="AC66" s="334"/>
    </row>
    <row r="67" spans="1:29" hidden="1" outlineLevel="1" x14ac:dyDescent="0.2">
      <c r="A67" s="215"/>
      <c r="B67" s="285"/>
      <c r="C67" s="289"/>
      <c r="E67" s="337"/>
      <c r="F67" s="309"/>
      <c r="G67" s="308"/>
      <c r="H67" s="337"/>
      <c r="J67" s="337"/>
      <c r="K67" s="309"/>
      <c r="L67" s="308"/>
      <c r="M67" s="337"/>
      <c r="O67" s="1"/>
      <c r="P67" s="246"/>
      <c r="R67" s="1"/>
      <c r="T67" s="292"/>
      <c r="U67" s="215"/>
      <c r="AB67" s="334"/>
      <c r="AC67" s="334"/>
    </row>
    <row r="68" spans="1:29" hidden="1" outlineLevel="1" x14ac:dyDescent="0.2">
      <c r="A68" s="294"/>
      <c r="B68" s="287"/>
      <c r="C68" s="288"/>
      <c r="E68" s="337"/>
      <c r="F68" s="309"/>
      <c r="G68" s="308"/>
      <c r="H68" s="337"/>
      <c r="J68" s="337"/>
      <c r="K68" s="309"/>
      <c r="L68" s="308"/>
      <c r="M68" s="337"/>
      <c r="O68" s="1"/>
      <c r="P68" s="246"/>
      <c r="R68" s="1"/>
      <c r="T68" s="292"/>
      <c r="U68" s="215"/>
      <c r="AB68" s="334"/>
      <c r="AC68" s="334"/>
    </row>
    <row r="69" spans="1:29" collapsed="1" x14ac:dyDescent="0.2">
      <c r="A69" s="279" t="str">
        <f>IFERROR(IF(_xlfn.XLOOKUP(3,Liability[Num],Liability[Name])=0,"",_xlfn.XLOOKUP(3,Liability[Num],Liability[Name])),"")</f>
        <v>Interest Payable</v>
      </c>
      <c r="B69" s="283">
        <f>IF(_xlfn.XLOOKUP(A69,BegBalSht[Account],BegBalSht[BalType])="Debit",-_xlfn.XLOOKUP(A69,BegBalSht[Account],BegBalSht[Amount]),0)</f>
        <v>0</v>
      </c>
      <c r="C69" s="284">
        <f>IF(_xlfn.XLOOKUP(A69,BegBalSht[Account],BegBalSht[BalType])="Credit",_xlfn.XLOOKUP(A69,BegBalSht[Account],BegBalSht[Amount]),0)</f>
        <v>0</v>
      </c>
      <c r="E69" s="337"/>
      <c r="F69" s="311"/>
      <c r="G69" s="325"/>
      <c r="H69" s="337"/>
      <c r="J69" s="337"/>
      <c r="K69" s="311"/>
      <c r="L69" s="325"/>
      <c r="M69" s="337"/>
      <c r="O69" s="295" t="str">
        <f>IFERROR($V$1&amp;_xlfn.XLOOKUP(Indirect_CFO_Worksheet_Tool!A69,Liability[Name],Liability[Abbr]),"")</f>
        <v>ΔIP</v>
      </c>
      <c r="P69" s="275">
        <f>IF((T69-U69)-(B69-C69)-SUM(F69:F72)+SUM(G69:G72)-SUM(K69:K72)+SUM(L69:L72)&gt;0,(T69-U69)-(B69-C69)-SUM(F69:F72)+SUM(G69:G72)-SUM(K69:K72)+SUM(L69:L72),0)</f>
        <v>0</v>
      </c>
      <c r="Q69" s="312">
        <f>IF((T69-U69)-(B69-C69)-SUM(F69:F72)+SUM(G69:G72)-SUM(K69:K72)+SUM(L69:L72)&lt;0,-((T69-U69)-(B69-C69)-SUM(F69:F72)+SUM(G69:G72)-SUM(K69:K72)+SUM(L69:L72)),0)</f>
        <v>0</v>
      </c>
      <c r="R69" s="295" t="str">
        <f t="shared" si="0"/>
        <v>ΔIP</v>
      </c>
      <c r="T69" s="283">
        <f>IF(Y69&gt;0,Y69,0)</f>
        <v>0</v>
      </c>
      <c r="U69" s="284">
        <f>IF(Z69&gt;0,Z69,0)</f>
        <v>0</v>
      </c>
      <c r="W69" s="42">
        <f>SUMIF(Journal[DrAccnt],A69,Journal[DrAmt])</f>
        <v>0</v>
      </c>
      <c r="X69" s="42">
        <f>SUMIF(Journal[CrAccnt],A69,Journal[CrAmt])</f>
        <v>0</v>
      </c>
      <c r="Y69" s="252">
        <f>B69-C69+W69-X69</f>
        <v>0</v>
      </c>
      <c r="Z69" s="252">
        <f>C69-B69+X69-W69</f>
        <v>0</v>
      </c>
      <c r="AB69" s="334"/>
      <c r="AC69" s="334"/>
    </row>
    <row r="70" spans="1:29" hidden="1" outlineLevel="1" x14ac:dyDescent="0.2">
      <c r="A70" s="215"/>
      <c r="B70" s="285"/>
      <c r="C70" s="289"/>
      <c r="E70" s="337"/>
      <c r="F70" s="309"/>
      <c r="G70" s="308"/>
      <c r="H70" s="337"/>
      <c r="J70" s="337"/>
      <c r="K70" s="309"/>
      <c r="L70" s="308"/>
      <c r="M70" s="337"/>
      <c r="O70" s="1"/>
      <c r="P70" s="246"/>
      <c r="R70" s="1"/>
      <c r="T70" s="292"/>
      <c r="U70" s="215"/>
      <c r="AB70" s="334"/>
      <c r="AC70" s="334"/>
    </row>
    <row r="71" spans="1:29" hidden="1" outlineLevel="1" x14ac:dyDescent="0.2">
      <c r="A71" s="215"/>
      <c r="B71" s="285"/>
      <c r="C71" s="289"/>
      <c r="E71" s="337"/>
      <c r="F71" s="309"/>
      <c r="G71" s="308"/>
      <c r="H71" s="337"/>
      <c r="J71" s="337"/>
      <c r="K71" s="309"/>
      <c r="L71" s="308"/>
      <c r="M71" s="337"/>
      <c r="O71" s="1"/>
      <c r="P71" s="246"/>
      <c r="R71" s="1"/>
      <c r="T71" s="292"/>
      <c r="U71" s="215"/>
      <c r="AB71" s="334"/>
      <c r="AC71" s="334"/>
    </row>
    <row r="72" spans="1:29" hidden="1" outlineLevel="1" x14ac:dyDescent="0.2">
      <c r="A72" s="294"/>
      <c r="B72" s="287"/>
      <c r="C72" s="288"/>
      <c r="E72" s="337"/>
      <c r="F72" s="309"/>
      <c r="G72" s="308"/>
      <c r="H72" s="337"/>
      <c r="J72" s="337"/>
      <c r="K72" s="309"/>
      <c r="L72" s="308"/>
      <c r="M72" s="337"/>
      <c r="O72" s="1"/>
      <c r="P72" s="246"/>
      <c r="R72" s="1"/>
      <c r="T72" s="292"/>
      <c r="U72" s="215"/>
      <c r="AB72" s="334"/>
      <c r="AC72" s="334"/>
    </row>
    <row r="73" spans="1:29" collapsed="1" x14ac:dyDescent="0.2">
      <c r="A73" s="279" t="str">
        <f>IFERROR(IF(_xlfn.XLOOKUP(4,Liability[Num],Liability[Name])=0,"",_xlfn.XLOOKUP(4,Liability[Num],Liability[Name])),"")</f>
        <v>Dividends Payable</v>
      </c>
      <c r="B73" s="283">
        <f>IF(_xlfn.XLOOKUP(A73,BegBalSht[Account],BegBalSht[BalType])="Debit",-_xlfn.XLOOKUP(A73,BegBalSht[Account],BegBalSht[Amount]),0)</f>
        <v>0</v>
      </c>
      <c r="C73" s="284">
        <f>IF(_xlfn.XLOOKUP(A73,BegBalSht[Account],BegBalSht[BalType])="Credit",_xlfn.XLOOKUP(A73,BegBalSht[Account],BegBalSht[Amount]),0)</f>
        <v>0</v>
      </c>
      <c r="E73" s="337"/>
      <c r="F73" s="311"/>
      <c r="G73" s="325"/>
      <c r="H73" s="337"/>
      <c r="J73" s="337"/>
      <c r="K73" s="311"/>
      <c r="L73" s="325"/>
      <c r="M73" s="337"/>
      <c r="O73" s="295" t="str">
        <f>IFERROR($V$1&amp;_xlfn.XLOOKUP(Indirect_CFO_Worksheet_Tool!A73,Liability[Name],Liability[Abbr]),"")</f>
        <v>ΔDP</v>
      </c>
      <c r="P73" s="275">
        <f>IF((T73-U73)-(B73-C73)-SUM(F73:F76)+SUM(G73:G76)-SUM(K73:K76)+SUM(L73:L76)&gt;0,(T73-U73)-(B73-C73)-SUM(F73:F76)+SUM(G73:G76)-SUM(K73:K76)+SUM(L73:L76),0)</f>
        <v>0</v>
      </c>
      <c r="Q73" s="312">
        <f>IF((T73-U73)-(B73-C73)-SUM(F73:F76)+SUM(G73:G76)-SUM(K73:K76)+SUM(L73:L76)&lt;0,-((T73-U73)-(B73-C73)-SUM(F73:F76)+SUM(G73:G76)-SUM(K73:K76)+SUM(L73:L76)),0)</f>
        <v>0</v>
      </c>
      <c r="R73" s="295" t="str">
        <f t="shared" si="0"/>
        <v>ΔDP</v>
      </c>
      <c r="T73" s="283">
        <f>IF(Y73&gt;0,Y73,0)</f>
        <v>0</v>
      </c>
      <c r="U73" s="284">
        <f>IF(Z73&gt;0,Z73,0)</f>
        <v>0</v>
      </c>
      <c r="W73" s="42">
        <f>SUMIF(Journal[DrAccnt],A73,Journal[DrAmt])</f>
        <v>0</v>
      </c>
      <c r="X73" s="42">
        <f>SUMIF(Journal[CrAccnt],A73,Journal[CrAmt])</f>
        <v>0</v>
      </c>
      <c r="Y73" s="252">
        <f>B73-C73+W73-X73</f>
        <v>0</v>
      </c>
      <c r="Z73" s="252">
        <f>C73-B73+X73-W73</f>
        <v>0</v>
      </c>
      <c r="AB73" s="334"/>
      <c r="AC73" s="334"/>
    </row>
    <row r="74" spans="1:29" hidden="1" outlineLevel="1" x14ac:dyDescent="0.2">
      <c r="A74" s="215"/>
      <c r="B74" s="285"/>
      <c r="C74" s="289"/>
      <c r="E74" s="337"/>
      <c r="F74" s="309"/>
      <c r="G74" s="308"/>
      <c r="H74" s="337"/>
      <c r="J74" s="337"/>
      <c r="K74" s="309"/>
      <c r="L74" s="308"/>
      <c r="M74" s="337"/>
      <c r="O74" s="1"/>
      <c r="P74" s="246"/>
      <c r="R74" s="1"/>
      <c r="T74" s="292"/>
      <c r="U74" s="215"/>
      <c r="AB74" s="334"/>
      <c r="AC74" s="334"/>
    </row>
    <row r="75" spans="1:29" hidden="1" outlineLevel="1" x14ac:dyDescent="0.2">
      <c r="A75" s="215"/>
      <c r="B75" s="285"/>
      <c r="C75" s="289"/>
      <c r="E75" s="337"/>
      <c r="F75" s="309"/>
      <c r="G75" s="308"/>
      <c r="H75" s="337"/>
      <c r="J75" s="337"/>
      <c r="K75" s="309"/>
      <c r="L75" s="308"/>
      <c r="M75" s="337"/>
      <c r="O75" s="1"/>
      <c r="P75" s="246"/>
      <c r="R75" s="1"/>
      <c r="T75" s="292"/>
      <c r="U75" s="215"/>
      <c r="AB75" s="334"/>
      <c r="AC75" s="334"/>
    </row>
    <row r="76" spans="1:29" hidden="1" outlineLevel="1" x14ac:dyDescent="0.2">
      <c r="A76" s="294"/>
      <c r="B76" s="287"/>
      <c r="C76" s="288"/>
      <c r="E76" s="337"/>
      <c r="F76" s="309"/>
      <c r="G76" s="308"/>
      <c r="H76" s="337"/>
      <c r="J76" s="337"/>
      <c r="K76" s="309"/>
      <c r="L76" s="308"/>
      <c r="M76" s="337"/>
      <c r="O76" s="1"/>
      <c r="P76" s="246"/>
      <c r="R76" s="1"/>
      <c r="T76" s="292"/>
      <c r="U76" s="215"/>
      <c r="AB76" s="334"/>
      <c r="AC76" s="334"/>
    </row>
    <row r="77" spans="1:29" collapsed="1" x14ac:dyDescent="0.2">
      <c r="A77" s="279" t="str">
        <f>IFERROR(IF(_xlfn.XLOOKUP(5,Liability[Num],Liability[Name])=0,"",_xlfn.XLOOKUP(5,Liability[Num],Liability[Name])),"")</f>
        <v>Taxes Payable</v>
      </c>
      <c r="B77" s="283">
        <f>IF(_xlfn.XLOOKUP(A77,BegBalSht[Account],BegBalSht[BalType])="Debit",-_xlfn.XLOOKUP(A77,BegBalSht[Account],BegBalSht[Amount]),0)</f>
        <v>0</v>
      </c>
      <c r="C77" s="284">
        <f>IF(_xlfn.XLOOKUP(A77,BegBalSht[Account],BegBalSht[BalType])="Credit",_xlfn.XLOOKUP(A77,BegBalSht[Account],BegBalSht[Amount]),0)</f>
        <v>0</v>
      </c>
      <c r="E77" s="337"/>
      <c r="F77" s="311"/>
      <c r="G77" s="325"/>
      <c r="H77" s="337"/>
      <c r="J77" s="337"/>
      <c r="K77" s="311"/>
      <c r="L77" s="325"/>
      <c r="M77" s="337"/>
      <c r="O77" s="295" t="str">
        <f>IFERROR($V$1&amp;_xlfn.XLOOKUP(Indirect_CFO_Worksheet_Tool!A77,Liability[Name],Liability[Abbr]),"")</f>
        <v>ΔTxP</v>
      </c>
      <c r="P77" s="275">
        <f>IF((T77-U77)-(B77-C77)-SUM(F77:F80)+SUM(G77:G80)-SUM(K77:K80)+SUM(L77:L80)&gt;0,(T77-U77)-(B77-C77)-SUM(F77:F80)+SUM(G77:G80)-SUM(K77:K80)+SUM(L77:L80),0)</f>
        <v>0</v>
      </c>
      <c r="Q77" s="312">
        <f>IF((T77-U77)-(B77-C77)-SUM(F77:F80)+SUM(G77:G80)-SUM(K77:K80)+SUM(L77:L80)&lt;0,-((T77-U77)-(B77-C77)-SUM(F77:F80)+SUM(G77:G80)-SUM(K77:K80)+SUM(L77:L80)),0)</f>
        <v>0</v>
      </c>
      <c r="R77" s="295" t="str">
        <f t="shared" ref="R77:R130" si="4">O77</f>
        <v>ΔTxP</v>
      </c>
      <c r="T77" s="283">
        <f>IF(Y77&gt;0,Y77,0)</f>
        <v>0</v>
      </c>
      <c r="U77" s="284">
        <f>IF(Z77&gt;0,Z77,0)</f>
        <v>0</v>
      </c>
      <c r="W77" s="42">
        <f>SUMIF(Journal[DrAccnt],A77,Journal[DrAmt])</f>
        <v>0</v>
      </c>
      <c r="X77" s="42">
        <f>SUMIF(Journal[CrAccnt],A77,Journal[CrAmt])</f>
        <v>0</v>
      </c>
      <c r="Y77" s="252">
        <f>B77-C77+W77-X77</f>
        <v>0</v>
      </c>
      <c r="Z77" s="252">
        <f>C77-B77+X77-W77</f>
        <v>0</v>
      </c>
      <c r="AB77" s="334"/>
      <c r="AC77" s="334"/>
    </row>
    <row r="78" spans="1:29" hidden="1" outlineLevel="1" x14ac:dyDescent="0.2">
      <c r="A78" s="215"/>
      <c r="B78" s="285"/>
      <c r="C78" s="289"/>
      <c r="E78" s="337"/>
      <c r="F78" s="309"/>
      <c r="G78" s="308"/>
      <c r="H78" s="337"/>
      <c r="J78" s="337"/>
      <c r="K78" s="309"/>
      <c r="L78" s="308"/>
      <c r="M78" s="337"/>
      <c r="O78" s="1"/>
      <c r="P78" s="246"/>
      <c r="R78" s="1"/>
      <c r="T78" s="292"/>
      <c r="U78" s="215"/>
      <c r="AB78" s="334"/>
      <c r="AC78" s="334"/>
    </row>
    <row r="79" spans="1:29" hidden="1" outlineLevel="1" x14ac:dyDescent="0.2">
      <c r="A79" s="215"/>
      <c r="B79" s="285"/>
      <c r="C79" s="289"/>
      <c r="E79" s="337"/>
      <c r="F79" s="309"/>
      <c r="G79" s="308"/>
      <c r="H79" s="337"/>
      <c r="J79" s="337"/>
      <c r="K79" s="309"/>
      <c r="L79" s="308"/>
      <c r="M79" s="337"/>
      <c r="O79" s="1"/>
      <c r="P79" s="246"/>
      <c r="R79" s="1"/>
      <c r="T79" s="292"/>
      <c r="U79" s="215"/>
      <c r="AB79" s="334"/>
      <c r="AC79" s="334"/>
    </row>
    <row r="80" spans="1:29" hidden="1" outlineLevel="1" x14ac:dyDescent="0.2">
      <c r="A80" s="294"/>
      <c r="B80" s="287"/>
      <c r="C80" s="288"/>
      <c r="E80" s="337"/>
      <c r="F80" s="309"/>
      <c r="G80" s="308"/>
      <c r="H80" s="337"/>
      <c r="J80" s="337"/>
      <c r="K80" s="309"/>
      <c r="L80" s="308"/>
      <c r="M80" s="337"/>
      <c r="O80" s="1"/>
      <c r="P80" s="246"/>
      <c r="R80" s="1"/>
      <c r="T80" s="292"/>
      <c r="U80" s="215"/>
      <c r="AB80" s="334"/>
      <c r="AC80" s="334"/>
    </row>
    <row r="81" spans="1:29" collapsed="1" x14ac:dyDescent="0.2">
      <c r="A81" s="279" t="str">
        <f>IFERROR(IF(_xlfn.XLOOKUP(6,Liability[Num],Liability[Name])=0,"",_xlfn.XLOOKUP(6,Liability[Num],Liability[Name])),"")</f>
        <v>Deferred Tax Liabilities</v>
      </c>
      <c r="B81" s="283">
        <f>IF(_xlfn.XLOOKUP(A81,BegBalSht[Account],BegBalSht[BalType])="Debit",-_xlfn.XLOOKUP(A81,BegBalSht[Account],BegBalSht[Amount]),0)</f>
        <v>0</v>
      </c>
      <c r="C81" s="284">
        <f>IF(_xlfn.XLOOKUP(A81,BegBalSht[Account],BegBalSht[BalType])="Credit",_xlfn.XLOOKUP(A81,BegBalSht[Account],BegBalSht[Amount]),0)</f>
        <v>0</v>
      </c>
      <c r="E81" s="337"/>
      <c r="F81" s="311"/>
      <c r="G81" s="325"/>
      <c r="H81" s="337"/>
      <c r="J81" s="337"/>
      <c r="K81" s="311"/>
      <c r="L81" s="325"/>
      <c r="M81" s="337"/>
      <c r="O81" s="295" t="str">
        <f>IFERROR($V$1&amp;_xlfn.XLOOKUP(Indirect_CFO_Worksheet_Tool!A81,Liability[Name],Liability[Abbr]),"")</f>
        <v>ΔDefTxL</v>
      </c>
      <c r="P81" s="275">
        <f>IF((T81-U81)-(B81-C81)-SUM(F81:F84)+SUM(G81:G84)-SUM(K81:K84)+SUM(L81:L84)&gt;0,(T81-U81)-(B81-C81)-SUM(F81:F84)+SUM(G81:G84)-SUM(K81:K84)+SUM(L81:L84),0)</f>
        <v>0</v>
      </c>
      <c r="Q81" s="312">
        <f>IF((T81-U81)-(B81-C81)-SUM(F81:F84)+SUM(G81:G84)-SUM(K81:K84)+SUM(L81:L84)&lt;0,-((T81-U81)-(B81-C81)-SUM(F81:F84)+SUM(G81:G84)-SUM(K81:K84)+SUM(L81:L84)),0)</f>
        <v>0</v>
      </c>
      <c r="R81" s="295" t="str">
        <f t="shared" si="4"/>
        <v>ΔDefTxL</v>
      </c>
      <c r="T81" s="283">
        <f>IF(Y81&gt;0,Y81,0)</f>
        <v>0</v>
      </c>
      <c r="U81" s="284">
        <f>IF(Z81&gt;0,Z81,0)</f>
        <v>0</v>
      </c>
      <c r="W81" s="42">
        <f>SUMIF(Journal[DrAccnt],A81,Journal[DrAmt])</f>
        <v>0</v>
      </c>
      <c r="X81" s="42">
        <f>SUMIF(Journal[CrAccnt],A81,Journal[CrAmt])</f>
        <v>0</v>
      </c>
      <c r="Y81" s="252">
        <f>B81-C81+W81-X81</f>
        <v>0</v>
      </c>
      <c r="Z81" s="252">
        <f>C81-B81+X81-W81</f>
        <v>0</v>
      </c>
      <c r="AB81" s="334"/>
      <c r="AC81" s="334"/>
    </row>
    <row r="82" spans="1:29" hidden="1" outlineLevel="1" x14ac:dyDescent="0.2">
      <c r="A82" s="215"/>
      <c r="B82" s="285"/>
      <c r="C82" s="289"/>
      <c r="E82" s="337"/>
      <c r="F82" s="309"/>
      <c r="G82" s="308"/>
      <c r="H82" s="337"/>
      <c r="J82" s="337"/>
      <c r="K82" s="309"/>
      <c r="L82" s="308"/>
      <c r="M82" s="337"/>
      <c r="O82" s="1"/>
      <c r="P82" s="246"/>
      <c r="R82" s="1"/>
      <c r="T82" s="292"/>
      <c r="U82" s="215"/>
      <c r="AB82" s="334"/>
      <c r="AC82" s="334"/>
    </row>
    <row r="83" spans="1:29" hidden="1" outlineLevel="1" x14ac:dyDescent="0.2">
      <c r="A83" s="215"/>
      <c r="B83" s="285"/>
      <c r="C83" s="289"/>
      <c r="E83" s="337"/>
      <c r="F83" s="309"/>
      <c r="G83" s="308"/>
      <c r="H83" s="337"/>
      <c r="J83" s="337"/>
      <c r="K83" s="309"/>
      <c r="L83" s="308"/>
      <c r="M83" s="337"/>
      <c r="O83" s="1"/>
      <c r="P83" s="246"/>
      <c r="R83" s="1"/>
      <c r="T83" s="292"/>
      <c r="U83" s="215"/>
      <c r="AB83" s="334"/>
      <c r="AC83" s="334"/>
    </row>
    <row r="84" spans="1:29" hidden="1" outlineLevel="1" x14ac:dyDescent="0.2">
      <c r="A84" s="294"/>
      <c r="B84" s="287"/>
      <c r="C84" s="288"/>
      <c r="E84" s="337"/>
      <c r="F84" s="309"/>
      <c r="G84" s="308"/>
      <c r="H84" s="337"/>
      <c r="J84" s="337"/>
      <c r="K84" s="309"/>
      <c r="L84" s="308"/>
      <c r="M84" s="337"/>
      <c r="O84" s="1"/>
      <c r="P84" s="246"/>
      <c r="R84" s="1"/>
      <c r="T84" s="292"/>
      <c r="U84" s="215"/>
      <c r="AB84" s="334"/>
      <c r="AC84" s="334"/>
    </row>
    <row r="85" spans="1:29" collapsed="1" x14ac:dyDescent="0.2">
      <c r="A85" s="280" t="str">
        <f>IFERROR(IF(_xlfn.XLOOKUP(7,Liability[Num],Liability[Name])=0,"",_xlfn.XLOOKUP(7,Liability[Num],Liability[Name])),"")</f>
        <v>Unearned Revenue</v>
      </c>
      <c r="B85" s="290">
        <f>IF(_xlfn.XLOOKUP(A85,BegBalSht[Account],BegBalSht[BalType])="Debit",-_xlfn.XLOOKUP(A85,BegBalSht[Account],BegBalSht[Amount]),0)</f>
        <v>0</v>
      </c>
      <c r="C85" s="291">
        <f>IF(_xlfn.XLOOKUP(A85,BegBalSht[Account],BegBalSht[BalType])="Credit",_xlfn.XLOOKUP(A85,BegBalSht[Account],BegBalSht[Amount]),0)</f>
        <v>0</v>
      </c>
      <c r="E85" s="337"/>
      <c r="F85" s="311"/>
      <c r="G85" s="325"/>
      <c r="H85" s="337"/>
      <c r="J85" s="337"/>
      <c r="K85" s="311"/>
      <c r="L85" s="325"/>
      <c r="M85" s="337"/>
      <c r="O85" s="295" t="str">
        <f>IFERROR($V$1&amp;_xlfn.XLOOKUP(Indirect_CFO_Worksheet_Tool!A85,Liability[Name],Liability[Abbr]),"")</f>
        <v>ΔUR</v>
      </c>
      <c r="P85" s="275">
        <f>IF((T85-U85)-(B85-C85)-SUM(F85:F88)+SUM(G85:G88)-SUM(K85:K88)+SUM(L85:L88)&gt;0,(T85-U85)-(B85-C85)-SUM(F85:F88)+SUM(G85:G88)-SUM(K85:K88)+SUM(L85:L88),0)</f>
        <v>0</v>
      </c>
      <c r="Q85" s="312">
        <f>IF((T85-U85)-(B85-C85)-SUM(F85:F88)+SUM(G85:G88)-SUM(K85:K88)+SUM(L85:L88)&lt;0,-((T85-U85)-(B85-C85)-SUM(F85:F88)+SUM(G85:G88)-SUM(K85:K88)+SUM(L85:L88)),0)</f>
        <v>0</v>
      </c>
      <c r="R85" s="295" t="str">
        <f t="shared" si="4"/>
        <v>ΔUR</v>
      </c>
      <c r="T85" s="283">
        <f>IF(Y85&gt;0,Y85,0)</f>
        <v>0</v>
      </c>
      <c r="U85" s="284">
        <f>IF(Z85&gt;0,Z85,0)</f>
        <v>0</v>
      </c>
      <c r="W85" s="42">
        <f>SUMIF(Journal[DrAccnt],A85,Journal[DrAmt])</f>
        <v>0</v>
      </c>
      <c r="X85" s="42">
        <f>SUMIF(Journal[CrAccnt],A85,Journal[CrAmt])</f>
        <v>0</v>
      </c>
      <c r="Y85" s="252">
        <f>B85-C85+W85-X85</f>
        <v>0</v>
      </c>
      <c r="Z85" s="252">
        <f>C85-B85+X85-W85</f>
        <v>0</v>
      </c>
      <c r="AB85" s="334"/>
      <c r="AC85" s="334"/>
    </row>
    <row r="86" spans="1:29" hidden="1" outlineLevel="1" x14ac:dyDescent="0.2">
      <c r="A86" s="215"/>
      <c r="B86" s="285"/>
      <c r="C86" s="289"/>
      <c r="E86" s="337"/>
      <c r="F86" s="309"/>
      <c r="G86" s="308"/>
      <c r="H86" s="337"/>
      <c r="J86" s="337"/>
      <c r="K86" s="309"/>
      <c r="L86" s="308"/>
      <c r="M86" s="337"/>
      <c r="O86" s="1"/>
      <c r="P86" s="246"/>
      <c r="R86" s="1"/>
      <c r="T86" s="292"/>
      <c r="U86" s="215"/>
      <c r="AB86" s="334"/>
      <c r="AC86" s="334"/>
    </row>
    <row r="87" spans="1:29" hidden="1" outlineLevel="1" x14ac:dyDescent="0.2">
      <c r="A87" s="215"/>
      <c r="B87" s="285"/>
      <c r="C87" s="289"/>
      <c r="E87" s="337"/>
      <c r="F87" s="309"/>
      <c r="G87" s="308"/>
      <c r="H87" s="337"/>
      <c r="J87" s="337"/>
      <c r="K87" s="309"/>
      <c r="L87" s="308"/>
      <c r="M87" s="337"/>
      <c r="O87" s="1"/>
      <c r="P87" s="246"/>
      <c r="R87" s="1"/>
      <c r="T87" s="292"/>
      <c r="U87" s="215"/>
      <c r="AB87" s="334"/>
      <c r="AC87" s="334"/>
    </row>
    <row r="88" spans="1:29" hidden="1" outlineLevel="1" x14ac:dyDescent="0.2">
      <c r="A88" s="294"/>
      <c r="B88" s="287"/>
      <c r="C88" s="288"/>
      <c r="E88" s="337"/>
      <c r="F88" s="309"/>
      <c r="G88" s="308"/>
      <c r="H88" s="337"/>
      <c r="J88" s="337"/>
      <c r="K88" s="309"/>
      <c r="L88" s="308"/>
      <c r="M88" s="337"/>
      <c r="O88" s="1"/>
      <c r="P88" s="246"/>
      <c r="R88" s="1"/>
      <c r="T88" s="292"/>
      <c r="U88" s="215"/>
      <c r="AB88" s="334"/>
      <c r="AC88" s="334"/>
    </row>
    <row r="89" spans="1:29" collapsed="1" x14ac:dyDescent="0.2">
      <c r="A89" s="279" t="str">
        <f>IFERROR(IF(_xlfn.XLOOKUP(8,Liability[Num],Liability[Name])=0,"",_xlfn.XLOOKUP(8,Liability[Num],Liability[Name])),"")</f>
        <v>Bonds Payable</v>
      </c>
      <c r="B89" s="283">
        <f>IF(_xlfn.XLOOKUP(A89,BegBalSht[Account],BegBalSht[BalType])="Debit",-_xlfn.XLOOKUP(A89,BegBalSht[Account],BegBalSht[Amount]),0)</f>
        <v>0</v>
      </c>
      <c r="C89" s="284">
        <f>IF(_xlfn.XLOOKUP(A89,BegBalSht[Account],BegBalSht[BalType])="Credit",_xlfn.XLOOKUP(A89,BegBalSht[Account],BegBalSht[Amount]),0)</f>
        <v>0</v>
      </c>
      <c r="E89" s="337"/>
      <c r="F89" s="311"/>
      <c r="G89" s="325"/>
      <c r="H89" s="337"/>
      <c r="J89" s="337"/>
      <c r="K89" s="311"/>
      <c r="L89" s="325"/>
      <c r="M89" s="337"/>
      <c r="O89" s="295" t="str">
        <f>IFERROR($V$1&amp;_xlfn.XLOOKUP(Indirect_CFO_Worksheet_Tool!A89,Liability[Name],Liability[Abbr]),"")</f>
        <v>ΔBP</v>
      </c>
      <c r="P89" s="275">
        <f>IF((T89-U89)-(B89-C89)-SUM(F89:F92)+SUM(G89:G92)-SUM(K89:K92)+SUM(L89:L92)&gt;0,(T89-U89)-(B89-C89)-SUM(F89:F92)+SUM(G89:G92)-SUM(K89:K92)+SUM(L89:L92),0)</f>
        <v>0</v>
      </c>
      <c r="Q89" s="312">
        <f>IF((T89-U89)-(B89-C89)-SUM(F89:F92)+SUM(G89:G92)-SUM(K89:K92)+SUM(L89:L92)&lt;0,-((T89-U89)-(B89-C89)-SUM(F89:F92)+SUM(G89:G92)-SUM(K89:K92)+SUM(L89:L92)),0)</f>
        <v>0</v>
      </c>
      <c r="R89" s="295" t="str">
        <f t="shared" si="4"/>
        <v>ΔBP</v>
      </c>
      <c r="T89" s="283">
        <f>IF(Y89&gt;0,Y89,0)</f>
        <v>0</v>
      </c>
      <c r="U89" s="284">
        <f>IF(Z89&gt;0,Z89,0)</f>
        <v>0</v>
      </c>
      <c r="W89" s="42">
        <f>SUMIF(Journal[DrAccnt],A89,Journal[DrAmt])</f>
        <v>0</v>
      </c>
      <c r="X89" s="42">
        <f>SUMIF(Journal[CrAccnt],A89,Journal[CrAmt])</f>
        <v>0</v>
      </c>
      <c r="Y89" s="252">
        <f>B89-C89+W89-X89</f>
        <v>0</v>
      </c>
      <c r="Z89" s="252">
        <f>C89-B89+X89-W89</f>
        <v>0</v>
      </c>
      <c r="AB89" s="334"/>
      <c r="AC89" s="334"/>
    </row>
    <row r="90" spans="1:29" hidden="1" outlineLevel="1" x14ac:dyDescent="0.2">
      <c r="A90" s="215"/>
      <c r="B90" s="285"/>
      <c r="C90" s="286"/>
      <c r="E90" s="337"/>
      <c r="F90" s="309"/>
      <c r="G90" s="308"/>
      <c r="H90" s="337"/>
      <c r="J90" s="337"/>
      <c r="K90" s="309"/>
      <c r="L90" s="308"/>
      <c r="M90" s="337"/>
      <c r="O90" s="1"/>
      <c r="P90" s="246"/>
      <c r="R90" s="1"/>
      <c r="T90" s="292"/>
      <c r="U90" s="215"/>
      <c r="AB90" s="334"/>
      <c r="AC90" s="334"/>
    </row>
    <row r="91" spans="1:29" hidden="1" outlineLevel="1" x14ac:dyDescent="0.2">
      <c r="A91" s="215"/>
      <c r="B91" s="285"/>
      <c r="C91" s="286"/>
      <c r="E91" s="337"/>
      <c r="F91" s="309"/>
      <c r="G91" s="308"/>
      <c r="H91" s="337"/>
      <c r="J91" s="337"/>
      <c r="K91" s="309"/>
      <c r="L91" s="308"/>
      <c r="M91" s="337"/>
      <c r="O91" s="1"/>
      <c r="P91" s="246"/>
      <c r="R91" s="1"/>
      <c r="T91" s="292"/>
      <c r="U91" s="215"/>
      <c r="AB91" s="334"/>
      <c r="AC91" s="334"/>
    </row>
    <row r="92" spans="1:29" hidden="1" outlineLevel="1" x14ac:dyDescent="0.2">
      <c r="A92" s="294"/>
      <c r="B92" s="287"/>
      <c r="C92" s="288"/>
      <c r="E92" s="337"/>
      <c r="F92" s="309"/>
      <c r="G92" s="308"/>
      <c r="H92" s="337"/>
      <c r="J92" s="337"/>
      <c r="K92" s="309"/>
      <c r="L92" s="308"/>
      <c r="M92" s="337"/>
      <c r="O92" s="1"/>
      <c r="P92" s="246"/>
      <c r="R92" s="1"/>
      <c r="T92" s="292"/>
      <c r="U92" s="215"/>
      <c r="AB92" s="334"/>
      <c r="AC92" s="334"/>
    </row>
    <row r="93" spans="1:29" collapsed="1" x14ac:dyDescent="0.2">
      <c r="A93" s="279" t="str">
        <f>IFERROR(IF(_xlfn.XLOOKUP(9,Liability[Num],Liability[Name])=0,"",_xlfn.XLOOKUP(9,Liability[Num],Liability[Name])),"")</f>
        <v>Notes Payable</v>
      </c>
      <c r="B93" s="283">
        <f>IF(_xlfn.XLOOKUP(A93,BegBalSht[Account],BegBalSht[BalType])="Debit",-_xlfn.XLOOKUP(A93,BegBalSht[Account],BegBalSht[Amount]),0)</f>
        <v>0</v>
      </c>
      <c r="C93" s="284">
        <f>IF(_xlfn.XLOOKUP(A93,BegBalSht[Account],BegBalSht[BalType])="Credit",_xlfn.XLOOKUP(A93,BegBalSht[Account],BegBalSht[Amount]),0)</f>
        <v>0</v>
      </c>
      <c r="E93" s="337"/>
      <c r="F93" s="311"/>
      <c r="G93" s="325"/>
      <c r="H93" s="337"/>
      <c r="J93" s="337"/>
      <c r="K93" s="311"/>
      <c r="L93" s="325"/>
      <c r="M93" s="337"/>
      <c r="O93" s="295" t="str">
        <f>IFERROR($V$1&amp;_xlfn.XLOOKUP(Indirect_CFO_Worksheet_Tool!A93,Liability[Name],Liability[Abbr]),"")</f>
        <v>ΔNP</v>
      </c>
      <c r="P93" s="275">
        <f>IF((T93-U93)-(B93-C93)-SUM(F93:F96)+SUM(G93:G96)-SUM(K93:K96)+SUM(L93:L96)&gt;0,(T93-U93)-(B93-C93)-SUM(F93:F96)+SUM(G93:G96)-SUM(K93:K96)+SUM(L93:L96),0)</f>
        <v>0</v>
      </c>
      <c r="Q93" s="312">
        <f>IF((T93-U93)-(B93-C93)-SUM(F93:F96)+SUM(G93:G96)-SUM(K93:K96)+SUM(L93:L96)&lt;0,-((T93-U93)-(B93-C93)-SUM(F93:F96)+SUM(G93:G96)-SUM(K93:K96)+SUM(L93:L96)),0)</f>
        <v>0</v>
      </c>
      <c r="R93" s="295" t="str">
        <f t="shared" si="4"/>
        <v>ΔNP</v>
      </c>
      <c r="T93" s="283">
        <f>IF(Y93&gt;0,Y93,0)</f>
        <v>0</v>
      </c>
      <c r="U93" s="284">
        <f>IF(Z93&gt;0,Z93,0)</f>
        <v>0</v>
      </c>
      <c r="W93" s="42">
        <f>SUMIF(Journal[DrAccnt],A93,Journal[DrAmt])</f>
        <v>0</v>
      </c>
      <c r="X93" s="42">
        <f>SUMIF(Journal[CrAccnt],A93,Journal[CrAmt])</f>
        <v>0</v>
      </c>
      <c r="Y93" s="252">
        <f>B93-C93+W93-X93</f>
        <v>0</v>
      </c>
      <c r="Z93" s="252">
        <f>C93-B93+X93-W93</f>
        <v>0</v>
      </c>
      <c r="AB93" s="334"/>
      <c r="AC93" s="334"/>
    </row>
    <row r="94" spans="1:29" hidden="1" outlineLevel="1" x14ac:dyDescent="0.2">
      <c r="A94" s="215"/>
      <c r="B94" s="285"/>
      <c r="C94" s="286"/>
      <c r="E94" s="337"/>
      <c r="F94" s="309"/>
      <c r="G94" s="308"/>
      <c r="H94" s="337"/>
      <c r="J94" s="337"/>
      <c r="K94" s="309"/>
      <c r="L94" s="308"/>
      <c r="M94" s="337"/>
      <c r="O94" s="1"/>
      <c r="P94" s="246"/>
      <c r="R94" s="1"/>
      <c r="T94" s="292"/>
      <c r="U94" s="215"/>
      <c r="AB94" s="334"/>
      <c r="AC94" s="334"/>
    </row>
    <row r="95" spans="1:29" hidden="1" outlineLevel="1" x14ac:dyDescent="0.2">
      <c r="A95" s="215"/>
      <c r="B95" s="285"/>
      <c r="C95" s="286"/>
      <c r="E95" s="337"/>
      <c r="F95" s="309"/>
      <c r="G95" s="308"/>
      <c r="H95" s="337"/>
      <c r="J95" s="337"/>
      <c r="K95" s="309"/>
      <c r="L95" s="308"/>
      <c r="M95" s="337"/>
      <c r="O95" s="1"/>
      <c r="P95" s="246"/>
      <c r="R95" s="1"/>
      <c r="T95" s="292"/>
      <c r="U95" s="215"/>
      <c r="AB95" s="334"/>
      <c r="AC95" s="334"/>
    </row>
    <row r="96" spans="1:29" hidden="1" outlineLevel="1" x14ac:dyDescent="0.2">
      <c r="A96" s="294"/>
      <c r="B96" s="287"/>
      <c r="C96" s="288"/>
      <c r="E96" s="337"/>
      <c r="F96" s="309"/>
      <c r="G96" s="308"/>
      <c r="H96" s="337"/>
      <c r="J96" s="337"/>
      <c r="K96" s="309"/>
      <c r="L96" s="308"/>
      <c r="M96" s="337"/>
      <c r="O96" s="1"/>
      <c r="P96" s="246"/>
      <c r="R96" s="1"/>
      <c r="T96" s="292"/>
      <c r="U96" s="215"/>
      <c r="AB96" s="334"/>
      <c r="AC96" s="334"/>
    </row>
    <row r="97" spans="1:29" collapsed="1" x14ac:dyDescent="0.2">
      <c r="A97" s="279" t="str">
        <f>IFERROR(IF(_xlfn.XLOOKUP(10,Liability[Num],Liability[Name])=0,"",_xlfn.XLOOKUP(10,Liability[Num],Liability[Name])),"")</f>
        <v>Senior Debt</v>
      </c>
      <c r="B97" s="283">
        <f>IF(_xlfn.XLOOKUP(A97,BegBalSht[Account],BegBalSht[BalType])="Debit",-_xlfn.XLOOKUP(A97,BegBalSht[Account],BegBalSht[Amount]),0)</f>
        <v>0</v>
      </c>
      <c r="C97" s="284">
        <f>IF(_xlfn.XLOOKUP(A97,BegBalSht[Account],BegBalSht[BalType])="Credit",_xlfn.XLOOKUP(A97,BegBalSht[Account],BegBalSht[Amount]),0)</f>
        <v>0</v>
      </c>
      <c r="E97" s="337"/>
      <c r="F97" s="311"/>
      <c r="G97" s="325"/>
      <c r="H97" s="337"/>
      <c r="J97" s="337"/>
      <c r="K97" s="311"/>
      <c r="L97" s="325"/>
      <c r="M97" s="337"/>
      <c r="O97" s="295" t="str">
        <f>IFERROR($V$1&amp;_xlfn.XLOOKUP(Indirect_CFO_Worksheet_Tool!A97,Liability[Name],Liability[Abbr]),"")</f>
        <v>ΔSenDbt</v>
      </c>
      <c r="P97" s="275">
        <f>IF((T97-U97)-(B97-C97)-SUM(F97:F100)+SUM(G97:G100)-SUM(K97:K100)+SUM(L97:L100)&gt;0,(T97-U97)-(B97-C97)-SUM(F97:F100)+SUM(G97:G100)-SUM(K97:K100)+SUM(L97:L100),0)</f>
        <v>0</v>
      </c>
      <c r="Q97" s="312">
        <f>IF((T97-U97)-(B97-C97)-SUM(F97:F100)+SUM(G97:G100)-SUM(K97:K100)+SUM(L97:L100)&lt;0,-((T97-U97)-(B97-C97)-SUM(F97:F100)+SUM(G97:G100)-SUM(K97:K100)+SUM(L97:L100)),0)</f>
        <v>0</v>
      </c>
      <c r="R97" s="295" t="str">
        <f t="shared" si="4"/>
        <v>ΔSenDbt</v>
      </c>
      <c r="T97" s="283">
        <f>IF(Y97&gt;0,Y97,0)</f>
        <v>0</v>
      </c>
      <c r="U97" s="284">
        <f>IF(Z97&gt;0,Z97,0)</f>
        <v>0</v>
      </c>
      <c r="W97" s="42">
        <f>SUMIF(Journal[DrAccnt],A97,Journal[DrAmt])</f>
        <v>0</v>
      </c>
      <c r="X97" s="42">
        <f>SUMIF(Journal[CrAccnt],A97,Journal[CrAmt])</f>
        <v>0</v>
      </c>
      <c r="Y97" s="252">
        <f>B97-C97+W97-X97</f>
        <v>0</v>
      </c>
      <c r="Z97" s="252">
        <f>C97-B97+X97-W97</f>
        <v>0</v>
      </c>
      <c r="AB97" s="334"/>
      <c r="AC97" s="334"/>
    </row>
    <row r="98" spans="1:29" hidden="1" outlineLevel="1" x14ac:dyDescent="0.2">
      <c r="A98" s="215"/>
      <c r="B98" s="285"/>
      <c r="C98" s="286"/>
      <c r="E98" s="337"/>
      <c r="F98" s="309"/>
      <c r="G98" s="308"/>
      <c r="H98" s="337"/>
      <c r="J98" s="337"/>
      <c r="K98" s="309"/>
      <c r="L98" s="308"/>
      <c r="M98" s="337"/>
      <c r="O98" s="1"/>
      <c r="P98" s="246"/>
      <c r="R98" s="1"/>
      <c r="T98" s="292"/>
      <c r="U98" s="215"/>
      <c r="Y98" s="143"/>
      <c r="Z98" s="42"/>
      <c r="AB98" s="334"/>
      <c r="AC98" s="334"/>
    </row>
    <row r="99" spans="1:29" hidden="1" outlineLevel="1" x14ac:dyDescent="0.2">
      <c r="A99" s="215"/>
      <c r="B99" s="285"/>
      <c r="C99" s="286"/>
      <c r="E99" s="337"/>
      <c r="F99" s="309"/>
      <c r="G99" s="308"/>
      <c r="H99" s="337"/>
      <c r="J99" s="337"/>
      <c r="K99" s="309"/>
      <c r="L99" s="308"/>
      <c r="M99" s="337"/>
      <c r="O99" s="1"/>
      <c r="P99" s="246"/>
      <c r="R99" s="1"/>
      <c r="T99" s="292"/>
      <c r="U99" s="215"/>
      <c r="AB99" s="334"/>
      <c r="AC99" s="334"/>
    </row>
    <row r="100" spans="1:29" hidden="1" outlineLevel="1" x14ac:dyDescent="0.2">
      <c r="A100" s="215"/>
      <c r="B100" s="285"/>
      <c r="C100" s="286"/>
      <c r="E100" s="337"/>
      <c r="F100" s="309"/>
      <c r="G100" s="308"/>
      <c r="H100" s="337"/>
      <c r="J100" s="337"/>
      <c r="K100" s="309"/>
      <c r="L100" s="308"/>
      <c r="M100" s="337"/>
      <c r="O100" s="1"/>
      <c r="P100" s="246"/>
      <c r="R100" s="1"/>
      <c r="T100" s="292"/>
      <c r="U100" s="215"/>
      <c r="AB100" s="334"/>
      <c r="AC100" s="334"/>
    </row>
    <row r="101" spans="1:29" collapsed="1" x14ac:dyDescent="0.2">
      <c r="A101" s="279" t="str">
        <f>IFERROR(IF(_xlfn.XLOOKUP(11,Liability[Num],Liability[Name])=0,"",_xlfn.XLOOKUP(11,Liability[Num],Liability[Name])),"")</f>
        <v>Subordinated Debt</v>
      </c>
      <c r="B101" s="283">
        <f>IF(_xlfn.XLOOKUP(A101,BegBalSht[Account],BegBalSht[BalType])="Debit",-_xlfn.XLOOKUP(A101,BegBalSht[Account],BegBalSht[Amount]),0)</f>
        <v>0</v>
      </c>
      <c r="C101" s="284">
        <f>IF(_xlfn.XLOOKUP(A101,BegBalSht[Account],BegBalSht[BalType])="Credit",_xlfn.XLOOKUP(A101,BegBalSht[Account],BegBalSht[Amount]),0)</f>
        <v>0</v>
      </c>
      <c r="E101" s="337"/>
      <c r="F101" s="311"/>
      <c r="G101" s="325"/>
      <c r="H101" s="337"/>
      <c r="J101" s="337"/>
      <c r="K101" s="311"/>
      <c r="L101" s="325"/>
      <c r="M101" s="337"/>
      <c r="O101" s="295" t="str">
        <f>IFERROR($V$1&amp;_xlfn.XLOOKUP(Indirect_CFO_Worksheet_Tool!A101,Liability[Name],Liability[Abbr]),"")</f>
        <v>ΔSubDbt</v>
      </c>
      <c r="P101" s="275">
        <f>IF((T101-U101)-(B101-C101)-SUM(F101:F104)+SUM(G101:G104)-SUM(K101:K104)+SUM(L101:L104)&gt;0,(T101-U101)-(B101-C101)-SUM(F101:F104)+SUM(G101:G104)-SUM(K101:K104)+SUM(L101:L104),0)</f>
        <v>0</v>
      </c>
      <c r="Q101" s="312">
        <f>IF((T101-U101)-(B101-C101)-SUM(F101:F104)+SUM(G101:G104)-SUM(K101:K104)+SUM(L101:L104)&lt;0,-((T101-U101)-(B101-C101)-SUM(F101:F104)+SUM(G101:G104)-SUM(K101:K104)+SUM(L101:L104)),0)</f>
        <v>0</v>
      </c>
      <c r="R101" s="295" t="str">
        <f t="shared" si="4"/>
        <v>ΔSubDbt</v>
      </c>
      <c r="T101" s="283">
        <f>IF(Y101&gt;0,Y101,0)</f>
        <v>0</v>
      </c>
      <c r="U101" s="284">
        <f>IF(Z101&gt;0,Z101,0)</f>
        <v>0</v>
      </c>
      <c r="W101" s="42">
        <f>SUMIF(Journal[DrAccnt],A101,Journal[DrAmt])</f>
        <v>0</v>
      </c>
      <c r="X101" s="42">
        <f>SUMIF(Journal[CrAccnt],A101,Journal[CrAmt])</f>
        <v>0</v>
      </c>
      <c r="Y101" s="252">
        <f>B101-C101+W101-X101</f>
        <v>0</v>
      </c>
      <c r="Z101" s="252">
        <f>C101-B101+X101-W101</f>
        <v>0</v>
      </c>
      <c r="AB101" s="334"/>
      <c r="AC101" s="334"/>
    </row>
    <row r="102" spans="1:29" hidden="1" outlineLevel="1" x14ac:dyDescent="0.2">
      <c r="A102" s="215"/>
      <c r="B102" s="285"/>
      <c r="C102" s="289"/>
      <c r="E102" s="337"/>
      <c r="F102" s="309"/>
      <c r="G102" s="308"/>
      <c r="H102" s="337"/>
      <c r="J102" s="337"/>
      <c r="K102" s="309"/>
      <c r="L102" s="308"/>
      <c r="M102" s="337"/>
      <c r="O102" s="1"/>
      <c r="P102" s="246"/>
      <c r="R102" s="1"/>
      <c r="T102" s="292"/>
      <c r="U102" s="215"/>
      <c r="AB102" s="334"/>
      <c r="AC102" s="334"/>
    </row>
    <row r="103" spans="1:29" hidden="1" outlineLevel="1" x14ac:dyDescent="0.2">
      <c r="A103" s="215"/>
      <c r="B103" s="285"/>
      <c r="C103" s="289"/>
      <c r="E103" s="337"/>
      <c r="F103" s="309"/>
      <c r="G103" s="308"/>
      <c r="H103" s="337"/>
      <c r="J103" s="337"/>
      <c r="K103" s="309"/>
      <c r="L103" s="308"/>
      <c r="M103" s="337"/>
      <c r="O103" s="1"/>
      <c r="P103" s="246"/>
      <c r="R103" s="1"/>
      <c r="T103" s="292"/>
      <c r="U103" s="215"/>
      <c r="AB103" s="334"/>
      <c r="AC103" s="334"/>
    </row>
    <row r="104" spans="1:29" hidden="1" outlineLevel="1" x14ac:dyDescent="0.2">
      <c r="A104" s="215"/>
      <c r="B104" s="285"/>
      <c r="C104" s="286"/>
      <c r="E104" s="337"/>
      <c r="F104" s="309"/>
      <c r="G104" s="308"/>
      <c r="H104" s="337"/>
      <c r="J104" s="337"/>
      <c r="K104" s="309"/>
      <c r="L104" s="308"/>
      <c r="M104" s="337"/>
      <c r="O104" s="1"/>
      <c r="P104" s="246"/>
      <c r="R104" s="1"/>
      <c r="T104" s="292"/>
      <c r="U104" s="215"/>
      <c r="AB104" s="334"/>
      <c r="AC104" s="334"/>
    </row>
    <row r="105" spans="1:29" collapsed="1" x14ac:dyDescent="0.2">
      <c r="A105" s="279" t="str">
        <f>IFERROR(IF(_xlfn.XLOOKUP(12,Liability[Num],Liability[Name])=0,"",_xlfn.XLOOKUP(12,Liability[Num],Liability[Name])),"")</f>
        <v>Salaries &amp; Wages Payable</v>
      </c>
      <c r="B105" s="283">
        <f>IF(_xlfn.XLOOKUP(A105,BegBalSht[Account],BegBalSht[BalType])="Debit",-_xlfn.XLOOKUP(A105,BegBalSht[Account],BegBalSht[Amount]),0)</f>
        <v>0</v>
      </c>
      <c r="C105" s="284">
        <f>IF(_xlfn.XLOOKUP(A105,BegBalSht[Account],BegBalSht[BalType])="Credit",_xlfn.XLOOKUP(A105,BegBalSht[Account],BegBalSht[Amount]),0)</f>
        <v>0</v>
      </c>
      <c r="E105" s="337"/>
      <c r="F105" s="311"/>
      <c r="G105" s="325"/>
      <c r="H105" s="337"/>
      <c r="J105" s="337"/>
      <c r="K105" s="311"/>
      <c r="L105" s="325"/>
      <c r="M105" s="337"/>
      <c r="O105" s="295" t="str">
        <f>IFERROR($V$1&amp;_xlfn.XLOOKUP(Indirect_CFO_Worksheet_Tool!A105,Liability[Name],Liability[Abbr]),"")</f>
        <v>ΔSWP</v>
      </c>
      <c r="P105" s="275">
        <f>IF((T105-U105)-(B105-C105)-SUM(F105:F108)+SUM(G105:G108)-SUM(K105:K108)+SUM(L105:L108)&gt;0,(T105-U105)-(B105-C105)-SUM(F105:F108)+SUM(G105:G108)-SUM(K105:K108)+SUM(L105:L108),0)</f>
        <v>0</v>
      </c>
      <c r="Q105" s="312">
        <f>IF((T105-U105)-(B105-C105)-SUM(F105:F108)+SUM(G105:G108)-SUM(K105:K108)+SUM(L105:L108)&lt;0,-((T105-U105)-(B105-C105)-SUM(F105:F108)+SUM(G105:G108)-SUM(K105:K108)+SUM(L105:L108)),0)</f>
        <v>0</v>
      </c>
      <c r="R105" s="295" t="str">
        <f t="shared" si="4"/>
        <v>ΔSWP</v>
      </c>
      <c r="T105" s="283">
        <f>IF(Y105&gt;0,Y105,0)</f>
        <v>0</v>
      </c>
      <c r="U105" s="284">
        <f>IF(Z105&gt;0,Z105,0)</f>
        <v>0</v>
      </c>
      <c r="W105" s="42">
        <f>SUMIF(Journal[DrAccnt],A105,Journal[DrAmt])</f>
        <v>0</v>
      </c>
      <c r="X105" s="42">
        <f>SUMIF(Journal[CrAccnt],A105,Journal[CrAmt])</f>
        <v>0</v>
      </c>
      <c r="Y105" s="252">
        <f>B105-C105+W105-X105</f>
        <v>0</v>
      </c>
      <c r="Z105" s="252">
        <f>C105-B105+X105-W105</f>
        <v>0</v>
      </c>
      <c r="AB105" s="334"/>
      <c r="AC105" s="334"/>
    </row>
    <row r="106" spans="1:29" hidden="1" outlineLevel="1" x14ac:dyDescent="0.2">
      <c r="A106" s="215"/>
      <c r="B106" s="285"/>
      <c r="C106" s="289"/>
      <c r="E106" s="11"/>
      <c r="F106" s="303"/>
      <c r="G106" s="304"/>
      <c r="H106" s="11"/>
      <c r="J106" s="11"/>
      <c r="K106" s="303"/>
      <c r="L106" s="304"/>
      <c r="M106" s="11"/>
      <c r="O106" s="1"/>
      <c r="P106" s="246"/>
      <c r="R106" s="1"/>
      <c r="T106" s="292"/>
      <c r="U106" s="215"/>
      <c r="AB106" s="334"/>
      <c r="AC106" s="334"/>
    </row>
    <row r="107" spans="1:29" hidden="1" outlineLevel="1" x14ac:dyDescent="0.2">
      <c r="A107" s="215"/>
      <c r="B107" s="285"/>
      <c r="C107" s="289"/>
      <c r="E107" s="11"/>
      <c r="F107" s="303"/>
      <c r="G107" s="304"/>
      <c r="H107" s="11"/>
      <c r="J107" s="11"/>
      <c r="K107" s="303"/>
      <c r="L107" s="304"/>
      <c r="M107" s="11"/>
      <c r="O107" s="1"/>
      <c r="P107" s="246"/>
      <c r="R107" s="1"/>
      <c r="T107" s="292"/>
      <c r="U107" s="215"/>
      <c r="AB107" s="334"/>
      <c r="AC107" s="334"/>
    </row>
    <row r="108" spans="1:29" hidden="1" outlineLevel="1" x14ac:dyDescent="0.2">
      <c r="A108" s="215"/>
      <c r="B108" s="285"/>
      <c r="C108" s="286"/>
      <c r="E108" s="11"/>
      <c r="F108" s="303"/>
      <c r="G108" s="304"/>
      <c r="H108" s="11"/>
      <c r="J108" s="11"/>
      <c r="K108" s="303"/>
      <c r="L108" s="304"/>
      <c r="M108" s="11"/>
      <c r="O108" s="1"/>
      <c r="P108" s="246"/>
      <c r="R108" s="1"/>
      <c r="T108" s="292"/>
      <c r="U108" s="215"/>
      <c r="AB108" s="334"/>
      <c r="AC108" s="334"/>
    </row>
    <row r="109" spans="1:29" collapsed="1" x14ac:dyDescent="0.2">
      <c r="A109" s="270" t="s">
        <v>365</v>
      </c>
      <c r="B109" s="271"/>
      <c r="C109" s="272"/>
      <c r="D109" s="262"/>
      <c r="E109" s="324"/>
      <c r="F109" s="273"/>
      <c r="G109" s="274"/>
      <c r="H109" s="324"/>
      <c r="I109" s="262"/>
      <c r="J109" s="324"/>
      <c r="K109" s="273"/>
      <c r="L109" s="274"/>
      <c r="M109" s="324"/>
      <c r="N109" s="262"/>
      <c r="O109" s="263"/>
      <c r="P109" s="273"/>
      <c r="Q109" s="274"/>
      <c r="R109" s="263"/>
      <c r="S109" s="262"/>
      <c r="T109" s="273"/>
      <c r="U109" s="274"/>
      <c r="AB109" s="334"/>
      <c r="AC109" s="334"/>
    </row>
    <row r="110" spans="1:29" x14ac:dyDescent="0.2">
      <c r="A110" s="279" t="str">
        <f>IFERROR(IF(_xlfn.XLOOKUP(1,Equity[Num],Equity[Name])=0,"",_xlfn.XLOOKUP(1,Equity[Num],Equity[Name])),"")</f>
        <v>Preferred Stock</v>
      </c>
      <c r="B110" s="283" cm="1">
        <f t="array" ref="B110">IF(AND(OR(_xlfn.XLOOKUP(A110,BegBalSht[Account],BegBalSht[BalType]="Debit"),_xlfn.XLOOKUP(A110,BegBalSht[Account],BegBalSht[BalType]="Either")),_xlfn.XLOOKUP(A110,BegBalSht[Account],BegBalSht[Amount])&lt;0),-_xlfn.XLOOKUP(A110,BegBalSht[Account],BegBalSht[Amount]),0)</f>
        <v>0</v>
      </c>
      <c r="C110" s="284" cm="1">
        <f t="array" ref="C110">IF(AND(OR(_xlfn.XLOOKUP(A110,BegBalSht[Account],BegBalSht[BalType]="Credit"),_xlfn.XLOOKUP(A110,BegBalSht[Account],BegBalSht[BalType]="Either")),_xlfn.XLOOKUP(A110,BegBalSht[Account],BegBalSht[Amount])&gt;0),_xlfn.XLOOKUP(A110,BegBalSht[Account],BegBalSht[Amount]),0)</f>
        <v>0</v>
      </c>
      <c r="E110" s="337"/>
      <c r="F110" s="311"/>
      <c r="G110" s="325"/>
      <c r="H110" s="337"/>
      <c r="J110" s="337"/>
      <c r="K110" s="311"/>
      <c r="L110" s="325"/>
      <c r="M110" s="337"/>
      <c r="O110" s="295" t="str">
        <f>IFERROR($V$1&amp;_xlfn.XLOOKUP(Indirect_CFO_Worksheet_Tool!A110,Equity[Name],Equity[Abbr]),"")</f>
        <v>ΔPrefStk</v>
      </c>
      <c r="P110" s="275">
        <f>IF((T110-U110)-(B110-C110)-SUM(F110:F113)+SUM(G110:G113)-SUM(K110:K113)+SUM(L110:L113)&gt;0,(T110-U110)-(B110-C110)-SUM(F110:F113)+SUM(G110:G113)-SUM(K110:K113)+SUM(L110:L113),0)</f>
        <v>0</v>
      </c>
      <c r="Q110" s="312">
        <f>IF((T110-U110)-(B110-C110)-SUM(F110:F113)+SUM(G110:G113)-SUM(K110:K113)+SUM(L110:L113)&lt;0,-((T110-U110)-(B110-C110)-SUM(F110:F113)+SUM(G110:G113)-SUM(K110:K113)+SUM(L110:L113)),0)</f>
        <v>0</v>
      </c>
      <c r="R110" s="295" t="str">
        <f t="shared" si="4"/>
        <v>ΔPrefStk</v>
      </c>
      <c r="T110" s="283">
        <f>IF(Y110&gt;0,Y110,0)</f>
        <v>0</v>
      </c>
      <c r="U110" s="284">
        <f>IF(Z110&gt;0,Z110,0)</f>
        <v>0</v>
      </c>
      <c r="W110" s="42">
        <f>SUMIF(Journal[DrAccnt],A110,Journal[DrAmt])</f>
        <v>0</v>
      </c>
      <c r="X110" s="42">
        <f>SUMIF(Journal[CrAccnt],A110,Journal[CrAmt])</f>
        <v>0</v>
      </c>
      <c r="Y110" s="252">
        <f>B110-C110+W110-X110</f>
        <v>0</v>
      </c>
      <c r="Z110" s="252">
        <f>C110-B110+X110-W110</f>
        <v>0</v>
      </c>
      <c r="AB110" s="334"/>
      <c r="AC110" s="334"/>
    </row>
    <row r="111" spans="1:29" hidden="1" outlineLevel="1" x14ac:dyDescent="0.2">
      <c r="A111" s="215"/>
      <c r="B111" s="285"/>
      <c r="C111" s="289"/>
      <c r="E111" s="337"/>
      <c r="F111" s="309"/>
      <c r="G111" s="308"/>
      <c r="H111" s="337"/>
      <c r="J111" s="337"/>
      <c r="K111" s="309"/>
      <c r="L111" s="308"/>
      <c r="M111" s="337"/>
      <c r="O111" s="1"/>
      <c r="P111" s="246"/>
      <c r="R111" s="1"/>
      <c r="T111" s="292"/>
      <c r="U111" s="215"/>
      <c r="AB111" s="334"/>
      <c r="AC111" s="334"/>
    </row>
    <row r="112" spans="1:29" hidden="1" outlineLevel="1" x14ac:dyDescent="0.2">
      <c r="A112" s="215"/>
      <c r="B112" s="285"/>
      <c r="C112" s="289"/>
      <c r="E112" s="337"/>
      <c r="F112" s="309"/>
      <c r="G112" s="308"/>
      <c r="H112" s="337"/>
      <c r="J112" s="337"/>
      <c r="K112" s="309"/>
      <c r="L112" s="308"/>
      <c r="M112" s="337"/>
      <c r="O112" s="1"/>
      <c r="P112" s="246"/>
      <c r="R112" s="1"/>
      <c r="T112" s="292"/>
      <c r="U112" s="215"/>
      <c r="AB112" s="334"/>
      <c r="AC112" s="334"/>
    </row>
    <row r="113" spans="1:29" hidden="1" outlineLevel="1" collapsed="1" x14ac:dyDescent="0.2">
      <c r="A113" s="215"/>
      <c r="B113" s="285"/>
      <c r="C113" s="286"/>
      <c r="E113" s="337"/>
      <c r="F113" s="309"/>
      <c r="G113" s="308"/>
      <c r="H113" s="337"/>
      <c r="J113" s="337"/>
      <c r="K113" s="309"/>
      <c r="L113" s="308"/>
      <c r="M113" s="337"/>
      <c r="O113" s="1"/>
      <c r="P113" s="246"/>
      <c r="R113" s="1"/>
      <c r="T113" s="292"/>
      <c r="U113" s="215"/>
      <c r="AB113" s="334"/>
      <c r="AC113" s="334"/>
    </row>
    <row r="114" spans="1:29" collapsed="1" x14ac:dyDescent="0.2">
      <c r="A114" s="279" t="str">
        <f>IFERROR(IF(_xlfn.XLOOKUP(2,Equity[Num],Equity[Name])=0,"",_xlfn.XLOOKUP(2,Equity[Num],Equity[Name])),"")</f>
        <v>Common Stock</v>
      </c>
      <c r="B114" s="283" cm="1">
        <f t="array" ref="B114">IF(AND(OR(_xlfn.XLOOKUP(A114,BegBalSht[Account],BegBalSht[BalType]="Debit"),_xlfn.XLOOKUP(A114,BegBalSht[Account],BegBalSht[BalType]="Either")),_xlfn.XLOOKUP(A114,BegBalSht[Account],BegBalSht[Amount])&lt;0),-_xlfn.XLOOKUP(A114,BegBalSht[Account],BegBalSht[Amount]),0)</f>
        <v>0</v>
      </c>
      <c r="C114" s="284" cm="1">
        <f t="array" ref="C114">IF(AND(OR(_xlfn.XLOOKUP(A114,BegBalSht[Account],BegBalSht[BalType]="Credit"),_xlfn.XLOOKUP(A114,BegBalSht[Account],BegBalSht[BalType]="Either")),_xlfn.XLOOKUP(A114,BegBalSht[Account],BegBalSht[Amount])&gt;0),_xlfn.XLOOKUP(A114,BegBalSht[Account],BegBalSht[Amount]),0)</f>
        <v>0</v>
      </c>
      <c r="E114" s="337"/>
      <c r="F114" s="311"/>
      <c r="G114" s="325"/>
      <c r="H114" s="337"/>
      <c r="J114" s="337"/>
      <c r="K114" s="311"/>
      <c r="L114" s="325"/>
      <c r="M114" s="337"/>
      <c r="O114" s="295" t="str">
        <f>IFERROR($V$1&amp;_xlfn.XLOOKUP(Indirect_CFO_Worksheet_Tool!A114,Equity[Name],Equity[Abbr]),"")</f>
        <v>ΔCS</v>
      </c>
      <c r="P114" s="275">
        <f>IF((T114-U114)-(B114-C114)-SUM(F114:F117)+SUM(G114:G117)-SUM(K114:K117)+SUM(L114:L117)&gt;0,(T114-U114)-(B114-C114)-SUM(F114:F117)+SUM(G114:G117)-SUM(K114:K117)+SUM(L114:L117),0)</f>
        <v>0</v>
      </c>
      <c r="Q114" s="312">
        <f>IF((T114-U114)-(B114-C114)-SUM(F114:F117)+SUM(G114:G117)-SUM(K114:K117)+SUM(L114:L117)&lt;0,-((T114-U114)-(B114-C114)-SUM(F114:F117)+SUM(G114:G117)-SUM(K114:K117)+SUM(L114:L117)),0)</f>
        <v>0</v>
      </c>
      <c r="R114" s="295" t="str">
        <f t="shared" si="4"/>
        <v>ΔCS</v>
      </c>
      <c r="T114" s="283">
        <f>IF(Y114&gt;0,Y114,0)</f>
        <v>0</v>
      </c>
      <c r="U114" s="284">
        <f>IF(Z114&gt;0,Z114,0)</f>
        <v>0</v>
      </c>
      <c r="W114" s="42">
        <f>SUMIF(Journal[DrAccnt],A114,Journal[DrAmt])</f>
        <v>0</v>
      </c>
      <c r="X114" s="42">
        <f>SUMIF(Journal[CrAccnt],A114,Journal[CrAmt])</f>
        <v>0</v>
      </c>
      <c r="Y114" s="252">
        <f>B114-C114+W114-X114</f>
        <v>0</v>
      </c>
      <c r="Z114" s="252">
        <f>C114-B114+X114-W114</f>
        <v>0</v>
      </c>
      <c r="AB114" s="334"/>
      <c r="AC114" s="334"/>
    </row>
    <row r="115" spans="1:29" hidden="1" outlineLevel="1" x14ac:dyDescent="0.2">
      <c r="A115" s="215"/>
      <c r="B115" s="285"/>
      <c r="C115" s="289"/>
      <c r="E115" s="337"/>
      <c r="F115" s="309"/>
      <c r="G115" s="308"/>
      <c r="H115" s="337"/>
      <c r="J115" s="337"/>
      <c r="K115" s="309"/>
      <c r="L115" s="308"/>
      <c r="M115" s="337"/>
      <c r="O115" s="1"/>
      <c r="P115" s="246"/>
      <c r="R115" s="1"/>
      <c r="T115" s="292"/>
      <c r="U115" s="215"/>
      <c r="AB115" s="334"/>
      <c r="AC115" s="334"/>
    </row>
    <row r="116" spans="1:29" hidden="1" outlineLevel="1" x14ac:dyDescent="0.2">
      <c r="A116" s="215"/>
      <c r="B116" s="285"/>
      <c r="C116" s="289"/>
      <c r="E116" s="337"/>
      <c r="F116" s="309"/>
      <c r="G116" s="308"/>
      <c r="H116" s="337"/>
      <c r="J116" s="337"/>
      <c r="K116" s="309"/>
      <c r="L116" s="308"/>
      <c r="M116" s="337"/>
      <c r="O116" s="1"/>
      <c r="P116" s="246"/>
      <c r="R116" s="1"/>
      <c r="T116" s="292"/>
      <c r="U116" s="215"/>
      <c r="AB116" s="334"/>
      <c r="AC116" s="334"/>
    </row>
    <row r="117" spans="1:29" hidden="1" outlineLevel="1" collapsed="1" x14ac:dyDescent="0.2">
      <c r="A117" s="215"/>
      <c r="B117" s="285"/>
      <c r="C117" s="286"/>
      <c r="E117" s="337"/>
      <c r="F117" s="309"/>
      <c r="G117" s="308"/>
      <c r="H117" s="337"/>
      <c r="J117" s="337"/>
      <c r="K117" s="309"/>
      <c r="L117" s="308"/>
      <c r="M117" s="337"/>
      <c r="O117" s="1"/>
      <c r="P117" s="246"/>
      <c r="R117" s="1"/>
      <c r="T117" s="292"/>
      <c r="U117" s="215"/>
      <c r="AB117" s="334"/>
      <c r="AC117" s="334"/>
    </row>
    <row r="118" spans="1:29" collapsed="1" x14ac:dyDescent="0.2">
      <c r="A118" s="279" t="str">
        <f>IFERROR(IF(_xlfn.XLOOKUP(3,Equity[Num],Equity[Name])=0,"",_xlfn.XLOOKUP(3,Equity[Num],Equity[Name])),"")</f>
        <v>Additional Paid-in Capital</v>
      </c>
      <c r="B118" s="283" cm="1">
        <f t="array" ref="B118">IF(AND(OR(_xlfn.XLOOKUP(A118,BegBalSht[Account],BegBalSht[BalType]="Debit"),_xlfn.XLOOKUP(A118,BegBalSht[Account],BegBalSht[BalType]="Either")),_xlfn.XLOOKUP(A118,BegBalSht[Account],BegBalSht[Amount])&lt;0),-_xlfn.XLOOKUP(A118,BegBalSht[Account],BegBalSht[Amount]),0)</f>
        <v>0</v>
      </c>
      <c r="C118" s="284" cm="1">
        <f t="array" ref="C118">IF(AND(OR(_xlfn.XLOOKUP(A118,BegBalSht[Account],BegBalSht[BalType]="Credit"),_xlfn.XLOOKUP(A118,BegBalSht[Account],BegBalSht[BalType]="Either")),_xlfn.XLOOKUP(A118,BegBalSht[Account],BegBalSht[Amount])&gt;0),_xlfn.XLOOKUP(A118,BegBalSht[Account],BegBalSht[Amount]),0)</f>
        <v>0</v>
      </c>
      <c r="E118" s="337"/>
      <c r="F118" s="311"/>
      <c r="G118" s="325"/>
      <c r="H118" s="337"/>
      <c r="J118" s="337"/>
      <c r="K118" s="311"/>
      <c r="L118" s="325"/>
      <c r="M118" s="337"/>
      <c r="O118" s="295" t="str">
        <f>IFERROR($V$1&amp;_xlfn.XLOOKUP(Indirect_CFO_Worksheet_Tool!A118,Equity[Name],Equity[Abbr]),"")</f>
        <v>ΔAPIC</v>
      </c>
      <c r="P118" s="275">
        <f>IF((T118-U118)-(B118-C118)-SUM(F118:F121)+SUM(G118:G121)-SUM(K118:K121)+SUM(L118:L121)&gt;0,(T118-U118)-(B118-C118)-SUM(F118:F121)+SUM(G118:G121)-SUM(K118:K121)+SUM(L118:L121),0)</f>
        <v>0</v>
      </c>
      <c r="Q118" s="312">
        <f>IF((T118-U118)-(B118-C118)-SUM(F118:F121)+SUM(G118:G121)-SUM(K118:K121)+SUM(L118:L121)&lt;0,-((T118-U118)-(B118-C118)-SUM(F118:F121)+SUM(G118:G121)-SUM(K118:K121)+SUM(L118:L121)),0)</f>
        <v>0</v>
      </c>
      <c r="R118" s="295" t="str">
        <f t="shared" si="4"/>
        <v>ΔAPIC</v>
      </c>
      <c r="T118" s="283">
        <f>IF(Y118&gt;0,Y118,0)</f>
        <v>0</v>
      </c>
      <c r="U118" s="284">
        <f>IF(Z118&gt;0,Z118,0)</f>
        <v>0</v>
      </c>
      <c r="W118" s="42">
        <f>SUMIF(Journal[DrAccnt],A118,Journal[DrAmt])</f>
        <v>0</v>
      </c>
      <c r="X118" s="42">
        <f>SUMIF(Journal[CrAccnt],A118,Journal[CrAmt])</f>
        <v>0</v>
      </c>
      <c r="Y118" s="252">
        <f>B118-C118+W118-X118</f>
        <v>0</v>
      </c>
      <c r="Z118" s="252">
        <f>C118-B118+X118-W118</f>
        <v>0</v>
      </c>
      <c r="AB118" s="334"/>
      <c r="AC118" s="334"/>
    </row>
    <row r="119" spans="1:29" hidden="1" outlineLevel="1" x14ac:dyDescent="0.2">
      <c r="A119" s="215"/>
      <c r="B119" s="285"/>
      <c r="C119" s="289"/>
      <c r="E119" s="337"/>
      <c r="F119" s="309"/>
      <c r="G119" s="308"/>
      <c r="H119" s="337"/>
      <c r="J119" s="337"/>
      <c r="K119" s="309"/>
      <c r="L119" s="308"/>
      <c r="M119" s="337"/>
      <c r="O119" s="1"/>
      <c r="P119" s="246"/>
      <c r="R119" s="1"/>
      <c r="T119" s="292"/>
      <c r="U119" s="215"/>
      <c r="AB119" s="334"/>
      <c r="AC119" s="334"/>
    </row>
    <row r="120" spans="1:29" hidden="1" outlineLevel="1" x14ac:dyDescent="0.2">
      <c r="A120" s="215"/>
      <c r="B120" s="285"/>
      <c r="C120" s="289"/>
      <c r="E120" s="337"/>
      <c r="F120" s="309"/>
      <c r="G120" s="308"/>
      <c r="H120" s="337"/>
      <c r="J120" s="337"/>
      <c r="K120" s="309"/>
      <c r="L120" s="308"/>
      <c r="M120" s="337"/>
      <c r="O120" s="1"/>
      <c r="P120" s="246"/>
      <c r="R120" s="1"/>
      <c r="T120" s="292"/>
      <c r="U120" s="215"/>
      <c r="AB120" s="334"/>
      <c r="AC120" s="334"/>
    </row>
    <row r="121" spans="1:29" hidden="1" outlineLevel="1" collapsed="1" x14ac:dyDescent="0.2">
      <c r="A121" s="215"/>
      <c r="B121" s="285"/>
      <c r="C121" s="286"/>
      <c r="E121" s="337"/>
      <c r="F121" s="309"/>
      <c r="G121" s="308"/>
      <c r="H121" s="337"/>
      <c r="J121" s="337"/>
      <c r="K121" s="309"/>
      <c r="L121" s="308"/>
      <c r="M121" s="337"/>
      <c r="O121" s="1"/>
      <c r="P121" s="246"/>
      <c r="R121" s="1"/>
      <c r="T121" s="292"/>
      <c r="U121" s="215"/>
      <c r="AB121" s="334"/>
      <c r="AC121" s="334"/>
    </row>
    <row r="122" spans="1:29" collapsed="1" x14ac:dyDescent="0.2">
      <c r="A122" s="279" t="str">
        <f>IFERROR(IF(_xlfn.XLOOKUP(4,Equity[Num],Equity[Name])=0,"",_xlfn.XLOOKUP(4,Equity[Num],Equity[Name])),"")</f>
        <v>Retained Earnings</v>
      </c>
      <c r="B122" s="283" cm="1">
        <f t="array" ref="B122">IF(AND(OR(_xlfn.XLOOKUP(A122,BegBalSht[Account],BegBalSht[BalType]="Debit"),_xlfn.XLOOKUP(A122,BegBalSht[Account],BegBalSht[BalType]="Either")),_xlfn.XLOOKUP(A122,BegBalSht[Account],BegBalSht[Amount])&lt;0),-_xlfn.XLOOKUP(A122,BegBalSht[Account],BegBalSht[Amount]),0)</f>
        <v>0</v>
      </c>
      <c r="C122" s="284" cm="1">
        <f t="array" ref="C122">IF(AND(OR(_xlfn.XLOOKUP(A122,BegBalSht[Account],BegBalSht[BalType]="Credit"),_xlfn.XLOOKUP(A122,BegBalSht[Account],BegBalSht[BalType]="Either")),_xlfn.XLOOKUP(A122,BegBalSht[Account],BegBalSht[Amount])&gt;0),_xlfn.XLOOKUP(A122,BegBalSht[Account],BegBalSht[Amount]),0)</f>
        <v>0</v>
      </c>
      <c r="E122" s="337"/>
      <c r="F122" s="311"/>
      <c r="G122" s="325"/>
      <c r="H122" s="337"/>
      <c r="J122" s="337"/>
      <c r="K122" s="311"/>
      <c r="L122" s="325"/>
      <c r="M122" s="337"/>
      <c r="O122" s="295" t="s">
        <v>402</v>
      </c>
      <c r="P122" s="275">
        <f>IF(Net_Income&lt;0,Net_Income,0)</f>
        <v>0</v>
      </c>
      <c r="Q122" s="329">
        <f>IF(Net_Income&gt;0,Net_Income,0)</f>
        <v>5</v>
      </c>
      <c r="R122" s="295" t="s">
        <v>401</v>
      </c>
      <c r="T122" s="283">
        <f>IF(Y122&gt;0,Y122,0)</f>
        <v>0</v>
      </c>
      <c r="U122" s="284">
        <f>IF(Z122&gt;0,Z122,0)</f>
        <v>0</v>
      </c>
      <c r="W122" s="42">
        <f>SUMIF(Journal[DrAccnt],A122,Journal[DrAmt])</f>
        <v>0</v>
      </c>
      <c r="X122" s="42">
        <f>SUMIF(Journal[CrAccnt],A122,Journal[CrAmt])</f>
        <v>0</v>
      </c>
      <c r="Y122" s="252">
        <f>B122-C122+W122-X122</f>
        <v>0</v>
      </c>
      <c r="Z122" s="252">
        <f>C122-B122+X122-W122</f>
        <v>0</v>
      </c>
      <c r="AB122" s="334"/>
      <c r="AC122" s="334"/>
    </row>
    <row r="123" spans="1:29" hidden="1" outlineLevel="1" x14ac:dyDescent="0.2">
      <c r="A123" s="215"/>
      <c r="B123" s="285"/>
      <c r="C123" s="289"/>
      <c r="E123" s="337"/>
      <c r="F123" s="309"/>
      <c r="G123" s="308"/>
      <c r="H123" s="337"/>
      <c r="J123" s="337"/>
      <c r="K123" s="309"/>
      <c r="L123" s="308"/>
      <c r="M123" s="337"/>
      <c r="O123" s="1"/>
      <c r="P123" s="246"/>
      <c r="R123" s="1"/>
      <c r="T123" s="292"/>
      <c r="U123" s="215"/>
      <c r="AB123" s="334"/>
      <c r="AC123" s="334"/>
    </row>
    <row r="124" spans="1:29" hidden="1" outlineLevel="1" x14ac:dyDescent="0.2">
      <c r="A124" s="215"/>
      <c r="B124" s="285"/>
      <c r="C124" s="289"/>
      <c r="E124" s="337"/>
      <c r="F124" s="309"/>
      <c r="G124" s="308"/>
      <c r="H124" s="337"/>
      <c r="J124" s="337"/>
      <c r="K124" s="309"/>
      <c r="L124" s="308"/>
      <c r="M124" s="337"/>
      <c r="O124" s="1"/>
      <c r="P124" s="246"/>
      <c r="R124" s="1"/>
      <c r="T124" s="292"/>
      <c r="U124" s="215"/>
      <c r="AB124" s="334"/>
      <c r="AC124" s="334"/>
    </row>
    <row r="125" spans="1:29" hidden="1" outlineLevel="1" collapsed="1" x14ac:dyDescent="0.2">
      <c r="A125" s="215"/>
      <c r="B125" s="285"/>
      <c r="C125" s="286"/>
      <c r="E125" s="337"/>
      <c r="F125" s="309"/>
      <c r="G125" s="308"/>
      <c r="H125" s="337"/>
      <c r="J125" s="337"/>
      <c r="K125" s="309"/>
      <c r="L125" s="308"/>
      <c r="M125" s="337"/>
      <c r="O125" s="1"/>
      <c r="P125" s="246"/>
      <c r="R125" s="1"/>
      <c r="T125" s="292"/>
      <c r="U125" s="215"/>
      <c r="AB125" s="334"/>
      <c r="AC125" s="334"/>
    </row>
    <row r="126" spans="1:29" collapsed="1" x14ac:dyDescent="0.2">
      <c r="A126" s="279" t="str">
        <f>IFERROR(IF(_xlfn.XLOOKUP(5,Equity[Num],Equity[Name])=0,"",_xlfn.XLOOKUP(5,Equity[Num],Equity[Name])),"")</f>
        <v>Accumulated Other Comprehensive Income</v>
      </c>
      <c r="B126" s="283" cm="1">
        <f t="array" ref="B126">IF(AND(OR(_xlfn.XLOOKUP(A126,BegBalSht[Account],BegBalSht[BalType]="Debit"),_xlfn.XLOOKUP(A126,BegBalSht[Account],BegBalSht[BalType]="Either")),_xlfn.XLOOKUP(A126,BegBalSht[Account],BegBalSht[Amount])&lt;0),-_xlfn.XLOOKUP(A126,BegBalSht[Account],BegBalSht[Amount]),0)</f>
        <v>0</v>
      </c>
      <c r="C126" s="284" cm="1">
        <f t="array" ref="C126">IF(AND(OR(_xlfn.XLOOKUP(A126,BegBalSht[Account],BegBalSht[BalType]="Credit"),_xlfn.XLOOKUP(A126,BegBalSht[Account],BegBalSht[BalType]="Either")),_xlfn.XLOOKUP(A126,BegBalSht[Account],BegBalSht[Amount])&gt;0),_xlfn.XLOOKUP(A126,BegBalSht[Account],BegBalSht[Amount]),0)</f>
        <v>0</v>
      </c>
      <c r="E126" s="337"/>
      <c r="F126" s="311"/>
      <c r="G126" s="325"/>
      <c r="H126" s="337"/>
      <c r="J126" s="337"/>
      <c r="K126" s="311"/>
      <c r="L126" s="325"/>
      <c r="M126" s="337"/>
      <c r="O126" s="295" t="str">
        <f>IFERROR($V$1&amp;_xlfn.XLOOKUP(Indirect_CFO_Worksheet_Tool!A126,Equity[Name],Equity[Abbr]),"")</f>
        <v>ΔAOCI</v>
      </c>
      <c r="P126" s="275">
        <f>IF((T126-U126)-(B126-C126)-SUM(F126:F129)+SUM(G126:G129)-SUM(K126:K129)+SUM(L126:L129)&gt;0,(T126-U126)-(B126-C126)-SUM(F126:F129)+SUM(G126:G129)-SUM(K126:K129)+SUM(L126:L129),0)</f>
        <v>0</v>
      </c>
      <c r="Q126" s="312">
        <f>IF((T126-U126)-(B126-C126)-SUM(F126:F129)+SUM(G126:G129)-SUM(K126:K129)+SUM(L126:L129)&lt;0,-((T126-U126)-(B126-C126)-SUM(F126:F129)+SUM(G126:G129)-SUM(K126:K129)+SUM(L126:L129)),0)</f>
        <v>0</v>
      </c>
      <c r="R126" s="295" t="str">
        <f t="shared" si="4"/>
        <v>ΔAOCI</v>
      </c>
      <c r="T126" s="283">
        <f>IF(Y126&gt;0,Y126,0)</f>
        <v>0</v>
      </c>
      <c r="U126" s="284">
        <f>IF(Z126&gt;0,Z126,0)</f>
        <v>0</v>
      </c>
      <c r="W126" s="42">
        <f>SUMIF(Journal[DrAccnt],A126,Journal[DrAmt])</f>
        <v>0</v>
      </c>
      <c r="X126" s="42">
        <f>SUMIF(Journal[CrAccnt],A126,Journal[CrAmt])</f>
        <v>0</v>
      </c>
      <c r="Y126" s="252">
        <f>B126-C126+W126-X126</f>
        <v>0</v>
      </c>
      <c r="Z126" s="252">
        <f>C126-B126+X126-W126</f>
        <v>0</v>
      </c>
      <c r="AB126" s="334"/>
      <c r="AC126" s="334"/>
    </row>
    <row r="127" spans="1:29" hidden="1" outlineLevel="1" x14ac:dyDescent="0.2">
      <c r="A127" s="215"/>
      <c r="B127" s="285"/>
      <c r="C127" s="289"/>
      <c r="E127" s="337"/>
      <c r="F127" s="309"/>
      <c r="G127" s="308"/>
      <c r="H127" s="337"/>
      <c r="J127" s="337"/>
      <c r="K127" s="309"/>
      <c r="L127" s="308"/>
      <c r="M127" s="337"/>
      <c r="O127" s="1"/>
      <c r="P127" s="246"/>
      <c r="R127" s="1"/>
      <c r="T127" s="292"/>
      <c r="U127" s="215"/>
      <c r="AB127" s="334"/>
      <c r="AC127" s="334"/>
    </row>
    <row r="128" spans="1:29" hidden="1" outlineLevel="1" x14ac:dyDescent="0.2">
      <c r="A128" s="215"/>
      <c r="B128" s="285"/>
      <c r="C128" s="289"/>
      <c r="E128" s="337"/>
      <c r="F128" s="309"/>
      <c r="G128" s="308"/>
      <c r="H128" s="337"/>
      <c r="J128" s="337"/>
      <c r="K128" s="309"/>
      <c r="L128" s="308"/>
      <c r="M128" s="337"/>
      <c r="O128" s="1"/>
      <c r="P128" s="246"/>
      <c r="R128" s="1"/>
      <c r="T128" s="292"/>
      <c r="U128" s="215"/>
      <c r="AB128" s="334"/>
      <c r="AC128" s="334"/>
    </row>
    <row r="129" spans="1:29" hidden="1" outlineLevel="1" collapsed="1" x14ac:dyDescent="0.2">
      <c r="A129" s="215"/>
      <c r="B129" s="285"/>
      <c r="C129" s="286"/>
      <c r="E129" s="337"/>
      <c r="F129" s="309"/>
      <c r="G129" s="308"/>
      <c r="H129" s="337"/>
      <c r="J129" s="337"/>
      <c r="K129" s="309"/>
      <c r="L129" s="308"/>
      <c r="M129" s="337"/>
      <c r="O129" s="1"/>
      <c r="P129" s="246"/>
      <c r="R129" s="1"/>
      <c r="T129" s="292"/>
      <c r="U129" s="215"/>
      <c r="AB129" s="334"/>
      <c r="AC129" s="334"/>
    </row>
    <row r="130" spans="1:29" collapsed="1" x14ac:dyDescent="0.2">
      <c r="A130" s="279" t="str">
        <f>IFERROR(IF(_xlfn.XLOOKUP(6,Equity[Num],Equity[Name])=0,"",_xlfn.XLOOKUP(6,Equity[Num],Equity[Name])),"")</f>
        <v>Treasury Stock</v>
      </c>
      <c r="B130" s="283" cm="1">
        <f t="array" ref="B130">IF(AND(OR(_xlfn.XLOOKUP(A130,BegBalSht[Account],BegBalSht[BalType]="Debit"),_xlfn.XLOOKUP(A130,BegBalSht[Account],BegBalSht[BalType]="Either")),_xlfn.XLOOKUP(A130,BegBalSht[Account],BegBalSht[Amount])&lt;0),-_xlfn.XLOOKUP(A130,BegBalSht[Account],BegBalSht[Amount]),0)</f>
        <v>0</v>
      </c>
      <c r="C130" s="284" cm="1">
        <f t="array" ref="C130">IF(AND(OR(_xlfn.XLOOKUP(A130,BegBalSht[Account],BegBalSht[BalType]="Credit"),_xlfn.XLOOKUP(A130,BegBalSht[Account],BegBalSht[BalType]="Either")),_xlfn.XLOOKUP(A130,BegBalSht[Account],BegBalSht[Amount])&gt;0),_xlfn.XLOOKUP(A130,BegBalSht[Account],BegBalSht[Amount]),0)</f>
        <v>0</v>
      </c>
      <c r="E130" s="337"/>
      <c r="F130" s="311"/>
      <c r="G130" s="325"/>
      <c r="H130" s="337"/>
      <c r="J130" s="337"/>
      <c r="K130" s="311"/>
      <c r="L130" s="325"/>
      <c r="M130" s="337"/>
      <c r="O130" s="295" t="str">
        <f>IFERROR($V$1&amp;_xlfn.XLOOKUP(Indirect_CFO_Worksheet_Tool!A130,Equity[Name],Equity[Abbr]),"")</f>
        <v>ΔTS</v>
      </c>
      <c r="P130" s="275">
        <f>IF((T130-U130)-(B130-C130)-SUM(F130:F133)+SUM(G130:G133)-SUM(K130:K133)+SUM(L130:L133)&gt;0,(T130-U130)-(B130-C130)-SUM(F130:F133)+SUM(G130:G133)-SUM(K130:K133)+SUM(L130:L133),0)</f>
        <v>0</v>
      </c>
      <c r="Q130" s="312">
        <f>IF((T130-U130)-(B130-C130)-SUM(F130:F133)+SUM(G130:G133)-SUM(K130:K133)+SUM(L130:L133)&lt;0,-((T130-U130)-(B130-C130)-SUM(F130:F133)+SUM(G130:G133)-SUM(K130:K133)+SUM(L130:L133)),0)</f>
        <v>0</v>
      </c>
      <c r="R130" s="295" t="str">
        <f t="shared" si="4"/>
        <v>ΔTS</v>
      </c>
      <c r="T130" s="283">
        <f>IF(Y130&gt;0,Y130,0)</f>
        <v>0</v>
      </c>
      <c r="U130" s="284">
        <f>IF(Z130&gt;0,Z130,0)</f>
        <v>0</v>
      </c>
      <c r="W130" s="42">
        <f>SUMIF(Journal[DrAccnt],A130,Journal[DrAmt])</f>
        <v>0</v>
      </c>
      <c r="X130" s="42">
        <f>SUMIF(Journal[CrAccnt],A130,Journal[CrAmt])</f>
        <v>0</v>
      </c>
      <c r="Y130" s="252">
        <f>B130-C130+W130-X130</f>
        <v>0</v>
      </c>
      <c r="Z130" s="252">
        <f>C130-B130+X130-W130</f>
        <v>0</v>
      </c>
      <c r="AB130" s="334"/>
      <c r="AC130" s="334"/>
    </row>
    <row r="131" spans="1:29" hidden="1" outlineLevel="1" x14ac:dyDescent="0.2">
      <c r="A131" s="215"/>
      <c r="B131" s="285"/>
      <c r="C131" s="289"/>
      <c r="E131" s="337"/>
      <c r="F131" s="309"/>
      <c r="G131" s="308"/>
      <c r="H131" s="337"/>
      <c r="J131" s="337"/>
      <c r="K131" s="309"/>
      <c r="L131" s="308"/>
      <c r="M131" s="337"/>
      <c r="P131" s="246"/>
      <c r="R131" s="1"/>
      <c r="T131" s="292"/>
      <c r="U131" s="215"/>
      <c r="AB131" s="334"/>
      <c r="AC131" s="334"/>
    </row>
    <row r="132" spans="1:29" hidden="1" outlineLevel="1" x14ac:dyDescent="0.2">
      <c r="A132" s="215"/>
      <c r="B132" s="285"/>
      <c r="C132" s="289"/>
      <c r="E132" s="337"/>
      <c r="F132" s="309"/>
      <c r="G132" s="308"/>
      <c r="H132" s="337"/>
      <c r="J132" s="337"/>
      <c r="K132" s="309"/>
      <c r="L132" s="308"/>
      <c r="M132" s="337"/>
      <c r="P132" s="246"/>
      <c r="R132" s="1"/>
      <c r="T132" s="292"/>
      <c r="U132" s="215"/>
      <c r="AB132" s="334"/>
      <c r="AC132" s="334"/>
    </row>
    <row r="133" spans="1:29" hidden="1" outlineLevel="1" collapsed="1" x14ac:dyDescent="0.2">
      <c r="A133" s="215"/>
      <c r="B133" s="285"/>
      <c r="C133" s="286"/>
      <c r="E133" s="337"/>
      <c r="F133" s="326"/>
      <c r="G133" s="308"/>
      <c r="H133" s="337"/>
      <c r="J133" s="337"/>
      <c r="K133" s="326"/>
      <c r="L133" s="308"/>
      <c r="M133" s="337"/>
      <c r="P133" s="251"/>
      <c r="R133" s="1"/>
      <c r="T133" s="292"/>
      <c r="U133" s="215"/>
      <c r="AB133" s="334"/>
      <c r="AC133" s="334"/>
    </row>
    <row r="134" spans="1:29" collapsed="1" x14ac:dyDescent="0.2">
      <c r="A134" s="279" t="str">
        <f>IFERROR(IF(_xlfn.XLOOKUP(7,Equity[Num],Equity[Name])=0,"",_xlfn.XLOOKUP(7,Equity[Num],Equity[Name])),"")</f>
        <v/>
      </c>
      <c r="B134" s="283" t="e" cm="1">
        <f t="array" ref="B134">IF(AND(OR(_xlfn.XLOOKUP(A134,BegBalSht[Account],BegBalSht[BalType]="Debit"),_xlfn.XLOOKUP(A134,BegBalSht[Account],BegBalSht[BalType]="Either")),_xlfn.XLOOKUP(A134,BegBalSht[Account],BegBalSht[Amount])&lt;0),-_xlfn.XLOOKUP(A134,BegBalSht[Account],BegBalSht[Amount]),0)</f>
        <v>#N/A</v>
      </c>
      <c r="C134" s="284" t="e" cm="1">
        <f t="array" ref="C134">IF(AND(OR(_xlfn.XLOOKUP(A134,BegBalSht[Account],BegBalSht[BalType]="Credit"),_xlfn.XLOOKUP(A134,BegBalSht[Account],BegBalSht[BalType]="Either")),_xlfn.XLOOKUP(A134,BegBalSht[Account],BegBalSht[Amount])&gt;0),_xlfn.XLOOKUP(A134,BegBalSht[Account],BegBalSht[Amount]),0)</f>
        <v>#N/A</v>
      </c>
      <c r="E134" s="337"/>
      <c r="F134" s="311"/>
      <c r="G134" s="325"/>
      <c r="H134" s="337"/>
      <c r="J134" s="337"/>
      <c r="K134" s="311"/>
      <c r="L134" s="325"/>
      <c r="M134" s="337"/>
      <c r="O134" s="295" t="str">
        <f>IFERROR($V$1&amp;_xlfn.XLOOKUP(Indirect_CFO_Worksheet_Tool!A134,Equity[Name],Equity[Abbr]),"")</f>
        <v/>
      </c>
      <c r="P134" s="275" t="e">
        <f>IF((T134-U134)-(B134-C134)-SUM(F134:F137)+SUM(G134:G137)-SUM(K134:K137)+SUM(L134:L137)&gt;0,(T134-U134)-(B134-C134)-SUM(F134:F137)+SUM(G134:G137)-SUM(K134:K137)+SUM(L134:L137),0)</f>
        <v>#N/A</v>
      </c>
      <c r="Q134" s="312" t="e">
        <f>IF((T134-U134)-(B134-C134)-SUM(F134:F137)+SUM(G134:G137)-SUM(K134:K137)+SUM(L134:L137)&lt;0,-((T134-U134)-(B134-C134)-SUM(F134:F137)+SUM(G134:G137)-SUM(K134:K137)+SUM(L134:L137)),0)</f>
        <v>#N/A</v>
      </c>
      <c r="R134" s="295" t="str">
        <f t="shared" ref="R134" si="5">O134</f>
        <v/>
      </c>
      <c r="T134" s="283" t="e">
        <f>IF(Y134&gt;0,Y134,0)</f>
        <v>#N/A</v>
      </c>
      <c r="U134" s="284" t="e">
        <f>IF(Z134&gt;0,Z134,0)</f>
        <v>#N/A</v>
      </c>
      <c r="W134" s="42">
        <f>SUMIF(Journal[DrAccnt],A134,Journal[DrAmt])</f>
        <v>0</v>
      </c>
      <c r="X134" s="42">
        <f>SUMIF(Journal[CrAccnt],A134,Journal[CrAmt])</f>
        <v>0</v>
      </c>
      <c r="Y134" s="252" t="e">
        <f>B134-C134+W134-X134</f>
        <v>#N/A</v>
      </c>
      <c r="Z134" s="252" t="e">
        <f>C134-B134+X134-W134</f>
        <v>#N/A</v>
      </c>
      <c r="AB134" s="334"/>
      <c r="AC134" s="334"/>
    </row>
    <row r="135" spans="1:29" hidden="1" outlineLevel="1" x14ac:dyDescent="0.2">
      <c r="A135" s="215"/>
      <c r="B135" s="285"/>
      <c r="C135" s="289"/>
      <c r="E135" s="323"/>
      <c r="F135" s="303"/>
      <c r="G135" s="304"/>
      <c r="K135" s="303"/>
      <c r="L135" s="304"/>
      <c r="P135" s="246"/>
      <c r="R135" s="1"/>
      <c r="T135" s="292"/>
      <c r="U135" s="215"/>
      <c r="AB135" s="334"/>
      <c r="AC135" s="334"/>
    </row>
    <row r="136" spans="1:29" hidden="1" outlineLevel="1" x14ac:dyDescent="0.2">
      <c r="A136" s="215"/>
      <c r="B136" s="285"/>
      <c r="C136" s="289"/>
      <c r="E136" s="323"/>
      <c r="F136" s="303"/>
      <c r="G136" s="304"/>
      <c r="K136" s="303"/>
      <c r="L136" s="304"/>
      <c r="P136" s="246"/>
      <c r="R136" s="1"/>
      <c r="T136" s="292"/>
      <c r="U136" s="215"/>
      <c r="AB136" s="334"/>
      <c r="AC136" s="334"/>
    </row>
    <row r="137" spans="1:29" hidden="1" outlineLevel="1" collapsed="1" x14ac:dyDescent="0.2">
      <c r="A137" s="215"/>
      <c r="B137" s="285"/>
      <c r="C137" s="286"/>
      <c r="E137" s="323"/>
      <c r="F137" s="305"/>
      <c r="G137" s="304"/>
      <c r="K137" s="305"/>
      <c r="L137" s="304"/>
      <c r="P137" s="251"/>
      <c r="R137" s="1"/>
      <c r="T137" s="292"/>
      <c r="U137" s="215"/>
      <c r="AB137" s="334"/>
      <c r="AC137" s="334"/>
    </row>
    <row r="138" spans="1:29" collapsed="1" x14ac:dyDescent="0.2">
      <c r="A138" s="247"/>
      <c r="B138" s="249"/>
      <c r="C138" s="249"/>
      <c r="E138" s="323"/>
      <c r="F138" s="247"/>
      <c r="G138" s="247"/>
      <c r="K138" s="247"/>
      <c r="L138" s="247"/>
      <c r="P138" s="247"/>
      <c r="Q138" s="247"/>
      <c r="T138" s="247"/>
      <c r="U138" s="247"/>
      <c r="AB138" s="334"/>
      <c r="AC138" s="334"/>
    </row>
    <row r="139" spans="1:29" ht="16" thickBot="1" x14ac:dyDescent="0.25">
      <c r="B139" s="42"/>
      <c r="C139" s="42"/>
      <c r="E139" s="323"/>
      <c r="F139" s="281" t="s">
        <v>571</v>
      </c>
      <c r="G139" s="281"/>
      <c r="K139" s="281" t="s">
        <v>572</v>
      </c>
      <c r="L139" s="281"/>
      <c r="O139" s="262"/>
      <c r="P139" s="281" t="s">
        <v>400</v>
      </c>
      <c r="Q139" s="281"/>
      <c r="R139" s="262"/>
      <c r="AB139" s="334"/>
      <c r="AC139" s="334"/>
    </row>
    <row r="140" spans="1:29" x14ac:dyDescent="0.2">
      <c r="B140" s="42"/>
      <c r="C140" s="42"/>
      <c r="E140" s="337"/>
      <c r="F140" s="307"/>
      <c r="G140" s="308"/>
      <c r="H140" s="337"/>
      <c r="J140" s="337"/>
      <c r="K140" s="307"/>
      <c r="L140" s="308"/>
      <c r="M140" s="337"/>
      <c r="O140" s="298" t="s">
        <v>401</v>
      </c>
      <c r="P140" s="328" cm="1">
        <f t="array" ref="P140">IF(Net_Income&gt;0,Net_Income,0)</f>
        <v>5</v>
      </c>
      <c r="Q140" s="299">
        <f>IF(Net_Income&lt;0,Net_Income,0)</f>
        <v>0</v>
      </c>
      <c r="R140" s="298" t="s">
        <v>402</v>
      </c>
      <c r="AB140" s="334"/>
      <c r="AC140" s="334"/>
    </row>
    <row r="141" spans="1:29" collapsed="1" x14ac:dyDescent="0.2">
      <c r="B141" s="42"/>
      <c r="C141" s="42"/>
      <c r="E141" s="337"/>
      <c r="F141" s="309"/>
      <c r="G141" s="308"/>
      <c r="H141" s="337"/>
      <c r="J141" s="337"/>
      <c r="K141" s="309"/>
      <c r="L141" s="308"/>
      <c r="M141" s="337"/>
      <c r="O141" s="262"/>
      <c r="P141" s="282" t="s">
        <v>403</v>
      </c>
      <c r="Q141" s="282"/>
      <c r="R141" s="262"/>
      <c r="AB141" s="334"/>
      <c r="AC141" s="334"/>
    </row>
    <row r="142" spans="1:29" x14ac:dyDescent="0.2">
      <c r="E142" s="337"/>
      <c r="F142" s="309"/>
      <c r="G142" s="308"/>
      <c r="H142" s="337"/>
      <c r="J142" s="337"/>
      <c r="K142" s="309"/>
      <c r="L142" s="308"/>
      <c r="M142" s="337"/>
      <c r="O142" s="310"/>
      <c r="P142" s="311"/>
      <c r="Q142" s="308"/>
      <c r="R142" s="310"/>
      <c r="AB142" s="334"/>
      <c r="AC142" s="334"/>
    </row>
    <row r="143" spans="1:29" x14ac:dyDescent="0.2">
      <c r="E143" s="337"/>
      <c r="F143" s="309"/>
      <c r="G143" s="308"/>
      <c r="H143" s="337"/>
      <c r="J143" s="337"/>
      <c r="K143" s="309"/>
      <c r="L143" s="308"/>
      <c r="M143" s="337"/>
      <c r="O143" s="310"/>
      <c r="P143" s="309"/>
      <c r="Q143" s="308"/>
      <c r="R143" s="310"/>
    </row>
    <row r="144" spans="1:29" x14ac:dyDescent="0.2">
      <c r="E144" s="337"/>
      <c r="F144" s="309"/>
      <c r="G144" s="308"/>
      <c r="H144" s="337"/>
      <c r="J144" s="337"/>
      <c r="K144" s="309"/>
      <c r="L144" s="308"/>
      <c r="M144" s="337"/>
      <c r="O144" s="310"/>
      <c r="P144" s="309"/>
      <c r="Q144" s="308"/>
      <c r="R144" s="310"/>
    </row>
    <row r="145" spans="5:19" x14ac:dyDescent="0.2">
      <c r="E145" s="337"/>
      <c r="F145" s="309"/>
      <c r="G145" s="308"/>
      <c r="H145" s="337"/>
      <c r="J145" s="337"/>
      <c r="K145" s="309"/>
      <c r="L145" s="308"/>
      <c r="M145" s="337"/>
      <c r="O145" s="310"/>
      <c r="P145" s="309"/>
      <c r="Q145" s="308"/>
      <c r="R145" s="310"/>
    </row>
    <row r="146" spans="5:19" x14ac:dyDescent="0.2">
      <c r="E146" s="323"/>
      <c r="F146" s="296">
        <f>IF(SUM(F140:F145)-SUM(G140:G145)&gt;0,SUM(F140:F145)-SUM(G140:G145),0)</f>
        <v>0</v>
      </c>
      <c r="G146" s="297">
        <f>IF(SUM(F140:F145)-SUM(G140:G145)&lt;0,-SUM(F140:F145)+SUM(G140:G145),0)</f>
        <v>0</v>
      </c>
      <c r="K146" s="296">
        <f>IF(SUM(K140:K145)-SUM(L140:L145)&gt;0,SUM(K140:K145)-SUM(L140:L145),0)</f>
        <v>0</v>
      </c>
      <c r="L146" s="297">
        <f>IF(SUM(K140:K145)-SUM(L140:L145)&lt;0,-SUM(K140:K145)+SUM(L140:L145),0)</f>
        <v>0</v>
      </c>
      <c r="O146" s="310"/>
      <c r="P146" s="309"/>
      <c r="Q146" s="308"/>
      <c r="R146" s="310"/>
    </row>
    <row r="147" spans="5:19" x14ac:dyDescent="0.2">
      <c r="O147" s="310"/>
      <c r="P147" s="309"/>
      <c r="Q147" s="308"/>
      <c r="R147" s="310"/>
    </row>
    <row r="148" spans="5:19" x14ac:dyDescent="0.2">
      <c r="F148" s="3"/>
      <c r="G148" s="3"/>
      <c r="K148" s="3"/>
      <c r="L148" s="3"/>
      <c r="O148" s="310"/>
      <c r="P148" s="309"/>
      <c r="Q148" s="308"/>
      <c r="R148" s="310"/>
    </row>
    <row r="149" spans="5:19" x14ac:dyDescent="0.2">
      <c r="F149" s="319"/>
      <c r="G149" s="319"/>
      <c r="K149" s="319"/>
      <c r="L149" s="319"/>
      <c r="O149" s="262"/>
      <c r="P149" s="282" t="s">
        <v>415</v>
      </c>
      <c r="Q149" s="282"/>
      <c r="R149" s="262"/>
    </row>
    <row r="150" spans="5:19" x14ac:dyDescent="0.2">
      <c r="F150" s="319"/>
      <c r="G150" s="319"/>
      <c r="K150" s="319"/>
      <c r="L150" s="319"/>
      <c r="O150" s="295" t="str" cm="1">
        <f t="array" aca="1" ref="O150" ca="1">INDIRECT("R"&amp;S150)</f>
        <v>ΔAR</v>
      </c>
      <c r="P150" s="275" cm="1">
        <f t="array" aca="1" ref="P150" ca="1">INDIRECT("Q"&amp;S150)</f>
        <v>0</v>
      </c>
      <c r="Q150" s="276" cm="1">
        <f t="array" aca="1" ref="Q150" ca="1">INDIRECT("P"&amp;S150)</f>
        <v>0</v>
      </c>
      <c r="R150" s="295" t="str" cm="1">
        <f t="array" aca="1" ref="R150" ca="1">INDIRECT("O"&amp;S150)</f>
        <v>ΔAR</v>
      </c>
      <c r="S150" s="103">
        <v>4</v>
      </c>
    </row>
    <row r="151" spans="5:19" x14ac:dyDescent="0.2">
      <c r="F151" s="319"/>
      <c r="G151" s="319"/>
      <c r="K151" s="319"/>
      <c r="L151" s="319"/>
      <c r="O151" s="295" t="str" cm="1">
        <f t="array" aca="1" ref="O151" ca="1">INDIRECT("R"&amp;S151)</f>
        <v>ΔADA</v>
      </c>
      <c r="P151" s="277" cm="1">
        <f t="array" aca="1" ref="P151" ca="1">INDIRECT("Q"&amp;S151)</f>
        <v>0</v>
      </c>
      <c r="Q151" s="276" cm="1">
        <f t="array" aca="1" ref="Q151" ca="1">INDIRECT("P"&amp;S151)</f>
        <v>0</v>
      </c>
      <c r="R151" s="295" t="str" cm="1">
        <f t="array" aca="1" ref="R151" ca="1">INDIRECT("O"&amp;S151)</f>
        <v>ΔADA</v>
      </c>
      <c r="S151" s="103">
        <f>S150+4</f>
        <v>8</v>
      </c>
    </row>
    <row r="152" spans="5:19" x14ac:dyDescent="0.2">
      <c r="F152" s="319"/>
      <c r="G152" s="319"/>
      <c r="K152" s="319"/>
      <c r="L152" s="319"/>
      <c r="O152" s="295" t="str" cm="1">
        <f t="array" aca="1" ref="O152" ca="1">INDIRECT("R"&amp;S152)</f>
        <v>ΔMS</v>
      </c>
      <c r="P152" s="277" cm="1">
        <f t="array" aca="1" ref="P152" ca="1">INDIRECT("Q"&amp;S152)</f>
        <v>0</v>
      </c>
      <c r="Q152" s="276" cm="1">
        <f t="array" aca="1" ref="Q152" ca="1">INDIRECT("P"&amp;S152)</f>
        <v>0</v>
      </c>
      <c r="R152" s="295" t="str" cm="1">
        <f t="array" aca="1" ref="R152" ca="1">INDIRECT("O"&amp;S152)</f>
        <v>ΔMS</v>
      </c>
      <c r="S152" s="103">
        <f t="shared" ref="S152:S163" si="6">S151+4</f>
        <v>12</v>
      </c>
    </row>
    <row r="153" spans="5:19" x14ac:dyDescent="0.2">
      <c r="F153" s="319"/>
      <c r="G153" s="319"/>
      <c r="K153" s="319"/>
      <c r="L153" s="319"/>
      <c r="O153" s="295" t="str" cm="1">
        <f t="array" aca="1" ref="O153" ca="1">INDIRECT("R"&amp;S153)</f>
        <v>ΔInv</v>
      </c>
      <c r="P153" s="277" cm="1">
        <f t="array" aca="1" ref="P153" ca="1">INDIRECT("Q"&amp;S153)</f>
        <v>0</v>
      </c>
      <c r="Q153" s="276" cm="1">
        <f t="array" aca="1" ref="Q153" ca="1">INDIRECT("P"&amp;S153)</f>
        <v>0</v>
      </c>
      <c r="R153" s="295" t="str" cm="1">
        <f t="array" aca="1" ref="R153" ca="1">INDIRECT("O"&amp;S153)</f>
        <v>ΔInv</v>
      </c>
      <c r="S153" s="103">
        <f t="shared" si="6"/>
        <v>16</v>
      </c>
    </row>
    <row r="154" spans="5:19" x14ac:dyDescent="0.2">
      <c r="F154" s="319"/>
      <c r="G154" s="319"/>
      <c r="K154" s="319"/>
      <c r="L154" s="319"/>
      <c r="O154" s="295" t="str" cm="1">
        <f t="array" aca="1" ref="O154" ca="1">INDIRECT("R"&amp;S154)</f>
        <v>ΔPPdE</v>
      </c>
      <c r="P154" s="277" cm="1">
        <f t="array" aca="1" ref="P154" ca="1">INDIRECT("Q"&amp;S154)</f>
        <v>0</v>
      </c>
      <c r="Q154" s="276" cm="1">
        <f t="array" aca="1" ref="Q154" ca="1">INDIRECT("P"&amp;S154)</f>
        <v>0</v>
      </c>
      <c r="R154" s="295" t="str" cm="1">
        <f t="array" aca="1" ref="R154" ca="1">INDIRECT("O"&amp;S154)</f>
        <v>ΔPPdE</v>
      </c>
      <c r="S154" s="103">
        <f t="shared" si="6"/>
        <v>20</v>
      </c>
    </row>
    <row r="155" spans="5:19" x14ac:dyDescent="0.2">
      <c r="F155" s="320"/>
      <c r="G155" s="320"/>
      <c r="K155" s="320"/>
      <c r="L155" s="320"/>
      <c r="O155" s="295" t="str" cm="1">
        <f t="array" aca="1" ref="O155" ca="1">INDIRECT("R"&amp;S155)</f>
        <v>ΔPPdR</v>
      </c>
      <c r="P155" s="277" cm="1">
        <f t="array" aca="1" ref="P155" ca="1">INDIRECT("Q"&amp;S155)</f>
        <v>0</v>
      </c>
      <c r="Q155" s="276" cm="1">
        <f t="array" aca="1" ref="Q155" ca="1">INDIRECT("P"&amp;S155)</f>
        <v>0</v>
      </c>
      <c r="R155" s="295" t="str" cm="1">
        <f t="array" aca="1" ref="R155" ca="1">INDIRECT("O"&amp;S155)</f>
        <v>ΔPPdR</v>
      </c>
      <c r="S155" s="103">
        <f t="shared" si="6"/>
        <v>24</v>
      </c>
    </row>
    <row r="156" spans="5:19" x14ac:dyDescent="0.2">
      <c r="O156" s="295" t="str" cm="1">
        <f t="array" aca="1" ref="O156" ca="1">INDIRECT("R"&amp;S156)</f>
        <v>ΔOCA</v>
      </c>
      <c r="P156" s="277" cm="1">
        <f t="array" aca="1" ref="P156" ca="1">INDIRECT("Q"&amp;S156)</f>
        <v>0</v>
      </c>
      <c r="Q156" s="276" cm="1">
        <f t="array" aca="1" ref="Q156" ca="1">INDIRECT("P"&amp;S156)</f>
        <v>0</v>
      </c>
      <c r="R156" s="295" t="str" cm="1">
        <f t="array" aca="1" ref="R156" ca="1">INDIRECT("O"&amp;S156)</f>
        <v>ΔOCA</v>
      </c>
      <c r="S156" s="103">
        <f t="shared" si="6"/>
        <v>28</v>
      </c>
    </row>
    <row r="157" spans="5:19" x14ac:dyDescent="0.2">
      <c r="O157" s="295" t="str" cm="1">
        <f t="array" aca="1" ref="O157" ca="1">INDIRECT("R"&amp;S157)</f>
        <v>ΔPPE</v>
      </c>
      <c r="P157" s="277" cm="1">
        <f t="array" aca="1" ref="P157" ca="1">INDIRECT("Q"&amp;S157)</f>
        <v>0</v>
      </c>
      <c r="Q157" s="276" cm="1">
        <f t="array" aca="1" ref="Q157" ca="1">INDIRECT("P"&amp;S157)</f>
        <v>0</v>
      </c>
      <c r="R157" s="295" t="str" cm="1">
        <f t="array" aca="1" ref="R157" ca="1">INDIRECT("O"&amp;S157)</f>
        <v>ΔPPE</v>
      </c>
      <c r="S157" s="103">
        <f t="shared" si="6"/>
        <v>32</v>
      </c>
    </row>
    <row r="158" spans="5:19" x14ac:dyDescent="0.2">
      <c r="O158" s="295" t="str" cm="1">
        <f t="array" aca="1" ref="O158" ca="1">INDIRECT("R"&amp;S158)</f>
        <v>ΔAccDepr</v>
      </c>
      <c r="P158" s="277" cm="1">
        <f t="array" aca="1" ref="P158" ca="1">INDIRECT("Q"&amp;S158)</f>
        <v>0</v>
      </c>
      <c r="Q158" s="276" cm="1">
        <f t="array" aca="1" ref="Q158" ca="1">INDIRECT("P"&amp;S158)</f>
        <v>0</v>
      </c>
      <c r="R158" s="295" t="str" cm="1">
        <f t="array" aca="1" ref="R158" ca="1">INDIRECT("O"&amp;S158)</f>
        <v>ΔAccDepr</v>
      </c>
      <c r="S158" s="103">
        <f t="shared" si="6"/>
        <v>36</v>
      </c>
    </row>
    <row r="159" spans="5:19" x14ac:dyDescent="0.2">
      <c r="O159" s="295" t="str" cm="1">
        <f t="array" aca="1" ref="O159" ca="1">INDIRECT("R"&amp;S159)</f>
        <v>ΔIntang</v>
      </c>
      <c r="P159" s="277" cm="1">
        <f t="array" aca="1" ref="P159" ca="1">INDIRECT("Q"&amp;S159)</f>
        <v>0</v>
      </c>
      <c r="Q159" s="276" cm="1">
        <f t="array" aca="1" ref="Q159" ca="1">INDIRECT("P"&amp;S159)</f>
        <v>0</v>
      </c>
      <c r="R159" s="295" t="str" cm="1">
        <f t="array" aca="1" ref="R159" ca="1">INDIRECT("O"&amp;S159)</f>
        <v>ΔIntang</v>
      </c>
      <c r="S159" s="103">
        <f t="shared" si="6"/>
        <v>40</v>
      </c>
    </row>
    <row r="160" spans="5:19" x14ac:dyDescent="0.2">
      <c r="O160" s="295" t="str" cm="1">
        <f t="array" aca="1" ref="O160" ca="1">INDIRECT("R"&amp;S160)</f>
        <v>ΔGdwll</v>
      </c>
      <c r="P160" s="277" cm="1">
        <f t="array" aca="1" ref="P160" ca="1">INDIRECT("Q"&amp;S160)</f>
        <v>0</v>
      </c>
      <c r="Q160" s="276" cm="1">
        <f t="array" aca="1" ref="Q160" ca="1">INDIRECT("P"&amp;S160)</f>
        <v>0</v>
      </c>
      <c r="R160" s="295" t="str" cm="1">
        <f t="array" aca="1" ref="R160" ca="1">INDIRECT("O"&amp;S160)</f>
        <v>ΔGdwll</v>
      </c>
      <c r="S160" s="103">
        <f t="shared" si="6"/>
        <v>44</v>
      </c>
    </row>
    <row r="161" spans="15:19" x14ac:dyDescent="0.2">
      <c r="O161" s="295" t="str" cm="1">
        <f t="array" aca="1" ref="O161" ca="1">INDIRECT("R"&amp;S161)</f>
        <v>ΔONCA</v>
      </c>
      <c r="P161" s="277" cm="1">
        <f t="array" aca="1" ref="P161" ca="1">INDIRECT("Q"&amp;S161)</f>
        <v>0</v>
      </c>
      <c r="Q161" s="276" cm="1">
        <f t="array" aca="1" ref="Q161" ca="1">INDIRECT("P"&amp;S161)</f>
        <v>0</v>
      </c>
      <c r="R161" s="295" t="str" cm="1">
        <f t="array" aca="1" ref="R161" ca="1">INDIRECT("O"&amp;S161)</f>
        <v>ΔONCA</v>
      </c>
      <c r="S161" s="103">
        <f t="shared" si="6"/>
        <v>48</v>
      </c>
    </row>
    <row r="162" spans="15:19" x14ac:dyDescent="0.2">
      <c r="O162" s="295" t="str" cm="1">
        <f t="array" aca="1" ref="O162" ca="1">INDIRECT("R"&amp;S162)</f>
        <v>ΔDefTxA</v>
      </c>
      <c r="P162" s="277" cm="1">
        <f t="array" aca="1" ref="P162" ca="1">INDIRECT("Q"&amp;S162)</f>
        <v>0</v>
      </c>
      <c r="Q162" s="276" cm="1">
        <f t="array" aca="1" ref="Q162" ca="1">INDIRECT("P"&amp;S162)</f>
        <v>0</v>
      </c>
      <c r="R162" s="295" t="str" cm="1">
        <f t="array" aca="1" ref="R162" ca="1">INDIRECT("O"&amp;S162)</f>
        <v>ΔDefTxA</v>
      </c>
      <c r="S162" s="103">
        <f t="shared" si="6"/>
        <v>52</v>
      </c>
    </row>
    <row r="163" spans="15:19" x14ac:dyDescent="0.2">
      <c r="O163" s="295" t="str" cm="1">
        <f t="array" aca="1" ref="O163" ca="1">INDIRECT("R"&amp;S163)</f>
        <v>ΔAccAmort</v>
      </c>
      <c r="P163" s="277" cm="1">
        <f t="array" aca="1" ref="P163" ca="1">INDIRECT("Q"&amp;S163)</f>
        <v>0</v>
      </c>
      <c r="Q163" s="276" cm="1">
        <f t="array" aca="1" ref="Q163" ca="1">INDIRECT("P"&amp;S163)</f>
        <v>0</v>
      </c>
      <c r="R163" s="295" t="str" cm="1">
        <f t="array" aca="1" ref="R163" ca="1">INDIRECT("O"&amp;S163)</f>
        <v>ΔAccAmort</v>
      </c>
      <c r="S163" s="103">
        <f t="shared" si="6"/>
        <v>56</v>
      </c>
    </row>
    <row r="164" spans="15:19" x14ac:dyDescent="0.2">
      <c r="O164" s="295" t="str" cm="1">
        <f t="array" aca="1" ref="O164" ca="1">INDIRECT("R"&amp;S164)</f>
        <v>ΔAP</v>
      </c>
      <c r="P164" s="277" cm="1">
        <f t="array" aca="1" ref="P164" ca="1">INDIRECT("Q"&amp;S164)</f>
        <v>0</v>
      </c>
      <c r="Q164" s="276" cm="1">
        <f t="array" aca="1" ref="Q164" ca="1">INDIRECT("P"&amp;S164)</f>
        <v>0</v>
      </c>
      <c r="R164" s="295" t="str" cm="1">
        <f t="array" aca="1" ref="R164" ca="1">INDIRECT("O"&amp;S164)</f>
        <v>ΔAP</v>
      </c>
      <c r="S164" s="103">
        <v>61</v>
      </c>
    </row>
    <row r="165" spans="15:19" x14ac:dyDescent="0.2">
      <c r="O165" s="295" t="str" cm="1">
        <f t="array" aca="1" ref="O165" ca="1">INDIRECT("R"&amp;S165)</f>
        <v>ΔAccExp</v>
      </c>
      <c r="P165" s="277" cm="1">
        <f t="array" aca="1" ref="P165" ca="1">INDIRECT("Q"&amp;S165)</f>
        <v>0</v>
      </c>
      <c r="Q165" s="276" cm="1">
        <f t="array" aca="1" ref="Q165" ca="1">INDIRECT("P"&amp;S165)</f>
        <v>0</v>
      </c>
      <c r="R165" s="295" t="str" cm="1">
        <f t="array" aca="1" ref="R165" ca="1">INDIRECT("O"&amp;S165)</f>
        <v>ΔAccExp</v>
      </c>
      <c r="S165" s="103">
        <f>S164+4</f>
        <v>65</v>
      </c>
    </row>
    <row r="166" spans="15:19" x14ac:dyDescent="0.2">
      <c r="O166" s="295" t="str" cm="1">
        <f t="array" aca="1" ref="O166" ca="1">INDIRECT("R"&amp;S166)</f>
        <v>ΔIP</v>
      </c>
      <c r="P166" s="277" cm="1">
        <f t="array" aca="1" ref="P166" ca="1">INDIRECT("Q"&amp;S166)</f>
        <v>0</v>
      </c>
      <c r="Q166" s="276" cm="1">
        <f t="array" aca="1" ref="Q166" ca="1">INDIRECT("P"&amp;S166)</f>
        <v>0</v>
      </c>
      <c r="R166" s="295" t="str" cm="1">
        <f t="array" aca="1" ref="R166" ca="1">INDIRECT("O"&amp;S166)</f>
        <v>ΔIP</v>
      </c>
      <c r="S166" s="103">
        <f t="shared" ref="S166:S175" si="7">S165+4</f>
        <v>69</v>
      </c>
    </row>
    <row r="167" spans="15:19" x14ac:dyDescent="0.2">
      <c r="O167" s="295" t="str" cm="1">
        <f t="array" aca="1" ref="O167" ca="1">INDIRECT("R"&amp;S167)</f>
        <v>ΔDP</v>
      </c>
      <c r="P167" s="277" cm="1">
        <f t="array" aca="1" ref="P167" ca="1">INDIRECT("Q"&amp;S167)</f>
        <v>0</v>
      </c>
      <c r="Q167" s="276" cm="1">
        <f t="array" aca="1" ref="Q167" ca="1">INDIRECT("P"&amp;S167)</f>
        <v>0</v>
      </c>
      <c r="R167" s="295" t="str" cm="1">
        <f t="array" aca="1" ref="R167" ca="1">INDIRECT("O"&amp;S167)</f>
        <v>ΔDP</v>
      </c>
      <c r="S167" s="103">
        <f t="shared" si="7"/>
        <v>73</v>
      </c>
    </row>
    <row r="168" spans="15:19" x14ac:dyDescent="0.2">
      <c r="O168" s="295" t="str" cm="1">
        <f t="array" aca="1" ref="O168" ca="1">INDIRECT("R"&amp;S168)</f>
        <v>ΔTxP</v>
      </c>
      <c r="P168" s="277" cm="1">
        <f t="array" aca="1" ref="P168" ca="1">INDIRECT("Q"&amp;S168)</f>
        <v>0</v>
      </c>
      <c r="Q168" s="276" cm="1">
        <f t="array" aca="1" ref="Q168" ca="1">INDIRECT("P"&amp;S168)</f>
        <v>0</v>
      </c>
      <c r="R168" s="295" t="str" cm="1">
        <f t="array" aca="1" ref="R168" ca="1">INDIRECT("O"&amp;S168)</f>
        <v>ΔTxP</v>
      </c>
      <c r="S168" s="103">
        <f t="shared" si="7"/>
        <v>77</v>
      </c>
    </row>
    <row r="169" spans="15:19" x14ac:dyDescent="0.2">
      <c r="O169" s="295" t="str" cm="1">
        <f t="array" aca="1" ref="O169" ca="1">INDIRECT("R"&amp;S169)</f>
        <v>ΔDefTxL</v>
      </c>
      <c r="P169" s="277" cm="1">
        <f t="array" aca="1" ref="P169" ca="1">INDIRECT("Q"&amp;S169)</f>
        <v>0</v>
      </c>
      <c r="Q169" s="276" cm="1">
        <f t="array" aca="1" ref="Q169" ca="1">INDIRECT("P"&amp;S169)</f>
        <v>0</v>
      </c>
      <c r="R169" s="295" t="str" cm="1">
        <f t="array" aca="1" ref="R169" ca="1">INDIRECT("O"&amp;S169)</f>
        <v>ΔDefTxL</v>
      </c>
      <c r="S169" s="103">
        <f t="shared" si="7"/>
        <v>81</v>
      </c>
    </row>
    <row r="170" spans="15:19" x14ac:dyDescent="0.2">
      <c r="O170" s="295" t="str" cm="1">
        <f t="array" aca="1" ref="O170" ca="1">INDIRECT("R"&amp;S170)</f>
        <v>ΔUR</v>
      </c>
      <c r="P170" s="277" cm="1">
        <f t="array" aca="1" ref="P170" ca="1">INDIRECT("Q"&amp;S170)</f>
        <v>0</v>
      </c>
      <c r="Q170" s="276" cm="1">
        <f t="array" aca="1" ref="Q170" ca="1">INDIRECT("P"&amp;S170)</f>
        <v>0</v>
      </c>
      <c r="R170" s="295" t="str" cm="1">
        <f t="array" aca="1" ref="R170" ca="1">INDIRECT("O"&amp;S170)</f>
        <v>ΔUR</v>
      </c>
      <c r="S170" s="103">
        <f t="shared" si="7"/>
        <v>85</v>
      </c>
    </row>
    <row r="171" spans="15:19" x14ac:dyDescent="0.2">
      <c r="O171" s="295" t="str" cm="1">
        <f t="array" aca="1" ref="O171" ca="1">INDIRECT("R"&amp;S171)</f>
        <v>ΔBP</v>
      </c>
      <c r="P171" s="277" cm="1">
        <f t="array" aca="1" ref="P171" ca="1">INDIRECT("Q"&amp;S171)</f>
        <v>0</v>
      </c>
      <c r="Q171" s="276" cm="1">
        <f t="array" aca="1" ref="Q171" ca="1">INDIRECT("P"&amp;S171)</f>
        <v>0</v>
      </c>
      <c r="R171" s="295" t="str" cm="1">
        <f t="array" aca="1" ref="R171" ca="1">INDIRECT("O"&amp;S171)</f>
        <v>ΔBP</v>
      </c>
      <c r="S171" s="103">
        <f t="shared" si="7"/>
        <v>89</v>
      </c>
    </row>
    <row r="172" spans="15:19" x14ac:dyDescent="0.2">
      <c r="O172" s="295" t="str" cm="1">
        <f t="array" aca="1" ref="O172" ca="1">INDIRECT("R"&amp;S172)</f>
        <v>ΔNP</v>
      </c>
      <c r="P172" s="277" cm="1">
        <f t="array" aca="1" ref="P172" ca="1">INDIRECT("Q"&amp;S172)</f>
        <v>0</v>
      </c>
      <c r="Q172" s="276" cm="1">
        <f t="array" aca="1" ref="Q172" ca="1">INDIRECT("P"&amp;S172)</f>
        <v>0</v>
      </c>
      <c r="R172" s="295" t="str" cm="1">
        <f t="array" aca="1" ref="R172" ca="1">INDIRECT("O"&amp;S172)</f>
        <v>ΔNP</v>
      </c>
      <c r="S172" s="103">
        <f>S171+4</f>
        <v>93</v>
      </c>
    </row>
    <row r="173" spans="15:19" x14ac:dyDescent="0.2">
      <c r="O173" s="295" t="str" cm="1">
        <f t="array" aca="1" ref="O173" ca="1">INDIRECT("R"&amp;S173)</f>
        <v>ΔSenDbt</v>
      </c>
      <c r="P173" s="277" cm="1">
        <f t="array" aca="1" ref="P173" ca="1">INDIRECT("Q"&amp;S173)</f>
        <v>0</v>
      </c>
      <c r="Q173" s="276" cm="1">
        <f t="array" aca="1" ref="Q173" ca="1">INDIRECT("P"&amp;S173)</f>
        <v>0</v>
      </c>
      <c r="R173" s="295" t="str" cm="1">
        <f t="array" aca="1" ref="R173" ca="1">INDIRECT("O"&amp;S173)</f>
        <v>ΔSenDbt</v>
      </c>
      <c r="S173" s="103">
        <f t="shared" si="7"/>
        <v>97</v>
      </c>
    </row>
    <row r="174" spans="15:19" x14ac:dyDescent="0.2">
      <c r="O174" s="295" t="str" cm="1">
        <f t="array" aca="1" ref="O174" ca="1">INDIRECT("R"&amp;S174)</f>
        <v>ΔSubDbt</v>
      </c>
      <c r="P174" s="277" cm="1">
        <f t="array" aca="1" ref="P174" ca="1">INDIRECT("Q"&amp;S174)</f>
        <v>0</v>
      </c>
      <c r="Q174" s="276" cm="1">
        <f t="array" aca="1" ref="Q174" ca="1">INDIRECT("P"&amp;S174)</f>
        <v>0</v>
      </c>
      <c r="R174" s="295" t="str" cm="1">
        <f t="array" aca="1" ref="R174" ca="1">INDIRECT("O"&amp;S174)</f>
        <v>ΔSubDbt</v>
      </c>
      <c r="S174" s="103">
        <f t="shared" si="7"/>
        <v>101</v>
      </c>
    </row>
    <row r="175" spans="15:19" x14ac:dyDescent="0.2">
      <c r="O175" s="295" t="str" cm="1">
        <f t="array" aca="1" ref="O175" ca="1">INDIRECT("R"&amp;S175)</f>
        <v>ΔSWP</v>
      </c>
      <c r="P175" s="277" cm="1">
        <f t="array" aca="1" ref="P175" ca="1">INDIRECT("Q"&amp;S175)</f>
        <v>0</v>
      </c>
      <c r="Q175" s="276" cm="1">
        <f t="array" aca="1" ref="Q175" ca="1">INDIRECT("P"&amp;S175)</f>
        <v>0</v>
      </c>
      <c r="R175" s="295" t="str" cm="1">
        <f t="array" aca="1" ref="R175" ca="1">INDIRECT("O"&amp;S175)</f>
        <v>ΔSWP</v>
      </c>
      <c r="S175" s="103">
        <f t="shared" si="7"/>
        <v>105</v>
      </c>
    </row>
    <row r="176" spans="15:19" x14ac:dyDescent="0.2">
      <c r="O176" s="295" t="str" cm="1">
        <f t="array" aca="1" ref="O176" ca="1">INDIRECT("R"&amp;S176)</f>
        <v>ΔPrefStk</v>
      </c>
      <c r="P176" s="277" cm="1">
        <f t="array" aca="1" ref="P176" ca="1">INDIRECT("Q"&amp;S176)</f>
        <v>0</v>
      </c>
      <c r="Q176" s="276" cm="1">
        <f t="array" aca="1" ref="Q176" ca="1">INDIRECT("P"&amp;S176)</f>
        <v>0</v>
      </c>
      <c r="R176" s="295" t="str" cm="1">
        <f t="array" aca="1" ref="R176" ca="1">INDIRECT("O"&amp;S176)</f>
        <v>ΔPrefStk</v>
      </c>
      <c r="S176" s="103">
        <v>110</v>
      </c>
    </row>
    <row r="177" spans="15:21" x14ac:dyDescent="0.2">
      <c r="O177" s="295" t="str" cm="1">
        <f t="array" aca="1" ref="O177" ca="1">INDIRECT("R"&amp;S177)</f>
        <v>ΔCS</v>
      </c>
      <c r="P177" s="277" cm="1">
        <f t="array" aca="1" ref="P177" ca="1">INDIRECT("Q"&amp;S177)</f>
        <v>0</v>
      </c>
      <c r="Q177" s="276" cm="1">
        <f t="array" aca="1" ref="Q177" ca="1">INDIRECT("P"&amp;S177)</f>
        <v>0</v>
      </c>
      <c r="R177" s="295" t="str" cm="1">
        <f t="array" aca="1" ref="R177" ca="1">INDIRECT("O"&amp;S177)</f>
        <v>ΔCS</v>
      </c>
      <c r="S177" s="103">
        <f>S176+4</f>
        <v>114</v>
      </c>
    </row>
    <row r="178" spans="15:21" x14ac:dyDescent="0.2">
      <c r="O178" s="295" t="str" cm="1">
        <f t="array" aca="1" ref="O178" ca="1">INDIRECT("R"&amp;S178)</f>
        <v>ΔAPIC</v>
      </c>
      <c r="P178" s="277" cm="1">
        <f t="array" aca="1" ref="P178" ca="1">INDIRECT("Q"&amp;S178)</f>
        <v>0</v>
      </c>
      <c r="Q178" s="276" cm="1">
        <f t="array" aca="1" ref="Q178" ca="1">INDIRECT("P"&amp;S178)</f>
        <v>0</v>
      </c>
      <c r="R178" s="295" t="str" cm="1">
        <f t="array" aca="1" ref="R178" ca="1">INDIRECT("O"&amp;S178)</f>
        <v>ΔAPIC</v>
      </c>
      <c r="S178" s="103">
        <f t="shared" ref="S178:S182" si="8">S177+4</f>
        <v>118</v>
      </c>
    </row>
    <row r="179" spans="15:21" x14ac:dyDescent="0.2">
      <c r="O179" s="295" t="str" cm="1">
        <f t="array" aca="1" ref="O179" ca="1">INDIRECT("R"&amp;S180)</f>
        <v>ΔAOCI</v>
      </c>
      <c r="P179" s="277" cm="1">
        <f t="array" aca="1" ref="P179" ca="1">INDIRECT("Q"&amp;S180)</f>
        <v>0</v>
      </c>
      <c r="Q179" s="276" cm="1">
        <f t="array" aca="1" ref="Q179" ca="1">INDIRECT("P"&amp;S180)</f>
        <v>0</v>
      </c>
      <c r="R179" s="295" t="str" cm="1">
        <f t="array" aca="1" ref="R179" ca="1">INDIRECT("O"&amp;S180)</f>
        <v>ΔAOCI</v>
      </c>
      <c r="S179" s="103">
        <f t="shared" si="8"/>
        <v>122</v>
      </c>
    </row>
    <row r="180" spans="15:21" x14ac:dyDescent="0.2">
      <c r="O180" s="295" t="str" cm="1">
        <f t="array" aca="1" ref="O180" ca="1">INDIRECT("R"&amp;S181)</f>
        <v>ΔTS</v>
      </c>
      <c r="P180" s="277" cm="1">
        <f t="array" aca="1" ref="P180" ca="1">INDIRECT("Q"&amp;S181)</f>
        <v>0</v>
      </c>
      <c r="Q180" s="276" cm="1">
        <f t="array" aca="1" ref="Q180" ca="1">INDIRECT("P"&amp;S181)</f>
        <v>0</v>
      </c>
      <c r="R180" s="295" t="str" cm="1">
        <f t="array" aca="1" ref="R180" ca="1">INDIRECT("O"&amp;S181)</f>
        <v>ΔTS</v>
      </c>
      <c r="S180" s="103">
        <f t="shared" si="8"/>
        <v>126</v>
      </c>
    </row>
    <row r="181" spans="15:21" x14ac:dyDescent="0.2">
      <c r="O181" s="260" t="s">
        <v>436</v>
      </c>
      <c r="P181" s="296">
        <f ca="1">IF(ROUND(T183-U183,2)&gt;0,T183-U183,0)</f>
        <v>5</v>
      </c>
      <c r="Q181" s="297">
        <f ca="1">IF(ROUND(U183-T183,2)&gt;0,U183-T183,0)</f>
        <v>0</v>
      </c>
      <c r="R181" s="260" t="s">
        <v>436</v>
      </c>
      <c r="S181" s="103">
        <f t="shared" si="8"/>
        <v>130</v>
      </c>
    </row>
    <row r="182" spans="15:21" x14ac:dyDescent="0.2">
      <c r="S182" s="103">
        <f t="shared" si="8"/>
        <v>134</v>
      </c>
    </row>
    <row r="183" spans="15:21" x14ac:dyDescent="0.2">
      <c r="O183" t="s">
        <v>504</v>
      </c>
      <c r="P183" s="299">
        <f>_xlfn.XLOOKUP("Cash",BegBalSht[Account],BegBalSht[Amount])</f>
        <v>0</v>
      </c>
      <c r="T183" s="330">
        <f ca="1">SUM(P140:P180)</f>
        <v>5</v>
      </c>
      <c r="U183" s="330">
        <f ca="1">SUM(Q140:Q180)</f>
        <v>0</v>
      </c>
    </row>
    <row r="184" spans="15:21" x14ac:dyDescent="0.2">
      <c r="O184" t="s">
        <v>436</v>
      </c>
      <c r="P184" s="300">
        <f ca="1">P181-Q181</f>
        <v>5</v>
      </c>
    </row>
    <row r="185" spans="15:21" x14ac:dyDescent="0.2">
      <c r="O185" t="s">
        <v>528</v>
      </c>
      <c r="P185" s="300">
        <f>F146-G146</f>
        <v>0</v>
      </c>
    </row>
    <row r="186" spans="15:21" x14ac:dyDescent="0.2">
      <c r="O186" t="s">
        <v>529</v>
      </c>
      <c r="P186" s="301">
        <f>K146-L146</f>
        <v>0</v>
      </c>
    </row>
    <row r="187" spans="15:21" x14ac:dyDescent="0.2">
      <c r="O187" t="s">
        <v>409</v>
      </c>
      <c r="P187" s="300">
        <f ca="1">SUM(P183:P186)</f>
        <v>5</v>
      </c>
    </row>
    <row r="188" spans="15:21" x14ac:dyDescent="0.2">
      <c r="O188" t="s">
        <v>573</v>
      </c>
      <c r="P188" s="300">
        <f>Financial_Statements_6!U8</f>
        <v>0</v>
      </c>
    </row>
    <row r="189" spans="15:21" ht="16" thickBot="1" x14ac:dyDescent="0.25">
      <c r="O189" t="s">
        <v>303</v>
      </c>
      <c r="P189" s="302">
        <f ca="1">ROUND(P187-P188,2)</f>
        <v>5</v>
      </c>
    </row>
    <row r="190" spans="15:21" ht="16" thickTop="1" x14ac:dyDescent="0.2"/>
  </sheetData>
  <sheetProtection formatColumns="0" formatRows="0"/>
  <conditionalFormatting sqref="O4 O153:O180">
    <cfRule type="expression" dxfId="209" priority="80">
      <formula>P4=0</formula>
    </cfRule>
  </conditionalFormatting>
  <conditionalFormatting sqref="O8">
    <cfRule type="expression" dxfId="208" priority="77">
      <formula>P8=0</formula>
    </cfRule>
  </conditionalFormatting>
  <conditionalFormatting sqref="O12">
    <cfRule type="expression" dxfId="207" priority="76">
      <formula>P12=0</formula>
    </cfRule>
  </conditionalFormatting>
  <conditionalFormatting sqref="O16">
    <cfRule type="expression" dxfId="206" priority="75">
      <formula>P16=0</formula>
    </cfRule>
  </conditionalFormatting>
  <conditionalFormatting sqref="O20">
    <cfRule type="expression" dxfId="205" priority="74">
      <formula>P20=0</formula>
    </cfRule>
  </conditionalFormatting>
  <conditionalFormatting sqref="O24">
    <cfRule type="expression" dxfId="204" priority="73">
      <formula>P24=0</formula>
    </cfRule>
  </conditionalFormatting>
  <conditionalFormatting sqref="O28">
    <cfRule type="expression" dxfId="203" priority="72">
      <formula>P28=0</formula>
    </cfRule>
  </conditionalFormatting>
  <conditionalFormatting sqref="O32">
    <cfRule type="expression" dxfId="202" priority="71">
      <formula>P32=0</formula>
    </cfRule>
  </conditionalFormatting>
  <conditionalFormatting sqref="O36">
    <cfRule type="expression" dxfId="201" priority="70">
      <formula>P36=0</formula>
    </cfRule>
  </conditionalFormatting>
  <conditionalFormatting sqref="O40">
    <cfRule type="expression" dxfId="200" priority="69">
      <formula>P40=0</formula>
    </cfRule>
  </conditionalFormatting>
  <conditionalFormatting sqref="O44">
    <cfRule type="expression" dxfId="199" priority="68">
      <formula>P44=0</formula>
    </cfRule>
  </conditionalFormatting>
  <conditionalFormatting sqref="O48">
    <cfRule type="expression" dxfId="198" priority="67">
      <formula>P48=0</formula>
    </cfRule>
  </conditionalFormatting>
  <conditionalFormatting sqref="O52">
    <cfRule type="expression" dxfId="197" priority="66">
      <formula>P52=0</formula>
    </cfRule>
  </conditionalFormatting>
  <conditionalFormatting sqref="O56">
    <cfRule type="expression" dxfId="196" priority="65">
      <formula>P56=0</formula>
    </cfRule>
  </conditionalFormatting>
  <conditionalFormatting sqref="O61">
    <cfRule type="expression" dxfId="195" priority="64">
      <formula>P61=0</formula>
    </cfRule>
  </conditionalFormatting>
  <conditionalFormatting sqref="O65">
    <cfRule type="expression" dxfId="194" priority="63">
      <formula>P65=0</formula>
    </cfRule>
  </conditionalFormatting>
  <conditionalFormatting sqref="O69">
    <cfRule type="expression" dxfId="193" priority="62">
      <formula>P69=0</formula>
    </cfRule>
  </conditionalFormatting>
  <conditionalFormatting sqref="O73">
    <cfRule type="expression" dxfId="192" priority="61">
      <formula>P73=0</formula>
    </cfRule>
  </conditionalFormatting>
  <conditionalFormatting sqref="O77">
    <cfRule type="expression" dxfId="191" priority="60">
      <formula>P77=0</formula>
    </cfRule>
  </conditionalFormatting>
  <conditionalFormatting sqref="O81">
    <cfRule type="expression" dxfId="190" priority="59">
      <formula>P81=0</formula>
    </cfRule>
  </conditionalFormatting>
  <conditionalFormatting sqref="O85">
    <cfRule type="expression" dxfId="189" priority="58">
      <formula>P85=0</formula>
    </cfRule>
  </conditionalFormatting>
  <conditionalFormatting sqref="O89">
    <cfRule type="expression" dxfId="188" priority="57">
      <formula>P89=0</formula>
    </cfRule>
  </conditionalFormatting>
  <conditionalFormatting sqref="O93">
    <cfRule type="expression" dxfId="187" priority="56">
      <formula>P93=0</formula>
    </cfRule>
  </conditionalFormatting>
  <conditionalFormatting sqref="O97">
    <cfRule type="expression" dxfId="186" priority="55">
      <formula>P97=0</formula>
    </cfRule>
  </conditionalFormatting>
  <conditionalFormatting sqref="O101">
    <cfRule type="expression" dxfId="185" priority="54">
      <formula>P101=0</formula>
    </cfRule>
  </conditionalFormatting>
  <conditionalFormatting sqref="O105">
    <cfRule type="expression" dxfId="184" priority="53">
      <formula>P105=0</formula>
    </cfRule>
  </conditionalFormatting>
  <conditionalFormatting sqref="O110">
    <cfRule type="expression" dxfId="183" priority="52">
      <formula>P110=0</formula>
    </cfRule>
  </conditionalFormatting>
  <conditionalFormatting sqref="O114">
    <cfRule type="expression" dxfId="182" priority="51">
      <formula>P114=0</formula>
    </cfRule>
  </conditionalFormatting>
  <conditionalFormatting sqref="O118">
    <cfRule type="expression" dxfId="181" priority="50">
      <formula>P118=0</formula>
    </cfRule>
  </conditionalFormatting>
  <conditionalFormatting sqref="O122">
    <cfRule type="expression" dxfId="180" priority="49">
      <formula>P122=0</formula>
    </cfRule>
  </conditionalFormatting>
  <conditionalFormatting sqref="O126">
    <cfRule type="expression" dxfId="179" priority="48">
      <formula>P126=0</formula>
    </cfRule>
  </conditionalFormatting>
  <conditionalFormatting sqref="O130">
    <cfRule type="expression" dxfId="178" priority="47">
      <formula>P130=0</formula>
    </cfRule>
  </conditionalFormatting>
  <conditionalFormatting sqref="O134">
    <cfRule type="expression" dxfId="177" priority="46">
      <formula>P134=0</formula>
    </cfRule>
  </conditionalFormatting>
  <conditionalFormatting sqref="O150">
    <cfRule type="expression" dxfId="176" priority="45">
      <formula>P150=0</formula>
    </cfRule>
  </conditionalFormatting>
  <conditionalFormatting sqref="O151">
    <cfRule type="expression" dxfId="175" priority="44">
      <formula>P151=0</formula>
    </cfRule>
  </conditionalFormatting>
  <conditionalFormatting sqref="O152">
    <cfRule type="expression" dxfId="174" priority="43">
      <formula>P152=0</formula>
    </cfRule>
  </conditionalFormatting>
  <conditionalFormatting sqref="R4 R170:R180">
    <cfRule type="expression" dxfId="173" priority="41">
      <formula>Q4=0</formula>
    </cfRule>
  </conditionalFormatting>
  <conditionalFormatting sqref="R8">
    <cfRule type="expression" dxfId="172" priority="40">
      <formula>Q8=0</formula>
    </cfRule>
  </conditionalFormatting>
  <conditionalFormatting sqref="R12">
    <cfRule type="expression" dxfId="171" priority="39">
      <formula>Q12=0</formula>
    </cfRule>
  </conditionalFormatting>
  <conditionalFormatting sqref="R16">
    <cfRule type="expression" dxfId="170" priority="38">
      <formula>Q16=0</formula>
    </cfRule>
  </conditionalFormatting>
  <conditionalFormatting sqref="R20">
    <cfRule type="expression" dxfId="169" priority="37">
      <formula>Q20=0</formula>
    </cfRule>
  </conditionalFormatting>
  <conditionalFormatting sqref="R24">
    <cfRule type="expression" dxfId="168" priority="36">
      <formula>Q24=0</formula>
    </cfRule>
  </conditionalFormatting>
  <conditionalFormatting sqref="R28">
    <cfRule type="expression" dxfId="167" priority="35">
      <formula>Q28=0</formula>
    </cfRule>
  </conditionalFormatting>
  <conditionalFormatting sqref="R32">
    <cfRule type="expression" dxfId="166" priority="34">
      <formula>Q32=0</formula>
    </cfRule>
  </conditionalFormatting>
  <conditionalFormatting sqref="R36">
    <cfRule type="expression" dxfId="165" priority="33">
      <formula>Q36=0</formula>
    </cfRule>
  </conditionalFormatting>
  <conditionalFormatting sqref="R40">
    <cfRule type="expression" dxfId="164" priority="32">
      <formula>Q40=0</formula>
    </cfRule>
  </conditionalFormatting>
  <conditionalFormatting sqref="R44">
    <cfRule type="expression" dxfId="163" priority="31">
      <formula>Q44=0</formula>
    </cfRule>
  </conditionalFormatting>
  <conditionalFormatting sqref="R48">
    <cfRule type="expression" dxfId="162" priority="30">
      <formula>Q48=0</formula>
    </cfRule>
  </conditionalFormatting>
  <conditionalFormatting sqref="R52">
    <cfRule type="expression" dxfId="161" priority="29">
      <formula>Q52=0</formula>
    </cfRule>
  </conditionalFormatting>
  <conditionalFormatting sqref="R56">
    <cfRule type="expression" dxfId="160" priority="28">
      <formula>Q56=0</formula>
    </cfRule>
  </conditionalFormatting>
  <conditionalFormatting sqref="R61">
    <cfRule type="expression" dxfId="159" priority="27">
      <formula>Q61=0</formula>
    </cfRule>
  </conditionalFormatting>
  <conditionalFormatting sqref="R65">
    <cfRule type="expression" dxfId="158" priority="26">
      <formula>Q65=0</formula>
    </cfRule>
  </conditionalFormatting>
  <conditionalFormatting sqref="R69">
    <cfRule type="expression" dxfId="157" priority="25">
      <formula>Q69=0</formula>
    </cfRule>
  </conditionalFormatting>
  <conditionalFormatting sqref="R73">
    <cfRule type="expression" dxfId="156" priority="24">
      <formula>Q73=0</formula>
    </cfRule>
  </conditionalFormatting>
  <conditionalFormatting sqref="R77">
    <cfRule type="expression" dxfId="155" priority="23">
      <formula>Q77=0</formula>
    </cfRule>
  </conditionalFormatting>
  <conditionalFormatting sqref="R81">
    <cfRule type="expression" dxfId="154" priority="22">
      <formula>Q81=0</formula>
    </cfRule>
  </conditionalFormatting>
  <conditionalFormatting sqref="R85">
    <cfRule type="expression" dxfId="153" priority="21">
      <formula>Q85=0</formula>
    </cfRule>
  </conditionalFormatting>
  <conditionalFormatting sqref="R89">
    <cfRule type="expression" dxfId="152" priority="20">
      <formula>Q89=0</formula>
    </cfRule>
  </conditionalFormatting>
  <conditionalFormatting sqref="R93">
    <cfRule type="expression" dxfId="151" priority="19">
      <formula>Q93=0</formula>
    </cfRule>
  </conditionalFormatting>
  <conditionalFormatting sqref="R97">
    <cfRule type="expression" dxfId="150" priority="18">
      <formula>Q97=0</formula>
    </cfRule>
  </conditionalFormatting>
  <conditionalFormatting sqref="R101">
    <cfRule type="expression" dxfId="149" priority="17">
      <formula>Q101=0</formula>
    </cfRule>
  </conditionalFormatting>
  <conditionalFormatting sqref="R105">
    <cfRule type="expression" dxfId="148" priority="16">
      <formula>Q105=0</formula>
    </cfRule>
  </conditionalFormatting>
  <conditionalFormatting sqref="R110">
    <cfRule type="expression" dxfId="147" priority="15">
      <formula>Q110=0</formula>
    </cfRule>
  </conditionalFormatting>
  <conditionalFormatting sqref="R114">
    <cfRule type="expression" dxfId="146" priority="14">
      <formula>Q114=0</formula>
    </cfRule>
  </conditionalFormatting>
  <conditionalFormatting sqref="R118">
    <cfRule type="expression" dxfId="145" priority="13">
      <formula>Q118=0</formula>
    </cfRule>
  </conditionalFormatting>
  <conditionalFormatting sqref="R122">
    <cfRule type="expression" dxfId="144" priority="12">
      <formula>Q122=0</formula>
    </cfRule>
  </conditionalFormatting>
  <conditionalFormatting sqref="R126">
    <cfRule type="expression" dxfId="143" priority="11">
      <formula>Q126=0</formula>
    </cfRule>
  </conditionalFormatting>
  <conditionalFormatting sqref="R130">
    <cfRule type="expression" dxfId="142" priority="10">
      <formula>Q130=0</formula>
    </cfRule>
  </conditionalFormatting>
  <conditionalFormatting sqref="R134">
    <cfRule type="expression" dxfId="141" priority="9">
      <formula>Q134=0</formula>
    </cfRule>
  </conditionalFormatting>
  <conditionalFormatting sqref="R150:R169">
    <cfRule type="expression" dxfId="140" priority="8">
      <formula>Q150=0</formula>
    </cfRule>
  </conditionalFormatting>
  <conditionalFormatting sqref="P189">
    <cfRule type="cellIs" dxfId="139" priority="6" operator="notBetween">
      <formula>-0.001</formula>
      <formula>0.001</formula>
    </cfRule>
  </conditionalFormatting>
  <conditionalFormatting sqref="R181">
    <cfRule type="expression" dxfId="138" priority="5">
      <formula>ROUND($Q$181,2)=0</formula>
    </cfRule>
  </conditionalFormatting>
  <conditionalFormatting sqref="O181">
    <cfRule type="expression" dxfId="137" priority="4">
      <formula>ROUND($P$181,2)=0</formula>
    </cfRule>
  </conditionalFormatting>
  <conditionalFormatting sqref="E1:H2 F139:G139 K139:L139 O139:R139 O141:R141 J1:M2">
    <cfRule type="expression" dxfId="136" priority="3">
      <formula>ROUND($AA$1,2)&lt;&gt;0</formula>
    </cfRule>
  </conditionalFormatting>
  <conditionalFormatting sqref="T150:U180">
    <cfRule type="expression" dxfId="135" priority="2">
      <formula>ROUND($U150,2)=0</formula>
    </cfRule>
  </conditionalFormatting>
  <conditionalFormatting sqref="V150:W180">
    <cfRule type="expression" dxfId="134" priority="1">
      <formula>ROUND($U150,2)=0</formula>
    </cfRule>
  </conditionalFormatting>
  <pageMargins left="0.7" right="0.7" top="0.75" bottom="0.75" header="0.3" footer="0.3"/>
  <pageSetup orientation="portrait" r:id="rId1"/>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7883A-C4A7-415D-885A-DF55B2F8AA65}">
  <sheetPr>
    <tabColor theme="7" tint="-0.249977111117893"/>
  </sheetPr>
  <dimension ref="A1:S23"/>
  <sheetViews>
    <sheetView zoomScale="130" zoomScaleNormal="130" workbookViewId="0"/>
  </sheetViews>
  <sheetFormatPr baseColWidth="10" defaultColWidth="8.83203125" defaultRowHeight="15" outlineLevelCol="1" x14ac:dyDescent="0.2"/>
  <cols>
    <col min="1" max="1" width="12.1640625" customWidth="1"/>
    <col min="6" max="6" width="17.83203125" customWidth="1"/>
    <col min="8" max="8" width="4.6640625" customWidth="1"/>
    <col min="9" max="9" width="25.5" customWidth="1"/>
    <col min="10" max="10" width="24.33203125" bestFit="1" customWidth="1"/>
    <col min="14" max="18" width="8.83203125" hidden="1" customWidth="1" outlineLevel="1"/>
    <col min="19" max="19" width="8.83203125" collapsed="1"/>
  </cols>
  <sheetData>
    <row r="1" spans="1:19" x14ac:dyDescent="0.2">
      <c r="A1" s="5" t="s">
        <v>574</v>
      </c>
      <c r="F1" s="321"/>
      <c r="S1" s="5" t="s">
        <v>575</v>
      </c>
    </row>
    <row r="2" spans="1:19" x14ac:dyDescent="0.2">
      <c r="H2" s="304">
        <v>2</v>
      </c>
    </row>
    <row r="3" spans="1:19" x14ac:dyDescent="0.2">
      <c r="B3" s="12" t="s">
        <v>312</v>
      </c>
      <c r="C3" s="12"/>
      <c r="D3" s="12" t="s">
        <v>316</v>
      </c>
      <c r="E3" s="12"/>
      <c r="F3" s="331" t="s">
        <v>576</v>
      </c>
      <c r="I3" s="12" t="s">
        <v>577</v>
      </c>
      <c r="J3" s="12"/>
      <c r="K3" s="12"/>
      <c r="L3" s="12"/>
      <c r="N3" s="12" t="s">
        <v>312</v>
      </c>
      <c r="O3" s="12"/>
      <c r="P3" s="12" t="s">
        <v>316</v>
      </c>
      <c r="Q3" s="12"/>
      <c r="R3" s="331" t="s">
        <v>576</v>
      </c>
    </row>
    <row r="4" spans="1:19" x14ac:dyDescent="0.2">
      <c r="B4" s="332" t="s">
        <v>159</v>
      </c>
      <c r="C4" s="332" t="s">
        <v>578</v>
      </c>
      <c r="D4" s="332" t="s">
        <v>159</v>
      </c>
      <c r="E4" s="332" t="s">
        <v>578</v>
      </c>
      <c r="F4" s="332" t="s">
        <v>578</v>
      </c>
      <c r="I4" t="str" cm="1">
        <f t="array" ref="I4">_xlfn._xlws.FILTER(Journal[DrAccnt],Journal[ref]=$H$2,"")</f>
        <v/>
      </c>
      <c r="J4" t="str" cm="1">
        <f t="array" ref="J4">_xlfn._xlws.FILTER(Journal[CrAccnt],Journal[ref]=$H$2,"")</f>
        <v/>
      </c>
      <c r="K4" s="42" t="str" cm="1">
        <f t="array" ref="K4">_xlfn._xlws.FILTER(Journal[DrAmt],Journal[ref]=$H$2,"")</f>
        <v/>
      </c>
      <c r="L4" s="42" t="str" cm="1">
        <f t="array" ref="L4">_xlfn._xlws.FILTER(Journal[CrAmt],Journal[ref]=$H$2,"")</f>
        <v/>
      </c>
      <c r="N4" s="332" t="s">
        <v>159</v>
      </c>
      <c r="O4" s="332" t="s">
        <v>578</v>
      </c>
      <c r="P4" s="332" t="s">
        <v>159</v>
      </c>
      <c r="Q4" s="332" t="s">
        <v>578</v>
      </c>
      <c r="R4" s="332" t="s">
        <v>578</v>
      </c>
    </row>
    <row r="5" spans="1:19" x14ac:dyDescent="0.2">
      <c r="B5" s="1" cm="1">
        <f t="array" ref="B5">_xlfn._xlws.FILTER(Answers[ref],Answers[CFS]="Investing")</f>
        <v>1</v>
      </c>
      <c r="C5" s="1" t="str" cm="1">
        <f t="array" ref="C5">_xlfn._xlws.FILTER(Answers[ref],Answers[CFS]="Noncash Investing","")</f>
        <v/>
      </c>
      <c r="D5" s="1" t="str" cm="1">
        <f t="array" ref="D5">_xlfn._xlws.FILTER(Answers[ref],Answers[CFS]="Financing","")</f>
        <v/>
      </c>
      <c r="E5" s="1" t="str" cm="1">
        <f t="array" ref="E5">_xlfn._xlws.FILTER(Answers[ref],Answers[CFS]="Noncash Financing","")</f>
        <v/>
      </c>
      <c r="F5" s="1" t="str" cm="1">
        <f t="array" ref="F5">_xlfn._xlws.FILTER(Answers[ref],Answers[CFS]="Noncash Investing/Financing","")</f>
        <v/>
      </c>
      <c r="K5" s="42"/>
      <c r="L5" s="42"/>
      <c r="N5" s="341" t="s">
        <v>579</v>
      </c>
      <c r="O5" s="341" t="s">
        <v>579</v>
      </c>
      <c r="P5" s="341" t="s">
        <v>579</v>
      </c>
      <c r="Q5" s="341" t="s">
        <v>579</v>
      </c>
      <c r="R5" s="341" t="s">
        <v>579</v>
      </c>
    </row>
    <row r="6" spans="1:19" x14ac:dyDescent="0.2">
      <c r="B6" s="1"/>
      <c r="C6" s="1"/>
      <c r="D6" s="1"/>
      <c r="E6" s="1"/>
      <c r="F6" s="1"/>
      <c r="K6" s="42"/>
      <c r="L6" s="42"/>
      <c r="N6" s="199" cm="1">
        <f t="array" ref="N6">_xlfn._xlws.FILTER(Answers[ref],Answers[CFS]="Investing")</f>
        <v>1</v>
      </c>
      <c r="O6" s="199" t="str" cm="1">
        <f t="array" ref="O6">_xlfn._xlws.FILTER(Answers[ref],Answers[CFS]="Noncash Investing","")</f>
        <v/>
      </c>
      <c r="P6" s="199" t="str" cm="1">
        <f t="array" ref="P6">_xlfn._xlws.FILTER(Answers[ref],Answers[CFS]="Financing","")</f>
        <v/>
      </c>
      <c r="Q6" s="199" t="str" cm="1">
        <f t="array" ref="Q6">_xlfn._xlws.FILTER(Answers[ref],Answers[CFS]="Noncash Financing","")</f>
        <v/>
      </c>
      <c r="R6" s="199" t="str" cm="1">
        <f t="array" ref="R6">_xlfn._xlws.FILTER(Answers[ref],Answers[CFS]="Noncash Investing/Financing","")</f>
        <v/>
      </c>
    </row>
    <row r="7" spans="1:19" x14ac:dyDescent="0.2">
      <c r="B7" s="1"/>
      <c r="C7" s="1"/>
      <c r="D7" s="1"/>
      <c r="E7" s="1"/>
      <c r="F7" s="1"/>
      <c r="K7" s="42"/>
      <c r="L7" s="42"/>
      <c r="N7" s="199"/>
      <c r="O7" s="199"/>
      <c r="P7" s="199"/>
      <c r="Q7" s="199"/>
      <c r="R7" s="199"/>
    </row>
    <row r="8" spans="1:19" x14ac:dyDescent="0.2">
      <c r="B8" s="1"/>
      <c r="C8" s="1"/>
      <c r="D8" s="1"/>
      <c r="E8" s="1"/>
      <c r="F8" s="1"/>
      <c r="K8" s="42"/>
      <c r="L8" s="42"/>
      <c r="N8" s="199"/>
      <c r="O8" s="199"/>
      <c r="P8" s="199"/>
      <c r="Q8" s="199"/>
      <c r="R8" s="199"/>
    </row>
    <row r="9" spans="1:19" x14ac:dyDescent="0.2">
      <c r="B9" s="1"/>
      <c r="C9" s="1"/>
      <c r="D9" s="1"/>
      <c r="E9" s="1"/>
      <c r="F9" s="1"/>
      <c r="K9" s="42"/>
      <c r="L9" s="42"/>
      <c r="N9" s="199"/>
      <c r="O9" s="199"/>
      <c r="P9" s="199"/>
      <c r="Q9" s="199"/>
      <c r="R9" s="199"/>
    </row>
    <row r="10" spans="1:19" x14ac:dyDescent="0.2">
      <c r="B10" s="1"/>
      <c r="C10" s="1"/>
      <c r="D10" s="1"/>
      <c r="E10" s="1"/>
      <c r="F10" s="1"/>
      <c r="K10" s="42"/>
      <c r="L10" s="42"/>
      <c r="N10" s="199"/>
      <c r="O10" s="199"/>
      <c r="P10" s="199"/>
      <c r="Q10" s="199"/>
      <c r="R10" s="199"/>
    </row>
    <row r="11" spans="1:19" x14ac:dyDescent="0.2">
      <c r="B11" s="1"/>
      <c r="C11" s="1"/>
      <c r="D11" s="1"/>
      <c r="E11" s="1"/>
      <c r="F11" s="1"/>
      <c r="J11" s="42"/>
      <c r="K11" s="42"/>
      <c r="N11" s="199"/>
      <c r="O11" s="199"/>
      <c r="P11" s="199"/>
      <c r="Q11" s="199"/>
      <c r="R11" s="199"/>
    </row>
    <row r="12" spans="1:19" x14ac:dyDescent="0.2">
      <c r="B12" s="1"/>
      <c r="C12" s="1"/>
      <c r="D12" s="1"/>
      <c r="E12" s="1"/>
      <c r="F12" s="1"/>
      <c r="K12" s="42"/>
      <c r="L12" s="42"/>
      <c r="N12" s="199"/>
      <c r="O12" s="199"/>
      <c r="P12" s="199"/>
      <c r="Q12" s="199"/>
      <c r="R12" s="199"/>
    </row>
    <row r="13" spans="1:19" x14ac:dyDescent="0.2">
      <c r="B13" s="1"/>
      <c r="C13" s="1"/>
      <c r="D13" s="1"/>
      <c r="E13" s="1"/>
      <c r="F13" s="1"/>
      <c r="K13" s="42"/>
      <c r="L13" s="42"/>
      <c r="N13" s="199"/>
      <c r="O13" s="199"/>
      <c r="P13" s="199"/>
      <c r="Q13" s="199"/>
      <c r="R13" s="199"/>
    </row>
    <row r="14" spans="1:19" x14ac:dyDescent="0.2">
      <c r="B14" s="1"/>
      <c r="C14" s="1"/>
      <c r="D14" s="1"/>
      <c r="E14" s="1"/>
      <c r="F14" s="1"/>
      <c r="K14" s="42"/>
      <c r="L14" s="42"/>
      <c r="N14" s="199"/>
      <c r="O14" s="199"/>
      <c r="P14" s="199"/>
      <c r="Q14" s="199"/>
      <c r="R14" s="199"/>
    </row>
    <row r="15" spans="1:19" x14ac:dyDescent="0.2">
      <c r="N15" s="199"/>
      <c r="O15" s="199"/>
      <c r="P15" s="199"/>
      <c r="Q15" s="199"/>
      <c r="R15" s="199"/>
    </row>
    <row r="16" spans="1:19" x14ac:dyDescent="0.2">
      <c r="N16" s="103"/>
      <c r="O16" s="103"/>
      <c r="P16" s="103"/>
      <c r="Q16" s="103"/>
      <c r="R16" s="103"/>
    </row>
    <row r="17" spans="14:18" x14ac:dyDescent="0.2">
      <c r="N17" s="103"/>
      <c r="O17" s="103"/>
      <c r="P17" s="103"/>
      <c r="Q17" s="103"/>
      <c r="R17" s="103"/>
    </row>
    <row r="18" spans="14:18" x14ac:dyDescent="0.2">
      <c r="N18" s="103"/>
      <c r="O18" s="103"/>
      <c r="P18" s="103"/>
      <c r="Q18" s="103"/>
      <c r="R18" s="103"/>
    </row>
    <row r="19" spans="14:18" x14ac:dyDescent="0.2">
      <c r="N19" s="103"/>
      <c r="O19" s="103"/>
      <c r="P19" s="103"/>
      <c r="Q19" s="103"/>
      <c r="R19" s="103"/>
    </row>
    <row r="20" spans="14:18" x14ac:dyDescent="0.2">
      <c r="N20" s="103"/>
      <c r="O20" s="103"/>
      <c r="P20" s="103"/>
      <c r="Q20" s="103"/>
      <c r="R20" s="103"/>
    </row>
    <row r="21" spans="14:18" x14ac:dyDescent="0.2">
      <c r="N21" s="103"/>
      <c r="O21" s="103"/>
      <c r="P21" s="103"/>
      <c r="Q21" s="103"/>
      <c r="R21" s="103"/>
    </row>
    <row r="22" spans="14:18" x14ac:dyDescent="0.2">
      <c r="N22" s="103"/>
      <c r="O22" s="103"/>
      <c r="P22" s="103"/>
      <c r="Q22" s="103"/>
      <c r="R22" s="103"/>
    </row>
    <row r="23" spans="14:18" x14ac:dyDescent="0.2">
      <c r="N23" s="103"/>
      <c r="O23" s="103"/>
      <c r="P23" s="103"/>
      <c r="Q23" s="103"/>
      <c r="R23" s="103"/>
    </row>
  </sheetData>
  <sheetProtection formatColumns="0"/>
  <conditionalFormatting sqref="H24:H26">
    <cfRule type="cellIs" dxfId="133" priority="12" operator="equal">
      <formula>0</formula>
    </cfRule>
    <cfRule type="expression" dxfId="132" priority="13">
      <formula>OR(NOT(ISBLANK($Z23)),NOT(ISBLANK($AA23)))</formula>
    </cfRule>
  </conditionalFormatting>
  <conditionalFormatting sqref="I4:L10 I12:L14 I11:K11">
    <cfRule type="expression" dxfId="131" priority="14">
      <formula>AND(OR(NOT(ISBLANK($AM12)),NOT(ISBLANK($AN12))),$AM$3="Financing")</formula>
    </cfRule>
    <cfRule type="expression" dxfId="130" priority="15">
      <formula>AND(OR(NOT(ISBLANK($AM12)),NOT(ISBLANK($AN12))),$AM$3="Investing")</formula>
    </cfRule>
    <cfRule type="expression" dxfId="129" priority="16">
      <formula>AND(OR(NOT(ISBLANK($AM12)),NOT(ISBLANK($AN12))),$AM$3="Operating")</formula>
    </cfRule>
    <cfRule type="cellIs" dxfId="128" priority="17" operator="equal">
      <formula>0</formula>
    </cfRule>
  </conditionalFormatting>
  <conditionalFormatting sqref="B5:F21 I24:M25 M3:M23 I4:L23">
    <cfRule type="notContainsBlanks" dxfId="127" priority="7">
      <formula>LEN(TRIM(B3))&gt;0</formula>
    </cfRule>
  </conditionalFormatting>
  <conditionalFormatting sqref="H14:H23">
    <cfRule type="cellIs" dxfId="126" priority="157" operator="equal">
      <formula>0</formula>
    </cfRule>
    <cfRule type="expression" dxfId="125" priority="158">
      <formula>OR(NOT(ISBLANK($Y13)),NOT(ISBLANK($Z13)))</formula>
    </cfRule>
  </conditionalFormatting>
  <conditionalFormatting sqref="I15:L18">
    <cfRule type="expression" dxfId="124" priority="159">
      <formula>AND(OR(NOT(ISBLANK($AN23)),NOT(ISBLANK($AO23))),$AM$3="Financing")</formula>
    </cfRule>
    <cfRule type="expression" dxfId="123" priority="160">
      <formula>AND(OR(NOT(ISBLANK($AN23)),NOT(ISBLANK($AO23))),$AM$3="Investing")</formula>
    </cfRule>
    <cfRule type="expression" dxfId="122" priority="161">
      <formula>AND(OR(NOT(ISBLANK($AN23)),NOT(ISBLANK($AO23))),$AM$3="Operating")</formula>
    </cfRule>
    <cfRule type="cellIs" dxfId="121" priority="162" operator="equal">
      <formula>0</formula>
    </cfRule>
  </conditionalFormatting>
  <conditionalFormatting sqref="H10">
    <cfRule type="expression" dxfId="120" priority="167">
      <formula>AND(OR(NOT(ISBLANK($AM19)),NOT(ISBLANK($AN19))),$AM$3="Financing")</formula>
    </cfRule>
    <cfRule type="expression" dxfId="119" priority="168">
      <formula>AND(OR(NOT(ISBLANK($AM19)),NOT(ISBLANK($AN19))),$AM$3="Investing")</formula>
    </cfRule>
    <cfRule type="expression" dxfId="118" priority="169">
      <formula>AND(OR(NOT(ISBLANK($AM19)),NOT(ISBLANK($AN19))),$AM$3="Operating")</formula>
    </cfRule>
    <cfRule type="cellIs" dxfId="117" priority="170" operator="equal">
      <formula>0</formula>
    </cfRule>
  </conditionalFormatting>
  <conditionalFormatting sqref="N6:R23">
    <cfRule type="expression" dxfId="116" priority="1">
      <formula>AND(N$5="Show",NOT(ISBLANK(N6)))</formula>
    </cfRule>
  </conditionalFormatting>
  <dataValidations count="1">
    <dataValidation type="list" allowBlank="1" showInputMessage="1" showErrorMessage="1" sqref="N5:R5" xr:uid="{87234674-89D3-4F72-8B35-492DEA3BFB8D}">
      <formula1>"Show,Hide"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F98C878-4837-4595-B7FE-989C147A6008}">
          <x14:formula1>
            <xm:f>INDIRECT(Trans_Events_Data!$A$53)</xm:f>
          </x14:formula1>
          <xm:sqref>H2</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5FD3E-DAD1-433B-98C3-FC400CD6F137}">
  <sheetPr>
    <tabColor rgb="FFFF0000"/>
  </sheetPr>
  <dimension ref="A1:BM196"/>
  <sheetViews>
    <sheetView topLeftCell="H3" zoomScale="85" zoomScaleNormal="85" workbookViewId="0">
      <selection activeCell="AY7" sqref="AY7"/>
    </sheetView>
  </sheetViews>
  <sheetFormatPr baseColWidth="10" defaultColWidth="8.83203125" defaultRowHeight="15" outlineLevelCol="1" x14ac:dyDescent="0.2"/>
  <cols>
    <col min="2" max="2" width="29.6640625" customWidth="1" outlineLevel="1"/>
    <col min="3" max="3" width="9.5" customWidth="1" outlineLevel="1"/>
    <col min="4" max="4" width="13.6640625" customWidth="1"/>
    <col min="5" max="5" width="42.1640625" customWidth="1" outlineLevel="1"/>
    <col min="6" max="6" width="9.5" customWidth="1" outlineLevel="1"/>
    <col min="7" max="7" width="16.5" customWidth="1"/>
    <col min="8" max="8" width="31.5" customWidth="1" outlineLevel="1"/>
    <col min="9" max="9" width="8.83203125" customWidth="1" outlineLevel="1"/>
    <col min="10" max="10" width="9.5" customWidth="1" outlineLevel="1"/>
    <col min="11" max="14" width="8.83203125" customWidth="1" outlineLevel="1"/>
    <col min="15" max="15" width="10.83203125" customWidth="1" outlineLevel="1"/>
    <col min="16" max="16" width="23.6640625" bestFit="1" customWidth="1"/>
    <col min="17" max="17" width="39.1640625" customWidth="1" outlineLevel="1"/>
    <col min="18" max="18" width="10.33203125" customWidth="1" outlineLevel="1"/>
    <col min="19" max="19" width="27.33203125" bestFit="1" customWidth="1"/>
    <col min="20" max="20" width="29.6640625" customWidth="1" outlineLevel="1"/>
    <col min="21" max="21" width="10.83203125" customWidth="1" outlineLevel="1"/>
    <col min="22" max="22" width="14" bestFit="1" customWidth="1"/>
    <col min="23" max="24" width="8.83203125" customWidth="1" outlineLevel="1"/>
    <col min="26" max="27" width="8.83203125" customWidth="1" outlineLevel="1"/>
    <col min="28" max="29" width="22.33203125" customWidth="1" outlineLevel="1"/>
    <col min="30" max="31" width="8.83203125" customWidth="1" outlineLevel="1"/>
    <col min="33" max="34" width="8.83203125" customWidth="1" outlineLevel="1"/>
    <col min="35" max="35" width="25.1640625" customWidth="1" outlineLevel="1"/>
    <col min="36" max="36" width="22.33203125" customWidth="1" outlineLevel="1"/>
    <col min="37" max="38" width="8.83203125" customWidth="1" outlineLevel="1"/>
    <col min="40" max="41" width="8.83203125" customWidth="1" outlineLevel="1"/>
    <col min="42" max="42" width="22.33203125" customWidth="1" outlineLevel="1"/>
    <col min="43" max="43" width="38" customWidth="1" outlineLevel="1"/>
    <col min="44" max="45" width="8.83203125" customWidth="1" outlineLevel="1"/>
    <col min="47" max="47" width="38" customWidth="1" outlineLevel="1"/>
    <col min="48" max="49" width="8.83203125" customWidth="1" outlineLevel="1"/>
    <col min="50" max="50" width="6" style="1" customWidth="1" outlineLevel="1"/>
    <col min="51" max="51" width="9.1640625" customWidth="1" outlineLevel="1"/>
    <col min="52" max="52" width="9.33203125" customWidth="1" outlineLevel="1"/>
    <col min="53" max="53" width="5.6640625" style="1" customWidth="1" outlineLevel="1"/>
    <col min="54" max="54" width="9.33203125" customWidth="1" outlineLevel="1"/>
    <col min="55" max="55" width="10.1640625" customWidth="1" outlineLevel="1"/>
    <col min="56" max="56" width="9.33203125" customWidth="1" outlineLevel="1"/>
    <col min="57" max="58" width="8.83203125" customWidth="1" outlineLevel="1"/>
    <col min="59" max="59" width="10.5" customWidth="1" outlineLevel="1"/>
    <col min="60" max="61" width="9.33203125" customWidth="1" outlineLevel="1"/>
    <col min="62" max="62" width="8.83203125" customWidth="1" outlineLevel="1"/>
  </cols>
  <sheetData>
    <row r="1" spans="1:65" ht="17" thickTop="1" thickBot="1" x14ac:dyDescent="0.25">
      <c r="A1" t="s">
        <v>472</v>
      </c>
      <c r="D1" s="5" t="s">
        <v>379</v>
      </c>
      <c r="G1" s="5" t="s">
        <v>381</v>
      </c>
      <c r="P1" s="5" t="s">
        <v>383</v>
      </c>
      <c r="S1" s="5" t="s">
        <v>387</v>
      </c>
      <c r="V1" s="5" t="s">
        <v>388</v>
      </c>
      <c r="Z1" s="5" t="s">
        <v>447</v>
      </c>
      <c r="AG1" s="5" t="s">
        <v>473</v>
      </c>
      <c r="AN1" s="5" t="s">
        <v>136</v>
      </c>
      <c r="AV1" s="3" t="s">
        <v>504</v>
      </c>
      <c r="AW1" s="3"/>
      <c r="AX1" s="4"/>
      <c r="AY1" s="3" t="s">
        <v>505</v>
      </c>
      <c r="AZ1" s="3"/>
      <c r="BA1" s="4"/>
      <c r="BB1" s="3" t="s">
        <v>506</v>
      </c>
      <c r="BC1" s="3"/>
      <c r="BD1" s="122" t="s">
        <v>507</v>
      </c>
      <c r="BE1" s="123"/>
      <c r="BJ1" t="s">
        <v>508</v>
      </c>
    </row>
    <row r="2" spans="1:65" ht="16" thickBot="1" x14ac:dyDescent="0.25">
      <c r="B2" s="377">
        <f>Entity</f>
        <v>0</v>
      </c>
      <c r="C2" s="378"/>
      <c r="E2" s="383">
        <f>Entity</f>
        <v>0</v>
      </c>
      <c r="F2" s="384"/>
      <c r="H2" s="383">
        <f>Entity</f>
        <v>0</v>
      </c>
      <c r="I2" s="389"/>
      <c r="J2" s="389"/>
      <c r="K2" s="389"/>
      <c r="L2" s="389"/>
      <c r="M2" s="389"/>
      <c r="N2" s="389"/>
      <c r="O2" s="384"/>
      <c r="Q2" s="383">
        <f>Entity</f>
        <v>0</v>
      </c>
      <c r="R2" s="384"/>
      <c r="T2" s="182">
        <f>Entity</f>
        <v>0</v>
      </c>
      <c r="U2" s="183"/>
      <c r="Z2" s="5" t="s">
        <v>449</v>
      </c>
      <c r="AC2" s="4" t="s">
        <v>96</v>
      </c>
      <c r="AG2" s="5" t="s">
        <v>474</v>
      </c>
      <c r="AJ2" s="4" t="s">
        <v>116</v>
      </c>
      <c r="AN2" s="5" t="s">
        <v>450</v>
      </c>
      <c r="AQ2" s="4" t="s">
        <v>135</v>
      </c>
      <c r="AV2" s="4" t="s">
        <v>509</v>
      </c>
      <c r="AW2" s="4" t="s">
        <v>510</v>
      </c>
      <c r="AX2" s="4"/>
      <c r="AY2" s="4" t="s">
        <v>509</v>
      </c>
      <c r="AZ2" s="4" t="s">
        <v>510</v>
      </c>
      <c r="BA2" s="4"/>
      <c r="BB2" s="4" t="s">
        <v>509</v>
      </c>
      <c r="BC2" s="124" t="s">
        <v>510</v>
      </c>
      <c r="BD2" s="125" t="s">
        <v>509</v>
      </c>
      <c r="BE2" s="126" t="s">
        <v>510</v>
      </c>
      <c r="BG2" t="s">
        <v>331</v>
      </c>
      <c r="BH2" t="s">
        <v>333</v>
      </c>
      <c r="BJ2" s="42" t="e">
        <f ca="1">BH140-BI140</f>
        <v>#NAME?</v>
      </c>
      <c r="BM2" t="e" cm="1">
        <f t="array" aca="1" ref="BM2" ca="1">_xlfn._xlws.FILTER(Answers[CrAmt],(Answers[ref2]="SBU")*(Answers[CrAccnt]=AU3),"")</f>
        <v>#NAME?</v>
      </c>
    </row>
    <row r="3" spans="1:65" ht="16" thickTop="1" x14ac:dyDescent="0.2">
      <c r="B3" s="379" t="str">
        <f>"Balance Sheet as of "&amp;BegDate</f>
        <v xml:space="preserve">Balance Sheet as of </v>
      </c>
      <c r="C3" s="380"/>
      <c r="E3" s="385" t="str">
        <f>IF(F43,"Income Statement","Temporary Accounts")</f>
        <v>Temporary Accounts</v>
      </c>
      <c r="F3" s="386"/>
      <c r="H3" s="385" t="s">
        <v>397</v>
      </c>
      <c r="I3" s="390"/>
      <c r="J3" s="390"/>
      <c r="K3" s="390"/>
      <c r="L3" s="390"/>
      <c r="M3" s="390"/>
      <c r="N3" s="390"/>
      <c r="O3" s="386"/>
      <c r="Q3" s="385" t="s">
        <v>398</v>
      </c>
      <c r="R3" s="386"/>
      <c r="T3" s="184" t="str">
        <f>IF(F43,"Balance Sheet as of "&amp;EndDate,"Amounts in Permanent Accounts")</f>
        <v>Amounts in Permanent Accounts</v>
      </c>
      <c r="U3" s="185"/>
      <c r="Z3" s="110" t="e" cm="1">
        <f t="array" aca="1" ref="Z3" ca="1">_xlfn._xlws.FILTER(Answers[ref]:Answers[CrAmt],Answers[ref2]=AC2,"")</f>
        <v>#NAME?</v>
      </c>
      <c r="AA3" s="31"/>
      <c r="AB3" s="31"/>
      <c r="AC3" s="31"/>
      <c r="AD3" s="31"/>
      <c r="AE3" s="31"/>
      <c r="AG3" s="111" t="e" cm="1">
        <f t="array" aca="1" ref="AG3" ca="1">_xlfn._xlws.FILTER(Answers[ref]:Answers[CrAmt],Answers[ref2]=AJ2,"")</f>
        <v>#NAME?</v>
      </c>
      <c r="AH3" s="112"/>
      <c r="AI3" s="112"/>
      <c r="AJ3" s="112"/>
      <c r="AK3" s="112"/>
      <c r="AL3" s="112"/>
      <c r="AN3" s="114" t="e" cm="1">
        <f t="array" aca="1" ref="AN3" ca="1">_xlfn._xlws.FILTER(Answers[ref]:Answers[CrAmt],Answers[ref2]=AQ2,"")</f>
        <v>#NAME?</v>
      </c>
      <c r="AO3" s="115"/>
      <c r="AP3" s="115"/>
      <c r="AQ3" s="115"/>
      <c r="AR3" s="115"/>
      <c r="AS3" s="115"/>
      <c r="AU3" s="128" t="e">
        <f ca="1">_xlfn.XLOOKUP(2,AssetsMaster[Num],AssetsMaster[Name])</f>
        <v>#NAME?</v>
      </c>
      <c r="AV3" s="133">
        <f ca="1">IFERROR(_xlfn.XLOOKUP(AU3,BegBalSht[Account],BegBalSht[Amount]),0)</f>
        <v>0</v>
      </c>
      <c r="AW3" s="133"/>
      <c r="AX3" s="134" t="s">
        <v>128</v>
      </c>
      <c r="AY3" s="135">
        <f ca="1">IFERROR(_xlfn.XLOOKUP(AU3,$AI$51:$AI$64,$AK$51:$AK$64),0)</f>
        <v>0</v>
      </c>
      <c r="AZ3" s="135" t="e" cm="1">
        <f t="array" aca="1" ref="AZ3" ca="1">_xlfn._xlws.FILTER(Answers[CrAmt],(Answers[ref2]="SBU")*(Answers[CrAccnt]=AU3),"")</f>
        <v>#NAME?</v>
      </c>
      <c r="BA3" s="134" t="s">
        <v>94</v>
      </c>
      <c r="BB3" s="136">
        <f ca="1">AV3+BG3-BH3</f>
        <v>0</v>
      </c>
      <c r="BC3" s="137"/>
      <c r="BD3" s="138" t="e">
        <f ca="1">MAX(BB3-AV3-SUM(AY3:AY6)+SUM(AZ3:AZ6),0)</f>
        <v>#NAME?</v>
      </c>
      <c r="BE3" s="139" t="e">
        <f ca="1">-MIN(BB3-AV3-SUM(AY3:AY6)+SUM(AZ3:AZ6),0)</f>
        <v>#NAME?</v>
      </c>
      <c r="BF3" s="42"/>
      <c r="BG3" s="42">
        <f ca="1">SUMIF(Answers[DrAccnt],AU3,Answers[DrAmt])</f>
        <v>0</v>
      </c>
      <c r="BH3" s="42">
        <f ca="1">SUMIF(Answers[CrAccnt],AU3,Answers[CrAmt])</f>
        <v>0</v>
      </c>
      <c r="BI3" s="42"/>
    </row>
    <row r="4" spans="1:65" ht="16" thickBot="1" x14ac:dyDescent="0.25">
      <c r="B4" s="381" t="str">
        <f>"("&amp;Units&amp;")"</f>
        <v>()</v>
      </c>
      <c r="C4" s="382"/>
      <c r="E4" s="385" t="str">
        <f>"For the "&amp;Period&amp;" Ended "&amp;EndDate</f>
        <v xml:space="preserve">For the  Ended </v>
      </c>
      <c r="F4" s="386"/>
      <c r="H4" s="385" t="str">
        <f>"For the "&amp;Period&amp;" Ended "&amp;EndDate</f>
        <v xml:space="preserve">For the  Ended </v>
      </c>
      <c r="I4" s="390"/>
      <c r="J4" s="390"/>
      <c r="K4" s="390"/>
      <c r="L4" s="390"/>
      <c r="M4" s="390"/>
      <c r="N4" s="390"/>
      <c r="O4" s="386"/>
      <c r="Q4" s="385" t="str">
        <f>"For the "&amp;Period&amp;" Ended "&amp;EndDate</f>
        <v xml:space="preserve">For the  Ended </v>
      </c>
      <c r="R4" s="386"/>
      <c r="T4" s="186" t="str">
        <f>"("&amp;Units&amp;")"</f>
        <v>()</v>
      </c>
      <c r="U4" s="185"/>
      <c r="Z4" s="110"/>
      <c r="AA4" s="31"/>
      <c r="AB4" s="31"/>
      <c r="AC4" s="31"/>
      <c r="AD4" s="31"/>
      <c r="AE4" s="31"/>
      <c r="AG4" s="111"/>
      <c r="AH4" s="112"/>
      <c r="AI4" s="112"/>
      <c r="AJ4" s="112"/>
      <c r="AK4" s="112"/>
      <c r="AL4" s="112"/>
      <c r="AN4" s="114"/>
      <c r="AO4" s="115"/>
      <c r="AP4" s="115"/>
      <c r="AQ4" s="115"/>
      <c r="AR4" s="115"/>
      <c r="AS4" s="115"/>
      <c r="AU4" s="129"/>
      <c r="AV4" s="140"/>
      <c r="AW4" s="140"/>
      <c r="AX4" s="141"/>
      <c r="AY4" s="142"/>
      <c r="AZ4" s="143"/>
      <c r="BA4" s="141"/>
      <c r="BB4" s="127"/>
      <c r="BC4" s="102"/>
      <c r="BD4" s="140"/>
      <c r="BE4" s="85"/>
      <c r="BF4" s="42"/>
      <c r="BG4" s="42"/>
      <c r="BH4" s="42"/>
      <c r="BI4" s="42"/>
    </row>
    <row r="5" spans="1:65" ht="16" thickBot="1" x14ac:dyDescent="0.25">
      <c r="B5" s="28"/>
      <c r="C5" s="27"/>
      <c r="E5" s="387" t="str">
        <f>"("&amp;Units&amp;")"</f>
        <v>()</v>
      </c>
      <c r="F5" s="388"/>
      <c r="H5" s="387" t="str">
        <f>"("&amp;Units&amp;")"</f>
        <v>()</v>
      </c>
      <c r="I5" s="391"/>
      <c r="J5" s="391"/>
      <c r="K5" s="391"/>
      <c r="L5" s="391"/>
      <c r="M5" s="391"/>
      <c r="N5" s="391"/>
      <c r="O5" s="388"/>
      <c r="Q5" s="387" t="str">
        <f>"("&amp;Units&amp;")"</f>
        <v>()</v>
      </c>
      <c r="R5" s="388"/>
      <c r="T5" s="28"/>
      <c r="U5" s="27"/>
      <c r="Z5" s="110"/>
      <c r="AA5" s="31"/>
      <c r="AB5" s="31"/>
      <c r="AC5" s="31"/>
      <c r="AD5" s="31"/>
      <c r="AE5" s="31"/>
      <c r="AG5" s="111"/>
      <c r="AH5" s="112"/>
      <c r="AI5" s="112"/>
      <c r="AJ5" s="112"/>
      <c r="AK5" s="112"/>
      <c r="AL5" s="112"/>
      <c r="AN5" s="114"/>
      <c r="AO5" s="115"/>
      <c r="AP5" s="115"/>
      <c r="AQ5" s="115"/>
      <c r="AR5" s="115"/>
      <c r="AS5" s="115"/>
      <c r="AU5" s="129"/>
      <c r="AV5" s="140"/>
      <c r="AW5" s="140"/>
      <c r="AX5" s="141"/>
      <c r="AY5" s="142"/>
      <c r="AZ5" s="143"/>
      <c r="BA5" s="141"/>
      <c r="BB5" s="127"/>
      <c r="BC5" s="102"/>
      <c r="BD5" s="140"/>
      <c r="BE5" s="85"/>
      <c r="BF5" s="42"/>
      <c r="BG5" s="42"/>
      <c r="BH5" s="42"/>
      <c r="BI5" s="42"/>
    </row>
    <row r="6" spans="1:65" x14ac:dyDescent="0.2">
      <c r="B6" s="187" t="s">
        <v>363</v>
      </c>
      <c r="C6" s="188"/>
      <c r="E6" s="17"/>
      <c r="F6" s="18"/>
      <c r="H6" s="16"/>
      <c r="I6" s="2"/>
      <c r="J6" s="2"/>
      <c r="K6" s="2"/>
      <c r="L6" s="2"/>
      <c r="M6" s="2"/>
      <c r="N6" s="2"/>
      <c r="O6" s="15"/>
      <c r="Q6" s="17"/>
      <c r="R6" s="18"/>
      <c r="T6" s="187" t="s">
        <v>363</v>
      </c>
      <c r="U6" s="188"/>
      <c r="Z6" s="110"/>
      <c r="AA6" s="31"/>
      <c r="AB6" s="31"/>
      <c r="AC6" s="31"/>
      <c r="AD6" s="31"/>
      <c r="AE6" s="31"/>
      <c r="AG6" s="111"/>
      <c r="AH6" s="112"/>
      <c r="AI6" s="112"/>
      <c r="AJ6" s="112"/>
      <c r="AK6" s="112"/>
      <c r="AL6" s="112"/>
      <c r="AN6" s="114"/>
      <c r="AO6" s="115"/>
      <c r="AP6" s="115"/>
      <c r="AQ6" s="115"/>
      <c r="AR6" s="115"/>
      <c r="AS6" s="115"/>
      <c r="AU6" s="129"/>
      <c r="AV6" s="144"/>
      <c r="AW6" s="140"/>
      <c r="AX6" s="141"/>
      <c r="AY6" s="142"/>
      <c r="AZ6" s="143"/>
      <c r="BA6" s="141"/>
      <c r="BB6" s="127"/>
      <c r="BC6" s="102"/>
      <c r="BD6" s="140"/>
      <c r="BE6" s="85"/>
      <c r="BF6" s="42"/>
      <c r="BG6" s="42"/>
      <c r="BH6" s="42"/>
      <c r="BI6" s="42"/>
    </row>
    <row r="7" spans="1:65" x14ac:dyDescent="0.2">
      <c r="B7" s="52" t="s">
        <v>404</v>
      </c>
      <c r="C7" s="46">
        <f>BegDate</f>
        <v>0</v>
      </c>
      <c r="E7" s="190" t="s">
        <v>405</v>
      </c>
      <c r="F7" s="20"/>
      <c r="H7" s="17"/>
      <c r="I7" s="61" t="s">
        <v>406</v>
      </c>
      <c r="J7" s="2"/>
      <c r="K7" s="2"/>
      <c r="L7" s="2"/>
      <c r="M7" s="2"/>
      <c r="N7" s="2"/>
      <c r="O7" s="18"/>
      <c r="Q7" s="190" t="s">
        <v>408</v>
      </c>
      <c r="R7" s="20"/>
      <c r="T7" s="52" t="s">
        <v>404</v>
      </c>
      <c r="U7" s="46">
        <f>EndDate</f>
        <v>0</v>
      </c>
      <c r="W7" t="s">
        <v>301</v>
      </c>
      <c r="X7" t="s">
        <v>302</v>
      </c>
      <c r="Z7" s="110"/>
      <c r="AA7" s="31"/>
      <c r="AB7" s="31"/>
      <c r="AC7" s="31"/>
      <c r="AD7" s="31"/>
      <c r="AE7" s="31"/>
      <c r="AG7" s="111"/>
      <c r="AH7" s="112"/>
      <c r="AI7" s="112"/>
      <c r="AJ7" s="112"/>
      <c r="AK7" s="112"/>
      <c r="AL7" s="112"/>
      <c r="AN7" s="114"/>
      <c r="AO7" s="115"/>
      <c r="AP7" s="115"/>
      <c r="AQ7" s="115"/>
      <c r="AR7" s="115"/>
      <c r="AS7" s="115"/>
      <c r="AU7" s="130" t="str">
        <f>_xlfn.XLOOKUP(3,AssetsMaster[Num],AssetsMaster[Name])</f>
        <v>Allowance for Doubtful Accounts</v>
      </c>
      <c r="AV7" s="140"/>
      <c r="AW7" s="140" cm="1">
        <f t="array" ref="AW7">IFERROR(_xlfn.XLOOKUP(AU7,BegBalSht[Account],-BegBalSht[Amount]),0)</f>
        <v>0</v>
      </c>
      <c r="AX7" s="141" t="s">
        <v>94</v>
      </c>
      <c r="AY7" s="142">
        <f ca="1">IFERROR(_xlfn.XLOOKUP(AU7,$AI$67:$AI$80,$AK$67:$AK$80),0)</f>
        <v>0</v>
      </c>
      <c r="AZ7" s="143">
        <f>IFERROR(_xlfn.XLOOKUP(AU7,$AJ$51:$AJ$64,$AL$51:$AL$64),0)</f>
        <v>0</v>
      </c>
      <c r="BA7" s="141" t="s">
        <v>128</v>
      </c>
      <c r="BB7" s="127"/>
      <c r="BC7" s="102">
        <f>AW7-BG7+BH7</f>
        <v>0</v>
      </c>
      <c r="BD7" s="145">
        <f ca="1">-MIN(BC7-AW7-SUM(AZ7:AZ10)+SUM(AY7:AY10),0)</f>
        <v>0</v>
      </c>
      <c r="BE7" s="146">
        <f ca="1">MAX(BC7-AW7-SUM(AZ7:AZ10)+SUM(AY7:AY10),0)</f>
        <v>0</v>
      </c>
      <c r="BF7" s="42"/>
      <c r="BG7" s="42">
        <f>SUMIF(Answers[DrAccnt],AU7,Answers[DrAmt])</f>
        <v>0</v>
      </c>
      <c r="BH7" s="42">
        <f>SUMIF(Answers[CrAccnt],AU7,Answers[CrAmt])</f>
        <v>0</v>
      </c>
      <c r="BI7" s="42"/>
    </row>
    <row r="8" spans="1:65" ht="17" thickBot="1" x14ac:dyDescent="0.25">
      <c r="B8" s="17" t="str" cm="1">
        <f t="array" ref="B8:B15">_xlfn._xlws.FILTER(Asset[Name],Asset[C/NC]="C")</f>
        <v>Cash</v>
      </c>
      <c r="C8" s="99">
        <f>IF(ISBLANK(B8),"",_xlfn.XLOOKUP(B8,BegBalSht[Account],BegBalSht[Amount]))</f>
        <v>0</v>
      </c>
      <c r="E8" s="17" t="str" cm="1">
        <f t="array" ref="E8">_xlfn._xlws.FILTER(_Revenue[Name],NOT(ISBLANK(_Revenue[Name])),"")</f>
        <v>Sales</v>
      </c>
      <c r="F8" s="82">
        <f>SUMIFS(Answers[CrAmt],Answers[CrAccnt],E8,Answers[ref2],"&lt;&gt;CL")-SUMIFS(Answers[DrAmt],Answers[DrAccnt],E8,Answers[ref2],"&lt;&gt;CL")</f>
        <v>0</v>
      </c>
      <c r="H8" s="17"/>
      <c r="I8" s="197" t="s">
        <v>240</v>
      </c>
      <c r="J8" s="197" t="s">
        <v>241</v>
      </c>
      <c r="K8" s="197" t="s">
        <v>242</v>
      </c>
      <c r="L8" s="197" t="s">
        <v>245</v>
      </c>
      <c r="M8" s="197" t="s">
        <v>243</v>
      </c>
      <c r="N8" s="197" t="s">
        <v>246</v>
      </c>
      <c r="O8" s="198" t="s">
        <v>409</v>
      </c>
      <c r="Q8" s="17" t="str">
        <f>IF(F43,"Net Income (Loss)","Amount inTemporary Accounts")</f>
        <v>Amount inTemporary Accounts</v>
      </c>
      <c r="R8" s="169">
        <f>AY134-AZ134</f>
        <v>5</v>
      </c>
      <c r="T8" s="17" t="str">
        <f t="shared" ref="T8:T17" si="0">IF(ISBLANK(B8),"",B8)</f>
        <v>Cash</v>
      </c>
      <c r="U8" s="99">
        <f t="shared" ref="U8:U17" si="1">IFERROR(C8+W8-X8,0)</f>
        <v>100</v>
      </c>
      <c r="V8" s="1"/>
      <c r="W8">
        <f>SUMIF(Answers[DrAccnt],'FS_All_Auto_Solution (2)'!T8,Answers[DrAmt])</f>
        <v>100</v>
      </c>
      <c r="X8">
        <f>SUMIF(Answers[CrAccnt],'FS_All_Auto_Solution (2)'!T8,Answers[CrAmt])</f>
        <v>0</v>
      </c>
      <c r="Z8" s="110"/>
      <c r="AA8" s="31"/>
      <c r="AB8" s="31"/>
      <c r="AC8" s="31"/>
      <c r="AD8" s="31"/>
      <c r="AE8" s="31"/>
      <c r="AG8" s="111"/>
      <c r="AH8" s="112"/>
      <c r="AI8" s="112"/>
      <c r="AJ8" s="112"/>
      <c r="AK8" s="112"/>
      <c r="AL8" s="112"/>
      <c r="AN8" s="114"/>
      <c r="AO8" s="115"/>
      <c r="AP8" s="115"/>
      <c r="AQ8" s="115"/>
      <c r="AR8" s="115"/>
      <c r="AS8" s="115"/>
      <c r="AU8" s="129"/>
      <c r="AV8" s="140"/>
      <c r="AW8" s="140"/>
      <c r="AX8" s="141"/>
      <c r="AY8" s="142"/>
      <c r="AZ8" s="143"/>
      <c r="BA8" s="141"/>
      <c r="BB8" s="127"/>
      <c r="BC8" s="102"/>
      <c r="BD8" s="140"/>
      <c r="BE8" s="85"/>
      <c r="BF8" s="42"/>
      <c r="BG8" s="42"/>
      <c r="BH8" s="42"/>
      <c r="BI8" s="42"/>
    </row>
    <row r="9" spans="1:65" x14ac:dyDescent="0.2">
      <c r="B9" s="17" t="str">
        <v>Accounts Receivable</v>
      </c>
      <c r="C9" s="100">
        <f>IF(ISBLANK(B9),"",_xlfn.XLOOKUP(B9,BegBalSht[Account],BegBalSht[Amount]))</f>
        <v>0</v>
      </c>
      <c r="E9" s="17"/>
      <c r="F9" s="102">
        <f>SUMIFS(Answers[CrAmt],Answers[CrAccnt],E9,Answers[ref2],"&lt;&gt;CL")-SUMIFS(Answers[DrAmt],Answers[DrAccnt],E9,Answers[ref2],"&lt;&gt;CL")</f>
        <v>0</v>
      </c>
      <c r="H9" s="19" t="str">
        <f>"Balance as of "&amp;BegDate</f>
        <v xml:space="preserve">Balance as of </v>
      </c>
      <c r="I9" s="107">
        <f t="shared" ref="I9:N9" si="2">_xlfn.XLOOKUP(I8,$A59:$A65,$C59:$C65,0)</f>
        <v>0</v>
      </c>
      <c r="J9" s="107">
        <f t="shared" si="2"/>
        <v>0</v>
      </c>
      <c r="K9" s="107">
        <f t="shared" si="2"/>
        <v>0</v>
      </c>
      <c r="L9" s="107">
        <f t="shared" si="2"/>
        <v>0</v>
      </c>
      <c r="M9" s="107">
        <f t="shared" si="2"/>
        <v>0</v>
      </c>
      <c r="N9" s="107">
        <f t="shared" si="2"/>
        <v>0</v>
      </c>
      <c r="O9" s="64">
        <f>SUM(I9:N9)</f>
        <v>0</v>
      </c>
      <c r="Q9" s="75" t="s">
        <v>412</v>
      </c>
      <c r="R9" s="18"/>
      <c r="T9" s="17" t="str">
        <f t="shared" si="0"/>
        <v>Accounts Receivable</v>
      </c>
      <c r="U9" s="100">
        <f t="shared" si="1"/>
        <v>-75</v>
      </c>
      <c r="V9" s="1"/>
      <c r="W9">
        <f>SUMIF(Answers[DrAccnt],'FS_All_Auto_Solution (2)'!T9,Answers[DrAmt])</f>
        <v>0</v>
      </c>
      <c r="X9">
        <f>SUMIF(Answers[CrAccnt],'FS_All_Auto_Solution (2)'!T9,Answers[CrAmt])</f>
        <v>75</v>
      </c>
      <c r="AU9" s="129"/>
      <c r="AV9" s="140"/>
      <c r="AW9" s="140"/>
      <c r="AX9" s="141"/>
      <c r="AY9" s="142"/>
      <c r="AZ9" s="143"/>
      <c r="BA9" s="141"/>
      <c r="BB9" s="127"/>
      <c r="BC9" s="102"/>
      <c r="BD9" s="140"/>
      <c r="BE9" s="85"/>
      <c r="BF9" s="42"/>
      <c r="BG9" s="42"/>
      <c r="BH9" s="42"/>
      <c r="BI9" s="42"/>
    </row>
    <row r="10" spans="1:65" x14ac:dyDescent="0.2">
      <c r="B10" s="17" t="str">
        <v>Allowance for Doubtful Accounts</v>
      </c>
      <c r="C10" s="100">
        <f>IF(ISBLANK(B10),"",_xlfn.XLOOKUP(B10,BegBalSht[Account],BegBalSht[Amount]))</f>
        <v>0</v>
      </c>
      <c r="E10" s="17"/>
      <c r="F10" s="102">
        <f>SUMIFS(Answers[CrAmt],Answers[CrAccnt],E10,Answers[ref2],"&lt;&gt;CL")-SUMIFS(Answers[DrAmt],Answers[DrAccnt],E10,Answers[ref2],"&lt;&gt;CL")</f>
        <v>0</v>
      </c>
      <c r="H10" s="17" t="s">
        <v>451</v>
      </c>
      <c r="I10" s="108" cm="1">
        <f t="array" ref="I10">_xlfn._xlws.FILTER(Answers[CrAmt],(Answers[ref2]="IPS")*(Answers[CrAccnt]="Preferred Stock"),0)</f>
        <v>0</v>
      </c>
      <c r="J10" s="108" t="str">
        <f ca="1">IFERROR(_xlfn.XLOOKUP("Preferred Stock",AU11:AU16,AW11:AW16),"")</f>
        <v/>
      </c>
      <c r="K10" s="108"/>
      <c r="L10" s="108"/>
      <c r="M10" s="108"/>
      <c r="N10" s="108"/>
      <c r="O10" s="65">
        <f t="shared" ref="O10:O17" ca="1" si="3">SUM(I10:N10)</f>
        <v>0</v>
      </c>
      <c r="Q10" s="17" t="s">
        <v>511</v>
      </c>
      <c r="R10" s="82">
        <f>AY135-AZ135</f>
        <v>0</v>
      </c>
      <c r="T10" s="17" t="str">
        <f t="shared" si="0"/>
        <v>Allowance for Doubtful Accounts</v>
      </c>
      <c r="U10" s="100">
        <f t="shared" si="1"/>
        <v>0</v>
      </c>
      <c r="V10" s="1"/>
      <c r="W10">
        <f>SUMIF(Answers[DrAccnt],'FS_All_Auto_Solution (2)'!T10,Answers[DrAmt])</f>
        <v>0</v>
      </c>
      <c r="X10">
        <f>SUMIF(Answers[CrAccnt],'FS_All_Auto_Solution (2)'!T10,Answers[CrAmt])</f>
        <v>0</v>
      </c>
      <c r="Z10" s="5" t="s">
        <v>453</v>
      </c>
      <c r="AC10" s="4" t="s">
        <v>98</v>
      </c>
      <c r="AG10" s="5" t="s">
        <v>477</v>
      </c>
      <c r="AJ10" s="4" t="s">
        <v>478</v>
      </c>
      <c r="AN10" s="5" t="s">
        <v>319</v>
      </c>
      <c r="AQ10" s="4" t="s">
        <v>122</v>
      </c>
      <c r="AU10" s="129"/>
      <c r="AV10" s="140"/>
      <c r="AW10" s="140"/>
      <c r="AX10" s="141"/>
      <c r="AY10" s="142"/>
      <c r="AZ10" s="143"/>
      <c r="BA10" s="141"/>
      <c r="BB10" s="127"/>
      <c r="BC10" s="102"/>
      <c r="BD10" s="140"/>
      <c r="BE10" s="85"/>
      <c r="BF10" s="42"/>
      <c r="BG10" s="42"/>
      <c r="BH10" s="42"/>
      <c r="BI10" s="42"/>
    </row>
    <row r="11" spans="1:65" x14ac:dyDescent="0.2">
      <c r="B11" s="17" t="str">
        <v>Marketable Securities</v>
      </c>
      <c r="C11" s="100">
        <f>IF(ISBLANK(B11),"",_xlfn.XLOOKUP(B11,BegBalSht[Account],BegBalSht[Amount]))</f>
        <v>0</v>
      </c>
      <c r="E11" s="17"/>
      <c r="F11" s="102">
        <f>SUMIFS(Answers[CrAmt],Answers[CrAccnt],E11,Answers[ref],"&lt;&gt;CL")-SUMIFS(Answers[DrAmt],Answers[DrAccnt],E11,Answers[ref],"&lt;&gt;CL")</f>
        <v>0</v>
      </c>
      <c r="H11" s="17" t="s">
        <v>454</v>
      </c>
      <c r="I11" s="108"/>
      <c r="J11" s="108" cm="1">
        <f t="array" ref="J11">_xlfn._xlws.FILTER(Answers[CrAmt],(Answers[ref2]="ICS")*(Answers[CrAccnt]="Common Stock"),0)</f>
        <v>0</v>
      </c>
      <c r="K11" s="108" cm="1">
        <f t="array" ref="K11">_xlfn._xlws.FILTER(Answers[CrAmt],(Answers[ref2]="ICS")*(Answers[CrAccnt]="Additional Paid-in Capital"),0)</f>
        <v>0</v>
      </c>
      <c r="L11" s="108"/>
      <c r="M11" s="108"/>
      <c r="N11" s="108"/>
      <c r="O11" s="65">
        <f t="shared" si="3"/>
        <v>0</v>
      </c>
      <c r="Q11" s="17" t="s">
        <v>512</v>
      </c>
      <c r="R11" s="102">
        <f ca="1">AY136-AZ136</f>
        <v>0</v>
      </c>
      <c r="T11" s="17" t="str">
        <f t="shared" si="0"/>
        <v>Marketable Securities</v>
      </c>
      <c r="U11" s="100">
        <f t="shared" si="1"/>
        <v>0</v>
      </c>
      <c r="V11" s="1"/>
      <c r="W11">
        <f>SUMIF(Answers[DrAccnt],'FS_All_Auto_Solution (2)'!T11,Answers[DrAmt])</f>
        <v>0</v>
      </c>
      <c r="X11">
        <f>SUMIF(Answers[CrAccnt],'FS_All_Auto_Solution (2)'!T11,Answers[CrAmt])</f>
        <v>0</v>
      </c>
      <c r="Z11" s="110" t="e" cm="1">
        <f t="array" aca="1" ref="Z11" ca="1">_xlfn._xlws.FILTER(Answers[ref]:Answers[CrAmt],Answers[ref2]=AC10,"")</f>
        <v>#NAME?</v>
      </c>
      <c r="AA11" s="31"/>
      <c r="AB11" s="31"/>
      <c r="AC11" s="31"/>
      <c r="AD11" s="31"/>
      <c r="AE11" s="31"/>
      <c r="AG11" s="111" t="e" cm="1">
        <f t="array" aca="1" ref="AG11" ca="1">_xlfn._xlws.FILTER(Answers[ref]:Answers[CrAmt],Answers[ref2]=AJ10,"")</f>
        <v>#NAME?</v>
      </c>
      <c r="AH11" s="112"/>
      <c r="AI11" s="112"/>
      <c r="AJ11" s="112"/>
      <c r="AK11" s="112"/>
      <c r="AL11" s="112"/>
      <c r="AN11" s="114" t="e" cm="1">
        <f t="array" aca="1" ref="AN11" ca="1">_xlfn._xlws.FILTER(Answers[ref]:Answers[CrAmt],Answers[ref2]=AQ10,"")</f>
        <v>#NAME?</v>
      </c>
      <c r="AO11" s="115"/>
      <c r="AP11" s="115"/>
      <c r="AQ11" s="115"/>
      <c r="AR11" s="115"/>
      <c r="AS11" s="115"/>
      <c r="AU11" s="130" t="e">
        <f ca="1">_xlfn.XLOOKUP(4,AssetsMaster[Num],AssetsMaster[Name])</f>
        <v>#NAME?</v>
      </c>
      <c r="AV11" s="140">
        <f ca="1">IFERROR(_xlfn.XLOOKUP(AU11,BegBalSht[Account],BegBalSht[Amount]),0)</f>
        <v>0</v>
      </c>
      <c r="AW11" s="140"/>
      <c r="AX11" s="141" t="s">
        <v>128</v>
      </c>
      <c r="AY11" s="142">
        <f ca="1">IFERROR(_xlfn.XLOOKUP(AU11,$AI$51:$AI$64,$AK$51:$AK$64),0)</f>
        <v>0</v>
      </c>
      <c r="AZ11" s="143">
        <f ca="1">IFERROR(_xlfn.XLOOKUP(AU11,$AJ$67:$AJ$80,$AL$67:$AL$80),0)</f>
        <v>0</v>
      </c>
      <c r="BA11" s="141" t="s">
        <v>94</v>
      </c>
      <c r="BB11" s="127">
        <f ca="1">AV11+BG11-BH11</f>
        <v>0</v>
      </c>
      <c r="BC11" s="102"/>
      <c r="BD11" s="166">
        <f ca="1">MAX(BB11-AV11-SUM(AY11:AY14)+SUM(AZ11:AZ14),0)</f>
        <v>0</v>
      </c>
      <c r="BE11" s="167">
        <f ca="1">-MIN(BB11-AV11-SUM(AY11:AY14)+SUM(AZ11:AZ14),0)</f>
        <v>0</v>
      </c>
      <c r="BF11" s="42"/>
      <c r="BG11" s="42">
        <f ca="1">SUMIF(Answers[DrAccnt],AU11,Answers[DrAmt])</f>
        <v>0</v>
      </c>
      <c r="BH11" s="42">
        <f ca="1">SUMIF(Answers[CrAccnt],AU11,Answers[CrAmt])</f>
        <v>0</v>
      </c>
      <c r="BI11" s="42"/>
    </row>
    <row r="12" spans="1:65" x14ac:dyDescent="0.2">
      <c r="B12" s="17" t="str">
        <v>Inventories</v>
      </c>
      <c r="C12" s="100">
        <f>IF(ISBLANK(B12),"",_xlfn.XLOOKUP(B12,BegBalSht[Account],BegBalSht[Amount]))</f>
        <v>0</v>
      </c>
      <c r="E12" s="21" t="s">
        <v>413</v>
      </c>
      <c r="F12" s="47">
        <f>SUM(F8:F11)</f>
        <v>0</v>
      </c>
      <c r="H12" s="17" t="s">
        <v>480</v>
      </c>
      <c r="I12" s="108"/>
      <c r="J12" s="108"/>
      <c r="K12" s="108"/>
      <c r="L12" s="108" cm="1">
        <f t="array" ref="L12">-_xlfn._xlws.FILTER(Answers[DrAmt],(Answers[ref2]="DD")*(Answers[DrAccnt]="Retained Earnings"),0)</f>
        <v>0</v>
      </c>
      <c r="M12" s="108"/>
      <c r="N12" s="108"/>
      <c r="O12" s="65">
        <f t="shared" si="3"/>
        <v>0</v>
      </c>
      <c r="Q12" s="17" t="s">
        <v>513</v>
      </c>
      <c r="R12" s="102">
        <f>AY137-AZ137</f>
        <v>0</v>
      </c>
      <c r="T12" s="17" t="str">
        <f t="shared" si="0"/>
        <v>Inventories</v>
      </c>
      <c r="U12" s="100">
        <f t="shared" si="1"/>
        <v>0</v>
      </c>
      <c r="V12" s="1"/>
      <c r="W12">
        <f>SUMIF(Answers[DrAccnt],'FS_All_Auto_Solution (2)'!T12,Answers[DrAmt])</f>
        <v>0</v>
      </c>
      <c r="X12">
        <f>SUMIF(Answers[CrAccnt],'FS_All_Auto_Solution (2)'!T12,Answers[CrAmt])</f>
        <v>0</v>
      </c>
      <c r="Z12" s="110"/>
      <c r="AA12" s="31"/>
      <c r="AB12" s="31"/>
      <c r="AC12" s="31"/>
      <c r="AD12" s="31"/>
      <c r="AE12" s="31"/>
      <c r="AG12" s="111"/>
      <c r="AH12" s="112"/>
      <c r="AI12" s="112"/>
      <c r="AJ12" s="112"/>
      <c r="AK12" s="112"/>
      <c r="AL12" s="112"/>
      <c r="AN12" s="114"/>
      <c r="AO12" s="115"/>
      <c r="AP12" s="115"/>
      <c r="AQ12" s="115"/>
      <c r="AR12" s="115"/>
      <c r="AS12" s="115"/>
      <c r="AU12" s="129"/>
      <c r="AV12" s="140"/>
      <c r="AW12" s="140"/>
      <c r="AX12" s="141" t="s">
        <v>116</v>
      </c>
      <c r="AY12" s="142">
        <f ca="1">IFERROR(_xlfn.XLOOKUP(AU11,AI3:AI8,AK3:AK8),0)</f>
        <v>0</v>
      </c>
      <c r="AZ12" s="143"/>
      <c r="BA12" s="141"/>
      <c r="BB12" s="127"/>
      <c r="BC12" s="102"/>
      <c r="BD12" s="140"/>
      <c r="BE12" s="85"/>
      <c r="BF12" s="42"/>
      <c r="BG12" s="42"/>
      <c r="BH12" s="42"/>
      <c r="BI12" s="42"/>
    </row>
    <row r="13" spans="1:65" x14ac:dyDescent="0.2">
      <c r="B13" s="17" t="str">
        <v>Prepaid Expenses</v>
      </c>
      <c r="C13" s="100">
        <f>IF(ISBLANK(B13),"",_xlfn.XLOOKUP(B13,BegBalSht[Account],BegBalSht[Amount]))</f>
        <v>0</v>
      </c>
      <c r="E13" s="190" t="s">
        <v>414</v>
      </c>
      <c r="F13" s="20"/>
      <c r="H13" s="17" t="str">
        <f>IF(F43,"Net Income (Loss)","Amount in Temporary Accounts")</f>
        <v>Amount in Temporary Accounts</v>
      </c>
      <c r="I13" s="108"/>
      <c r="J13" s="108"/>
      <c r="K13" s="108"/>
      <c r="L13" s="108">
        <f>Net_Income</f>
        <v>5</v>
      </c>
      <c r="M13" s="108"/>
      <c r="N13" s="108"/>
      <c r="O13" s="65">
        <f t="shared" si="3"/>
        <v>5</v>
      </c>
      <c r="Q13" s="17" t="s">
        <v>514</v>
      </c>
      <c r="R13" s="102">
        <f ca="1">AY138-AZ138</f>
        <v>0</v>
      </c>
      <c r="T13" s="17" t="str">
        <f t="shared" si="0"/>
        <v>Prepaid Expenses</v>
      </c>
      <c r="U13" s="100">
        <f t="shared" si="1"/>
        <v>0</v>
      </c>
      <c r="V13" s="1"/>
      <c r="W13">
        <f>SUMIF(Answers[DrAccnt],'FS_All_Auto_Solution (2)'!T13,Answers[DrAmt])</f>
        <v>0</v>
      </c>
      <c r="X13">
        <f>SUMIF(Answers[CrAccnt],'FS_All_Auto_Solution (2)'!T13,Answers[CrAmt])</f>
        <v>0</v>
      </c>
      <c r="Z13" s="110"/>
      <c r="AA13" s="31"/>
      <c r="AB13" s="31"/>
      <c r="AC13" s="31"/>
      <c r="AD13" s="31"/>
      <c r="AE13" s="31"/>
      <c r="AG13" s="111"/>
      <c r="AH13" s="112"/>
      <c r="AI13" s="112"/>
      <c r="AJ13" s="112"/>
      <c r="AK13" s="112"/>
      <c r="AL13" s="112"/>
      <c r="AN13" s="114"/>
      <c r="AO13" s="115"/>
      <c r="AP13" s="115"/>
      <c r="AQ13" s="115"/>
      <c r="AR13" s="115"/>
      <c r="AS13" s="115"/>
      <c r="AU13" s="129"/>
      <c r="AV13" s="140"/>
      <c r="AW13" s="140"/>
      <c r="AX13" s="141"/>
      <c r="AY13" s="142"/>
      <c r="AZ13" s="143"/>
      <c r="BA13" s="141"/>
      <c r="BB13" s="127"/>
      <c r="BC13" s="102"/>
      <c r="BD13" s="140"/>
      <c r="BE13" s="85"/>
      <c r="BF13" s="42"/>
      <c r="BG13" s="42"/>
      <c r="BH13" s="42"/>
      <c r="BI13" s="42"/>
    </row>
    <row r="14" spans="1:65" x14ac:dyDescent="0.2">
      <c r="B14" s="17" t="str">
        <v>Prepaid Rent</v>
      </c>
      <c r="C14" s="100">
        <f>IF(ISBLANK(B14),"",_xlfn.XLOOKUP(B14,BegBalSht[Account],BegBalSht[Amount]))</f>
        <v>0</v>
      </c>
      <c r="E14" s="17" t="str" cm="1">
        <f t="array" ref="E14">_xlfn._xlws.FILTER(_Expense[Name],NOT(ISBLANK(_Expense[Name])),"")</f>
        <v>Cost of Goods Sold</v>
      </c>
      <c r="F14" s="82">
        <f>-SUMIFS(Answers[CrAmt],Answers[CrAccnt],E14,Answers[ref2],"&lt;&gt;CL")+SUMIFS(Answers[DrAmt],Answers[DrAccnt],E14,Answers[ref2],"&lt;&gt;CL")</f>
        <v>0</v>
      </c>
      <c r="H14" s="17" t="s">
        <v>457</v>
      </c>
      <c r="I14" s="108"/>
      <c r="J14" s="108"/>
      <c r="K14" s="108"/>
      <c r="L14" s="108"/>
      <c r="M14" s="108"/>
      <c r="N14" s="108" cm="1">
        <f t="array" ref="N14">-_xlfn._xlws.FILTER(Answers[DrAmt],(Answers[ref2]="PTS")*(Answers[DrAccnt]="Treasury Stock"),0)</f>
        <v>0</v>
      </c>
      <c r="O14" s="65">
        <f t="shared" si="3"/>
        <v>0</v>
      </c>
      <c r="Q14" s="17" t="s">
        <v>515</v>
      </c>
      <c r="R14" s="102">
        <f ca="1">AY140</f>
        <v>0</v>
      </c>
      <c r="T14" s="17" t="str">
        <f t="shared" si="0"/>
        <v>Prepaid Rent</v>
      </c>
      <c r="U14" s="100">
        <f t="shared" si="1"/>
        <v>0</v>
      </c>
      <c r="V14" s="1"/>
      <c r="W14">
        <f>SUMIF(Answers[DrAccnt],'FS_All_Auto_Solution (2)'!T14,Answers[DrAmt])</f>
        <v>0</v>
      </c>
      <c r="X14">
        <f>SUMIF(Answers[CrAccnt],'FS_All_Auto_Solution (2)'!T14,Answers[CrAmt])</f>
        <v>0</v>
      </c>
      <c r="Z14" s="110"/>
      <c r="AA14" s="31"/>
      <c r="AB14" s="31"/>
      <c r="AC14" s="31"/>
      <c r="AD14" s="31"/>
      <c r="AE14" s="31"/>
      <c r="AG14" s="111"/>
      <c r="AH14" s="112"/>
      <c r="AI14" s="112"/>
      <c r="AJ14" s="112"/>
      <c r="AK14" s="112"/>
      <c r="AL14" s="112"/>
      <c r="AN14" s="114"/>
      <c r="AO14" s="115"/>
      <c r="AP14" s="115"/>
      <c r="AQ14" s="115"/>
      <c r="AR14" s="115"/>
      <c r="AS14" s="115"/>
      <c r="AU14" s="129"/>
      <c r="AV14" s="140"/>
      <c r="AW14" s="140"/>
      <c r="AX14" s="141"/>
      <c r="AY14" s="142"/>
      <c r="AZ14" s="143"/>
      <c r="BA14" s="141"/>
      <c r="BB14" s="127"/>
      <c r="BC14" s="102"/>
      <c r="BD14" s="140"/>
      <c r="BE14" s="85"/>
      <c r="BF14" s="42"/>
      <c r="BG14" s="42"/>
      <c r="BH14" s="42"/>
      <c r="BI14" s="42"/>
    </row>
    <row r="15" spans="1:65" x14ac:dyDescent="0.2">
      <c r="B15" s="17" t="str">
        <v>Other Current Assets</v>
      </c>
      <c r="C15" s="100">
        <f>IF(ISBLANK(B15),"",_xlfn.XLOOKUP(B15,BegBalSht[Account],BegBalSht[Amount]))</f>
        <v>0</v>
      </c>
      <c r="E15" s="17"/>
      <c r="F15" s="102">
        <f>-SUMIFS(Answers[CrAmt],Answers[CrAccnt],E15,Answers[ref2],"&lt;&gt;CL")+SUMIFS(Answers[DrAmt],Answers[DrAccnt],E15,Answers[ref2],"&lt;&gt;CL")</f>
        <v>0</v>
      </c>
      <c r="H15" s="17" t="s">
        <v>458</v>
      </c>
      <c r="I15" s="108"/>
      <c r="J15" s="108"/>
      <c r="K15" s="108"/>
      <c r="L15" s="108"/>
      <c r="M15" s="108"/>
      <c r="N15" s="108" cm="1">
        <f t="array" ref="N15">_xlfn._xlws.FILTER(Answers[CrAmt],(Answers[ref2]="STS")*(Answers[CrAccnt]="Treasury Stock"),0)</f>
        <v>0</v>
      </c>
      <c r="O15" s="65">
        <f t="shared" si="3"/>
        <v>0</v>
      </c>
      <c r="Q15" s="17" t="s">
        <v>516</v>
      </c>
      <c r="R15" s="102">
        <f ca="1">AY141</f>
        <v>0</v>
      </c>
      <c r="T15" s="17" t="str">
        <f t="shared" si="0"/>
        <v>Other Current Assets</v>
      </c>
      <c r="U15" s="100">
        <f t="shared" si="1"/>
        <v>0</v>
      </c>
      <c r="V15" s="1"/>
      <c r="W15">
        <f>SUMIF(Answers[DrAccnt],'FS_All_Auto_Solution (2)'!T15,Answers[DrAmt])</f>
        <v>0</v>
      </c>
      <c r="X15">
        <f>SUMIF(Answers[CrAccnt],'FS_All_Auto_Solution (2)'!T15,Answers[CrAmt])</f>
        <v>0</v>
      </c>
      <c r="Z15" s="110"/>
      <c r="AA15" s="31"/>
      <c r="AB15" s="31"/>
      <c r="AC15" s="31"/>
      <c r="AD15" s="31"/>
      <c r="AE15" s="31"/>
      <c r="AG15" s="111"/>
      <c r="AH15" s="112"/>
      <c r="AI15" s="112"/>
      <c r="AJ15" s="112"/>
      <c r="AK15" s="112"/>
      <c r="AL15" s="112"/>
      <c r="AN15" s="114"/>
      <c r="AO15" s="115"/>
      <c r="AP15" s="115"/>
      <c r="AQ15" s="115"/>
      <c r="AR15" s="115"/>
      <c r="AS15" s="115"/>
      <c r="AU15" s="130" t="str">
        <f>_xlfn.XLOOKUP(5,AssetsMaster[Num],AssetsMaster[Name])</f>
        <v>Inventories</v>
      </c>
      <c r="AV15" s="140">
        <f>IFERROR(_xlfn.XLOOKUP(AU15,BegBalSht[Account],BegBalSht[Amount]),0)</f>
        <v>0</v>
      </c>
      <c r="AW15" s="140"/>
      <c r="AX15" s="141" t="s">
        <v>128</v>
      </c>
      <c r="AY15" s="142">
        <f>IFERROR(_xlfn.XLOOKUP(AU15,$AI$51:$AI$64,$AK$51:$AK$64),0)</f>
        <v>0</v>
      </c>
      <c r="AZ15" s="143">
        <f ca="1">IFERROR(_xlfn.XLOOKUP(AU15,$AJ$67:$AJ$80,$AL$67:$AL$80),0)</f>
        <v>0</v>
      </c>
      <c r="BA15" s="141" t="s">
        <v>94</v>
      </c>
      <c r="BB15" s="127">
        <f>AV15+BG15-BH15</f>
        <v>0</v>
      </c>
      <c r="BC15" s="102"/>
      <c r="BD15" s="145">
        <f ca="1">MAX(BB15-AV15-SUM(AY15:AY18)+SUM(AZ15:AZ18),0)</f>
        <v>0</v>
      </c>
      <c r="BE15" s="146">
        <f ca="1">-MIN(BB15-AV15-SUM(AY15:AY18)+SUM(AZ15:AZ18),0)</f>
        <v>0</v>
      </c>
      <c r="BF15" s="42"/>
      <c r="BG15" s="42">
        <f>SUMIF(Answers[DrAccnt],AU15,Answers[DrAmt])</f>
        <v>0</v>
      </c>
      <c r="BH15" s="42">
        <f>SUMIF(Answers[CrAccnt],AU15,Answers[CrAmt])</f>
        <v>0</v>
      </c>
      <c r="BI15" s="42"/>
    </row>
    <row r="16" spans="1:65" x14ac:dyDescent="0.2">
      <c r="B16" s="17"/>
      <c r="C16" s="100" t="str">
        <f>IF(ISBLANK(B16),"",_xlfn.XLOOKUP(B16,BegBalSht[Account],BegBalSht[Amount]))</f>
        <v/>
      </c>
      <c r="E16" s="17"/>
      <c r="F16" s="102">
        <f>-SUMIFS(Answers[CrAmt],Answers[CrAccnt],E16,Answers[ref2],"&lt;&gt;CL")+SUMIFS(Answers[DrAmt],Answers[DrAccnt],E16,Answers[ref2],"&lt;&gt;CL")</f>
        <v>0</v>
      </c>
      <c r="H16" s="17" t="s">
        <v>459</v>
      </c>
      <c r="I16" s="108"/>
      <c r="J16" s="108"/>
      <c r="K16" s="108"/>
      <c r="L16" s="108"/>
      <c r="M16" s="108">
        <f ca="1">M23</f>
        <v>0</v>
      </c>
      <c r="N16" s="108"/>
      <c r="O16" s="65">
        <f t="shared" ca="1" si="3"/>
        <v>0</v>
      </c>
      <c r="Q16" s="75" t="s">
        <v>417</v>
      </c>
      <c r="R16" s="18"/>
      <c r="T16" s="17" t="str">
        <f t="shared" si="0"/>
        <v/>
      </c>
      <c r="U16" s="100">
        <f t="shared" si="1"/>
        <v>0</v>
      </c>
      <c r="V16" s="1"/>
      <c r="W16">
        <f>SUMIF(Answers[DrAccnt],'FS_All_Auto_Solution (2)'!T16,Answers[DrAmt])</f>
        <v>0</v>
      </c>
      <c r="X16">
        <f>SUMIF(Answers[CrAccnt],'FS_All_Auto_Solution (2)'!T16,Answers[CrAmt])</f>
        <v>0</v>
      </c>
      <c r="Z16" s="110"/>
      <c r="AA16" s="31"/>
      <c r="AB16" s="31"/>
      <c r="AC16" s="31"/>
      <c r="AD16" s="31"/>
      <c r="AE16" s="31"/>
      <c r="AG16" s="111"/>
      <c r="AH16" s="112"/>
      <c r="AI16" s="112"/>
      <c r="AJ16" s="112"/>
      <c r="AK16" s="112"/>
      <c r="AL16" s="112"/>
      <c r="AN16" s="114"/>
      <c r="AO16" s="115"/>
      <c r="AP16" s="115"/>
      <c r="AQ16" s="115"/>
      <c r="AR16" s="115"/>
      <c r="AS16" s="115"/>
      <c r="AU16" s="129"/>
      <c r="AV16" s="140"/>
      <c r="AW16" s="140"/>
      <c r="AX16" s="141"/>
      <c r="AY16" s="142"/>
      <c r="AZ16" s="143"/>
      <c r="BA16" s="141"/>
      <c r="BB16" s="127"/>
      <c r="BC16" s="102"/>
      <c r="BD16" s="140"/>
      <c r="BE16" s="85"/>
      <c r="BF16" s="42"/>
      <c r="BG16" s="42"/>
      <c r="BH16" s="42"/>
      <c r="BI16" s="42"/>
    </row>
    <row r="17" spans="2:61" ht="16" thickBot="1" x14ac:dyDescent="0.25">
      <c r="B17" s="91"/>
      <c r="C17" s="101" t="str">
        <f>IF(ISBLANK(B17),"",_xlfn.XLOOKUP(B17,BegBalSht[Account],BegBalSht[Amount]))</f>
        <v/>
      </c>
      <c r="E17" s="17"/>
      <c r="F17" s="102">
        <f>-SUMIFS(Answers[CrAmt],Answers[CrAccnt],E17,Answers[ref2],"&lt;&gt;CL")+SUMIFS(Answers[DrAmt],Answers[DrAccnt],E17,Answers[ref2],"&lt;&gt;CL")</f>
        <v>0</v>
      </c>
      <c r="H17" s="17" t="s">
        <v>460</v>
      </c>
      <c r="I17" s="109"/>
      <c r="J17" s="109" cm="1">
        <f t="array" ref="J17">_xlfn._xlws.FILTER(Answers[CrAmt],(Answers[ref2]="PPEfCS")*(Answers[CrAccnt]="Common Stock"),0)</f>
        <v>0</v>
      </c>
      <c r="K17" s="109" cm="1">
        <f t="array" ref="K17">_xlfn._xlws.FILTER(Answers[CrAmt],(Answers[ref2]="PPEfCS")*(Answers[CrAccnt]="Additional Paid-in Capital"),0)</f>
        <v>0</v>
      </c>
      <c r="L17" s="109"/>
      <c r="M17" s="109"/>
      <c r="N17" s="109"/>
      <c r="O17" s="66">
        <f t="shared" si="3"/>
        <v>0</v>
      </c>
      <c r="Q17" s="17" t="s">
        <v>161</v>
      </c>
      <c r="R17" s="82" t="e">
        <f ca="1">AY143-AZ143</f>
        <v>#NAME?</v>
      </c>
      <c r="T17" s="91" t="str">
        <f t="shared" si="0"/>
        <v/>
      </c>
      <c r="U17" s="101">
        <f t="shared" si="1"/>
        <v>0</v>
      </c>
      <c r="V17" s="1"/>
      <c r="W17">
        <f>SUMIF(Answers[DrAccnt],'FS_All_Auto_Solution (2)'!T17,Answers[DrAmt])</f>
        <v>0</v>
      </c>
      <c r="X17">
        <f>SUMIF(Answers[CrAccnt],'FS_All_Auto_Solution (2)'!T17,Answers[CrAmt])</f>
        <v>0</v>
      </c>
      <c r="AU17" s="129"/>
      <c r="AV17" s="140"/>
      <c r="AW17" s="140"/>
      <c r="AX17" s="141"/>
      <c r="AY17" s="142"/>
      <c r="AZ17" s="143"/>
      <c r="BA17" s="141"/>
      <c r="BB17" s="127"/>
      <c r="BC17" s="102"/>
      <c r="BD17" s="140"/>
      <c r="BE17" s="85"/>
      <c r="BF17" s="42"/>
      <c r="BG17" s="42"/>
      <c r="BH17" s="42"/>
      <c r="BI17" s="42"/>
    </row>
    <row r="18" spans="2:61" ht="16" thickBot="1" x14ac:dyDescent="0.25">
      <c r="B18" s="53" t="s">
        <v>419</v>
      </c>
      <c r="C18" s="47">
        <f>SUBTOTAL(9,C8:C17)</f>
        <v>0</v>
      </c>
      <c r="E18" s="17"/>
      <c r="F18" s="102">
        <f>-SUMIFS(Answers[CrAmt],Answers[CrAccnt],E18,Answers[ref2],"&lt;&gt;CL")+SUMIFS(Answers[DrAmt],Answers[DrAccnt],E18,Answers[ref2],"&lt;&gt;CL")</f>
        <v>0</v>
      </c>
      <c r="H18" s="58" t="str">
        <f>"Balance as of "&amp;EndDate</f>
        <v xml:space="preserve">Balance as of </v>
      </c>
      <c r="I18" s="195">
        <f>SUM(I9:I17)</f>
        <v>0</v>
      </c>
      <c r="J18" s="195">
        <f t="shared" ref="J18:N18" ca="1" si="4">SUM(J9:J17)</f>
        <v>0</v>
      </c>
      <c r="K18" s="195">
        <f t="shared" si="4"/>
        <v>0</v>
      </c>
      <c r="L18" s="195">
        <f t="shared" si="4"/>
        <v>5</v>
      </c>
      <c r="M18" s="195">
        <f t="shared" ca="1" si="4"/>
        <v>0</v>
      </c>
      <c r="N18" s="195">
        <f t="shared" si="4"/>
        <v>0</v>
      </c>
      <c r="O18" s="196">
        <f ca="1">SUM(O9:O17)</f>
        <v>5</v>
      </c>
      <c r="Q18" s="17" t="s">
        <v>162</v>
      </c>
      <c r="R18" s="102">
        <f ca="1">AY144-AZ144</f>
        <v>0</v>
      </c>
      <c r="T18" s="53" t="s">
        <v>419</v>
      </c>
      <c r="U18" s="47">
        <f>SUBTOTAL(9,U8:U17)</f>
        <v>25</v>
      </c>
      <c r="Z18" s="5" t="s">
        <v>461</v>
      </c>
      <c r="AC18" s="4" t="s">
        <v>100</v>
      </c>
      <c r="AG18" s="5" t="s">
        <v>119</v>
      </c>
      <c r="AJ18" s="4" t="s">
        <v>118</v>
      </c>
      <c r="AN18" s="5" t="s">
        <v>138</v>
      </c>
      <c r="AQ18" s="4" t="s">
        <v>137</v>
      </c>
      <c r="AU18" s="129"/>
      <c r="AV18" s="140"/>
      <c r="AW18" s="140"/>
      <c r="AX18" s="141"/>
      <c r="AY18" s="142"/>
      <c r="AZ18" s="143"/>
      <c r="BA18" s="141"/>
      <c r="BB18" s="127"/>
      <c r="BC18" s="102"/>
      <c r="BD18" s="140"/>
      <c r="BE18" s="85"/>
      <c r="BF18" s="42"/>
      <c r="BG18" s="42"/>
      <c r="BH18" s="42"/>
      <c r="BI18" s="42"/>
    </row>
    <row r="19" spans="2:61" x14ac:dyDescent="0.2">
      <c r="B19" s="52" t="s">
        <v>420</v>
      </c>
      <c r="C19" s="18"/>
      <c r="E19" s="17"/>
      <c r="F19" s="102">
        <f>-SUMIFS(Answers[CrAmt],Answers[CrAccnt],E19,Answers[ref2],"&lt;&gt;CL")+SUMIFS(Answers[DrAmt],Answers[DrAccnt],E19,Answers[ref2],"&lt;&gt;CL")</f>
        <v>0</v>
      </c>
      <c r="Q19" s="17" t="s">
        <v>164</v>
      </c>
      <c r="R19" s="102">
        <f ca="1">AY145-AZ145</f>
        <v>0</v>
      </c>
      <c r="T19" s="52" t="s">
        <v>420</v>
      </c>
      <c r="U19" s="18"/>
      <c r="Z19" s="110" t="e" cm="1">
        <f t="array" aca="1" ref="Z19" ca="1">_xlfn._xlws.FILTER(Answers[ref]:Answers[CrAmt],Answers[ref2]=AC18,"")</f>
        <v>#NAME?</v>
      </c>
      <c r="AA19" s="31"/>
      <c r="AB19" s="31"/>
      <c r="AC19" s="31"/>
      <c r="AD19" s="31"/>
      <c r="AE19" s="31"/>
      <c r="AG19" s="111" t="e" cm="1">
        <f t="array" aca="1" ref="AG19" ca="1">_xlfn._xlws.FILTER(Answers[ref]:Answers[CrAmt],Answers[ref2]=AJ18,"")</f>
        <v>#NAME?</v>
      </c>
      <c r="AH19" s="112"/>
      <c r="AI19" s="112"/>
      <c r="AJ19" s="112"/>
      <c r="AK19" s="112"/>
      <c r="AL19" s="112"/>
      <c r="AN19" s="114" t="e" cm="1">
        <f t="array" aca="1" ref="AN19" ca="1">_xlfn._xlws.FILTER(Answers[ref]:Answers[CrAmt],Answers[ref2]=AQ18,"")</f>
        <v>#NAME?</v>
      </c>
      <c r="AO19" s="115"/>
      <c r="AP19" s="115"/>
      <c r="AQ19" s="115"/>
      <c r="AR19" s="115"/>
      <c r="AS19" s="115"/>
      <c r="AU19" s="130" t="e">
        <f ca="1">_xlfn.XLOOKUP(6,AssetsMaster[Num],AssetsMaster[Name])</f>
        <v>#NAME?</v>
      </c>
      <c r="AV19" s="140">
        <f ca="1">IFERROR(_xlfn.XLOOKUP(AU19,BegBalSht[Account],BegBalSht[Amount]),0)</f>
        <v>0</v>
      </c>
      <c r="AW19" s="140"/>
      <c r="AX19" s="141" t="s">
        <v>128</v>
      </c>
      <c r="AY19" s="142">
        <f ca="1">IFERROR(_xlfn.XLOOKUP(AU19,$AI$51:$AI$64,$AK$51:$AK$64),0)</f>
        <v>0</v>
      </c>
      <c r="AZ19" s="143">
        <f ca="1">IFERROR(_xlfn.XLOOKUP(AU19,$AJ$67:$AJ$80,$AL$67:$AL$80),0)</f>
        <v>0</v>
      </c>
      <c r="BA19" s="141" t="s">
        <v>94</v>
      </c>
      <c r="BB19" s="127">
        <f ca="1">AV19+BG19-BH19</f>
        <v>0</v>
      </c>
      <c r="BC19" s="102"/>
      <c r="BD19" s="145">
        <f ca="1">MAX(BB19-AV19-SUM(AY19:AY22)+SUM(AZ19:AZ22),0)</f>
        <v>0</v>
      </c>
      <c r="BE19" s="146">
        <f ca="1">-MIN(BB19-AV19-SUM(AY19:AY22)+SUM(AZ19:AZ22),0)</f>
        <v>0</v>
      </c>
      <c r="BF19" s="42"/>
      <c r="BG19" s="42">
        <f ca="1">SUMIF(Answers[DrAccnt],AU19,Answers[DrAmt])</f>
        <v>0</v>
      </c>
      <c r="BH19" s="42">
        <f ca="1">SUMIF(Answers[CrAccnt],AU19,Answers[CrAmt])</f>
        <v>0</v>
      </c>
      <c r="BI19" s="42"/>
    </row>
    <row r="20" spans="2:61" x14ac:dyDescent="0.2">
      <c r="B20" s="17" t="str" cm="1">
        <f t="array" ref="B20:B26">_xlfn._xlws.FILTER(Asset[Name],Asset[C/NC]="NC")</f>
        <v>Property, Plant &amp; Equipment</v>
      </c>
      <c r="C20" s="99">
        <f>IF(ISBLANK(B20),"",_xlfn.XLOOKUP(B20,BegBalSht[Account],BegBalSht[Amount]))</f>
        <v>0</v>
      </c>
      <c r="E20" s="17"/>
      <c r="F20" s="102">
        <f>-SUMIFS(Answers[CrAmt],Answers[CrAccnt],E20,Answers[ref],"&lt;&gt;CL")+SUMIFS(Answers[DrAmt],Answers[DrAccnt],E20,Answers[ref],"&lt;&gt;CL")</f>
        <v>0</v>
      </c>
      <c r="L20" s="103" cm="1">
        <f t="array" ref="L20">_xlfn._xlws.FILTER(Answers[CrAmt],(Answers[ref]="CL")*(Answers[CrAccnt]="Retained Earnings"),0)</f>
        <v>0</v>
      </c>
      <c r="Q20" s="17" t="s">
        <v>165</v>
      </c>
      <c r="R20" s="102">
        <f ca="1">AY146-AZ146</f>
        <v>0</v>
      </c>
      <c r="T20" s="17" t="str">
        <f t="shared" ref="T20:T29" si="5">IF(ISBLANK(B20),"",B20)</f>
        <v>Property, Plant &amp; Equipment</v>
      </c>
      <c r="U20" s="99">
        <f t="shared" ref="U20:U29" si="6">IFERROR(C20+W20-X20,0)</f>
        <v>-50</v>
      </c>
      <c r="V20" s="1"/>
      <c r="W20">
        <f>SUMIF(Answers[DrAccnt],'FS_All_Auto_Solution (2)'!T20,Answers[DrAmt])</f>
        <v>0</v>
      </c>
      <c r="X20">
        <f>SUMIF(Answers[CrAccnt],'FS_All_Auto_Solution (2)'!T20,Answers[CrAmt])</f>
        <v>50</v>
      </c>
      <c r="Z20" s="110"/>
      <c r="AA20" s="31"/>
      <c r="AB20" s="31"/>
      <c r="AC20" s="31"/>
      <c r="AD20" s="31"/>
      <c r="AE20" s="31"/>
      <c r="AG20" s="111"/>
      <c r="AH20" s="112"/>
      <c r="AI20" s="112"/>
      <c r="AJ20" s="112"/>
      <c r="AK20" s="112"/>
      <c r="AL20" s="112"/>
      <c r="AN20" s="114"/>
      <c r="AO20" s="115"/>
      <c r="AP20" s="115"/>
      <c r="AQ20" s="115"/>
      <c r="AR20" s="115"/>
      <c r="AS20" s="115"/>
      <c r="AU20" s="129"/>
      <c r="AV20" s="140"/>
      <c r="AW20" s="140"/>
      <c r="AX20" s="141"/>
      <c r="AY20" s="142"/>
      <c r="AZ20" s="143"/>
      <c r="BA20" s="141"/>
      <c r="BB20" s="127"/>
      <c r="BC20" s="102"/>
      <c r="BD20" s="140"/>
      <c r="BE20" s="85"/>
      <c r="BF20" s="42"/>
      <c r="BG20" s="42"/>
      <c r="BH20" s="42"/>
      <c r="BI20" s="42"/>
    </row>
    <row r="21" spans="2:61" x14ac:dyDescent="0.2">
      <c r="B21" s="17" t="str">
        <v>Accumulated Depreciation</v>
      </c>
      <c r="C21" s="100">
        <f>IF(ISBLANK(B21),"",_xlfn.XLOOKUP(B21,BegBalSht[Account],BegBalSht[Amount]))</f>
        <v>0</v>
      </c>
      <c r="E21" s="17"/>
      <c r="F21" s="102">
        <f>-SUMIFS(Answers[CrAmt],Answers[CrAccnt],E21,Answers[ref],"&lt;&gt;CL")+SUMIFS(Answers[DrAmt],Answers[DrAccnt],E21,Answers[ref],"&lt;&gt;CL")</f>
        <v>0</v>
      </c>
      <c r="L21" s="103" cm="1">
        <f t="array" ref="L21">-_xlfn._xlws.FILTER(Answers[DrAmt],(Answers[ref]="CL")*(Answers[DrAccnt]="Retained Earnings"),0)</f>
        <v>0</v>
      </c>
      <c r="M21" s="103">
        <f ca="1">IFERROR(_xlfn.XLOOKUP("Accumulated Other Comprehensive Income",BB3:BB8,BD3:BD8),0)</f>
        <v>0</v>
      </c>
      <c r="Q21" s="17" t="s">
        <v>167</v>
      </c>
      <c r="R21" s="102">
        <f ca="1">AY147-AZ147</f>
        <v>0</v>
      </c>
      <c r="T21" s="17" t="str">
        <f t="shared" si="5"/>
        <v>Accumulated Depreciation</v>
      </c>
      <c r="U21" s="100">
        <f t="shared" si="6"/>
        <v>10</v>
      </c>
      <c r="V21" s="1"/>
      <c r="W21">
        <f>SUMIF(Answers[DrAccnt],'FS_All_Auto_Solution (2)'!T21,Answers[DrAmt])</f>
        <v>10</v>
      </c>
      <c r="X21">
        <f>SUMIF(Answers[CrAccnt],'FS_All_Auto_Solution (2)'!T21,Answers[CrAmt])</f>
        <v>0</v>
      </c>
      <c r="Z21" s="110"/>
      <c r="AA21" s="31"/>
      <c r="AB21" s="31"/>
      <c r="AC21" s="31"/>
      <c r="AD21" s="31"/>
      <c r="AE21" s="31"/>
      <c r="AG21" s="111"/>
      <c r="AH21" s="112"/>
      <c r="AI21" s="112"/>
      <c r="AJ21" s="112"/>
      <c r="AK21" s="112"/>
      <c r="AL21" s="112"/>
      <c r="AN21" s="114"/>
      <c r="AO21" s="115"/>
      <c r="AP21" s="115"/>
      <c r="AQ21" s="115"/>
      <c r="AR21" s="115"/>
      <c r="AS21" s="115"/>
      <c r="AU21" s="129"/>
      <c r="AV21" s="140"/>
      <c r="AW21" s="140"/>
      <c r="AX21" s="141"/>
      <c r="AY21" s="142"/>
      <c r="AZ21" s="143"/>
      <c r="BA21" s="141"/>
      <c r="BB21" s="127"/>
      <c r="BC21" s="102"/>
      <c r="BD21" s="140"/>
      <c r="BE21" s="85"/>
      <c r="BF21" s="42"/>
      <c r="BG21" s="42"/>
      <c r="BH21" s="42"/>
      <c r="BI21" s="42"/>
    </row>
    <row r="22" spans="2:61" x14ac:dyDescent="0.2">
      <c r="B22" s="17" t="str">
        <v>Intangibles</v>
      </c>
      <c r="C22" s="100">
        <f>IF(ISBLANK(B22),"",_xlfn.XLOOKUP(B22,BegBalSht[Account],BegBalSht[Amount]))</f>
        <v>0</v>
      </c>
      <c r="E22" s="21" t="s">
        <v>421</v>
      </c>
      <c r="F22" s="47">
        <f>SUM(F14:F21)</f>
        <v>0</v>
      </c>
      <c r="L22" s="103">
        <f>SUM(L20:L21)</f>
        <v>0</v>
      </c>
      <c r="M22" s="103">
        <f>IFERROR(-_xlfn.XLOOKUP("Accumulated Other Comprehensive Income",BA3:BA8,BC3:BC8),0)</f>
        <v>0</v>
      </c>
      <c r="Q22" s="17" t="s">
        <v>180</v>
      </c>
      <c r="R22" s="102">
        <f ca="1">AY154-AZ154</f>
        <v>-20</v>
      </c>
      <c r="T22" s="17" t="str">
        <f t="shared" si="5"/>
        <v>Intangibles</v>
      </c>
      <c r="U22" s="100">
        <f t="shared" si="6"/>
        <v>0</v>
      </c>
      <c r="V22" s="1"/>
      <c r="W22">
        <f>SUMIF(Answers[DrAccnt],'FS_All_Auto_Solution (2)'!T22,Answers[DrAmt])</f>
        <v>0</v>
      </c>
      <c r="X22">
        <f>SUMIF(Answers[CrAccnt],'FS_All_Auto_Solution (2)'!T22,Answers[CrAmt])</f>
        <v>0</v>
      </c>
      <c r="Z22" s="110"/>
      <c r="AA22" s="31"/>
      <c r="AB22" s="31"/>
      <c r="AC22" s="31"/>
      <c r="AD22" s="31"/>
      <c r="AE22" s="31"/>
      <c r="AG22" s="111"/>
      <c r="AH22" s="112"/>
      <c r="AI22" s="112"/>
      <c r="AJ22" s="112"/>
      <c r="AK22" s="112"/>
      <c r="AL22" s="112"/>
      <c r="AN22" s="114"/>
      <c r="AO22" s="115"/>
      <c r="AP22" s="115"/>
      <c r="AQ22" s="115"/>
      <c r="AR22" s="115"/>
      <c r="AS22" s="115"/>
      <c r="AU22" s="129"/>
      <c r="AV22" s="140"/>
      <c r="AW22" s="140"/>
      <c r="AX22" s="141"/>
      <c r="AY22" s="142"/>
      <c r="AZ22" s="143"/>
      <c r="BA22" s="141"/>
      <c r="BB22" s="127"/>
      <c r="BC22" s="102"/>
      <c r="BD22" s="140"/>
      <c r="BE22" s="85"/>
      <c r="BF22" s="42"/>
      <c r="BG22" s="42"/>
      <c r="BH22" s="42"/>
      <c r="BI22" s="42"/>
    </row>
    <row r="23" spans="2:61" x14ac:dyDescent="0.2">
      <c r="B23" s="17" t="str">
        <v>Goodwill</v>
      </c>
      <c r="C23" s="100">
        <f>IF(ISBLANK(B23),"",_xlfn.XLOOKUP(B23,BegBalSht[Account],BegBalSht[Amount]))</f>
        <v>0</v>
      </c>
      <c r="E23" s="190" t="s">
        <v>422</v>
      </c>
      <c r="F23" s="20"/>
      <c r="M23" s="103">
        <f ca="1">M21+M22</f>
        <v>0</v>
      </c>
      <c r="Q23" s="17" t="s">
        <v>193</v>
      </c>
      <c r="R23" s="102">
        <f ca="1">AY155-AZ155</f>
        <v>0</v>
      </c>
      <c r="T23" s="17" t="str">
        <f t="shared" si="5"/>
        <v>Goodwill</v>
      </c>
      <c r="U23" s="100">
        <f t="shared" si="6"/>
        <v>0</v>
      </c>
      <c r="V23" s="1"/>
      <c r="W23">
        <f>SUMIF(Answers[DrAccnt],'FS_All_Auto_Solution (2)'!T23,Answers[DrAmt])</f>
        <v>0</v>
      </c>
      <c r="X23">
        <f>SUMIF(Answers[CrAccnt],'FS_All_Auto_Solution (2)'!T23,Answers[CrAmt])</f>
        <v>0</v>
      </c>
      <c r="Z23" s="110"/>
      <c r="AA23" s="31"/>
      <c r="AB23" s="31"/>
      <c r="AC23" s="31"/>
      <c r="AD23" s="31"/>
      <c r="AE23" s="31"/>
      <c r="AG23" s="111"/>
      <c r="AH23" s="112"/>
      <c r="AI23" s="112"/>
      <c r="AJ23" s="112"/>
      <c r="AK23" s="112"/>
      <c r="AL23" s="112"/>
      <c r="AN23" s="114"/>
      <c r="AO23" s="115"/>
      <c r="AP23" s="115"/>
      <c r="AQ23" s="115"/>
      <c r="AR23" s="115"/>
      <c r="AS23" s="115"/>
      <c r="AU23" s="130" t="str">
        <f>_xlfn.XLOOKUP(7,AssetsMaster[Num],AssetsMaster[Name])</f>
        <v>Prepaid Rent</v>
      </c>
      <c r="AV23" s="140">
        <f>IFERROR(_xlfn.XLOOKUP(AU23,BegBalSht[Account],BegBalSht[Amount]),0)</f>
        <v>0</v>
      </c>
      <c r="AW23" s="140"/>
      <c r="AX23" s="141" t="s">
        <v>128</v>
      </c>
      <c r="AY23" s="142">
        <f>IFERROR(_xlfn.XLOOKUP(AU23,$AI$51:$AI$64,$AK$51:$AK$64),0)</f>
        <v>0</v>
      </c>
      <c r="AZ23" s="143">
        <f ca="1">IFERROR(_xlfn.XLOOKUP(AU23,$AJ$67:$AJ$80,$AL$67:$AL$80),0)</f>
        <v>0</v>
      </c>
      <c r="BA23" s="141" t="s">
        <v>94</v>
      </c>
      <c r="BB23" s="127">
        <f>AV23+BG23-BH23</f>
        <v>0</v>
      </c>
      <c r="BC23" s="102"/>
      <c r="BD23" s="145">
        <f ca="1">MAX(BB23-AV23-SUM(AY23:AY26)+SUM(AZ23:AZ26),0)</f>
        <v>0</v>
      </c>
      <c r="BE23" s="146">
        <f ca="1">-MIN(BB23-AV23-SUM(AY23:AY26)+SUM(AZ23:AZ26),0)</f>
        <v>0</v>
      </c>
      <c r="BF23" s="42"/>
      <c r="BG23" s="42">
        <f>SUMIF(Answers[DrAccnt],AU23,Answers[DrAmt])</f>
        <v>0</v>
      </c>
      <c r="BH23" s="42">
        <f>SUMIF(Answers[CrAccnt],AU23,Answers[CrAmt])</f>
        <v>0</v>
      </c>
      <c r="BI23" s="42"/>
    </row>
    <row r="24" spans="2:61" x14ac:dyDescent="0.2">
      <c r="B24" s="17" t="str">
        <v>Other Noncurrent Assets</v>
      </c>
      <c r="C24" s="100">
        <f>IF(ISBLANK(B24),"",_xlfn.XLOOKUP(B24,BegBalSht[Account],BegBalSht[Amount]))</f>
        <v>0</v>
      </c>
      <c r="E24" s="17" t="str" cm="1">
        <f t="array" ref="E24">_xlfn._xlws.FILTER(_Gain[Name],NOT(ISBLANK(_Gain[Name])),"")</f>
        <v>Gain on Sale of Subsidiary</v>
      </c>
      <c r="F24" s="82">
        <f>SUMIFS(Answers[CrAmt],Answers[CrAccnt],E24,Answers[ref2],"&lt;&gt;CL")-SUMIFS(Answers[DrAmt],Answers[DrAccnt],E24,Answers[ref2],"&lt;&gt;CL")</f>
        <v>5</v>
      </c>
      <c r="Q24" s="17" t="s">
        <v>181</v>
      </c>
      <c r="R24" s="102">
        <f ca="1">AY156-AZ156</f>
        <v>0</v>
      </c>
      <c r="T24" s="17" t="str">
        <f t="shared" si="5"/>
        <v>Other Noncurrent Assets</v>
      </c>
      <c r="U24" s="100">
        <f t="shared" si="6"/>
        <v>0</v>
      </c>
      <c r="V24" s="1"/>
      <c r="W24">
        <f>SUMIF(Answers[DrAccnt],'FS_All_Auto_Solution (2)'!T24,Answers[DrAmt])</f>
        <v>0</v>
      </c>
      <c r="X24">
        <f>SUMIF(Answers[CrAccnt],'FS_All_Auto_Solution (2)'!T24,Answers[CrAmt])</f>
        <v>0</v>
      </c>
      <c r="Z24" s="110"/>
      <c r="AA24" s="31"/>
      <c r="AB24" s="31"/>
      <c r="AC24" s="31"/>
      <c r="AD24" s="31"/>
      <c r="AE24" s="31"/>
      <c r="AG24" s="111"/>
      <c r="AH24" s="112"/>
      <c r="AI24" s="112"/>
      <c r="AJ24" s="112"/>
      <c r="AK24" s="112"/>
      <c r="AL24" s="112"/>
      <c r="AN24" s="114"/>
      <c r="AO24" s="115"/>
      <c r="AP24" s="115"/>
      <c r="AQ24" s="115"/>
      <c r="AR24" s="115"/>
      <c r="AS24" s="115"/>
      <c r="AU24" s="129"/>
      <c r="AV24" s="140"/>
      <c r="AW24" s="140"/>
      <c r="AX24" s="141"/>
      <c r="AY24" s="142"/>
      <c r="AZ24" s="143"/>
      <c r="BA24" s="141"/>
      <c r="BB24" s="127"/>
      <c r="BC24" s="102"/>
      <c r="BD24" s="140"/>
      <c r="BE24" s="85"/>
      <c r="BF24" s="42"/>
      <c r="BG24" s="42"/>
      <c r="BH24" s="42"/>
      <c r="BI24" s="42"/>
    </row>
    <row r="25" spans="2:61" x14ac:dyDescent="0.2">
      <c r="B25" s="17" t="str">
        <v>Deferred Tax Assets</v>
      </c>
      <c r="C25" s="100">
        <f>IF(ISBLANK(B25),"",_xlfn.XLOOKUP(B25,BegBalSht[Account],BegBalSht[Amount]))</f>
        <v>0</v>
      </c>
      <c r="E25" s="17"/>
      <c r="F25" s="102">
        <f>SUMIFS(Answers[CrAmt],Answers[CrAccnt],E25,Answers[ref2],"&lt;&gt;CL")-SUMIFS(Answers[DrAmt],Answers[DrAccnt],E25,Answers[ref2],"&lt;&gt;CL")</f>
        <v>0</v>
      </c>
      <c r="Q25" s="17" t="s">
        <v>183</v>
      </c>
      <c r="R25" s="102">
        <f ca="1">AY157-AZ157</f>
        <v>0</v>
      </c>
      <c r="T25" s="17" t="str">
        <f t="shared" si="5"/>
        <v>Deferred Tax Assets</v>
      </c>
      <c r="U25" s="100">
        <f t="shared" si="6"/>
        <v>0</v>
      </c>
      <c r="V25" s="1"/>
      <c r="W25">
        <f>SUMIF(Answers[DrAccnt],'FS_All_Auto_Solution (2)'!T25,Answers[DrAmt])</f>
        <v>0</v>
      </c>
      <c r="X25">
        <f>SUMIF(Answers[CrAccnt],'FS_All_Auto_Solution (2)'!T25,Answers[CrAmt])</f>
        <v>0</v>
      </c>
      <c r="AU25" s="129"/>
      <c r="AV25" s="140"/>
      <c r="AW25" s="140"/>
      <c r="AX25" s="141"/>
      <c r="AY25" s="142"/>
      <c r="AZ25" s="143"/>
      <c r="BA25" s="141"/>
      <c r="BB25" s="127"/>
      <c r="BC25" s="102"/>
      <c r="BD25" s="140"/>
      <c r="BE25" s="85"/>
      <c r="BF25" s="42"/>
      <c r="BG25" s="42"/>
      <c r="BH25" s="42"/>
      <c r="BI25" s="42"/>
    </row>
    <row r="26" spans="2:61" x14ac:dyDescent="0.2">
      <c r="B26" s="17" t="str">
        <v>Accumulated Amortization</v>
      </c>
      <c r="C26" s="100">
        <f>IF(ISBLANK(B26),"",_xlfn.XLOOKUP(B26,BegBalSht[Account],BegBalSht[Amount]))</f>
        <v>0</v>
      </c>
      <c r="E26" s="17"/>
      <c r="F26" s="102">
        <f>SUMIFS(Answers[CrAmt],Answers[CrAccnt],E26,Answers[ref2],"&lt;&gt;CL")-SUMIFS(Answers[DrAmt],Answers[DrAccnt],E26,Answers[ref2],"&lt;&gt;CL")</f>
        <v>0</v>
      </c>
      <c r="Q26" s="17" t="s">
        <v>185</v>
      </c>
      <c r="R26" s="102">
        <f ca="1">AY159-AZ159</f>
        <v>0</v>
      </c>
      <c r="T26" s="17" t="str">
        <f t="shared" si="5"/>
        <v>Accumulated Amortization</v>
      </c>
      <c r="U26" s="100">
        <f t="shared" si="6"/>
        <v>0</v>
      </c>
      <c r="V26" s="1"/>
      <c r="W26">
        <f>SUMIF(Answers[DrAccnt],'FS_All_Auto_Solution (2)'!T26,Answers[DrAmt])</f>
        <v>0</v>
      </c>
      <c r="X26">
        <f>SUMIF(Answers[CrAccnt],'FS_All_Auto_Solution (2)'!T26,Answers[CrAmt])</f>
        <v>0</v>
      </c>
      <c r="Z26" s="5" t="s">
        <v>462</v>
      </c>
      <c r="AC26" s="4" t="s">
        <v>102</v>
      </c>
      <c r="AG26" s="5" t="s">
        <v>121</v>
      </c>
      <c r="AJ26" s="4" t="s">
        <v>120</v>
      </c>
      <c r="AN26" s="5" t="s">
        <v>463</v>
      </c>
      <c r="AO26" s="5"/>
      <c r="AQ26" s="4" t="s">
        <v>106</v>
      </c>
      <c r="AU26" s="129"/>
      <c r="AV26" s="140"/>
      <c r="AW26" s="140"/>
      <c r="AX26" s="141"/>
      <c r="AY26" s="142"/>
      <c r="AZ26" s="143"/>
      <c r="BA26" s="141"/>
      <c r="BB26" s="127"/>
      <c r="BC26" s="102"/>
      <c r="BD26" s="140"/>
      <c r="BE26" s="85"/>
      <c r="BF26" s="42"/>
      <c r="BG26" s="42"/>
      <c r="BH26" s="42"/>
      <c r="BI26" s="42"/>
    </row>
    <row r="27" spans="2:61" x14ac:dyDescent="0.2">
      <c r="B27" s="17"/>
      <c r="C27" s="100" t="str">
        <f>IF(ISBLANK(B27),"",_xlfn.XLOOKUP(B27,BegBalSht[Account],BegBalSht[Amount]))</f>
        <v/>
      </c>
      <c r="E27" s="17"/>
      <c r="F27" s="102">
        <f>SUMIFS(Answers[CrAmt],Answers[CrAccnt],E27,Answers[ref2],"&lt;&gt;CL")-SUMIFS(Answers[DrAmt],Answers[DrAccnt],E27,Answers[ref2],"&lt;&gt;CL")</f>
        <v>0</v>
      </c>
      <c r="Q27" s="17" t="s">
        <v>186</v>
      </c>
      <c r="R27" s="102">
        <f ca="1">AY160-AZ160</f>
        <v>0</v>
      </c>
      <c r="T27" s="17" t="str">
        <f t="shared" si="5"/>
        <v/>
      </c>
      <c r="U27" s="100">
        <f t="shared" si="6"/>
        <v>0</v>
      </c>
      <c r="V27" s="1"/>
      <c r="W27">
        <f>SUMIF(Answers[DrAccnt],'FS_All_Auto_Solution (2)'!T27,Answers[DrAmt])</f>
        <v>0</v>
      </c>
      <c r="X27">
        <f>SUMIF(Answers[CrAccnt],'FS_All_Auto_Solution (2)'!T27,Answers[CrAmt])</f>
        <v>0</v>
      </c>
      <c r="Z27" s="110" t="e" cm="1">
        <f t="array" aca="1" ref="Z27" ca="1">_xlfn._xlws.FILTER(Answers[ref]:Answers[CrAmt],Answers[ref2]=AC26,"")</f>
        <v>#NAME?</v>
      </c>
      <c r="AA27" s="31"/>
      <c r="AB27" s="31"/>
      <c r="AC27" s="31"/>
      <c r="AD27" s="31"/>
      <c r="AE27" s="31"/>
      <c r="AG27" s="111" t="e" cm="1">
        <f t="array" aca="1" ref="AG27" ca="1">_xlfn._xlws.FILTER(Answers[ref]:Answers[CrAmt],Answers[ref2]=AJ26,"")</f>
        <v>#NAME?</v>
      </c>
      <c r="AH27" s="112"/>
      <c r="AI27" s="112"/>
      <c r="AJ27" s="112"/>
      <c r="AK27" s="112"/>
      <c r="AL27" s="112"/>
      <c r="AN27" s="114" t="e" cm="1">
        <f t="array" aca="1" ref="AN27" ca="1">_xlfn._xlws.FILTER(Answers[ref]:Answers[CrAmt],Answers[ref2]=AQ26,"")</f>
        <v>#NAME?</v>
      </c>
      <c r="AO27" s="115"/>
      <c r="AP27" s="115"/>
      <c r="AQ27" s="115"/>
      <c r="AR27" s="115"/>
      <c r="AS27" s="115"/>
      <c r="AU27" s="130" t="e">
        <f ca="1">_xlfn.XLOOKUP(8,AssetsMaster[Num],AssetsMaster[Name])</f>
        <v>#NAME?</v>
      </c>
      <c r="AV27" s="140">
        <f ca="1">IFERROR(_xlfn.XLOOKUP(AU27,BegBalSht[Account],BegBalSht[Amount]),0)</f>
        <v>0</v>
      </c>
      <c r="AW27" s="140"/>
      <c r="AX27" s="141" t="s">
        <v>128</v>
      </c>
      <c r="AY27" s="142">
        <f ca="1">IFERROR(_xlfn.XLOOKUP(AU27,$AI$51:$AI$64,$AK$51:$AK$64),0)</f>
        <v>0</v>
      </c>
      <c r="AZ27" s="143">
        <f ca="1">IFERROR(_xlfn.XLOOKUP(AU27,$AJ$67:$AJ$80,$AL$67:$AL$80),0)</f>
        <v>0</v>
      </c>
      <c r="BA27" s="141" t="s">
        <v>94</v>
      </c>
      <c r="BB27" s="127">
        <f ca="1">AV27+BG27-BH27</f>
        <v>0</v>
      </c>
      <c r="BC27" s="102"/>
      <c r="BD27" s="145">
        <f ca="1">-MIN(BC27-AW27-SUM(AZ27:AZ30)+SUM(AY27:AY30),0)</f>
        <v>0</v>
      </c>
      <c r="BE27" s="146">
        <f ca="1">MAX(BC27-AW27-SUM(AZ27:AZ30)+SUM(AY27:AY30),0)</f>
        <v>0</v>
      </c>
      <c r="BF27" s="42"/>
      <c r="BG27" s="42">
        <f ca="1">SUMIF(Answers[DrAccnt],AU27,Answers[DrAmt])</f>
        <v>0</v>
      </c>
      <c r="BH27" s="42">
        <f ca="1">SUMIF(Answers[CrAccnt],AU27,Answers[CrAmt])</f>
        <v>0</v>
      </c>
      <c r="BI27" s="42"/>
    </row>
    <row r="28" spans="2:61" x14ac:dyDescent="0.2">
      <c r="B28" s="17"/>
      <c r="C28" s="100" t="str">
        <f>IF(ISBLANK(B28),"",_xlfn.XLOOKUP(B28,BegBalSht[Account],BegBalSht[Amount]))</f>
        <v/>
      </c>
      <c r="E28" s="21" t="s">
        <v>425</v>
      </c>
      <c r="F28" s="47">
        <f>SUM(F24:F27)</f>
        <v>5</v>
      </c>
      <c r="Q28" s="17" t="s">
        <v>187</v>
      </c>
      <c r="R28" s="102">
        <f ca="1">AY160-AZ160</f>
        <v>0</v>
      </c>
      <c r="T28" s="17" t="str">
        <f t="shared" si="5"/>
        <v/>
      </c>
      <c r="U28" s="100">
        <f t="shared" si="6"/>
        <v>0</v>
      </c>
      <c r="V28" s="1"/>
      <c r="W28">
        <f>SUMIF(Answers[DrAccnt],'FS_All_Auto_Solution (2)'!T28,Answers[DrAmt])</f>
        <v>0</v>
      </c>
      <c r="X28">
        <f>SUMIF(Answers[CrAccnt],'FS_All_Auto_Solution (2)'!T28,Answers[CrAmt])</f>
        <v>0</v>
      </c>
      <c r="Z28" s="110"/>
      <c r="AA28" s="31"/>
      <c r="AB28" s="31"/>
      <c r="AC28" s="31"/>
      <c r="AD28" s="31"/>
      <c r="AE28" s="31"/>
      <c r="AG28" s="111"/>
      <c r="AH28" s="112"/>
      <c r="AI28" s="112"/>
      <c r="AJ28" s="112"/>
      <c r="AK28" s="112"/>
      <c r="AL28" s="112"/>
      <c r="AN28" s="114"/>
      <c r="AO28" s="115"/>
      <c r="AP28" s="115"/>
      <c r="AQ28" s="115"/>
      <c r="AR28" s="115"/>
      <c r="AS28" s="115"/>
      <c r="AU28" s="129"/>
      <c r="AV28" s="140"/>
      <c r="AW28" s="140"/>
      <c r="AX28" s="141"/>
      <c r="AY28" s="142"/>
      <c r="AZ28" s="143"/>
      <c r="BA28" s="141"/>
      <c r="BB28" s="127"/>
      <c r="BC28" s="102"/>
      <c r="BD28" s="140"/>
      <c r="BE28" s="85"/>
      <c r="BF28" s="42"/>
      <c r="BG28" s="42"/>
      <c r="BH28" s="42"/>
      <c r="BI28" s="42"/>
    </row>
    <row r="29" spans="2:61" x14ac:dyDescent="0.2">
      <c r="B29" s="91"/>
      <c r="C29" s="101" t="str">
        <f>IF(ISBLANK(B29),"",_xlfn.XLOOKUP(B29,BegBalSht[Account],BegBalSht[Amount]))</f>
        <v/>
      </c>
      <c r="E29" s="190" t="s">
        <v>426</v>
      </c>
      <c r="F29" s="20"/>
      <c r="Q29" s="75" t="s">
        <v>416</v>
      </c>
      <c r="R29" s="47" t="e">
        <f ca="1">SUBTOTAL(9,R8:R28)</f>
        <v>#NAME?</v>
      </c>
      <c r="T29" s="91" t="str">
        <f t="shared" si="5"/>
        <v/>
      </c>
      <c r="U29" s="101">
        <f t="shared" si="6"/>
        <v>0</v>
      </c>
      <c r="V29" s="1"/>
      <c r="W29">
        <f>SUMIF(Answers[DrAccnt],'FS_All_Auto_Solution (2)'!T29,Answers[DrAmt])</f>
        <v>0</v>
      </c>
      <c r="X29">
        <f>SUMIF(Answers[CrAccnt],'FS_All_Auto_Solution (2)'!T29,Answers[CrAmt])</f>
        <v>0</v>
      </c>
      <c r="Z29" s="110"/>
      <c r="AA29" s="31"/>
      <c r="AB29" s="31"/>
      <c r="AC29" s="31"/>
      <c r="AD29" s="31"/>
      <c r="AE29" s="31"/>
      <c r="AG29" s="111"/>
      <c r="AH29" s="112"/>
      <c r="AI29" s="112"/>
      <c r="AJ29" s="112"/>
      <c r="AK29" s="112"/>
      <c r="AL29" s="112"/>
      <c r="AN29" s="114"/>
      <c r="AO29" s="115"/>
      <c r="AP29" s="115"/>
      <c r="AQ29" s="115"/>
      <c r="AR29" s="115"/>
      <c r="AS29" s="115"/>
      <c r="AU29" s="129"/>
      <c r="AV29" s="140"/>
      <c r="AW29" s="140"/>
      <c r="AX29" s="141"/>
      <c r="AY29" s="142"/>
      <c r="AZ29" s="143"/>
      <c r="BA29" s="141"/>
      <c r="BB29" s="127"/>
      <c r="BC29" s="102"/>
      <c r="BD29" s="140"/>
      <c r="BE29" s="85"/>
      <c r="BF29" s="42"/>
      <c r="BG29" s="42"/>
      <c r="BH29" s="42"/>
      <c r="BI29" s="42"/>
    </row>
    <row r="30" spans="2:61" x14ac:dyDescent="0.2">
      <c r="B30" s="53" t="s">
        <v>427</v>
      </c>
      <c r="C30" s="49">
        <f>SUBTOTAL(9,C20:C29)</f>
        <v>0</v>
      </c>
      <c r="E30" s="17" t="str" cm="1">
        <f t="array" ref="E30">_xlfn._xlws.FILTER(_Loss[Name],NOT(ISBLANK(_Loss[Name])),"")</f>
        <v>Loss on Sale of Subsidiary</v>
      </c>
      <c r="F30" s="82">
        <f>-SUMIFS(Answers[CrAmt],Answers[CrAccnt],E30,Answers[ref2],"&lt;&gt;CL")+SUMIFS(Answers[DrAmt],Answers[DrAccnt],E30,Answers[ref2],"&lt;&gt;CL")</f>
        <v>0</v>
      </c>
      <c r="Q30" s="17"/>
      <c r="R30" s="18"/>
      <c r="T30" s="53" t="s">
        <v>427</v>
      </c>
      <c r="U30" s="49">
        <f>SUBTOTAL(9,U20:U29)</f>
        <v>-40</v>
      </c>
      <c r="Z30" s="110"/>
      <c r="AA30" s="31"/>
      <c r="AB30" s="31"/>
      <c r="AC30" s="31"/>
      <c r="AD30" s="31"/>
      <c r="AE30" s="31"/>
      <c r="AG30" s="111"/>
      <c r="AH30" s="112"/>
      <c r="AI30" s="112"/>
      <c r="AJ30" s="112"/>
      <c r="AK30" s="112"/>
      <c r="AL30" s="112"/>
      <c r="AN30" s="114"/>
      <c r="AO30" s="115"/>
      <c r="AP30" s="115"/>
      <c r="AQ30" s="115"/>
      <c r="AR30" s="115"/>
      <c r="AS30" s="115"/>
      <c r="AU30" s="129"/>
      <c r="AV30" s="140"/>
      <c r="AW30" s="140"/>
      <c r="AX30" s="141"/>
      <c r="AY30" s="142"/>
      <c r="AZ30" s="143"/>
      <c r="BA30" s="141"/>
      <c r="BB30" s="127"/>
      <c r="BC30" s="102"/>
      <c r="BD30" s="140"/>
      <c r="BE30" s="85"/>
      <c r="BF30" s="42"/>
      <c r="BG30" s="42"/>
      <c r="BH30" s="42"/>
      <c r="BI30" s="42"/>
    </row>
    <row r="31" spans="2:61" ht="16" thickBot="1" x14ac:dyDescent="0.25">
      <c r="B31" s="193" t="s">
        <v>428</v>
      </c>
      <c r="C31" s="194">
        <f>SUBTOTAL(9,C8:C30)</f>
        <v>0</v>
      </c>
      <c r="E31" s="17"/>
      <c r="F31" s="102">
        <f>-SUMIFS(Answers[CrAmt],Answers[CrAccnt],E31,Answers[ref2],"&lt;&gt;CL")+SUMIFS(Answers[DrAmt],Answers[DrAccnt],E31,Answers[ref2],"&lt;&gt;CL")</f>
        <v>0</v>
      </c>
      <c r="Q31" s="190" t="s">
        <v>418</v>
      </c>
      <c r="R31" s="20"/>
      <c r="T31" s="193" t="s">
        <v>428</v>
      </c>
      <c r="U31" s="194">
        <f>SUBTOTAL(9,U8:U30)</f>
        <v>-15</v>
      </c>
      <c r="Z31" s="110"/>
      <c r="AA31" s="31"/>
      <c r="AB31" s="31"/>
      <c r="AC31" s="31"/>
      <c r="AD31" s="31"/>
      <c r="AE31" s="31"/>
      <c r="AG31" s="111"/>
      <c r="AH31" s="112"/>
      <c r="AI31" s="112"/>
      <c r="AJ31" s="112"/>
      <c r="AK31" s="112"/>
      <c r="AL31" s="112"/>
      <c r="AN31" s="114"/>
      <c r="AO31" s="115"/>
      <c r="AP31" s="115"/>
      <c r="AQ31" s="115"/>
      <c r="AR31" s="115"/>
      <c r="AS31" s="115"/>
      <c r="AU31" s="130" t="str">
        <f>_xlfn.XLOOKUP(9,AssetsMaster[Num],AssetsMaster[Name])</f>
        <v>Property, Plant &amp; Equipment</v>
      </c>
      <c r="AV31" s="140">
        <f>IFERROR(_xlfn.XLOOKUP(AU31,BegBalSht[Account],BegBalSht[Amount]),0)</f>
        <v>0</v>
      </c>
      <c r="AW31" s="140"/>
      <c r="AX31" s="141" t="s">
        <v>128</v>
      </c>
      <c r="AY31" s="142">
        <f>IFERROR(_xlfn.XLOOKUP(AU31,$AI$51:$AI$64,$AK$51:$AK$64),0)</f>
        <v>0</v>
      </c>
      <c r="AZ31" s="143">
        <f ca="1">IFERROR(_xlfn.XLOOKUP(AU31,$AJ$67:$AJ$80,$AL$67:$AL$80),0)</f>
        <v>0</v>
      </c>
      <c r="BA31" s="141" t="s">
        <v>94</v>
      </c>
      <c r="BB31" s="127">
        <f>AV31+BG31-BH31</f>
        <v>-50</v>
      </c>
      <c r="BC31" s="102"/>
      <c r="BD31" s="145">
        <f ca="1">MAX(BB31-AV31-SUM(AY31:AY34)+SUM(AZ31:AZ34),0)</f>
        <v>0</v>
      </c>
      <c r="BE31" s="146">
        <f ca="1">-MIN(BB31-AV31-SUM(AY31:AY34)+SUM(AZ31:AZ34),0)</f>
        <v>50</v>
      </c>
      <c r="BF31" s="42"/>
      <c r="BG31" s="42">
        <f>SUMIF(Answers[DrAccnt],AU31,Answers[DrAmt])</f>
        <v>0</v>
      </c>
      <c r="BH31" s="42">
        <f>SUMIF(Answers[CrAccnt],AU31,Answers[CrAmt])</f>
        <v>50</v>
      </c>
      <c r="BI31" s="42"/>
    </row>
    <row r="32" spans="2:61" x14ac:dyDescent="0.2">
      <c r="B32" s="187" t="s">
        <v>364</v>
      </c>
      <c r="C32" s="188"/>
      <c r="E32" s="17"/>
      <c r="F32" s="102">
        <f>-SUMIFS(Answers[CrAmt],Answers[CrAccnt],E32,Answers[ref2],"&lt;&gt;CL")+SUMIFS(Answers[DrAmt],Answers[DrAccnt],E32,Answers[ref2],"&lt;&gt;CL")</f>
        <v>0</v>
      </c>
      <c r="Q32" s="17" t="s">
        <v>482</v>
      </c>
      <c r="R32" s="82">
        <f>IFERROR(_xlfn.XLOOKUP("Cash",AI27:AI32,AK27:AK32),0)</f>
        <v>0</v>
      </c>
      <c r="T32" s="187" t="s">
        <v>364</v>
      </c>
      <c r="U32" s="188"/>
      <c r="Z32" s="110"/>
      <c r="AA32" s="31"/>
      <c r="AB32" s="31"/>
      <c r="AC32" s="31"/>
      <c r="AD32" s="31"/>
      <c r="AE32" s="31"/>
      <c r="AG32" s="111"/>
      <c r="AH32" s="112"/>
      <c r="AI32" s="112"/>
      <c r="AJ32" s="112"/>
      <c r="AK32" s="112"/>
      <c r="AL32" s="112"/>
      <c r="AN32" s="114"/>
      <c r="AO32" s="115"/>
      <c r="AP32" s="115"/>
      <c r="AQ32" s="115"/>
      <c r="AR32" s="115"/>
      <c r="AS32" s="115"/>
      <c r="AU32" s="129"/>
      <c r="AV32" s="140"/>
      <c r="AW32" s="140"/>
      <c r="AX32" s="141" t="s">
        <v>118</v>
      </c>
      <c r="AY32" s="142">
        <f>IFERROR(_xlfn.XLOOKUP(AU31,AI19:AI24,AK19:AK24),0)</f>
        <v>0</v>
      </c>
      <c r="AZ32" s="142">
        <f>IFERROR(_xlfn.XLOOKUP(AU31,AJ27:AJ32,AL27:AL32),0)</f>
        <v>0</v>
      </c>
      <c r="BA32" s="141" t="s">
        <v>120</v>
      </c>
      <c r="BB32" s="127"/>
      <c r="BC32" s="102"/>
      <c r="BD32" s="140"/>
      <c r="BE32" s="85"/>
      <c r="BF32" s="42"/>
      <c r="BG32" s="42"/>
      <c r="BH32" s="42"/>
      <c r="BI32" s="42"/>
    </row>
    <row r="33" spans="2:61" x14ac:dyDescent="0.2">
      <c r="B33" s="52" t="s">
        <v>429</v>
      </c>
      <c r="C33" s="46">
        <f>BegDate</f>
        <v>0</v>
      </c>
      <c r="E33" s="17"/>
      <c r="F33" s="102">
        <f>-SUMIFS(Answers[CrAmt],Answers[CrAccnt],E33,Answers[ref2],"&lt;&gt;CL")+SUMIFS(Answers[DrAmt],Answers[DrAccnt],E33,Answers[ref2],"&lt;&gt;CL")</f>
        <v>0</v>
      </c>
      <c r="Q33" s="17" t="s">
        <v>483</v>
      </c>
      <c r="R33" s="102">
        <f ca="1">IFERROR(_xlfn.XLOOKUP("Cash",AI67:AI80,AK67:AK80),0)</f>
        <v>0</v>
      </c>
      <c r="T33" s="52" t="s">
        <v>429</v>
      </c>
      <c r="U33" s="46">
        <f>EndDate</f>
        <v>0</v>
      </c>
      <c r="AU33" s="129"/>
      <c r="AV33" s="140"/>
      <c r="AW33" s="140"/>
      <c r="AX33" s="141" t="s">
        <v>122</v>
      </c>
      <c r="AY33" s="142">
        <f>IFERROR(_xlfn.XLOOKUP(AU31,AP11:AP16,AR11:AR16),0)</f>
        <v>0</v>
      </c>
      <c r="AZ33" s="143"/>
      <c r="BA33" s="141"/>
      <c r="BB33" s="127"/>
      <c r="BC33" s="102"/>
      <c r="BD33" s="140"/>
      <c r="BE33" s="85"/>
      <c r="BF33" s="42"/>
      <c r="BG33" s="42"/>
      <c r="BH33" s="42"/>
      <c r="BI33" s="42"/>
    </row>
    <row r="34" spans="2:61" x14ac:dyDescent="0.2">
      <c r="B34" s="17" t="str" cm="1">
        <f t="array" ref="B34:B41">_xlfn._xlws.FILTER(Liability[Name],Liability[C/NC]="C")</f>
        <v>Accounts Payable</v>
      </c>
      <c r="C34" s="99">
        <f>IF(ISBLANK(B34),"",_xlfn.XLOOKUP(B34,BegBalSht[Account],BegBalSht[Amount]))</f>
        <v>0</v>
      </c>
      <c r="E34" s="21" t="s">
        <v>430</v>
      </c>
      <c r="F34" s="47">
        <f>SUM(F30:F33)</f>
        <v>0</v>
      </c>
      <c r="Q34" s="17" t="s">
        <v>484</v>
      </c>
      <c r="R34" s="102">
        <f>IFERROR(_xlfn.XLOOKUP("Cash",AI11:AI16,AK11:AK16),0)</f>
        <v>0</v>
      </c>
      <c r="T34" s="17" t="str">
        <f t="shared" ref="T34:T43" si="7">IF(ISBLANK(B34),"",B34)</f>
        <v>Accounts Payable</v>
      </c>
      <c r="U34" s="99">
        <f t="shared" ref="U34:U43" si="8">IFERROR(C34+X34-W34,0)</f>
        <v>-20</v>
      </c>
      <c r="W34">
        <f>SUMIF(Answers[DrAccnt],'FS_All_Auto_Solution (2)'!T34,Answers[DrAmt])</f>
        <v>20</v>
      </c>
      <c r="X34">
        <f>SUMIF(Answers[CrAccnt],'FS_All_Auto_Solution (2)'!T34,Answers[CrAmt])</f>
        <v>0</v>
      </c>
      <c r="Z34" s="5" t="s">
        <v>105</v>
      </c>
      <c r="AA34" s="5"/>
      <c r="AC34" s="4" t="s">
        <v>104</v>
      </c>
      <c r="AG34" s="5" t="s">
        <v>125</v>
      </c>
      <c r="AJ34" s="4" t="s">
        <v>124</v>
      </c>
      <c r="AN34" s="5" t="s">
        <v>464</v>
      </c>
      <c r="AO34" s="5"/>
      <c r="AQ34" s="4" t="s">
        <v>141</v>
      </c>
      <c r="AU34" s="129"/>
      <c r="AV34" s="140"/>
      <c r="AW34" s="140"/>
      <c r="AX34" s="141"/>
      <c r="AY34" s="142"/>
      <c r="AZ34" s="143"/>
      <c r="BA34" s="141"/>
      <c r="BB34" s="127"/>
      <c r="BC34" s="102"/>
      <c r="BD34" s="140"/>
      <c r="BE34" s="85"/>
      <c r="BF34" s="42"/>
      <c r="BG34" s="42"/>
      <c r="BH34" s="42"/>
      <c r="BI34" s="42"/>
    </row>
    <row r="35" spans="2:61" ht="16" thickBot="1" x14ac:dyDescent="0.25">
      <c r="B35" s="17" t="str">
        <v>Accrued Expenses</v>
      </c>
      <c r="C35" s="100">
        <f>IF(ISBLANK(B35),"",_xlfn.XLOOKUP(B35,BegBalSht[Account],BegBalSht[Amount]))</f>
        <v>0</v>
      </c>
      <c r="E35" s="191" t="str">
        <f>IF(F43,"Net Income","Net Balance in Temporary Accounts")</f>
        <v>Net Balance in Temporary Accounts</v>
      </c>
      <c r="F35" s="192">
        <f>F12-F22+F28-F34</f>
        <v>5</v>
      </c>
      <c r="Q35" s="17" t="s">
        <v>485</v>
      </c>
      <c r="R35" s="102">
        <f>IFERROR(_xlfn.XLOOKUP("Cash",AI43:AI48,AK43:AK48),0)</f>
        <v>0</v>
      </c>
      <c r="T35" s="17" t="str">
        <f t="shared" si="7"/>
        <v>Accrued Expenses</v>
      </c>
      <c r="U35" s="100">
        <f t="shared" si="8"/>
        <v>0</v>
      </c>
      <c r="W35">
        <f>SUMIF(Answers[DrAccnt],'FS_All_Auto_Solution (2)'!T35,Answers[DrAmt])</f>
        <v>0</v>
      </c>
      <c r="X35">
        <f>SUMIF(Answers[CrAccnt],'FS_All_Auto_Solution (2)'!T35,Answers[CrAmt])</f>
        <v>0</v>
      </c>
      <c r="Z35" s="110" t="e" cm="1">
        <f t="array" aca="1" ref="Z35" ca="1">_xlfn._xlws.FILTER(Answers[ref]:Answers[CrAmt],Answers[ref2]=AC34,"")</f>
        <v>#NAME?</v>
      </c>
      <c r="AA35" s="31"/>
      <c r="AB35" s="31"/>
      <c r="AC35" s="31"/>
      <c r="AD35" s="31"/>
      <c r="AE35" s="31"/>
      <c r="AG35" s="111" t="e" cm="1">
        <f t="array" aca="1" ref="AG35" ca="1">_xlfn._xlws.FILTER(Answers[ref]:Answers[CrAmt],Answers[ref2]=AJ34,"")</f>
        <v>#NAME?</v>
      </c>
      <c r="AH35" s="112"/>
      <c r="AI35" s="112"/>
      <c r="AJ35" s="112"/>
      <c r="AK35" s="112"/>
      <c r="AL35" s="112"/>
      <c r="AN35" s="114" t="e" cm="1">
        <f t="array" aca="1" ref="AN35" ca="1">_xlfn._xlws.FILTER(Answers[ref]:Answers[CrAmt],Answers[ref2]=AQ34,"")</f>
        <v>#NAME?</v>
      </c>
      <c r="AO35" s="115"/>
      <c r="AP35" s="115"/>
      <c r="AQ35" s="115"/>
      <c r="AR35" s="115"/>
      <c r="AS35" s="115"/>
      <c r="AU35" s="130" t="e">
        <f ca="1">_xlfn.XLOOKUP(10,AssetsMaster[Num],AssetsMaster[Name])</f>
        <v>#NAME?</v>
      </c>
      <c r="AV35" s="140"/>
      <c r="AW35" s="140" cm="1">
        <f t="array" aca="1" ref="AW35" ca="1">IFERROR(_xlfn.XLOOKUP(AU35,BegBalSht[Account],-BegBalSht[Amount]),0)</f>
        <v>0</v>
      </c>
      <c r="AX35" s="141" t="s">
        <v>94</v>
      </c>
      <c r="AY35" s="142">
        <f ca="1">IFERROR(_xlfn.XLOOKUP(AU35,$AI$67:$AI$80,$AK$67:$AK$80),0)</f>
        <v>0</v>
      </c>
      <c r="AZ35" s="143"/>
      <c r="BA35" s="141"/>
      <c r="BB35" s="127"/>
      <c r="BC35" s="102">
        <f ca="1">AW35-BG35+BH35</f>
        <v>0</v>
      </c>
      <c r="BD35" s="145">
        <f ca="1">-MIN(BC35-AW35-SUM(AZ35:AZ38)+SUM(AY35:AY38),0)</f>
        <v>0</v>
      </c>
      <c r="BE35" s="146">
        <f ca="1">MAX(BC35-AW35-SUM(AZ35:AZ38)+SUM(AY35:AY38),0)</f>
        <v>0</v>
      </c>
      <c r="BF35" s="42"/>
      <c r="BG35" s="42">
        <f ca="1">SUMIF(Answers[DrAccnt],AU35,Answers[DrAmt])</f>
        <v>0</v>
      </c>
      <c r="BH35" s="42">
        <f ca="1">SUMIF(Answers[CrAccnt],AU35,Answers[CrAmt])</f>
        <v>0</v>
      </c>
      <c r="BI35" s="42"/>
    </row>
    <row r="36" spans="2:61" ht="17" thickTop="1" thickBot="1" x14ac:dyDescent="0.25">
      <c r="B36" s="17" t="str">
        <v>Interest Payable</v>
      </c>
      <c r="C36" s="100">
        <f>IF(ISBLANK(B36),"",_xlfn.XLOOKUP(B36,BegBalSht[Account],BegBalSht[Amount]))</f>
        <v>0</v>
      </c>
      <c r="E36" s="24"/>
      <c r="F36" s="25"/>
      <c r="Q36" s="17" t="s">
        <v>486</v>
      </c>
      <c r="R36" s="102">
        <f>IFERROR(_xlfn.XLOOKUP("Cash",AI91:AI96,AK91:AK96),0)</f>
        <v>0</v>
      </c>
      <c r="T36" s="17" t="str">
        <f t="shared" si="7"/>
        <v>Interest Payable</v>
      </c>
      <c r="U36" s="100">
        <f t="shared" si="8"/>
        <v>0</v>
      </c>
      <c r="W36">
        <f>SUMIF(Answers[DrAccnt],'FS_All_Auto_Solution (2)'!T36,Answers[DrAmt])</f>
        <v>0</v>
      </c>
      <c r="X36">
        <f>SUMIF(Answers[CrAccnt],'FS_All_Auto_Solution (2)'!T36,Answers[CrAmt])</f>
        <v>0</v>
      </c>
      <c r="Z36" s="110"/>
      <c r="AA36" s="31"/>
      <c r="AB36" s="31"/>
      <c r="AC36" s="31"/>
      <c r="AD36" s="31"/>
      <c r="AE36" s="31"/>
      <c r="AG36" s="111"/>
      <c r="AH36" s="112"/>
      <c r="AI36" s="112"/>
      <c r="AJ36" s="112"/>
      <c r="AK36" s="112"/>
      <c r="AL36" s="112"/>
      <c r="AN36" s="114"/>
      <c r="AO36" s="115"/>
      <c r="AP36" s="115"/>
      <c r="AQ36" s="115"/>
      <c r="AR36" s="115"/>
      <c r="AS36" s="115"/>
      <c r="AU36" s="129"/>
      <c r="AV36" s="140"/>
      <c r="AW36" s="140"/>
      <c r="AX36" s="141" t="s">
        <v>120</v>
      </c>
      <c r="AY36" s="142">
        <f ca="1">IFERROR(_xlfn.XLOOKUP(AU35,AI27:AI32,AK27:AK32),0)</f>
        <v>0</v>
      </c>
      <c r="AZ36" s="143"/>
      <c r="BA36" s="141"/>
      <c r="BB36" s="127"/>
      <c r="BC36" s="102"/>
      <c r="BD36" s="140"/>
      <c r="BE36" s="85"/>
      <c r="BF36" s="42"/>
      <c r="BG36" s="42"/>
      <c r="BH36" s="42"/>
      <c r="BI36" s="42"/>
    </row>
    <row r="37" spans="2:61" x14ac:dyDescent="0.2">
      <c r="B37" s="17" t="str">
        <v>Dividends Payable</v>
      </c>
      <c r="C37" s="100">
        <f>IF(ISBLANK(B37),"",_xlfn.XLOOKUP(B37,BegBalSht[Account],BegBalSht[Amount]))</f>
        <v>0</v>
      </c>
      <c r="Q37" s="17" t="s">
        <v>487</v>
      </c>
      <c r="R37" s="102" cm="1">
        <f t="array" ref="R37">IFERROR(_xlfn.XLOOKUP("Cash",AJ19:AJ24,-AL19:AL24),0)</f>
        <v>0</v>
      </c>
      <c r="T37" s="17" t="str">
        <f t="shared" si="7"/>
        <v>Dividends Payable</v>
      </c>
      <c r="U37" s="100">
        <f t="shared" si="8"/>
        <v>0</v>
      </c>
      <c r="W37">
        <f>SUMIF(Answers[DrAccnt],'FS_All_Auto_Solution (2)'!T37,Answers[DrAmt])</f>
        <v>0</v>
      </c>
      <c r="X37">
        <f>SUMIF(Answers[CrAccnt],'FS_All_Auto_Solution (2)'!T37,Answers[CrAmt])</f>
        <v>0</v>
      </c>
      <c r="Z37" s="110"/>
      <c r="AA37" s="31"/>
      <c r="AB37" s="31"/>
      <c r="AC37" s="31"/>
      <c r="AD37" s="31"/>
      <c r="AE37" s="31"/>
      <c r="AG37" s="111"/>
      <c r="AH37" s="112"/>
      <c r="AI37" s="112"/>
      <c r="AJ37" s="112"/>
      <c r="AK37" s="112"/>
      <c r="AL37" s="112"/>
      <c r="AN37" s="114"/>
      <c r="AO37" s="115"/>
      <c r="AP37" s="115"/>
      <c r="AQ37" s="115"/>
      <c r="AR37" s="115"/>
      <c r="AS37" s="115"/>
      <c r="AU37" s="129"/>
      <c r="AV37" s="140"/>
      <c r="AW37" s="140"/>
      <c r="AX37" s="141"/>
      <c r="AY37" s="142"/>
      <c r="AZ37" s="143"/>
      <c r="BA37" s="141"/>
      <c r="BB37" s="127"/>
      <c r="BC37" s="102"/>
      <c r="BD37" s="140"/>
      <c r="BE37" s="85"/>
      <c r="BF37" s="42"/>
      <c r="BG37" s="42"/>
      <c r="BH37" s="42"/>
      <c r="BI37" s="42"/>
    </row>
    <row r="38" spans="2:61" x14ac:dyDescent="0.2">
      <c r="B38" s="17" t="str">
        <v>Taxes Payable</v>
      </c>
      <c r="C38" s="100">
        <f>IF(ISBLANK(B38),"",_xlfn.XLOOKUP(B38,BegBalSht[Account],BegBalSht[Amount]))</f>
        <v>0</v>
      </c>
      <c r="Q38" s="17" t="s">
        <v>488</v>
      </c>
      <c r="R38" s="102" cm="1">
        <f t="array" ref="R38">IFERROR(_xlfn.XLOOKUP("Cash",AJ51:AJ64,-AL51:AL64),0)</f>
        <v>0</v>
      </c>
      <c r="T38" s="17" t="str">
        <f t="shared" si="7"/>
        <v>Taxes Payable</v>
      </c>
      <c r="U38" s="100">
        <f t="shared" si="8"/>
        <v>0</v>
      </c>
      <c r="W38">
        <f>SUMIF(Answers[DrAccnt],'FS_All_Auto_Solution (2)'!T38,Answers[DrAmt])</f>
        <v>0</v>
      </c>
      <c r="X38">
        <f>SUMIF(Answers[CrAccnt],'FS_All_Auto_Solution (2)'!T38,Answers[CrAmt])</f>
        <v>0</v>
      </c>
      <c r="Z38" s="110"/>
      <c r="AA38" s="31"/>
      <c r="AB38" s="31"/>
      <c r="AC38" s="31"/>
      <c r="AD38" s="31"/>
      <c r="AE38" s="31"/>
      <c r="AG38" s="111"/>
      <c r="AH38" s="112"/>
      <c r="AI38" s="112"/>
      <c r="AJ38" s="112"/>
      <c r="AK38" s="112"/>
      <c r="AL38" s="112"/>
      <c r="AN38" s="114"/>
      <c r="AO38" s="115"/>
      <c r="AP38" s="115"/>
      <c r="AQ38" s="115"/>
      <c r="AR38" s="115"/>
      <c r="AS38" s="115"/>
      <c r="AU38" s="129"/>
      <c r="AV38" s="140"/>
      <c r="AW38" s="140"/>
      <c r="AX38" s="141"/>
      <c r="AY38" s="142"/>
      <c r="AZ38" s="143"/>
      <c r="BA38" s="141"/>
      <c r="BB38" s="127"/>
      <c r="BC38" s="102"/>
      <c r="BD38" s="140"/>
      <c r="BE38" s="85"/>
      <c r="BF38" s="42"/>
      <c r="BG38" s="42"/>
      <c r="BH38" s="42"/>
      <c r="BI38" s="42"/>
    </row>
    <row r="39" spans="2:61" x14ac:dyDescent="0.2">
      <c r="B39" s="17" t="str">
        <v>Deferred Tax Liabilities</v>
      </c>
      <c r="C39" s="100">
        <f>IF(ISBLANK(B39),"",_xlfn.XLOOKUP(B39,BegBalSht[Account],BegBalSht[Amount]))</f>
        <v>0</v>
      </c>
      <c r="E39" s="103" t="s">
        <v>580</v>
      </c>
      <c r="F39" s="103">
        <f>SUMIF(Answers[AccntType],"_Revenue",Answers[CrAmt])-SUMIF(Answers[AccntType],"_Revenue",Answers[DrAmt])</f>
        <v>0</v>
      </c>
      <c r="Q39" s="17" t="s">
        <v>489</v>
      </c>
      <c r="R39" s="102" cm="1">
        <f t="array" ref="R39">IFERROR(_xlfn.XLOOKUP("Cash",AJ3:AJ8,-AL3:AL8),0)</f>
        <v>0</v>
      </c>
      <c r="T39" s="17" t="str">
        <f t="shared" si="7"/>
        <v>Deferred Tax Liabilities</v>
      </c>
      <c r="U39" s="100">
        <f t="shared" si="8"/>
        <v>0</v>
      </c>
      <c r="W39">
        <f>SUMIF(Answers[DrAccnt],'FS_All_Auto_Solution (2)'!T39,Answers[DrAmt])</f>
        <v>0</v>
      </c>
      <c r="X39">
        <f>SUMIF(Answers[CrAccnt],'FS_All_Auto_Solution (2)'!T39,Answers[CrAmt])</f>
        <v>0</v>
      </c>
      <c r="Z39" s="110"/>
      <c r="AA39" s="31"/>
      <c r="AB39" s="31"/>
      <c r="AC39" s="31"/>
      <c r="AD39" s="31"/>
      <c r="AE39" s="31"/>
      <c r="AG39" s="111"/>
      <c r="AH39" s="112"/>
      <c r="AI39" s="112"/>
      <c r="AJ39" s="112"/>
      <c r="AK39" s="112"/>
      <c r="AL39" s="112"/>
      <c r="AN39" s="114"/>
      <c r="AO39" s="115"/>
      <c r="AP39" s="115"/>
      <c r="AQ39" s="115"/>
      <c r="AR39" s="115"/>
      <c r="AS39" s="115"/>
      <c r="AU39" s="130" t="str">
        <f>_xlfn.XLOOKUP(11,AssetsMaster[Num],AssetsMaster[Name])</f>
        <v>Intangibles</v>
      </c>
      <c r="AV39" s="140">
        <f>IFERROR(_xlfn.XLOOKUP(AU39,BegBalSht[Account],BegBalSht[Amount]),0)</f>
        <v>0</v>
      </c>
      <c r="AW39" s="140"/>
      <c r="AX39" s="141" t="s">
        <v>128</v>
      </c>
      <c r="AY39" s="142">
        <f>IFERROR(_xlfn.XLOOKUP(AU39,$AI$51:$AI$64,$AK$51:$AK$64),0)</f>
        <v>0</v>
      </c>
      <c r="AZ39" s="143">
        <f ca="1">IFERROR(_xlfn.XLOOKUP(AU39,$AJ$67:$AJ$80,$AL$67:$AL$80),0)</f>
        <v>0</v>
      </c>
      <c r="BA39" s="141" t="s">
        <v>94</v>
      </c>
      <c r="BB39" s="127">
        <f>AV39+BG39-BH39</f>
        <v>0</v>
      </c>
      <c r="BC39" s="102"/>
      <c r="BD39" s="145">
        <f ca="1">MAX(BB39-AV39-SUM(AY39:AY42)+SUM(AZ39:AZ42),0)</f>
        <v>0</v>
      </c>
      <c r="BE39" s="146">
        <f ca="1">-MIN(BB39-AV39-SUM(AY39:AY42)+SUM(AZ39:AZ42),0)</f>
        <v>0</v>
      </c>
      <c r="BF39" s="42"/>
      <c r="BG39" s="42">
        <f>SUMIF(Answers[DrAccnt],AU39,Answers[DrAmt])</f>
        <v>0</v>
      </c>
      <c r="BH39" s="42">
        <f>SUMIF(Answers[CrAccnt],AU39,Answers[CrAmt])</f>
        <v>0</v>
      </c>
      <c r="BI39" s="42"/>
    </row>
    <row r="40" spans="2:61" x14ac:dyDescent="0.2">
      <c r="B40" s="17" t="str">
        <v>Unearned Revenue</v>
      </c>
      <c r="C40" s="100">
        <f>IF(ISBLANK(B40),"",_xlfn.XLOOKUP(B40,BegBalSht[Account],BegBalSht[Amount]))</f>
        <v>0</v>
      </c>
      <c r="E40" s="103" t="s">
        <v>581</v>
      </c>
      <c r="F40" s="103">
        <f>SUMIF(Answers[AccntType],"_Expense",Answers[DrAmt])-SUMIF(Answers[AccntType],"_Expense",Answers[CrAmt])</f>
        <v>0</v>
      </c>
      <c r="Q40" s="17" t="s">
        <v>490</v>
      </c>
      <c r="R40" s="102" cm="1">
        <f t="array" ref="R40">IFERROR(_xlfn.XLOOKUP("Cash",AJ35:AJ40,-AL35:AL40),0)</f>
        <v>0</v>
      </c>
      <c r="T40" s="17" t="str">
        <f t="shared" si="7"/>
        <v>Unearned Revenue</v>
      </c>
      <c r="U40" s="100">
        <f t="shared" si="8"/>
        <v>0</v>
      </c>
      <c r="W40">
        <f>SUMIF(Answers[DrAccnt],'FS_All_Auto_Solution (2)'!T40,Answers[DrAmt])</f>
        <v>0</v>
      </c>
      <c r="X40">
        <f>SUMIF(Answers[CrAccnt],'FS_All_Auto_Solution (2)'!T40,Answers[CrAmt])</f>
        <v>0</v>
      </c>
      <c r="Z40" s="110"/>
      <c r="AA40" s="31"/>
      <c r="AB40" s="31"/>
      <c r="AC40" s="31"/>
      <c r="AD40" s="31"/>
      <c r="AE40" s="31"/>
      <c r="AG40" s="111"/>
      <c r="AH40" s="112"/>
      <c r="AI40" s="112"/>
      <c r="AJ40" s="112"/>
      <c r="AK40" s="112"/>
      <c r="AL40" s="112"/>
      <c r="AN40" s="114"/>
      <c r="AO40" s="115"/>
      <c r="AP40" s="115"/>
      <c r="AQ40" s="115"/>
      <c r="AR40" s="115"/>
      <c r="AS40" s="115"/>
      <c r="AU40" s="129"/>
      <c r="AV40" s="140"/>
      <c r="AW40" s="140"/>
      <c r="AX40" s="141"/>
      <c r="AY40" s="142"/>
      <c r="AZ40" s="143"/>
      <c r="BA40" s="141"/>
      <c r="BB40" s="127"/>
      <c r="BC40" s="102"/>
      <c r="BD40" s="140"/>
      <c r="BE40" s="85"/>
      <c r="BF40" s="42"/>
      <c r="BG40" s="42"/>
      <c r="BH40" s="42"/>
      <c r="BI40" s="42"/>
    </row>
    <row r="41" spans="2:61" x14ac:dyDescent="0.2">
      <c r="B41" s="17" t="str">
        <v>Salaries &amp; Wages Payable</v>
      </c>
      <c r="C41" s="100">
        <f>IF(ISBLANK(B41),"",_xlfn.XLOOKUP(B41,BegBalSht[Account],BegBalSht[Amount]))</f>
        <v>0</v>
      </c>
      <c r="E41" s="103" t="s">
        <v>582</v>
      </c>
      <c r="F41" s="103">
        <f>SUMIF(Answers[AccntType],"_Gain",Answers[CrAmt])-SUMIF(Answers[AccntType],"_Gain",Answers[DrAmt])</f>
        <v>5</v>
      </c>
      <c r="Q41" s="17" t="s">
        <v>491</v>
      </c>
      <c r="R41" s="102" cm="1">
        <f t="array" ref="R41">IFERROR(_xlfn.XLOOKUP("Cash",AJ83:AJ88,-AL83:AL88),0)</f>
        <v>0</v>
      </c>
      <c r="T41" s="17" t="str">
        <f t="shared" si="7"/>
        <v>Salaries &amp; Wages Payable</v>
      </c>
      <c r="U41" s="100">
        <f t="shared" si="8"/>
        <v>0</v>
      </c>
      <c r="W41">
        <f>SUMIF(Answers[DrAccnt],'FS_All_Auto_Solution (2)'!T41,Answers[DrAmt])</f>
        <v>0</v>
      </c>
      <c r="X41">
        <f>SUMIF(Answers[CrAccnt],'FS_All_Auto_Solution (2)'!T41,Answers[CrAmt])</f>
        <v>0</v>
      </c>
      <c r="AU41" s="129"/>
      <c r="AV41" s="140"/>
      <c r="AW41" s="140"/>
      <c r="AX41" s="141"/>
      <c r="AY41" s="142"/>
      <c r="AZ41" s="143"/>
      <c r="BA41" s="141"/>
      <c r="BB41" s="127"/>
      <c r="BC41" s="102"/>
      <c r="BD41" s="140"/>
      <c r="BE41" s="85"/>
      <c r="BF41" s="42"/>
      <c r="BG41" s="42"/>
      <c r="BH41" s="42"/>
      <c r="BI41" s="42"/>
    </row>
    <row r="42" spans="2:61" x14ac:dyDescent="0.2">
      <c r="B42" s="17"/>
      <c r="C42" s="100" t="str">
        <f>IF(ISBLANK(B42),"",_xlfn.XLOOKUP(B42,BegBalSht[Account],BegBalSht[Amount]))</f>
        <v/>
      </c>
      <c r="E42" s="103" t="s">
        <v>583</v>
      </c>
      <c r="F42" s="103">
        <f>SUMIF(Answers[AccntType],"_Loss",Answers[DrAmt])-SUMIF(Answers[AccntType],"_Loss",Answers[CrAmt])</f>
        <v>0</v>
      </c>
      <c r="Q42" s="75" t="s">
        <v>423</v>
      </c>
      <c r="R42" s="47">
        <f ca="1">SUBTOTAL(9,R32:R41)</f>
        <v>0</v>
      </c>
      <c r="T42" s="17" t="str">
        <f t="shared" si="7"/>
        <v/>
      </c>
      <c r="U42" s="100">
        <f t="shared" si="8"/>
        <v>0</v>
      </c>
      <c r="W42">
        <f>SUMIF(Answers[DrAccnt],'FS_All_Auto_Solution (2)'!T42,Answers[DrAmt])</f>
        <v>0</v>
      </c>
      <c r="X42">
        <f>SUMIF(Answers[CrAccnt],'FS_All_Auto_Solution (2)'!T42,Answers[CrAmt])</f>
        <v>0</v>
      </c>
      <c r="Z42" s="5"/>
      <c r="AA42" s="5"/>
      <c r="AC42" s="4"/>
      <c r="AG42" s="5" t="s">
        <v>127</v>
      </c>
      <c r="AJ42" s="4" t="s">
        <v>126</v>
      </c>
      <c r="AN42" s="5" t="s">
        <v>465</v>
      </c>
      <c r="AO42" s="5"/>
      <c r="AQ42" s="4" t="s">
        <v>149</v>
      </c>
      <c r="AU42" s="129"/>
      <c r="AV42" s="140"/>
      <c r="AW42" s="140"/>
      <c r="AX42" s="141"/>
      <c r="AY42" s="142"/>
      <c r="AZ42" s="143"/>
      <c r="BA42" s="141"/>
      <c r="BB42" s="127"/>
      <c r="BC42" s="102"/>
      <c r="BD42" s="140"/>
      <c r="BE42" s="85"/>
      <c r="BF42" s="42"/>
      <c r="BG42" s="42"/>
      <c r="BH42" s="42"/>
      <c r="BI42" s="42"/>
    </row>
    <row r="43" spans="2:61" x14ac:dyDescent="0.2">
      <c r="B43" s="91"/>
      <c r="C43" s="101" t="str">
        <f>IF(ISBLANK(B43),"",_xlfn.XLOOKUP(B43,BegBalSht[Account],BegBalSht[Amount]))</f>
        <v/>
      </c>
      <c r="E43" s="103" t="s">
        <v>584</v>
      </c>
      <c r="F43" s="103" t="b">
        <f>IF(ROUND(SUM(F39:F42),2)=0,TRUE,FALSE)</f>
        <v>0</v>
      </c>
      <c r="Q43" s="17"/>
      <c r="R43" s="18"/>
      <c r="T43" s="91" t="str">
        <f t="shared" si="7"/>
        <v/>
      </c>
      <c r="U43" s="101">
        <f t="shared" si="8"/>
        <v>0</v>
      </c>
      <c r="W43">
        <f>SUMIF(Answers[DrAccnt],'FS_All_Auto_Solution (2)'!T43,Answers[DrAmt])</f>
        <v>0</v>
      </c>
      <c r="X43">
        <f>SUMIF(Answers[CrAccnt],'FS_All_Auto_Solution (2)'!T43,Answers[CrAmt])</f>
        <v>0</v>
      </c>
      <c r="Z43" s="110"/>
      <c r="AA43" s="31"/>
      <c r="AB43" s="31"/>
      <c r="AC43" s="31"/>
      <c r="AD43" s="31"/>
      <c r="AE43" s="31"/>
      <c r="AG43" s="111" t="e" cm="1">
        <f t="array" aca="1" ref="AG43" ca="1">_xlfn._xlws.FILTER(Answers[ref]:Answers[CrAmt],Answers[ref2]=AJ42,"")</f>
        <v>#NAME?</v>
      </c>
      <c r="AH43" s="112"/>
      <c r="AI43" s="112"/>
      <c r="AJ43" s="112"/>
      <c r="AK43" s="112"/>
      <c r="AL43" s="112"/>
      <c r="AN43" s="114" t="e" cm="1">
        <f t="array" aca="1" ref="AN43" ca="1">_xlfn._xlws.FILTER(Answers[ref]:Answers[CrAmt],Answers[ref2]=AQ42,"")</f>
        <v>#NAME?</v>
      </c>
      <c r="AO43" s="115"/>
      <c r="AP43" s="115"/>
      <c r="AQ43" s="115"/>
      <c r="AR43" s="115"/>
      <c r="AS43" s="115"/>
      <c r="AU43" s="130" t="e">
        <f ca="1">_xlfn.XLOOKUP(12,AssetsMaster[Num],AssetsMaster[Name])</f>
        <v>#NAME?</v>
      </c>
      <c r="AV43" s="140">
        <f ca="1">IFERROR(_xlfn.XLOOKUP(AU43,BegBalSht[Account],BegBalSht[Amount]),0)</f>
        <v>0</v>
      </c>
      <c r="AW43" s="140"/>
      <c r="AX43" s="141" t="s">
        <v>128</v>
      </c>
      <c r="AY43" s="142">
        <f ca="1">IFERROR(_xlfn.XLOOKUP(AU43,$AI$51:$AI$64,$AK$51:$AK$64),0)</f>
        <v>0</v>
      </c>
      <c r="AZ43" s="143">
        <f ca="1">IFERROR(_xlfn.XLOOKUP(AU43,$AJ$67:$AJ$80,$AL$67:$AL$80),0)</f>
        <v>0</v>
      </c>
      <c r="BA43" s="141" t="s">
        <v>94</v>
      </c>
      <c r="BB43" s="127">
        <f ca="1">AV43+BG43-BH43</f>
        <v>0</v>
      </c>
      <c r="BC43" s="102"/>
      <c r="BD43" s="145">
        <f ca="1">MAX(BB43-AV43-SUM(AY43:AY46)+SUM(AZ43:AZ46),0)</f>
        <v>0</v>
      </c>
      <c r="BE43" s="146">
        <f ca="1">-MIN(BB43-AV43-SUM(AY43:AY46)+SUM(AZ43:AZ46),0)</f>
        <v>0</v>
      </c>
      <c r="BF43" s="42"/>
      <c r="BG43" s="42">
        <f ca="1">SUMIF(Answers[DrAccnt],AU43,Answers[DrAmt])</f>
        <v>0</v>
      </c>
      <c r="BH43" s="42">
        <f ca="1">SUMIF(Answers[CrAccnt],AU43,Answers[CrAmt])</f>
        <v>0</v>
      </c>
      <c r="BI43" s="42"/>
    </row>
    <row r="44" spans="2:61" x14ac:dyDescent="0.2">
      <c r="B44" s="54" t="s">
        <v>434</v>
      </c>
      <c r="C44" s="51">
        <f>SUBTOTAL(9,C34:C43)</f>
        <v>0</v>
      </c>
      <c r="Q44" s="190" t="s">
        <v>424</v>
      </c>
      <c r="R44" s="20"/>
      <c r="T44" s="54" t="s">
        <v>434</v>
      </c>
      <c r="U44" s="51">
        <f>SUBTOTAL(9,U34:U43)</f>
        <v>-20</v>
      </c>
      <c r="Z44" s="110"/>
      <c r="AA44" s="31"/>
      <c r="AB44" s="31"/>
      <c r="AC44" s="31"/>
      <c r="AD44" s="31"/>
      <c r="AE44" s="31"/>
      <c r="AG44" s="111"/>
      <c r="AH44" s="112"/>
      <c r="AI44" s="112"/>
      <c r="AJ44" s="112"/>
      <c r="AK44" s="112"/>
      <c r="AL44" s="112"/>
      <c r="AN44" s="114"/>
      <c r="AO44" s="115"/>
      <c r="AP44" s="115"/>
      <c r="AQ44" s="115"/>
      <c r="AR44" s="115"/>
      <c r="AS44" s="115"/>
      <c r="AU44" s="129"/>
      <c r="AV44" s="140"/>
      <c r="AW44" s="140"/>
      <c r="AX44" s="141"/>
      <c r="AY44" s="142"/>
      <c r="AZ44" s="143"/>
      <c r="BA44" s="141"/>
      <c r="BB44" s="127"/>
      <c r="BC44" s="102"/>
      <c r="BD44" s="140"/>
      <c r="BE44" s="85"/>
      <c r="BF44" s="42"/>
      <c r="BG44" s="42"/>
      <c r="BH44" s="42"/>
      <c r="BI44" s="42"/>
    </row>
    <row r="45" spans="2:61" x14ac:dyDescent="0.2">
      <c r="B45" s="55" t="s">
        <v>435</v>
      </c>
      <c r="C45" s="18"/>
      <c r="Q45" s="17" t="s">
        <v>454</v>
      </c>
      <c r="R45" s="82">
        <f>IFERROR(_xlfn.XLOOKUP("Cash",AB3:AB8,AD3:AD8),0)</f>
        <v>0</v>
      </c>
      <c r="T45" s="55" t="s">
        <v>435</v>
      </c>
      <c r="U45" s="18"/>
      <c r="Z45" s="110"/>
      <c r="AA45" s="31"/>
      <c r="AB45" s="31"/>
      <c r="AC45" s="31"/>
      <c r="AD45" s="31"/>
      <c r="AE45" s="31"/>
      <c r="AG45" s="111"/>
      <c r="AH45" s="112"/>
      <c r="AI45" s="112"/>
      <c r="AJ45" s="112"/>
      <c r="AK45" s="112"/>
      <c r="AL45" s="112"/>
      <c r="AN45" s="114"/>
      <c r="AO45" s="115"/>
      <c r="AP45" s="115"/>
      <c r="AQ45" s="115"/>
      <c r="AR45" s="115"/>
      <c r="AS45" s="115"/>
      <c r="AU45" s="129"/>
      <c r="AV45" s="140"/>
      <c r="AW45" s="140"/>
      <c r="AX45" s="141"/>
      <c r="AY45" s="142"/>
      <c r="AZ45" s="143"/>
      <c r="BA45" s="141"/>
      <c r="BB45" s="127"/>
      <c r="BC45" s="102"/>
      <c r="BD45" s="140"/>
      <c r="BE45" s="85"/>
      <c r="BF45" s="42"/>
      <c r="BG45" s="42"/>
      <c r="BH45" s="42"/>
      <c r="BI45" s="42"/>
    </row>
    <row r="46" spans="2:61" x14ac:dyDescent="0.2">
      <c r="B46" s="17" t="str" cm="1">
        <f t="array" ref="B46:B49">_xlfn._xlws.FILTER(Liability[Name],Liability[C/NC]="NC")</f>
        <v>Bonds Payable</v>
      </c>
      <c r="C46" s="99">
        <f>IF(ISBLANK(B46),"",_xlfn.XLOOKUP(B46,BegBalSht[Account],BegBalSht[Amount]))</f>
        <v>0</v>
      </c>
      <c r="Q46" s="17" t="s">
        <v>451</v>
      </c>
      <c r="R46" s="62">
        <f>IFERROR(_xlfn.XLOOKUP("Cash",AB11:AB16,AD11:AD16),0)</f>
        <v>0</v>
      </c>
      <c r="T46" s="17" t="str">
        <f t="shared" ref="T46:T55" si="9">IF(ISBLANK(B46),"",B46)</f>
        <v>Bonds Payable</v>
      </c>
      <c r="U46" s="99">
        <f t="shared" ref="U46:U55" si="10">IFERROR(C46+X46-W46,0)</f>
        <v>0</v>
      </c>
      <c r="W46">
        <f>SUMIF(Answers[DrAccnt],'FS_All_Auto_Solution (2)'!T46,Answers[DrAmt])</f>
        <v>0</v>
      </c>
      <c r="X46">
        <f>SUMIF(Answers[CrAccnt],'FS_All_Auto_Solution (2)'!T46,Answers[CrAmt])</f>
        <v>0</v>
      </c>
      <c r="Z46" s="110"/>
      <c r="AA46" s="31"/>
      <c r="AB46" s="31"/>
      <c r="AC46" s="31"/>
      <c r="AD46" s="31"/>
      <c r="AE46" s="31"/>
      <c r="AG46" s="111"/>
      <c r="AH46" s="112"/>
      <c r="AI46" s="112"/>
      <c r="AJ46" s="112"/>
      <c r="AK46" s="112"/>
      <c r="AL46" s="112"/>
      <c r="AN46" s="114"/>
      <c r="AO46" s="115"/>
      <c r="AP46" s="115"/>
      <c r="AQ46" s="115"/>
      <c r="AR46" s="115"/>
      <c r="AS46" s="115"/>
      <c r="AU46" s="129"/>
      <c r="AV46" s="140"/>
      <c r="AW46" s="140"/>
      <c r="AX46" s="141"/>
      <c r="AY46" s="142"/>
      <c r="AZ46" s="143"/>
      <c r="BA46" s="141"/>
      <c r="BB46" s="127"/>
      <c r="BC46" s="102"/>
      <c r="BD46" s="140"/>
      <c r="BE46" s="85"/>
      <c r="BF46" s="42"/>
      <c r="BG46" s="42"/>
      <c r="BH46" s="42"/>
      <c r="BI46" s="42"/>
    </row>
    <row r="47" spans="2:61" x14ac:dyDescent="0.2">
      <c r="B47" s="17" t="str">
        <v>Notes Payable</v>
      </c>
      <c r="C47" s="100">
        <f>IF(ISBLANK(B47),"",_xlfn.XLOOKUP(B47,BegBalSht[Account],BegBalSht[Amount]))</f>
        <v>0</v>
      </c>
      <c r="Q47" s="17" t="s">
        <v>492</v>
      </c>
      <c r="R47" s="62">
        <f>IFERROR(_xlfn.XLOOKUP("Cash",AB19:AB24,AE19:AE24),0)</f>
        <v>0</v>
      </c>
      <c r="T47" s="17" t="str">
        <f t="shared" si="9"/>
        <v>Notes Payable</v>
      </c>
      <c r="U47" s="100">
        <f t="shared" si="10"/>
        <v>0</v>
      </c>
      <c r="W47">
        <f>SUMIF(Answers[DrAccnt],'FS_All_Auto_Solution (2)'!T47,Answers[DrAmt])</f>
        <v>0</v>
      </c>
      <c r="X47">
        <f>SUMIF(Answers[CrAccnt],'FS_All_Auto_Solution (2)'!T47,Answers[CrAmt])</f>
        <v>0</v>
      </c>
      <c r="Z47" s="110"/>
      <c r="AA47" s="31"/>
      <c r="AB47" s="31"/>
      <c r="AC47" s="31"/>
      <c r="AD47" s="31"/>
      <c r="AE47" s="31"/>
      <c r="AG47" s="111"/>
      <c r="AH47" s="112"/>
      <c r="AI47" s="112"/>
      <c r="AJ47" s="112"/>
      <c r="AK47" s="112"/>
      <c r="AL47" s="112"/>
      <c r="AN47" s="114"/>
      <c r="AO47" s="115"/>
      <c r="AP47" s="115"/>
      <c r="AQ47" s="115"/>
      <c r="AR47" s="115"/>
      <c r="AS47" s="115"/>
      <c r="AU47" s="130" t="str">
        <f>_xlfn.XLOOKUP(13,AssetsMaster[Num],AssetsMaster[Name])</f>
        <v>Other Noncurrent Assets</v>
      </c>
      <c r="AV47" s="140">
        <f>IFERROR(_xlfn.XLOOKUP(AU47,BegBalSht[Account],BegBalSht[Amount]),0)</f>
        <v>0</v>
      </c>
      <c r="AW47" s="140"/>
      <c r="AX47" s="141" t="s">
        <v>128</v>
      </c>
      <c r="AY47" s="142">
        <f>IFERROR(_xlfn.XLOOKUP(AU47,$AI$51:$AI$64,$AK$51:$AK$64),0)</f>
        <v>0</v>
      </c>
      <c r="AZ47" s="143">
        <f ca="1">IFERROR(_xlfn.XLOOKUP(AU47,$AJ$67:$AJ$80,$AL$67:$AL$80),0)</f>
        <v>0</v>
      </c>
      <c r="BA47" s="141" t="s">
        <v>94</v>
      </c>
      <c r="BB47" s="127">
        <f>AV47+BG47-BH47</f>
        <v>0</v>
      </c>
      <c r="BC47" s="102"/>
      <c r="BD47" s="145">
        <f ca="1">MAX(BB47-AV47-SUM(AY47:AY50)+SUM(AZ47:AZ50),0)</f>
        <v>0</v>
      </c>
      <c r="BE47" s="146">
        <f ca="1">-MIN(BB47-AV47-SUM(AY47:AY50)+SUM(AZ47:AZ50),0)</f>
        <v>0</v>
      </c>
      <c r="BF47" s="42"/>
      <c r="BG47" s="42">
        <f>SUMIF(Answers[DrAccnt],AU47,Answers[DrAmt])</f>
        <v>0</v>
      </c>
      <c r="BH47" s="42">
        <f>SUMIF(Answers[CrAccnt],AU47,Answers[CrAmt])</f>
        <v>0</v>
      </c>
      <c r="BI47" s="42"/>
    </row>
    <row r="48" spans="2:61" x14ac:dyDescent="0.2">
      <c r="B48" s="17" t="str">
        <v>Senior Debt</v>
      </c>
      <c r="C48" s="100">
        <f>IF(ISBLANK(B48),"",_xlfn.XLOOKUP(B48,BegBalSht[Account],BegBalSht[Amount]))</f>
        <v>0</v>
      </c>
      <c r="Q48" s="17" t="s">
        <v>493</v>
      </c>
      <c r="R48" s="62">
        <f>IFERROR(_xlfn.XLOOKUP("Cash",AB27:AB32,AD27:AD32),0)</f>
        <v>0</v>
      </c>
      <c r="T48" s="17" t="str">
        <f t="shared" si="9"/>
        <v>Senior Debt</v>
      </c>
      <c r="U48" s="100">
        <f t="shared" si="10"/>
        <v>0</v>
      </c>
      <c r="W48">
        <f>SUMIF(Answers[DrAccnt],'FS_All_Auto_Solution (2)'!T48,Answers[DrAmt])</f>
        <v>0</v>
      </c>
      <c r="X48">
        <f>SUMIF(Answers[CrAccnt],'FS_All_Auto_Solution (2)'!T48,Answers[CrAmt])</f>
        <v>0</v>
      </c>
      <c r="Z48" s="110"/>
      <c r="AA48" s="31"/>
      <c r="AB48" s="31"/>
      <c r="AC48" s="31"/>
      <c r="AD48" s="31"/>
      <c r="AE48" s="31"/>
      <c r="AG48" s="111"/>
      <c r="AH48" s="112"/>
      <c r="AI48" s="112"/>
      <c r="AJ48" s="112"/>
      <c r="AK48" s="112"/>
      <c r="AL48" s="112"/>
      <c r="AN48" s="114"/>
      <c r="AO48" s="115"/>
      <c r="AP48" s="115"/>
      <c r="AQ48" s="115"/>
      <c r="AR48" s="115"/>
      <c r="AS48" s="115"/>
      <c r="AU48" s="129"/>
      <c r="AV48" s="140"/>
      <c r="AW48" s="140"/>
      <c r="AX48" s="141"/>
      <c r="AY48" s="142"/>
      <c r="AZ48" s="143"/>
      <c r="BA48" s="141"/>
      <c r="BB48" s="127"/>
      <c r="BC48" s="102"/>
      <c r="BD48" s="140"/>
      <c r="BE48" s="85"/>
      <c r="BF48" s="42"/>
      <c r="BG48" s="42"/>
      <c r="BH48" s="42"/>
      <c r="BI48" s="42"/>
    </row>
    <row r="49" spans="1:61" x14ac:dyDescent="0.2">
      <c r="B49" s="17" t="str">
        <v>Subordinated Debt</v>
      </c>
      <c r="C49" s="100">
        <f>IF(ISBLANK(B49),"",_xlfn.XLOOKUP(B49,BegBalSht[Account],BegBalSht[Amount]))</f>
        <v>0</v>
      </c>
      <c r="Q49" s="17" t="s">
        <v>494</v>
      </c>
      <c r="R49" s="62">
        <f>IFERROR(_xlfn.XLOOKUP("Cash",AB35:AB40,AD35:AD40),0)</f>
        <v>0</v>
      </c>
      <c r="T49" s="17" t="str">
        <f t="shared" si="9"/>
        <v>Subordinated Debt</v>
      </c>
      <c r="U49" s="100">
        <f t="shared" si="10"/>
        <v>0</v>
      </c>
      <c r="W49">
        <f>SUMIF(Answers[DrAccnt],'FS_All_Auto_Solution (2)'!T49,Answers[DrAmt])</f>
        <v>0</v>
      </c>
      <c r="X49">
        <f>SUMIF(Answers[CrAccnt],'FS_All_Auto_Solution (2)'!T49,Answers[CrAmt])</f>
        <v>0</v>
      </c>
      <c r="AU49" s="129"/>
      <c r="AV49" s="140"/>
      <c r="AW49" s="140"/>
      <c r="AX49" s="141"/>
      <c r="AY49" s="142"/>
      <c r="AZ49" s="143"/>
      <c r="BA49" s="141"/>
      <c r="BB49" s="127"/>
      <c r="BC49" s="102"/>
      <c r="BD49" s="140"/>
      <c r="BE49" s="85"/>
      <c r="BF49" s="42"/>
      <c r="BG49" s="42"/>
      <c r="BH49" s="42"/>
      <c r="BI49" s="42"/>
    </row>
    <row r="50" spans="1:61" x14ac:dyDescent="0.2">
      <c r="B50" s="17"/>
      <c r="C50" s="100" t="str">
        <f>IF(ISBLANK(B50),"",_xlfn.XLOOKUP(B50,BegBalSht[Account],BegBalSht[Amount]))</f>
        <v/>
      </c>
      <c r="Q50" s="17" t="s">
        <v>495</v>
      </c>
      <c r="R50" s="62">
        <f>IFERROR(_xlfn.XLOOKUP("Cash",AB75:AB80,AD75:AD80),0)</f>
        <v>0</v>
      </c>
      <c r="T50" s="17" t="str">
        <f t="shared" si="9"/>
        <v/>
      </c>
      <c r="U50" s="100">
        <f t="shared" si="10"/>
        <v>0</v>
      </c>
      <c r="W50">
        <f>SUMIF(Answers[DrAccnt],'FS_All_Auto_Solution (2)'!T50,Answers[DrAmt])</f>
        <v>0</v>
      </c>
      <c r="X50">
        <f>SUMIF(Answers[CrAccnt],'FS_All_Auto_Solution (2)'!T50,Answers[CrAmt])</f>
        <v>0</v>
      </c>
      <c r="Z50" s="5" t="s">
        <v>466</v>
      </c>
      <c r="AC50" s="4" t="s">
        <v>108</v>
      </c>
      <c r="AG50" s="5" t="s">
        <v>499</v>
      </c>
      <c r="AJ50" s="4" t="s">
        <v>128</v>
      </c>
      <c r="AN50" s="5" t="s">
        <v>467</v>
      </c>
      <c r="AO50" s="5"/>
      <c r="AQ50" s="4" t="s">
        <v>151</v>
      </c>
      <c r="AU50" s="129"/>
      <c r="AV50" s="140"/>
      <c r="AW50" s="140"/>
      <c r="AX50" s="141"/>
      <c r="AY50" s="142"/>
      <c r="AZ50" s="143"/>
      <c r="BA50" s="141"/>
      <c r="BB50" s="127"/>
      <c r="BC50" s="102"/>
      <c r="BD50" s="140"/>
      <c r="BE50" s="85"/>
      <c r="BF50" s="42"/>
      <c r="BG50" s="42"/>
      <c r="BH50" s="42"/>
      <c r="BI50" s="42"/>
    </row>
    <row r="51" spans="1:61" x14ac:dyDescent="0.2">
      <c r="B51" s="17"/>
      <c r="C51" s="100" t="str">
        <f>IF(ISBLANK(B51),"",_xlfn.XLOOKUP(B51,BegBalSht[Account],BegBalSht[Amount]))</f>
        <v/>
      </c>
      <c r="Q51" s="17" t="s">
        <v>496</v>
      </c>
      <c r="R51" s="62" cm="1">
        <f t="array" ref="R51">IFERROR(_xlfn.XLOOKUP("Cash",AC51:AC56,-AE51:AE56),0)</f>
        <v>0</v>
      </c>
      <c r="T51" s="17" t="str">
        <f t="shared" si="9"/>
        <v/>
      </c>
      <c r="U51" s="100">
        <f t="shared" si="10"/>
        <v>0</v>
      </c>
      <c r="W51">
        <f>SUMIF(Answers[DrAccnt],'FS_All_Auto_Solution (2)'!T51,Answers[DrAmt])</f>
        <v>0</v>
      </c>
      <c r="X51">
        <f>SUMIF(Answers[CrAccnt],'FS_All_Auto_Solution (2)'!T51,Answers[CrAmt])</f>
        <v>0</v>
      </c>
      <c r="Z51" s="110" t="e" cm="1">
        <f t="array" aca="1" ref="Z51" ca="1">_xlfn._xlws.FILTER(Answers[ref]:Answers[CrAmt],Answers[ref2]=AC50,"")</f>
        <v>#NAME?</v>
      </c>
      <c r="AA51" s="31"/>
      <c r="AB51" s="31"/>
      <c r="AC51" s="31"/>
      <c r="AD51" s="31"/>
      <c r="AE51" s="31"/>
      <c r="AG51" s="111" t="e" cm="1">
        <f t="array" aca="1" ref="AG51" ca="1">_xlfn._xlws.FILTER(Answers[ref]:Answers[CrAmt],Answers[ref2]=AJ50,"")</f>
        <v>#NAME?</v>
      </c>
      <c r="AH51" s="112"/>
      <c r="AI51" s="112"/>
      <c r="AJ51" s="112"/>
      <c r="AK51" s="112"/>
      <c r="AL51" s="112"/>
      <c r="AN51" s="114" t="e" cm="1">
        <f t="array" aca="1" ref="AN51" ca="1">_xlfn._xlws.FILTER(Answers[ref]:Answers[CrAmt],Answers[ref2]=AQ50,"")</f>
        <v>#NAME?</v>
      </c>
      <c r="AO51" s="115"/>
      <c r="AP51" s="115"/>
      <c r="AQ51" s="115"/>
      <c r="AR51" s="115"/>
      <c r="AS51" s="115"/>
      <c r="AU51" s="130" t="e">
        <f ca="1">_xlfn.XLOOKUP(14,AssetsMaster[Num],AssetsMaster[Name])</f>
        <v>#NAME?</v>
      </c>
      <c r="AV51" s="140">
        <f ca="1">IFERROR(_xlfn.XLOOKUP(AU51,BegBalSht[Account],BegBalSht[Amount]),0)</f>
        <v>0</v>
      </c>
      <c r="AW51" s="140"/>
      <c r="AX51" s="141" t="s">
        <v>128</v>
      </c>
      <c r="AY51" s="142">
        <f ca="1">IFERROR(_xlfn.XLOOKUP(AU51,$AI$51:$AI$64,$AK$51:$AK$64),0)</f>
        <v>0</v>
      </c>
      <c r="AZ51" s="143">
        <f ca="1">IFERROR(_xlfn.XLOOKUP(AU51,$AJ$67:$AJ$80,$AL$67:$AL$80),0)</f>
        <v>0</v>
      </c>
      <c r="BA51" s="141" t="s">
        <v>94</v>
      </c>
      <c r="BB51" s="127">
        <f ca="1">AV51+BG51-BH51</f>
        <v>0</v>
      </c>
      <c r="BC51" s="102"/>
      <c r="BD51" s="145">
        <f ca="1">MAX(BB51-AV51-SUM(AY51:AY54)+SUM(AZ51:AZ54),0)</f>
        <v>0</v>
      </c>
      <c r="BE51" s="146">
        <f ca="1">-MIN(BB51-AV51-SUM(AY51:AY54)+SUM(AZ51:AZ54),0)</f>
        <v>0</v>
      </c>
      <c r="BF51" s="42"/>
      <c r="BG51" s="42">
        <f ca="1">SUMIF(Answers[DrAccnt],AU51,Answers[DrAmt])</f>
        <v>0</v>
      </c>
      <c r="BH51" s="42">
        <f ca="1">SUMIF(Answers[CrAccnt],AU51,Answers[CrAmt])</f>
        <v>0</v>
      </c>
      <c r="BI51" s="42"/>
    </row>
    <row r="52" spans="1:61" x14ac:dyDescent="0.2">
      <c r="B52" s="17"/>
      <c r="C52" s="100" t="str">
        <f>IF(ISBLANK(B52),"",_xlfn.XLOOKUP(B52,BegBalSht[Account],BegBalSht[Amount]))</f>
        <v/>
      </c>
      <c r="Q52" s="17" t="s">
        <v>497</v>
      </c>
      <c r="R52" s="62" cm="1">
        <f t="array" ref="R52">IFERROR(_xlfn.XLOOKUP("Cash",AC59:AC64,-AE59:AE64),0)</f>
        <v>0</v>
      </c>
      <c r="T52" s="17" t="str">
        <f t="shared" si="9"/>
        <v/>
      </c>
      <c r="U52" s="100">
        <f t="shared" si="10"/>
        <v>0</v>
      </c>
      <c r="W52">
        <f>SUMIF(Answers[DrAccnt],'FS_All_Auto_Solution (2)'!T52,Answers[DrAmt])</f>
        <v>0</v>
      </c>
      <c r="X52">
        <f>SUMIF(Answers[CrAccnt],'FS_All_Auto_Solution (2)'!T52,Answers[CrAmt])</f>
        <v>0</v>
      </c>
      <c r="Z52" s="110"/>
      <c r="AA52" s="31"/>
      <c r="AB52" s="31"/>
      <c r="AC52" s="31"/>
      <c r="AD52" s="31"/>
      <c r="AE52" s="31"/>
      <c r="AG52" s="111"/>
      <c r="AH52" s="112"/>
      <c r="AI52" s="112"/>
      <c r="AJ52" s="112"/>
      <c r="AK52" s="112"/>
      <c r="AL52" s="112"/>
      <c r="AN52" s="114"/>
      <c r="AO52" s="115"/>
      <c r="AP52" s="115"/>
      <c r="AQ52" s="115"/>
      <c r="AR52" s="115"/>
      <c r="AS52" s="115"/>
      <c r="AU52" s="129"/>
      <c r="AV52" s="140"/>
      <c r="AW52" s="140"/>
      <c r="AX52" s="141"/>
      <c r="AY52" s="142"/>
      <c r="AZ52" s="143"/>
      <c r="BA52" s="141"/>
      <c r="BB52" s="127"/>
      <c r="BC52" s="102"/>
      <c r="BD52" s="140"/>
      <c r="BE52" s="85"/>
      <c r="BF52" s="42"/>
      <c r="BG52" s="42"/>
      <c r="BH52" s="42"/>
      <c r="BI52" s="42"/>
    </row>
    <row r="53" spans="1:61" x14ac:dyDescent="0.2">
      <c r="B53" s="17"/>
      <c r="C53" s="100" t="str">
        <f>IF(ISBLANK(B53),"",_xlfn.XLOOKUP(B53,BegBalSht[Account],BegBalSht[Amount]))</f>
        <v/>
      </c>
      <c r="Q53" s="17" t="s">
        <v>457</v>
      </c>
      <c r="R53" s="62" cm="1">
        <f t="array" ref="R53">IFERROR(_xlfn.XLOOKUP("Cash",AC67:AC72,-AE67:AE72),0)</f>
        <v>0</v>
      </c>
      <c r="T53" s="17" t="str">
        <f t="shared" si="9"/>
        <v/>
      </c>
      <c r="U53" s="100">
        <f t="shared" si="10"/>
        <v>0</v>
      </c>
      <c r="W53">
        <f>SUMIF(Answers[DrAccnt],'FS_All_Auto_Solution (2)'!T53,Answers[DrAmt])</f>
        <v>0</v>
      </c>
      <c r="X53">
        <f>SUMIF(Answers[CrAccnt],'FS_All_Auto_Solution (2)'!T53,Answers[CrAmt])</f>
        <v>0</v>
      </c>
      <c r="Z53" s="110"/>
      <c r="AA53" s="31"/>
      <c r="AB53" s="31"/>
      <c r="AC53" s="31"/>
      <c r="AD53" s="31"/>
      <c r="AE53" s="31"/>
      <c r="AG53" s="111"/>
      <c r="AH53" s="112"/>
      <c r="AI53" s="112"/>
      <c r="AJ53" s="112"/>
      <c r="AK53" s="112"/>
      <c r="AL53" s="112"/>
      <c r="AN53" s="114"/>
      <c r="AO53" s="115"/>
      <c r="AP53" s="115"/>
      <c r="AQ53" s="115"/>
      <c r="AR53" s="115"/>
      <c r="AS53" s="115"/>
      <c r="AU53" s="129"/>
      <c r="AV53" s="140"/>
      <c r="AW53" s="140"/>
      <c r="AX53" s="141"/>
      <c r="AY53" s="142"/>
      <c r="AZ53" s="143"/>
      <c r="BA53" s="141"/>
      <c r="BB53" s="127"/>
      <c r="BC53" s="102"/>
      <c r="BD53" s="140"/>
      <c r="BE53" s="85"/>
      <c r="BF53" s="42"/>
      <c r="BG53" s="42"/>
      <c r="BH53" s="42"/>
      <c r="BI53" s="42"/>
    </row>
    <row r="54" spans="1:61" x14ac:dyDescent="0.2">
      <c r="B54" s="17"/>
      <c r="C54" s="100" t="str">
        <f>IF(ISBLANK(B54),"",_xlfn.XLOOKUP(B54,BegBalSht[Account],BegBalSht[Amount]))</f>
        <v/>
      </c>
      <c r="Q54" s="75" t="s">
        <v>431</v>
      </c>
      <c r="R54" s="47">
        <f>SUBTOTAL(9,R45:R53)</f>
        <v>0</v>
      </c>
      <c r="T54" s="17" t="str">
        <f t="shared" si="9"/>
        <v/>
      </c>
      <c r="U54" s="100">
        <f t="shared" si="10"/>
        <v>0</v>
      </c>
      <c r="W54">
        <f>SUMIF(Answers[DrAccnt],'FS_All_Auto_Solution (2)'!T54,Answers[DrAmt])</f>
        <v>0</v>
      </c>
      <c r="X54">
        <f>SUMIF(Answers[CrAccnt],'FS_All_Auto_Solution (2)'!T54,Answers[CrAmt])</f>
        <v>0</v>
      </c>
      <c r="Z54" s="110"/>
      <c r="AA54" s="31"/>
      <c r="AB54" s="31"/>
      <c r="AC54" s="31"/>
      <c r="AD54" s="31"/>
      <c r="AE54" s="31"/>
      <c r="AG54" s="111"/>
      <c r="AH54" s="112"/>
      <c r="AI54" s="112"/>
      <c r="AJ54" s="112"/>
      <c r="AK54" s="112"/>
      <c r="AL54" s="112"/>
      <c r="AN54" s="114"/>
      <c r="AO54" s="115"/>
      <c r="AP54" s="115"/>
      <c r="AQ54" s="115"/>
      <c r="AR54" s="115"/>
      <c r="AS54" s="115"/>
      <c r="AU54" s="129"/>
      <c r="AV54" s="140"/>
      <c r="AW54" s="140"/>
      <c r="AX54" s="141"/>
      <c r="AY54" s="142"/>
      <c r="AZ54" s="143"/>
      <c r="BA54" s="141"/>
      <c r="BB54" s="127"/>
      <c r="BC54" s="102"/>
      <c r="BD54" s="140"/>
      <c r="BE54" s="85"/>
      <c r="BF54" s="42"/>
      <c r="BG54" s="42"/>
      <c r="BH54" s="42"/>
      <c r="BI54" s="42"/>
    </row>
    <row r="55" spans="1:61" x14ac:dyDescent="0.2">
      <c r="B55" s="91"/>
      <c r="C55" s="101" t="str">
        <f>IF(ISBLANK(B55),"",_xlfn.XLOOKUP(B55,BegBalSht[Account],BegBalSht[Amount]))</f>
        <v/>
      </c>
      <c r="Q55" s="75"/>
      <c r="R55" s="18"/>
      <c r="T55" s="91" t="str">
        <f t="shared" si="9"/>
        <v/>
      </c>
      <c r="U55" s="101">
        <f t="shared" si="10"/>
        <v>0</v>
      </c>
      <c r="W55">
        <f>SUMIF(Answers[DrAccnt],'FS_All_Auto_Solution (2)'!T55,Answers[DrAmt])</f>
        <v>0</v>
      </c>
      <c r="X55">
        <f>SUMIF(Answers[CrAccnt],'FS_All_Auto_Solution (2)'!T55,Answers[CrAmt])</f>
        <v>0</v>
      </c>
      <c r="Z55" s="110"/>
      <c r="AA55" s="31"/>
      <c r="AB55" s="31"/>
      <c r="AC55" s="31"/>
      <c r="AD55" s="31"/>
      <c r="AE55" s="31"/>
      <c r="AG55" s="111"/>
      <c r="AH55" s="112"/>
      <c r="AI55" s="112"/>
      <c r="AJ55" s="112"/>
      <c r="AK55" s="112"/>
      <c r="AL55" s="112"/>
      <c r="AN55" s="114"/>
      <c r="AO55" s="115"/>
      <c r="AP55" s="115"/>
      <c r="AQ55" s="115"/>
      <c r="AR55" s="115"/>
      <c r="AS55" s="115"/>
      <c r="AU55" s="130" t="str">
        <f>_xlfn.XLOOKUP(1,LiabilitiesMaster[Num],LiabilitiesMaster[Name])</f>
        <v>Accounts Payable</v>
      </c>
      <c r="AV55" s="140"/>
      <c r="AW55" s="140">
        <f>IFERROR(_xlfn.XLOOKUP(AU55,BegBalSht[Account],BegBalSht[Amount]),0)</f>
        <v>0</v>
      </c>
      <c r="AX55" s="141" t="s">
        <v>94</v>
      </c>
      <c r="AY55" s="142">
        <f ca="1">IFERROR(_xlfn.XLOOKUP(AU55,$AI$67:$AI$80,$AK$67:$AK$80),0)</f>
        <v>0</v>
      </c>
      <c r="AZ55" s="143">
        <f>IFERROR(_xlfn.XLOOKUP(AU55,$AJ$51:$AJ$64,$AL$51:$AL$64),0)</f>
        <v>0</v>
      </c>
      <c r="BA55" s="141" t="s">
        <v>128</v>
      </c>
      <c r="BB55" s="127"/>
      <c r="BC55" s="102">
        <f>AW55-BG55+BH55</f>
        <v>-20</v>
      </c>
      <c r="BD55" s="145">
        <f ca="1">-MIN(BC55-AW55-SUM(AZ55:AZ58)+SUM(AY55:AY58),0)</f>
        <v>20</v>
      </c>
      <c r="BE55" s="146">
        <f ca="1">MAX(BC55-AW55-SUM(AZ55:AZ58)+SUM(AY55:AY58),0)</f>
        <v>0</v>
      </c>
      <c r="BF55" s="42"/>
      <c r="BG55" s="42">
        <f>SUMIF(Answers[DrAccnt],AU55,Answers[DrAmt])</f>
        <v>20</v>
      </c>
      <c r="BH55" s="42">
        <f>SUMIF(Answers[CrAccnt],AU55,Answers[CrAmt])</f>
        <v>0</v>
      </c>
      <c r="BI55" s="42"/>
    </row>
    <row r="56" spans="1:61" x14ac:dyDescent="0.2">
      <c r="B56" s="53" t="s">
        <v>440</v>
      </c>
      <c r="C56" s="49">
        <f>SUBTOTAL(9,C46:C55)</f>
        <v>0</v>
      </c>
      <c r="Q56" s="17" t="s">
        <v>437</v>
      </c>
      <c r="R56" s="80" t="e">
        <f ca="1">SUBTOTAL(9,R8:R55)</f>
        <v>#NAME?</v>
      </c>
      <c r="T56" s="53" t="s">
        <v>440</v>
      </c>
      <c r="U56" s="49">
        <f>SUBTOTAL(9,U46:U55)</f>
        <v>0</v>
      </c>
      <c r="Z56" s="110"/>
      <c r="AA56" s="31"/>
      <c r="AB56" s="31"/>
      <c r="AC56" s="31"/>
      <c r="AD56" s="31"/>
      <c r="AE56" s="31"/>
      <c r="AG56" s="111"/>
      <c r="AH56" s="112"/>
      <c r="AI56" s="112"/>
      <c r="AJ56" s="112"/>
      <c r="AK56" s="112"/>
      <c r="AL56" s="112"/>
      <c r="AN56" s="114"/>
      <c r="AO56" s="115"/>
      <c r="AP56" s="115"/>
      <c r="AQ56" s="115"/>
      <c r="AR56" s="115"/>
      <c r="AS56" s="115"/>
      <c r="AU56" s="129"/>
      <c r="AV56" s="140"/>
      <c r="AW56" s="140"/>
      <c r="AX56" s="141"/>
      <c r="AY56" s="142"/>
      <c r="AZ56" s="143"/>
      <c r="BA56" s="141"/>
      <c r="BB56" s="127"/>
      <c r="BC56" s="102"/>
      <c r="BD56" s="140"/>
      <c r="BE56" s="85"/>
      <c r="BF56" s="42"/>
      <c r="BG56" s="42"/>
      <c r="BH56" s="42"/>
      <c r="BI56" s="42"/>
    </row>
    <row r="57" spans="1:61" x14ac:dyDescent="0.2">
      <c r="B57" s="56" t="s">
        <v>297</v>
      </c>
      <c r="C57" s="49">
        <f>SUBTOTAL(9,C34:C56)</f>
        <v>0</v>
      </c>
      <c r="Q57" s="17" t="str">
        <f>"Cash @ "&amp;BegDate</f>
        <v xml:space="preserve">Cash @ </v>
      </c>
      <c r="R57" s="62">
        <f>_xlfn.XLOOKUP("Cash",B8:B17,C8:C17,0)</f>
        <v>0</v>
      </c>
      <c r="T57" s="56" t="s">
        <v>297</v>
      </c>
      <c r="U57" s="49">
        <f>SUBTOTAL(9,U34:U56)</f>
        <v>-20</v>
      </c>
      <c r="AG57" s="111"/>
      <c r="AH57" s="112"/>
      <c r="AI57" s="112"/>
      <c r="AJ57" s="112"/>
      <c r="AK57" s="112"/>
      <c r="AL57" s="112"/>
      <c r="AU57" s="129"/>
      <c r="AV57" s="140"/>
      <c r="AW57" s="140"/>
      <c r="AX57" s="141"/>
      <c r="AY57" s="142"/>
      <c r="AZ57" s="143"/>
      <c r="BA57" s="141"/>
      <c r="BB57" s="127"/>
      <c r="BC57" s="102"/>
      <c r="BD57" s="140"/>
      <c r="BE57" s="85"/>
      <c r="BF57" s="42"/>
      <c r="BG57" s="42"/>
      <c r="BH57" s="42"/>
      <c r="BI57" s="42"/>
    </row>
    <row r="58" spans="1:61" ht="16" thickBot="1" x14ac:dyDescent="0.25">
      <c r="B58" s="189" t="s">
        <v>365</v>
      </c>
      <c r="C58" s="188"/>
      <c r="Q58" s="17" t="str">
        <f>"Cash @ "&amp;EndDate</f>
        <v xml:space="preserve">Cash @ </v>
      </c>
      <c r="R58" s="79" t="e">
        <f ca="1">SUM(R56:R57)</f>
        <v>#NAME?</v>
      </c>
      <c r="T58" s="189" t="s">
        <v>365</v>
      </c>
      <c r="U58" s="188"/>
      <c r="Z58" s="5" t="s">
        <v>468</v>
      </c>
      <c r="AC58" s="4" t="s">
        <v>110</v>
      </c>
      <c r="AG58" s="111"/>
      <c r="AH58" s="112"/>
      <c r="AI58" s="112"/>
      <c r="AJ58" s="112"/>
      <c r="AK58" s="112"/>
      <c r="AL58" s="112"/>
      <c r="AN58" s="5" t="s">
        <v>469</v>
      </c>
      <c r="AO58" s="5"/>
      <c r="AQ58" s="4" t="s">
        <v>139</v>
      </c>
      <c r="AU58" s="129"/>
      <c r="AV58" s="140"/>
      <c r="AW58" s="140"/>
      <c r="AX58" s="141"/>
      <c r="AY58" s="142"/>
      <c r="AZ58" s="143"/>
      <c r="BA58" s="141"/>
      <c r="BB58" s="127"/>
      <c r="BC58" s="102"/>
      <c r="BD58" s="140"/>
      <c r="BE58" s="85"/>
      <c r="BF58" s="42"/>
      <c r="BG58" s="42"/>
      <c r="BH58" s="42"/>
      <c r="BI58" s="42"/>
    </row>
    <row r="59" spans="1:61" ht="17" thickTop="1" thickBot="1" x14ac:dyDescent="0.25">
      <c r="A59" s="199" t="str">
        <f>_xlfn.XLOOKUP(B59,Equity[Name],Equity[Abbr],"")</f>
        <v>PrefStk</v>
      </c>
      <c r="B59" s="17" t="str" cm="1">
        <f t="array" ref="B59:B64">_xlfn._xlws.FILTER(Equity[Name],NOT(ISBLANK(Equity[Name])))</f>
        <v>Preferred Stock</v>
      </c>
      <c r="C59" s="99">
        <f>IF(ISBLANK(B59),"",_xlfn.XLOOKUP(B59,BegBalSht[Account],BegBalSht[Amount]))</f>
        <v>0</v>
      </c>
      <c r="Q59" s="24"/>
      <c r="R59" s="25"/>
      <c r="T59" s="17" t="str">
        <f t="shared" ref="T59:T63" si="11">IF(ISBLANK(B59),"",B59)</f>
        <v>Preferred Stock</v>
      </c>
      <c r="U59" s="99">
        <f t="shared" ref="U59:U63" si="12">IFERROR(C59+X59-W59,0)</f>
        <v>0</v>
      </c>
      <c r="W59">
        <f>SUMIF(Answers[DrAccnt],'FS_All_Auto_Solution (2)'!T59,Answers[DrAmt])</f>
        <v>0</v>
      </c>
      <c r="X59">
        <f>SUMIF(Answers[CrAccnt],'FS_All_Auto_Solution (2)'!T59,Answers[CrAmt])</f>
        <v>0</v>
      </c>
      <c r="Z59" s="110" t="e" cm="1">
        <f t="array" aca="1" ref="Z59" ca="1">_xlfn._xlws.FILTER(Answers[ref]:Answers[CrAmt],Answers[ref2]=AC58,"")</f>
        <v>#NAME?</v>
      </c>
      <c r="AA59" s="31"/>
      <c r="AB59" s="31"/>
      <c r="AC59" s="31"/>
      <c r="AD59" s="31"/>
      <c r="AE59" s="31"/>
      <c r="AG59" s="111"/>
      <c r="AH59" s="112"/>
      <c r="AI59" s="112"/>
      <c r="AJ59" s="112"/>
      <c r="AK59" s="112"/>
      <c r="AL59" s="112"/>
      <c r="AN59" s="114" t="e" cm="1">
        <f t="array" aca="1" ref="AN59" ca="1">_xlfn._xlws.FILTER(Answers[ref]:Answers[CrAmt],Answers[ref2]=AQ58,"")</f>
        <v>#NAME?</v>
      </c>
      <c r="AO59" s="115"/>
      <c r="AP59" s="115"/>
      <c r="AQ59" s="115"/>
      <c r="AR59" s="115"/>
      <c r="AS59" s="115"/>
      <c r="AU59" s="130" t="e">
        <f ca="1">_xlfn.XLOOKUP(12,LiabilitiesMaster[Num],LiabilitiesMaster[Name])</f>
        <v>#NAME?</v>
      </c>
      <c r="AV59" s="140"/>
      <c r="AW59" s="140">
        <f ca="1">IFERROR(_xlfn.XLOOKUP(AU59,BegBalSht[Account],BegBalSht[Amount]),0)</f>
        <v>0</v>
      </c>
      <c r="AX59" s="141" t="s">
        <v>94</v>
      </c>
      <c r="AY59" s="142">
        <f ca="1">IFERROR(_xlfn.XLOOKUP(AU59,$AI$67:$AI$80,$AK$67:$AK$80),0)</f>
        <v>0</v>
      </c>
      <c r="AZ59" s="143">
        <f ca="1">IFERROR(_xlfn.XLOOKUP(AU59,$AJ$51:$AJ$64,$AL$51:$AL$64),0)</f>
        <v>0</v>
      </c>
      <c r="BA59" s="141" t="s">
        <v>128</v>
      </c>
      <c r="BB59" s="127"/>
      <c r="BC59" s="102">
        <f ca="1">AW59-BG59+BH59</f>
        <v>0</v>
      </c>
      <c r="BD59" s="145">
        <f ca="1">-MIN(BC59-AW59-SUM(AZ59:AZ62)+SUM(AY59:AY62),0)</f>
        <v>0</v>
      </c>
      <c r="BE59" s="146">
        <f ca="1">MAX(BC59-AW59-SUM(AZ59:AZ62)+SUM(AY59:AY62),0)</f>
        <v>0</v>
      </c>
      <c r="BF59" s="42"/>
      <c r="BG59" s="42">
        <f ca="1">SUMIF(Answers[DrAccnt],AU59,Answers[DrAmt])</f>
        <v>0</v>
      </c>
      <c r="BH59" s="42">
        <f ca="1">SUMIF(Answers[CrAccnt],AU59,Answers[CrAmt])</f>
        <v>0</v>
      </c>
      <c r="BI59" s="42"/>
    </row>
    <row r="60" spans="1:61" ht="16" thickBot="1" x14ac:dyDescent="0.25">
      <c r="A60" s="199" t="str">
        <f>_xlfn.XLOOKUP(B60,Equity[Name],Equity[Abbr],"")</f>
        <v>CS</v>
      </c>
      <c r="B60" s="17" t="str">
        <v>Common Stock</v>
      </c>
      <c r="C60" s="100">
        <f>IF(ISBLANK(B60),"",_xlfn.XLOOKUP(B60,BegBalSht[Account],BegBalSht[Amount]))</f>
        <v>0</v>
      </c>
      <c r="T60" s="17" t="str">
        <f t="shared" si="11"/>
        <v>Common Stock</v>
      </c>
      <c r="U60" s="100">
        <f t="shared" si="12"/>
        <v>0</v>
      </c>
      <c r="W60">
        <f>SUMIF(Answers[DrAccnt],'FS_All_Auto_Solution (2)'!T60,Answers[DrAmt])</f>
        <v>0</v>
      </c>
      <c r="X60">
        <f>SUMIF(Answers[CrAccnt],'FS_All_Auto_Solution (2)'!T60,Answers[CrAmt])</f>
        <v>0</v>
      </c>
      <c r="Z60" s="110"/>
      <c r="AA60" s="31"/>
      <c r="AB60" s="31"/>
      <c r="AC60" s="31"/>
      <c r="AD60" s="31"/>
      <c r="AE60" s="31"/>
      <c r="AG60" s="111"/>
      <c r="AH60" s="112"/>
      <c r="AI60" s="112"/>
      <c r="AJ60" s="112"/>
      <c r="AK60" s="112"/>
      <c r="AL60" s="112"/>
      <c r="AN60" s="114"/>
      <c r="AO60" s="115"/>
      <c r="AP60" s="115"/>
      <c r="AQ60" s="115"/>
      <c r="AR60" s="115"/>
      <c r="AS60" s="115"/>
      <c r="AU60" s="129"/>
      <c r="AV60" s="140"/>
      <c r="AW60" s="140"/>
      <c r="AX60" s="141"/>
      <c r="AY60" s="142"/>
      <c r="AZ60" s="143"/>
      <c r="BA60" s="141"/>
      <c r="BB60" s="127"/>
      <c r="BC60" s="102"/>
      <c r="BD60" s="140"/>
      <c r="BE60" s="85"/>
      <c r="BF60" s="42"/>
      <c r="BG60" s="42"/>
      <c r="BH60" s="42"/>
      <c r="BI60" s="42"/>
    </row>
    <row r="61" spans="1:61" x14ac:dyDescent="0.2">
      <c r="A61" s="199" t="str">
        <f>_xlfn.XLOOKUP(B61,Equity[Name],Equity[Abbr],"")</f>
        <v>APIC</v>
      </c>
      <c r="B61" s="17" t="str">
        <v>Additional Paid-in Capital</v>
      </c>
      <c r="C61" s="100">
        <f>IF(ISBLANK(B61),"",_xlfn.XLOOKUP(B61,BegBalSht[Account],BegBalSht[Amount]))</f>
        <v>0</v>
      </c>
      <c r="Q61" s="76" t="s">
        <v>438</v>
      </c>
      <c r="R61" s="168">
        <f>IFERROR(_xlfn.XLOOKUP("Cash",AQ43:AQ48,AS43:AS48),0)</f>
        <v>0</v>
      </c>
      <c r="T61" s="17" t="str">
        <f t="shared" si="11"/>
        <v>Additional Paid-in Capital</v>
      </c>
      <c r="U61" s="100">
        <f t="shared" si="12"/>
        <v>0</v>
      </c>
      <c r="W61">
        <f>SUMIF(Answers[DrAccnt],'FS_All_Auto_Solution (2)'!T61,Answers[DrAmt])</f>
        <v>0</v>
      </c>
      <c r="X61">
        <f>SUMIF(Answers[CrAccnt],'FS_All_Auto_Solution (2)'!T61,Answers[CrAmt])</f>
        <v>0</v>
      </c>
      <c r="Z61" s="110"/>
      <c r="AA61" s="31"/>
      <c r="AB61" s="31"/>
      <c r="AC61" s="31"/>
      <c r="AD61" s="31"/>
      <c r="AE61" s="31"/>
      <c r="AG61" s="111"/>
      <c r="AH61" s="112"/>
      <c r="AI61" s="112"/>
      <c r="AJ61" s="112"/>
      <c r="AK61" s="112"/>
      <c r="AL61" s="112"/>
      <c r="AN61" s="114"/>
      <c r="AO61" s="115"/>
      <c r="AP61" s="115"/>
      <c r="AQ61" s="115"/>
      <c r="AR61" s="115"/>
      <c r="AS61" s="115"/>
      <c r="AU61" s="129"/>
      <c r="AV61" s="140"/>
      <c r="AW61" s="140"/>
      <c r="AX61" s="141"/>
      <c r="AY61" s="142"/>
      <c r="AZ61" s="143"/>
      <c r="BA61" s="141"/>
      <c r="BB61" s="127"/>
      <c r="BC61" s="102"/>
      <c r="BD61" s="140"/>
      <c r="BE61" s="85"/>
      <c r="BF61" s="42"/>
      <c r="BG61" s="42"/>
      <c r="BH61" s="42"/>
      <c r="BI61" s="42"/>
    </row>
    <row r="62" spans="1:61" ht="16" thickBot="1" x14ac:dyDescent="0.25">
      <c r="A62" s="199" t="str">
        <f>_xlfn.XLOOKUP(B62,Equity[Name],Equity[Abbr],"")</f>
        <v>RE</v>
      </c>
      <c r="B62" s="17" t="str">
        <v>Retained Earnings</v>
      </c>
      <c r="C62" s="100">
        <f>IF(ISBLANK(B62),"",_xlfn.XLOOKUP(B62,BegBalSht[Account],BegBalSht[Amount]))</f>
        <v>0</v>
      </c>
      <c r="Q62" s="24" t="s">
        <v>439</v>
      </c>
      <c r="R62" s="83">
        <f>IFERROR(_xlfn.XLOOKUP("Cash",AQ51:AQ56,AS51:AS56),0)</f>
        <v>0</v>
      </c>
      <c r="T62" s="17" t="str">
        <f t="shared" si="11"/>
        <v>Retained Earnings</v>
      </c>
      <c r="U62" s="100">
        <f t="shared" si="12"/>
        <v>0</v>
      </c>
      <c r="W62">
        <f>SUMIF(Answers[DrAccnt],'FS_All_Auto_Solution (2)'!T62,Answers[DrAmt])</f>
        <v>0</v>
      </c>
      <c r="X62">
        <f>SUMIF(Answers[CrAccnt],'FS_All_Auto_Solution (2)'!T62,Answers[CrAmt])</f>
        <v>0</v>
      </c>
      <c r="Z62" s="110"/>
      <c r="AA62" s="31"/>
      <c r="AB62" s="31"/>
      <c r="AC62" s="31"/>
      <c r="AD62" s="31"/>
      <c r="AE62" s="31"/>
      <c r="AG62" s="111"/>
      <c r="AH62" s="112"/>
      <c r="AI62" s="112"/>
      <c r="AJ62" s="112"/>
      <c r="AK62" s="112"/>
      <c r="AL62" s="112"/>
      <c r="AN62" s="114"/>
      <c r="AO62" s="115"/>
      <c r="AP62" s="115"/>
      <c r="AQ62" s="115"/>
      <c r="AR62" s="115"/>
      <c r="AS62" s="115"/>
      <c r="AU62" s="129"/>
      <c r="AV62" s="140"/>
      <c r="AW62" s="140"/>
      <c r="AX62" s="141"/>
      <c r="AY62" s="142"/>
      <c r="AZ62" s="143"/>
      <c r="BA62" s="141"/>
      <c r="BB62" s="127"/>
      <c r="BC62" s="102"/>
      <c r="BD62" s="140"/>
      <c r="BE62" s="85"/>
      <c r="BF62" s="42"/>
      <c r="BG62" s="42"/>
      <c r="BH62" s="42"/>
      <c r="BI62" s="42"/>
    </row>
    <row r="63" spans="1:61" ht="16" thickBot="1" x14ac:dyDescent="0.25">
      <c r="A63" s="199" t="str">
        <f>_xlfn.XLOOKUP(B63,Equity[Name],Equity[Abbr],"")</f>
        <v>AOCI</v>
      </c>
      <c r="B63" s="17" t="str">
        <v>Accumulated Other Comprehensive Income</v>
      </c>
      <c r="C63" s="100">
        <f>IF(ISBLANK(B63),"",_xlfn.XLOOKUP(B63,BegBalSht[Account],BegBalSht[Amount]))</f>
        <v>0</v>
      </c>
      <c r="T63" s="17" t="str">
        <f t="shared" si="11"/>
        <v>Accumulated Other Comprehensive Income</v>
      </c>
      <c r="U63" s="100">
        <f t="shared" si="12"/>
        <v>0</v>
      </c>
      <c r="W63">
        <f>SUMIF(Answers[DrAccnt],'FS_All_Auto_Solution (2)'!T63,Answers[DrAmt])</f>
        <v>0</v>
      </c>
      <c r="X63">
        <f>SUMIF(Answers[CrAccnt],'FS_All_Auto_Solution (2)'!T63,Answers[CrAmt])</f>
        <v>0</v>
      </c>
      <c r="Z63" s="110"/>
      <c r="AA63" s="31"/>
      <c r="AB63" s="31"/>
      <c r="AC63" s="31"/>
      <c r="AD63" s="31"/>
      <c r="AE63" s="31"/>
      <c r="AG63" s="111"/>
      <c r="AH63" s="112"/>
      <c r="AI63" s="112"/>
      <c r="AJ63" s="112"/>
      <c r="AK63" s="112"/>
      <c r="AL63" s="112"/>
      <c r="AN63" s="114"/>
      <c r="AO63" s="115"/>
      <c r="AP63" s="115"/>
      <c r="AQ63" s="115"/>
      <c r="AR63" s="115"/>
      <c r="AS63" s="115"/>
      <c r="AU63" s="130" t="str">
        <f>_xlfn.XLOOKUP(2,LiabilitiesMaster[Num],LiabilitiesMaster[Name])</f>
        <v>Accrued Expenses</v>
      </c>
      <c r="AV63" s="140"/>
      <c r="AW63" s="140">
        <f>IFERROR(_xlfn.XLOOKUP(AU63,BegBalSht[Account],BegBalSht[Amount]),0)</f>
        <v>0</v>
      </c>
      <c r="AX63" s="141" t="s">
        <v>94</v>
      </c>
      <c r="AY63" s="142">
        <f ca="1">IFERROR(_xlfn.XLOOKUP(AU63,$AI$67:$AI$80,$AK$67:$AK$80),0)</f>
        <v>0</v>
      </c>
      <c r="AZ63" s="143">
        <f>IFERROR(_xlfn.XLOOKUP(AU63,$AJ$51:$AJ$64,$AL$51:$AL$64),0)</f>
        <v>0</v>
      </c>
      <c r="BA63" s="141" t="s">
        <v>128</v>
      </c>
      <c r="BB63" s="127"/>
      <c r="BC63" s="102">
        <f>AW63-BG63+BH63</f>
        <v>0</v>
      </c>
      <c r="BD63" s="145">
        <f ca="1">-MIN(BC63-AW63-SUM(AZ63:AZ66)+SUM(AY63:AY66),0)</f>
        <v>0</v>
      </c>
      <c r="BE63" s="146">
        <f ca="1">MAX(BC63-AW63-SUM(AZ63:AZ66)+SUM(AY63:AY66),0)</f>
        <v>0</v>
      </c>
      <c r="BF63" s="42"/>
      <c r="BG63" s="42">
        <f>SUMIF(Answers[DrAccnt],AU63,Answers[DrAmt])</f>
        <v>0</v>
      </c>
      <c r="BH63" s="42">
        <f>SUMIF(Answers[CrAccnt],AU63,Answers[CrAmt])</f>
        <v>0</v>
      </c>
      <c r="BI63" s="42"/>
    </row>
    <row r="64" spans="1:61" x14ac:dyDescent="0.2">
      <c r="A64" s="199"/>
      <c r="B64" s="17" t="str">
        <v>Treasury Stock</v>
      </c>
      <c r="C64" s="100"/>
      <c r="Q64" s="72" t="s">
        <v>433</v>
      </c>
      <c r="R64" s="71"/>
      <c r="T64" s="91" t="str">
        <f>IF(ISBLANK(B65),"",B65)</f>
        <v/>
      </c>
      <c r="U64" s="101">
        <f>IFERROR(C65+X64-W64,0)</f>
        <v>0</v>
      </c>
      <c r="W64">
        <f>SUMIF(Answers[DrAccnt],'FS_All_Auto_Solution (2)'!T64,Answers[DrAmt])</f>
        <v>0</v>
      </c>
      <c r="X64">
        <f>SUMIF(Answers[CrAccnt],'FS_All_Auto_Solution (2)'!T64,Answers[CrAmt])</f>
        <v>0</v>
      </c>
      <c r="Z64" s="110"/>
      <c r="AA64" s="31"/>
      <c r="AB64" s="31"/>
      <c r="AC64" s="31"/>
      <c r="AD64" s="31"/>
      <c r="AE64" s="31"/>
      <c r="AG64" s="111"/>
      <c r="AH64" s="112"/>
      <c r="AI64" s="112"/>
      <c r="AJ64" s="112"/>
      <c r="AK64" s="112"/>
      <c r="AL64" s="112"/>
      <c r="AN64" s="114"/>
      <c r="AO64" s="115"/>
      <c r="AP64" s="115"/>
      <c r="AQ64" s="115"/>
      <c r="AR64" s="115"/>
      <c r="AS64" s="115"/>
      <c r="AU64" s="129"/>
      <c r="AV64" s="140"/>
      <c r="AW64" s="140"/>
      <c r="AX64" s="141"/>
      <c r="AY64" s="142"/>
      <c r="AZ64" s="143"/>
      <c r="BA64" s="141"/>
      <c r="BB64" s="127"/>
      <c r="BC64" s="102"/>
      <c r="BD64" s="140"/>
      <c r="BE64" s="85"/>
      <c r="BF64" s="42"/>
      <c r="BG64" s="42"/>
      <c r="BH64" s="42"/>
      <c r="BI64" s="42"/>
    </row>
    <row r="65" spans="1:61" x14ac:dyDescent="0.2">
      <c r="A65" s="199" t="str">
        <f>_xlfn.XLOOKUP(B65,Equity[Name],Equity[Abbr],"")</f>
        <v/>
      </c>
      <c r="B65" s="91"/>
      <c r="C65" s="101" t="str">
        <f>IF(ISBLANK(B65),"",_xlfn.XLOOKUP(B65,BegBalSht[Account],BegBalSht[Amount]))</f>
        <v/>
      </c>
      <c r="Q65" s="17" t="s">
        <v>460</v>
      </c>
      <c r="R65" s="82">
        <f>IFERROR(_xlfn.XLOOKUP("Common Stock",AQ11:AQ16,AS11:AS16),0)</f>
        <v>0</v>
      </c>
      <c r="T65" s="56" t="s">
        <v>298</v>
      </c>
      <c r="U65" s="49">
        <f>SUBTOTAL(9,U59:U64)</f>
        <v>0</v>
      </c>
      <c r="AU65" s="129"/>
      <c r="AV65" s="140"/>
      <c r="AW65" s="140"/>
      <c r="AX65" s="141"/>
      <c r="AY65" s="142"/>
      <c r="AZ65" s="143"/>
      <c r="BA65" s="141"/>
      <c r="BB65" s="127"/>
      <c r="BC65" s="102"/>
      <c r="BD65" s="140"/>
      <c r="BE65" s="85"/>
      <c r="BF65" s="42"/>
      <c r="BG65" s="42"/>
      <c r="BH65" s="42"/>
      <c r="BI65" s="42"/>
    </row>
    <row r="66" spans="1:61" ht="16" thickBot="1" x14ac:dyDescent="0.25">
      <c r="B66" s="56" t="s">
        <v>298</v>
      </c>
      <c r="C66" s="49">
        <f>SUBTOTAL(9,C59:C65)</f>
        <v>0</v>
      </c>
      <c r="Q66" s="17"/>
      <c r="R66" s="82"/>
      <c r="T66" s="193" t="s">
        <v>441</v>
      </c>
      <c r="U66" s="194">
        <f>SUBTOTAL(9,U34:U65)</f>
        <v>-20</v>
      </c>
      <c r="Z66" s="5" t="s">
        <v>113</v>
      </c>
      <c r="AC66" s="4" t="s">
        <v>112</v>
      </c>
      <c r="AG66" s="5" t="s">
        <v>500</v>
      </c>
      <c r="AJ66" s="4" t="s">
        <v>94</v>
      </c>
      <c r="AN66" s="5" t="s">
        <v>470</v>
      </c>
      <c r="AO66" s="5"/>
      <c r="AQ66" s="4" t="s">
        <v>143</v>
      </c>
      <c r="AU66" s="129"/>
      <c r="AV66" s="140"/>
      <c r="AW66" s="140"/>
      <c r="AX66" s="141"/>
      <c r="AY66" s="142"/>
      <c r="AZ66" s="143"/>
      <c r="BA66" s="141"/>
      <c r="BB66" s="127"/>
      <c r="BC66" s="102"/>
      <c r="BD66" s="140"/>
      <c r="BE66" s="85"/>
      <c r="BF66" s="42"/>
      <c r="BG66" s="42"/>
      <c r="BH66" s="42"/>
      <c r="BI66" s="42"/>
    </row>
    <row r="67" spans="1:61" ht="16" thickBot="1" x14ac:dyDescent="0.25">
      <c r="B67" s="193" t="s">
        <v>441</v>
      </c>
      <c r="C67" s="194">
        <f>SUBTOTAL(9,C34:C66)</f>
        <v>0</v>
      </c>
      <c r="Q67" s="17"/>
      <c r="R67" s="82"/>
      <c r="T67" s="24"/>
      <c r="U67" s="25"/>
      <c r="Z67" s="110" t="e" cm="1">
        <f t="array" aca="1" ref="Z67" ca="1">_xlfn._xlws.FILTER(Answers[ref]:Answers[CrAmt],Answers[ref2]=AC66,"")</f>
        <v>#NAME?</v>
      </c>
      <c r="AA67" s="31"/>
      <c r="AB67" s="31"/>
      <c r="AC67" s="31"/>
      <c r="AD67" s="31"/>
      <c r="AE67" s="31"/>
      <c r="AG67" s="111" t="e" cm="1">
        <f t="array" aca="1" ref="AG67:AL72" ca="1">_xlfn._xlws.FILTER(Answers[ref]:Answers[CrAmt],Answers[ref2]=AJ66,"")</f>
        <v>#NAME?</v>
      </c>
      <c r="AH67" s="112" t="e">
        <f ca="1"/>
        <v>#NAME?</v>
      </c>
      <c r="AI67" s="112" t="e">
        <f ca="1"/>
        <v>#NAME?</v>
      </c>
      <c r="AJ67" s="112" t="e">
        <f ca="1"/>
        <v>#NAME?</v>
      </c>
      <c r="AK67" s="112" t="e">
        <f ca="1"/>
        <v>#NAME?</v>
      </c>
      <c r="AL67" s="112" t="e">
        <f ca="1"/>
        <v>#NAME?</v>
      </c>
      <c r="AN67" s="114" t="e" cm="1">
        <f t="array" aca="1" ref="AN67" ca="1">_xlfn._xlws.FILTER(Answers[ref]:Answers[CrAmt],Answers[ref2]=AQ66,"")</f>
        <v>#NAME?</v>
      </c>
      <c r="AO67" s="115"/>
      <c r="AP67" s="115"/>
      <c r="AQ67" s="115"/>
      <c r="AR67" s="115"/>
      <c r="AS67" s="115"/>
      <c r="AU67" s="130" t="e">
        <f ca="1">_xlfn.XLOOKUP(3,LiabilitiesMaster[Num],LiabilitiesMaster[Name])</f>
        <v>#NAME?</v>
      </c>
      <c r="AV67" s="140"/>
      <c r="AW67" s="140">
        <f ca="1">IFERROR(_xlfn.XLOOKUP(AU67,BegBalSht[Account],BegBalSht[Amount]),0)</f>
        <v>0</v>
      </c>
      <c r="AX67" s="141" t="s">
        <v>94</v>
      </c>
      <c r="AY67" s="142">
        <f ca="1">IFERROR(_xlfn.XLOOKUP(AU67,$AI$67:$AI$80,$AK$67:$AK$80),0)</f>
        <v>0</v>
      </c>
      <c r="AZ67" s="143">
        <f ca="1">IFERROR(_xlfn.XLOOKUP(AU67,$AJ$51:$AJ$64,$AL$51:$AL$64),0)</f>
        <v>0</v>
      </c>
      <c r="BA67" s="141" t="s">
        <v>128</v>
      </c>
      <c r="BB67" s="127"/>
      <c r="BC67" s="102">
        <f ca="1">AW67-BG67+BH67</f>
        <v>0</v>
      </c>
      <c r="BD67" s="145">
        <f ca="1">-MIN(BC67-AW67-SUM(AZ67:AZ70)+SUM(AY67:AY70),0)</f>
        <v>0</v>
      </c>
      <c r="BE67" s="146">
        <f ca="1">MAX(BC67-AW67-SUM(AZ67:AZ70)+SUM(AY67:AY70),0)</f>
        <v>0</v>
      </c>
      <c r="BF67" s="42"/>
      <c r="BG67" s="42">
        <f ca="1">SUMIF(Answers[DrAccnt],AU67,Answers[DrAmt])</f>
        <v>0</v>
      </c>
      <c r="BH67" s="42">
        <f ca="1">SUMIF(Answers[CrAccnt],AU67,Answers[CrAmt])</f>
        <v>0</v>
      </c>
      <c r="BI67" s="42"/>
    </row>
    <row r="68" spans="1:61" ht="16" thickBot="1" x14ac:dyDescent="0.25">
      <c r="B68" s="24"/>
      <c r="C68" s="25"/>
      <c r="Q68" s="17"/>
      <c r="R68" s="82"/>
      <c r="Z68" s="110"/>
      <c r="AA68" s="31"/>
      <c r="AB68" s="31"/>
      <c r="AC68" s="31"/>
      <c r="AD68" s="31"/>
      <c r="AE68" s="31"/>
      <c r="AG68" s="111" t="e">
        <f ca="1"/>
        <v>#NAME?</v>
      </c>
      <c r="AH68" s="112" t="e">
        <f ca="1"/>
        <v>#NAME?</v>
      </c>
      <c r="AI68" s="112" t="e">
        <f ca="1"/>
        <v>#NAME?</v>
      </c>
      <c r="AJ68" s="112" t="e">
        <f ca="1"/>
        <v>#NAME?</v>
      </c>
      <c r="AK68" s="112" t="e">
        <f ca="1"/>
        <v>#NAME?</v>
      </c>
      <c r="AL68" s="112" t="e">
        <f ca="1"/>
        <v>#NAME?</v>
      </c>
      <c r="AN68" s="114"/>
      <c r="AO68" s="115"/>
      <c r="AP68" s="115"/>
      <c r="AQ68" s="115"/>
      <c r="AR68" s="115"/>
      <c r="AS68" s="115"/>
      <c r="AU68" s="129"/>
      <c r="AV68" s="140"/>
      <c r="AW68" s="140"/>
      <c r="AX68" s="141"/>
      <c r="AY68" s="142"/>
      <c r="AZ68" s="143"/>
      <c r="BA68" s="141"/>
      <c r="BB68" s="127"/>
      <c r="BC68" s="102"/>
      <c r="BD68" s="140"/>
      <c r="BE68" s="85"/>
      <c r="BF68" s="42"/>
      <c r="BG68" s="42"/>
      <c r="BH68" s="42"/>
      <c r="BI68" s="42"/>
    </row>
    <row r="69" spans="1:61" ht="16" thickBot="1" x14ac:dyDescent="0.25">
      <c r="Q69" s="24"/>
      <c r="R69" s="83"/>
      <c r="Z69" s="110"/>
      <c r="AA69" s="31"/>
      <c r="AB69" s="31"/>
      <c r="AC69" s="31"/>
      <c r="AD69" s="31"/>
      <c r="AE69" s="31"/>
      <c r="AG69" s="111" t="e">
        <f ca="1"/>
        <v>#NAME?</v>
      </c>
      <c r="AH69" s="112" t="e">
        <f ca="1"/>
        <v>#NAME?</v>
      </c>
      <c r="AI69" s="112" t="e">
        <f ca="1"/>
        <v>#NAME?</v>
      </c>
      <c r="AJ69" s="112" t="e">
        <f ca="1"/>
        <v>#NAME?</v>
      </c>
      <c r="AK69" s="112" t="e">
        <f ca="1"/>
        <v>#NAME?</v>
      </c>
      <c r="AL69" s="112" t="e">
        <f ca="1"/>
        <v>#NAME?</v>
      </c>
      <c r="AN69" s="114"/>
      <c r="AO69" s="115"/>
      <c r="AP69" s="115"/>
      <c r="AQ69" s="115"/>
      <c r="AR69" s="115"/>
      <c r="AS69" s="115"/>
      <c r="AU69" s="129"/>
      <c r="AV69" s="140"/>
      <c r="AW69" s="140"/>
      <c r="AX69" s="141"/>
      <c r="AY69" s="142"/>
      <c r="AZ69" s="143"/>
      <c r="BA69" s="141"/>
      <c r="BB69" s="127"/>
      <c r="BC69" s="102"/>
      <c r="BD69" s="140"/>
      <c r="BE69" s="85"/>
      <c r="BF69" s="42"/>
      <c r="BG69" s="42"/>
      <c r="BH69" s="42"/>
      <c r="BI69" s="42"/>
    </row>
    <row r="70" spans="1:61" x14ac:dyDescent="0.2">
      <c r="Z70" s="110"/>
      <c r="AA70" s="31"/>
      <c r="AB70" s="31"/>
      <c r="AC70" s="31"/>
      <c r="AD70" s="31"/>
      <c r="AE70" s="31"/>
      <c r="AG70" s="111" t="e">
        <f ca="1"/>
        <v>#NAME?</v>
      </c>
      <c r="AH70" s="112" t="e">
        <f ca="1"/>
        <v>#NAME?</v>
      </c>
      <c r="AI70" s="112" t="e">
        <f ca="1"/>
        <v>#NAME?</v>
      </c>
      <c r="AJ70" s="112" t="e">
        <f ca="1"/>
        <v>#NAME?</v>
      </c>
      <c r="AK70" s="112" t="e">
        <f ca="1"/>
        <v>#NAME?</v>
      </c>
      <c r="AL70" s="112" t="e">
        <f ca="1"/>
        <v>#NAME?</v>
      </c>
      <c r="AN70" s="114"/>
      <c r="AO70" s="115"/>
      <c r="AP70" s="115"/>
      <c r="AQ70" s="115"/>
      <c r="AR70" s="115"/>
      <c r="AS70" s="115"/>
      <c r="AU70" s="129"/>
      <c r="AV70" s="140"/>
      <c r="AW70" s="140"/>
      <c r="AX70" s="141"/>
      <c r="AY70" s="142"/>
      <c r="AZ70" s="143"/>
      <c r="BA70" s="141"/>
      <c r="BB70" s="127"/>
      <c r="BC70" s="102"/>
      <c r="BD70" s="140"/>
      <c r="BE70" s="85"/>
      <c r="BF70" s="42"/>
      <c r="BG70" s="42"/>
      <c r="BH70" s="42"/>
      <c r="BI70" s="42"/>
    </row>
    <row r="71" spans="1:61" x14ac:dyDescent="0.2">
      <c r="Z71" s="110"/>
      <c r="AA71" s="31"/>
      <c r="AB71" s="31"/>
      <c r="AC71" s="31"/>
      <c r="AD71" s="31"/>
      <c r="AE71" s="31"/>
      <c r="AG71" s="111" t="e">
        <f ca="1"/>
        <v>#NAME?</v>
      </c>
      <c r="AH71" s="112" t="e">
        <f ca="1"/>
        <v>#NAME?</v>
      </c>
      <c r="AI71" s="112" t="e">
        <f ca="1"/>
        <v>#NAME?</v>
      </c>
      <c r="AJ71" s="112" t="e">
        <f ca="1"/>
        <v>#NAME?</v>
      </c>
      <c r="AK71" s="112" t="e">
        <f ca="1"/>
        <v>#NAME?</v>
      </c>
      <c r="AL71" s="112" t="e">
        <f ca="1"/>
        <v>#NAME?</v>
      </c>
      <c r="AN71" s="114"/>
      <c r="AO71" s="115"/>
      <c r="AP71" s="115"/>
      <c r="AQ71" s="115"/>
      <c r="AR71" s="115"/>
      <c r="AS71" s="115"/>
      <c r="AU71" s="130" t="e">
        <f ca="1">_xlfn.XLOOKUP(4,LiabilitiesMaster[Num],LiabilitiesMaster[Name])</f>
        <v>#NAME?</v>
      </c>
      <c r="AV71" s="140"/>
      <c r="AW71" s="140">
        <f ca="1">IFERROR(_xlfn.XLOOKUP(AU71,BegBalSht[Account],BegBalSht[Amount]),0)</f>
        <v>0</v>
      </c>
      <c r="AX71" s="141" t="s">
        <v>108</v>
      </c>
      <c r="AY71" s="142">
        <f ca="1">IFERROR(_xlfn.XLOOKUP(AU71,AB51:AB56,AD51:AD56),0)</f>
        <v>0</v>
      </c>
      <c r="AZ71" s="143"/>
      <c r="BA71" s="141" t="s">
        <v>106</v>
      </c>
      <c r="BB71" s="127"/>
      <c r="BC71" s="102">
        <f ca="1">AW71-BG71+BH71</f>
        <v>0</v>
      </c>
      <c r="BD71" s="145">
        <f ca="1">-MIN(BC71-AW71-SUM(AZ71:AZ74)+SUM(AY71:AY74),0)</f>
        <v>0</v>
      </c>
      <c r="BE71" s="146">
        <f ca="1">MAX(BC71-AW71-SUM(AZ71:AZ74)+SUM(AY71:AY74),0)</f>
        <v>0</v>
      </c>
      <c r="BF71" s="42"/>
      <c r="BG71" s="42">
        <f ca="1">SUMIF(Answers[DrAccnt],AU71,Answers[DrAmt])</f>
        <v>0</v>
      </c>
      <c r="BH71" s="42">
        <f ca="1">SUMIF(Answers[CrAccnt],AU71,Answers[CrAmt])</f>
        <v>0</v>
      </c>
      <c r="BI71" s="42"/>
    </row>
    <row r="72" spans="1:61" x14ac:dyDescent="0.2">
      <c r="Z72" s="110"/>
      <c r="AA72" s="31"/>
      <c r="AB72" s="31"/>
      <c r="AC72" s="31"/>
      <c r="AD72" s="31"/>
      <c r="AE72" s="31"/>
      <c r="AG72" s="111" t="e">
        <f ca="1"/>
        <v>#NAME?</v>
      </c>
      <c r="AH72" s="112" t="e">
        <f ca="1"/>
        <v>#NAME?</v>
      </c>
      <c r="AI72" s="112" t="e">
        <f ca="1"/>
        <v>#NAME?</v>
      </c>
      <c r="AJ72" s="112" t="e">
        <f ca="1"/>
        <v>#NAME?</v>
      </c>
      <c r="AK72" s="112" t="e">
        <f ca="1"/>
        <v>#NAME?</v>
      </c>
      <c r="AL72" s="112" t="e">
        <f ca="1"/>
        <v>#NAME?</v>
      </c>
      <c r="AN72" s="114"/>
      <c r="AO72" s="115"/>
      <c r="AP72" s="115"/>
      <c r="AQ72" s="115"/>
      <c r="AR72" s="115"/>
      <c r="AS72" s="115"/>
      <c r="AU72" s="129"/>
      <c r="AV72" s="140"/>
      <c r="AW72" s="140"/>
      <c r="AX72" s="141"/>
      <c r="AY72" s="142"/>
      <c r="AZ72" s="143"/>
      <c r="BA72" s="141"/>
      <c r="BB72" s="127"/>
      <c r="BC72" s="102"/>
      <c r="BD72" s="140"/>
      <c r="BE72" s="85"/>
      <c r="BF72" s="42"/>
      <c r="BG72" s="42"/>
      <c r="BH72" s="42"/>
      <c r="BI72" s="42"/>
    </row>
    <row r="73" spans="1:61" x14ac:dyDescent="0.2">
      <c r="AG73" s="111"/>
      <c r="AH73" s="112"/>
      <c r="AI73" s="112"/>
      <c r="AJ73" s="112"/>
      <c r="AK73" s="112"/>
      <c r="AL73" s="112"/>
      <c r="AU73" s="129"/>
      <c r="AV73" s="140"/>
      <c r="AW73" s="140"/>
      <c r="AX73" s="141"/>
      <c r="AY73" s="142"/>
      <c r="AZ73" s="143"/>
      <c r="BA73" s="141"/>
      <c r="BB73" s="127"/>
      <c r="BC73" s="102"/>
      <c r="BD73" s="140"/>
      <c r="BE73" s="85"/>
      <c r="BF73" s="42"/>
      <c r="BG73" s="42"/>
      <c r="BH73" s="42"/>
      <c r="BI73" s="42"/>
    </row>
    <row r="74" spans="1:61" x14ac:dyDescent="0.2">
      <c r="Z74" s="5" t="s">
        <v>115</v>
      </c>
      <c r="AC74" s="4" t="s">
        <v>114</v>
      </c>
      <c r="AG74" s="111"/>
      <c r="AH74" s="112"/>
      <c r="AI74" s="112"/>
      <c r="AJ74" s="112"/>
      <c r="AK74" s="112"/>
      <c r="AL74" s="112"/>
      <c r="AN74" s="5" t="s">
        <v>148</v>
      </c>
      <c r="AO74" s="5"/>
      <c r="AQ74" s="4" t="s">
        <v>147</v>
      </c>
      <c r="AU74" s="129"/>
      <c r="AV74" s="140"/>
      <c r="AW74" s="140"/>
      <c r="AX74" s="141"/>
      <c r="AY74" s="142"/>
      <c r="AZ74" s="143"/>
      <c r="BA74" s="141"/>
      <c r="BB74" s="127"/>
      <c r="BC74" s="102"/>
      <c r="BD74" s="140"/>
      <c r="BE74" s="85"/>
      <c r="BF74" s="42"/>
      <c r="BG74" s="42"/>
      <c r="BH74" s="42"/>
      <c r="BI74" s="42"/>
    </row>
    <row r="75" spans="1:61" x14ac:dyDescent="0.2">
      <c r="Z75" s="110" t="e" cm="1">
        <f t="array" aca="1" ref="Z75" ca="1">_xlfn._xlws.FILTER(Answers[ref]:Answers[CrAmt],Answers[ref2]=AC74,"")</f>
        <v>#NAME?</v>
      </c>
      <c r="AA75" s="31"/>
      <c r="AB75" s="31"/>
      <c r="AC75" s="31"/>
      <c r="AD75" s="31"/>
      <c r="AE75" s="31"/>
      <c r="AG75" s="111"/>
      <c r="AH75" s="112"/>
      <c r="AI75" s="112"/>
      <c r="AJ75" s="112"/>
      <c r="AK75" s="112"/>
      <c r="AL75" s="112"/>
      <c r="AN75" s="114" t="e" cm="1">
        <f t="array" aca="1" ref="AN75" ca="1">_xlfn._xlws.FILTER(Answers[ref]:Answers[CrAmt],Answers[ref2]=AQ74,"")</f>
        <v>#NAME?</v>
      </c>
      <c r="AO75" s="115"/>
      <c r="AP75" s="115"/>
      <c r="AQ75" s="115"/>
      <c r="AR75" s="115"/>
      <c r="AS75" s="115"/>
      <c r="AU75" s="130" t="e">
        <f ca="1">_xlfn.XLOOKUP(5,LiabilitiesMaster[Num],LiabilitiesMaster[Name])</f>
        <v>#NAME?</v>
      </c>
      <c r="AV75" s="140"/>
      <c r="AW75" s="140">
        <f ca="1">IFERROR(_xlfn.XLOOKUP(AU75,BegBalSht[Account],BegBalSht[Amount]),0)</f>
        <v>0</v>
      </c>
      <c r="AX75" s="141" t="s">
        <v>94</v>
      </c>
      <c r="AY75" s="142">
        <f ca="1">IFERROR(_xlfn.XLOOKUP(AU75,$AI$67:$AI$80,$AK$67:$AK$80),0)</f>
        <v>0</v>
      </c>
      <c r="AZ75" s="143">
        <f ca="1">IFERROR(_xlfn.XLOOKUP(AU75,$AJ$51:$AJ$64,$AL$51:$AL$64),0)</f>
        <v>0</v>
      </c>
      <c r="BA75" s="141" t="s">
        <v>128</v>
      </c>
      <c r="BB75" s="127"/>
      <c r="BC75" s="102">
        <f ca="1">AW75-BG75+BH75</f>
        <v>0</v>
      </c>
      <c r="BD75" s="145">
        <f ca="1">-MIN(BC75-AW75-SUM(AZ75:AZ78)+SUM(AY75:AY78),0)</f>
        <v>0</v>
      </c>
      <c r="BE75" s="146">
        <f ca="1">MAX(BC75-AW75-SUM(AZ75:AZ78)+SUM(AY75:AY78),0)</f>
        <v>0</v>
      </c>
      <c r="BF75" s="42"/>
      <c r="BG75" s="42">
        <f ca="1">SUMIF(Answers[DrAccnt],AU75,Answers[DrAmt])</f>
        <v>0</v>
      </c>
      <c r="BH75" s="42">
        <f ca="1">SUMIF(Answers[CrAccnt],AU75,Answers[CrAmt])</f>
        <v>0</v>
      </c>
      <c r="BI75" s="42"/>
    </row>
    <row r="76" spans="1:61" x14ac:dyDescent="0.2">
      <c r="Z76" s="110"/>
      <c r="AA76" s="31"/>
      <c r="AB76" s="31"/>
      <c r="AC76" s="31"/>
      <c r="AD76" s="31"/>
      <c r="AE76" s="31"/>
      <c r="AG76" s="111"/>
      <c r="AH76" s="112"/>
      <c r="AI76" s="112"/>
      <c r="AJ76" s="112"/>
      <c r="AK76" s="112"/>
      <c r="AL76" s="112"/>
      <c r="AN76" s="114"/>
      <c r="AO76" s="115"/>
      <c r="AP76" s="115"/>
      <c r="AQ76" s="115"/>
      <c r="AR76" s="115"/>
      <c r="AS76" s="115"/>
      <c r="AU76" s="129"/>
      <c r="AV76" s="140"/>
      <c r="AW76" s="140"/>
      <c r="AX76" s="141"/>
      <c r="AY76" s="142"/>
      <c r="AZ76" s="143"/>
      <c r="BA76" s="141"/>
      <c r="BB76" s="127"/>
      <c r="BC76" s="102"/>
      <c r="BD76" s="140"/>
      <c r="BE76" s="85"/>
      <c r="BF76" s="42"/>
      <c r="BG76" s="42"/>
      <c r="BH76" s="42"/>
      <c r="BI76" s="42"/>
    </row>
    <row r="77" spans="1:61" x14ac:dyDescent="0.2">
      <c r="Z77" s="110"/>
      <c r="AA77" s="31"/>
      <c r="AB77" s="31"/>
      <c r="AC77" s="31"/>
      <c r="AD77" s="31"/>
      <c r="AE77" s="31"/>
      <c r="AG77" s="111"/>
      <c r="AH77" s="112"/>
      <c r="AI77" s="112"/>
      <c r="AJ77" s="112"/>
      <c r="AK77" s="112"/>
      <c r="AL77" s="112"/>
      <c r="AN77" s="114"/>
      <c r="AO77" s="115"/>
      <c r="AP77" s="115"/>
      <c r="AQ77" s="115"/>
      <c r="AR77" s="115"/>
      <c r="AS77" s="115"/>
      <c r="AU77" s="129"/>
      <c r="AV77" s="140"/>
      <c r="AW77" s="140"/>
      <c r="AX77" s="141"/>
      <c r="AY77" s="142"/>
      <c r="AZ77" s="143"/>
      <c r="BA77" s="141"/>
      <c r="BB77" s="127"/>
      <c r="BC77" s="102"/>
      <c r="BD77" s="140"/>
      <c r="BE77" s="85"/>
      <c r="BF77" s="42"/>
      <c r="BG77" s="42"/>
      <c r="BH77" s="42"/>
      <c r="BI77" s="42"/>
    </row>
    <row r="78" spans="1:61" x14ac:dyDescent="0.2">
      <c r="Z78" s="110"/>
      <c r="AA78" s="31"/>
      <c r="AB78" s="31"/>
      <c r="AC78" s="31"/>
      <c r="AD78" s="31"/>
      <c r="AE78" s="31"/>
      <c r="AG78" s="111"/>
      <c r="AH78" s="112"/>
      <c r="AI78" s="112"/>
      <c r="AJ78" s="112"/>
      <c r="AK78" s="112"/>
      <c r="AL78" s="112"/>
      <c r="AN78" s="114"/>
      <c r="AO78" s="115"/>
      <c r="AP78" s="115"/>
      <c r="AQ78" s="115"/>
      <c r="AR78" s="115"/>
      <c r="AS78" s="115"/>
      <c r="AU78" s="129"/>
      <c r="AV78" s="140"/>
      <c r="AW78" s="140"/>
      <c r="AX78" s="141"/>
      <c r="AY78" s="142"/>
      <c r="AZ78" s="143"/>
      <c r="BA78" s="141"/>
      <c r="BB78" s="127"/>
      <c r="BC78" s="102"/>
      <c r="BD78" s="140"/>
      <c r="BE78" s="85"/>
      <c r="BF78" s="42"/>
      <c r="BG78" s="42"/>
      <c r="BH78" s="42"/>
      <c r="BI78" s="42"/>
    </row>
    <row r="79" spans="1:61" x14ac:dyDescent="0.2">
      <c r="Z79" s="110"/>
      <c r="AA79" s="31"/>
      <c r="AB79" s="31"/>
      <c r="AC79" s="31"/>
      <c r="AD79" s="31"/>
      <c r="AE79" s="31"/>
      <c r="AG79" s="111"/>
      <c r="AH79" s="112"/>
      <c r="AI79" s="112"/>
      <c r="AJ79" s="112"/>
      <c r="AK79" s="112"/>
      <c r="AL79" s="112"/>
      <c r="AN79" s="114"/>
      <c r="AO79" s="115"/>
      <c r="AP79" s="115"/>
      <c r="AQ79" s="115"/>
      <c r="AR79" s="115"/>
      <c r="AS79" s="115"/>
      <c r="AU79" s="130" t="str">
        <f>_xlfn.XLOOKUP(6,LiabilitiesMaster[Num],LiabilitiesMaster[Name])</f>
        <v>Deferred Tax Liabilities</v>
      </c>
      <c r="AV79" s="140"/>
      <c r="AW79" s="140">
        <f>IFERROR(_xlfn.XLOOKUP(AU79,BegBalSht[Account],BegBalSht[Amount]),0)</f>
        <v>0</v>
      </c>
      <c r="AX79" s="141" t="s">
        <v>94</v>
      </c>
      <c r="AY79" s="142">
        <f ca="1">IFERROR(_xlfn.XLOOKUP(AU79,$AI$67:$AI$80,$AK$67:$AK$80),0)</f>
        <v>0</v>
      </c>
      <c r="AZ79" s="143">
        <f>IFERROR(_xlfn.XLOOKUP(AU79,$AJ$51:$AJ$64,$AL$51:$AL$64),0)</f>
        <v>0</v>
      </c>
      <c r="BA79" s="141" t="s">
        <v>128</v>
      </c>
      <c r="BB79" s="127"/>
      <c r="BC79" s="102">
        <f>AW79-BG79+BH79</f>
        <v>0</v>
      </c>
      <c r="BD79" s="145">
        <f ca="1">-MIN(BC79-AW79-SUM(AZ79:AZ82)+SUM(AY79:AY82),0)</f>
        <v>0</v>
      </c>
      <c r="BE79" s="146">
        <f ca="1">MAX(BC79-AW79-SUM(AZ79:AZ82)+SUM(AY79:AY82),0)</f>
        <v>0</v>
      </c>
      <c r="BF79" s="42"/>
      <c r="BG79" s="42">
        <f>SUMIF(Answers[DrAccnt],AU79,Answers[DrAmt])</f>
        <v>0</v>
      </c>
      <c r="BH79" s="42">
        <f>SUMIF(Answers[CrAccnt],AU79,Answers[CrAmt])</f>
        <v>0</v>
      </c>
      <c r="BI79" s="42"/>
    </row>
    <row r="80" spans="1:61" x14ac:dyDescent="0.2">
      <c r="Z80" s="110"/>
      <c r="AA80" s="31"/>
      <c r="AB80" s="31"/>
      <c r="AC80" s="31"/>
      <c r="AD80" s="31"/>
      <c r="AE80" s="31"/>
      <c r="AG80" s="111"/>
      <c r="AH80" s="112"/>
      <c r="AI80" s="112"/>
      <c r="AJ80" s="112"/>
      <c r="AK80" s="112"/>
      <c r="AL80" s="112"/>
      <c r="AN80" s="114"/>
      <c r="AO80" s="115"/>
      <c r="AP80" s="115"/>
      <c r="AQ80" s="115"/>
      <c r="AR80" s="115"/>
      <c r="AS80" s="115"/>
      <c r="AU80" s="129"/>
      <c r="AV80" s="140"/>
      <c r="AW80" s="140"/>
      <c r="AX80" s="141"/>
      <c r="AY80" s="142"/>
      <c r="AZ80" s="143"/>
      <c r="BA80" s="141"/>
      <c r="BB80" s="127"/>
      <c r="BC80" s="102"/>
      <c r="BD80" s="140"/>
      <c r="BE80" s="85"/>
      <c r="BF80" s="42"/>
      <c r="BG80" s="42"/>
      <c r="BH80" s="42"/>
      <c r="BI80" s="42"/>
    </row>
    <row r="81" spans="33:61" x14ac:dyDescent="0.2">
      <c r="AU81" s="129"/>
      <c r="AV81" s="140"/>
      <c r="AW81" s="140"/>
      <c r="AX81" s="141"/>
      <c r="AY81" s="142"/>
      <c r="AZ81" s="143"/>
      <c r="BA81" s="141"/>
      <c r="BB81" s="127"/>
      <c r="BC81" s="102"/>
      <c r="BD81" s="140"/>
      <c r="BE81" s="85"/>
      <c r="BF81" s="42"/>
      <c r="BG81" s="42"/>
      <c r="BH81" s="42"/>
      <c r="BI81" s="42"/>
    </row>
    <row r="82" spans="33:61" x14ac:dyDescent="0.2">
      <c r="AG82" s="5" t="s">
        <v>501</v>
      </c>
      <c r="AJ82" s="4" t="s">
        <v>131</v>
      </c>
      <c r="AN82" s="5" t="s">
        <v>471</v>
      </c>
      <c r="AO82" s="5"/>
      <c r="AQ82" s="4" t="s">
        <v>145</v>
      </c>
      <c r="AU82" s="129"/>
      <c r="AV82" s="140"/>
      <c r="AW82" s="140"/>
      <c r="AX82" s="141"/>
      <c r="AY82" s="142"/>
      <c r="AZ82" s="143"/>
      <c r="BA82" s="141"/>
      <c r="BB82" s="127"/>
      <c r="BC82" s="102"/>
      <c r="BD82" s="140"/>
      <c r="BE82" s="85"/>
      <c r="BF82" s="42"/>
      <c r="BG82" s="42"/>
      <c r="BH82" s="42"/>
      <c r="BI82" s="42"/>
    </row>
    <row r="83" spans="33:61" x14ac:dyDescent="0.2">
      <c r="AG83" s="111" t="e" cm="1">
        <f t="array" aca="1" ref="AG83" ca="1">_xlfn._xlws.FILTER(Answers[ref]:Answers[CrAmt],Answers[ref2]=AJ82,"")</f>
        <v>#NAME?</v>
      </c>
      <c r="AH83" s="112"/>
      <c r="AI83" s="112"/>
      <c r="AJ83" s="112"/>
      <c r="AK83" s="112"/>
      <c r="AL83" s="112"/>
      <c r="AN83" s="114" t="e" cm="1">
        <f t="array" aca="1" ref="AN83" ca="1">_xlfn._xlws.FILTER(Answers[ref]:Answers[CrAmt],Answers[ref2]=AQ82,"")</f>
        <v>#NAME?</v>
      </c>
      <c r="AO83" s="115"/>
      <c r="AP83" s="115"/>
      <c r="AQ83" s="115"/>
      <c r="AR83" s="115"/>
      <c r="AS83" s="115"/>
      <c r="AU83" s="130" t="e">
        <f ca="1">_xlfn.XLOOKUP(7,LiabilitiesMaster[Num],LiabilitiesMaster[Name])</f>
        <v>#NAME?</v>
      </c>
      <c r="AV83" s="140"/>
      <c r="AW83" s="140">
        <f ca="1">IFERROR(_xlfn.XLOOKUP(AU83,BegBalSht[Account],BegBalSht[Amount]),0)</f>
        <v>0</v>
      </c>
      <c r="AX83" s="141" t="s">
        <v>94</v>
      </c>
      <c r="AY83" s="142">
        <f ca="1">IFERROR(_xlfn.XLOOKUP(AU83,$AI$67:$AI$80,$AK$67:$AK$80),0)</f>
        <v>0</v>
      </c>
      <c r="AZ83" s="143">
        <f ca="1">IFERROR(_xlfn.XLOOKUP(AU83,$AJ$51:$AJ$64,$AL$51:$AL$64),0)</f>
        <v>0</v>
      </c>
      <c r="BA83" s="141" t="s">
        <v>128</v>
      </c>
      <c r="BB83" s="127"/>
      <c r="BC83" s="102">
        <f ca="1">AW83-BG83+BH83</f>
        <v>0</v>
      </c>
      <c r="BD83" s="145">
        <f ca="1">-MIN(BC83-AW83-SUM(AZ83:AZ86)+SUM(AY83:AY86),0)</f>
        <v>0</v>
      </c>
      <c r="BE83" s="146">
        <f ca="1">MAX(BC83-AW83-SUM(AZ83:AZ86)+SUM(AY83:AY86),0)</f>
        <v>0</v>
      </c>
      <c r="BF83" s="42"/>
      <c r="BG83" s="42">
        <f ca="1">SUMIF(Answers[DrAccnt],AU83,Answers[DrAmt])</f>
        <v>0</v>
      </c>
      <c r="BH83" s="42">
        <f ca="1">SUMIF(Answers[CrAccnt],AU83,Answers[CrAmt])</f>
        <v>0</v>
      </c>
      <c r="BI83" s="42"/>
    </row>
    <row r="84" spans="33:61" x14ac:dyDescent="0.2">
      <c r="AG84" s="111"/>
      <c r="AH84" s="112"/>
      <c r="AI84" s="112"/>
      <c r="AJ84" s="112"/>
      <c r="AK84" s="112"/>
      <c r="AL84" s="112"/>
      <c r="AN84" s="114"/>
      <c r="AO84" s="115"/>
      <c r="AP84" s="115"/>
      <c r="AQ84" s="115"/>
      <c r="AR84" s="115"/>
      <c r="AS84" s="115"/>
      <c r="AU84" s="129"/>
      <c r="AV84" s="140"/>
      <c r="AW84" s="140"/>
      <c r="AX84" s="141"/>
      <c r="AY84" s="142"/>
      <c r="AZ84" s="143"/>
      <c r="BA84" s="141"/>
      <c r="BB84" s="127"/>
      <c r="BC84" s="102"/>
      <c r="BD84" s="140"/>
      <c r="BE84" s="85"/>
      <c r="BF84" s="42"/>
      <c r="BG84" s="42"/>
      <c r="BH84" s="42"/>
      <c r="BI84" s="42"/>
    </row>
    <row r="85" spans="33:61" x14ac:dyDescent="0.2">
      <c r="AG85" s="111"/>
      <c r="AH85" s="112"/>
      <c r="AI85" s="112"/>
      <c r="AJ85" s="112"/>
      <c r="AK85" s="112"/>
      <c r="AL85" s="112"/>
      <c r="AN85" s="114"/>
      <c r="AO85" s="115"/>
      <c r="AP85" s="115"/>
      <c r="AQ85" s="115"/>
      <c r="AR85" s="115"/>
      <c r="AS85" s="115"/>
      <c r="AU85" s="129"/>
      <c r="AV85" s="140"/>
      <c r="AW85" s="140"/>
      <c r="AX85" s="141"/>
      <c r="AY85" s="142"/>
      <c r="AZ85" s="143"/>
      <c r="BA85" s="141"/>
      <c r="BB85" s="127"/>
      <c r="BC85" s="102"/>
      <c r="BD85" s="140"/>
      <c r="BE85" s="85"/>
      <c r="BF85" s="42"/>
      <c r="BG85" s="42"/>
      <c r="BH85" s="42"/>
      <c r="BI85" s="42"/>
    </row>
    <row r="86" spans="33:61" x14ac:dyDescent="0.2">
      <c r="AG86" s="111"/>
      <c r="AH86" s="112"/>
      <c r="AI86" s="112"/>
      <c r="AJ86" s="112"/>
      <c r="AK86" s="112"/>
      <c r="AL86" s="112"/>
      <c r="AN86" s="114"/>
      <c r="AO86" s="115"/>
      <c r="AP86" s="115"/>
      <c r="AQ86" s="115"/>
      <c r="AR86" s="115"/>
      <c r="AS86" s="115"/>
      <c r="AU86" s="129"/>
      <c r="AV86" s="140"/>
      <c r="AW86" s="140"/>
      <c r="AX86" s="141"/>
      <c r="AY86" s="142"/>
      <c r="AZ86" s="143"/>
      <c r="BA86" s="141"/>
      <c r="BB86" s="127"/>
      <c r="BC86" s="102"/>
      <c r="BD86" s="140"/>
      <c r="BE86" s="85"/>
      <c r="BF86" s="42"/>
      <c r="BG86" s="42"/>
      <c r="BH86" s="42"/>
      <c r="BI86" s="42"/>
    </row>
    <row r="87" spans="33:61" x14ac:dyDescent="0.2">
      <c r="AG87" s="111"/>
      <c r="AH87" s="112"/>
      <c r="AI87" s="112"/>
      <c r="AJ87" s="112"/>
      <c r="AK87" s="112"/>
      <c r="AL87" s="112"/>
      <c r="AN87" s="114"/>
      <c r="AO87" s="115"/>
      <c r="AP87" s="115"/>
      <c r="AQ87" s="115"/>
      <c r="AR87" s="115"/>
      <c r="AS87" s="115"/>
      <c r="AU87" s="130" t="str">
        <f>_xlfn.XLOOKUP(8,LiabilitiesMaster[Num],LiabilitiesMaster[Name])</f>
        <v>Bonds Payable</v>
      </c>
      <c r="AV87" s="140"/>
      <c r="AW87" s="140">
        <f>IFERROR(_xlfn.XLOOKUP(AU87,BegBalSht[Account],BegBalSht[Amount]),0)</f>
        <v>0</v>
      </c>
      <c r="AX87" s="141" t="s">
        <v>94</v>
      </c>
      <c r="AY87" s="142">
        <f ca="1">IFERROR(_xlfn.XLOOKUP(AU87,$AI$67:$AI$80,$AK$67:$AK$80),0)</f>
        <v>0</v>
      </c>
      <c r="AZ87" s="143">
        <f>IFERROR(_xlfn.XLOOKUP(AU87,$AJ$51:$AJ$64,$AL$51:$AL$64),0)</f>
        <v>0</v>
      </c>
      <c r="BA87" s="141" t="s">
        <v>128</v>
      </c>
      <c r="BB87" s="127"/>
      <c r="BC87" s="102">
        <f>AW87-BG87+BH87</f>
        <v>0</v>
      </c>
      <c r="BD87" s="145">
        <f ca="1">-MIN(BC87-AW87-SUM(AZ87:AZ90)+SUM(AY87:AY90),0)</f>
        <v>0</v>
      </c>
      <c r="BE87" s="146">
        <f ca="1">MAX(BC87-AW87-SUM(AZ87:AZ90)+SUM(AY87:AY90),0)</f>
        <v>0</v>
      </c>
      <c r="BF87" s="42"/>
      <c r="BG87" s="42">
        <f>SUMIF(Answers[DrAccnt],AU87,Answers[DrAmt])</f>
        <v>0</v>
      </c>
      <c r="BH87" s="42">
        <f>SUMIF(Answers[CrAccnt],AU87,Answers[CrAmt])</f>
        <v>0</v>
      </c>
      <c r="BI87" s="42"/>
    </row>
    <row r="88" spans="33:61" x14ac:dyDescent="0.2">
      <c r="AG88" s="111"/>
      <c r="AH88" s="112"/>
      <c r="AI88" s="112"/>
      <c r="AJ88" s="112"/>
      <c r="AK88" s="112"/>
      <c r="AL88" s="112"/>
      <c r="AN88" s="114"/>
      <c r="AO88" s="115"/>
      <c r="AP88" s="115"/>
      <c r="AQ88" s="115"/>
      <c r="AR88" s="115"/>
      <c r="AS88" s="115"/>
      <c r="AU88" s="129"/>
      <c r="AV88" s="140"/>
      <c r="AW88" s="140"/>
      <c r="AX88" s="141" t="s">
        <v>110</v>
      </c>
      <c r="AY88" s="142">
        <f>IFERROR(_xlfn.XLOOKUP(AU87,AB59:AB64,AD59:AD64),0)</f>
        <v>0</v>
      </c>
      <c r="AZ88" s="143"/>
      <c r="BA88" s="141"/>
      <c r="BB88" s="127"/>
      <c r="BC88" s="102"/>
      <c r="BD88" s="140"/>
      <c r="BE88" s="85"/>
      <c r="BF88" s="42"/>
      <c r="BG88" s="42"/>
      <c r="BH88" s="42"/>
      <c r="BI88" s="42"/>
    </row>
    <row r="89" spans="33:61" x14ac:dyDescent="0.2">
      <c r="AU89" s="129"/>
      <c r="AV89" s="140"/>
      <c r="AW89" s="140"/>
      <c r="AX89" s="141"/>
      <c r="AY89" s="142"/>
      <c r="AZ89" s="143"/>
      <c r="BA89" s="141"/>
      <c r="BB89" s="127"/>
      <c r="BC89" s="102"/>
      <c r="BD89" s="140"/>
      <c r="BE89" s="85"/>
      <c r="BF89" s="42"/>
      <c r="BG89" s="42"/>
      <c r="BH89" s="42"/>
      <c r="BI89" s="42"/>
    </row>
    <row r="90" spans="33:61" x14ac:dyDescent="0.2">
      <c r="AG90" s="5" t="s">
        <v>502</v>
      </c>
      <c r="AJ90" s="4" t="s">
        <v>133</v>
      </c>
      <c r="AU90" s="129"/>
      <c r="AV90" s="140"/>
      <c r="AW90" s="140"/>
      <c r="AX90" s="141"/>
      <c r="AY90" s="142"/>
      <c r="AZ90" s="143"/>
      <c r="BA90" s="141"/>
      <c r="BB90" s="127"/>
      <c r="BC90" s="102"/>
      <c r="BD90" s="140"/>
      <c r="BE90" s="85"/>
      <c r="BF90" s="42"/>
      <c r="BG90" s="42"/>
      <c r="BH90" s="42"/>
      <c r="BI90" s="42"/>
    </row>
    <row r="91" spans="33:61" x14ac:dyDescent="0.2">
      <c r="AG91" s="111" t="e" cm="1">
        <f t="array" aca="1" ref="AG91" ca="1">_xlfn._xlws.FILTER(Answers[ref]:Answers[CrAmt],Answers[ref2]=AJ90,"")</f>
        <v>#NAME?</v>
      </c>
      <c r="AH91" s="112"/>
      <c r="AI91" s="112"/>
      <c r="AJ91" s="112"/>
      <c r="AK91" s="112"/>
      <c r="AL91" s="112"/>
      <c r="AU91" s="130" t="e">
        <f ca="1">_xlfn.XLOOKUP(9,LiabilitiesMaster[Num],LiabilitiesMaster[Name])</f>
        <v>#NAME?</v>
      </c>
      <c r="AV91" s="140"/>
      <c r="AW91" s="140">
        <f ca="1">IFERROR(_xlfn.XLOOKUP(AU91,BegBalSht[Account],BegBalSht[Amount]),0)</f>
        <v>0</v>
      </c>
      <c r="AX91" s="141" t="s">
        <v>94</v>
      </c>
      <c r="AY91" s="142">
        <f ca="1">IFERROR(_xlfn.XLOOKUP(AU91,$AI$67:$AI$80,$AK$67:$AK$80),0)</f>
        <v>0</v>
      </c>
      <c r="AZ91" s="143">
        <f ca="1">IFERROR(_xlfn.XLOOKUP(AU91,$AJ$51:$AJ$64,$AL$51:$AL$64),0)</f>
        <v>0</v>
      </c>
      <c r="BA91" s="141" t="s">
        <v>128</v>
      </c>
      <c r="BB91" s="127"/>
      <c r="BC91" s="102">
        <f ca="1">AW91-BG91+BH91</f>
        <v>0</v>
      </c>
      <c r="BD91" s="145">
        <f ca="1">-MIN(BC91-AW91-SUM(AZ91:AZ94)+SUM(AY91:AY94),0)</f>
        <v>0</v>
      </c>
      <c r="BE91" s="146">
        <f ca="1">MAX(BC91-AW91-SUM(AZ91:AZ94)+SUM(AY91:AY94),0)</f>
        <v>0</v>
      </c>
      <c r="BF91" s="42"/>
      <c r="BG91" s="42">
        <f ca="1">SUMIF(Answers[DrAccnt],AU91,Answers[DrAmt])</f>
        <v>0</v>
      </c>
      <c r="BH91" s="42">
        <f ca="1">SUMIF(Answers[CrAccnt],AU91,Answers[CrAmt])</f>
        <v>0</v>
      </c>
      <c r="BI91" s="42"/>
    </row>
    <row r="92" spans="33:61" x14ac:dyDescent="0.2">
      <c r="AG92" s="111"/>
      <c r="AH92" s="112"/>
      <c r="AI92" s="112"/>
      <c r="AJ92" s="112"/>
      <c r="AK92" s="112"/>
      <c r="AL92" s="112"/>
      <c r="AU92" s="129"/>
      <c r="AV92" s="140"/>
      <c r="AW92" s="140"/>
      <c r="AX92" s="141"/>
      <c r="AY92" s="142"/>
      <c r="AZ92" s="143"/>
      <c r="BA92" s="141"/>
      <c r="BB92" s="127"/>
      <c r="BC92" s="102"/>
      <c r="BD92" s="140"/>
      <c r="BE92" s="85"/>
      <c r="BF92" s="42"/>
      <c r="BG92" s="42"/>
      <c r="BH92" s="42"/>
      <c r="BI92" s="42"/>
    </row>
    <row r="93" spans="33:61" x14ac:dyDescent="0.2">
      <c r="AG93" s="111"/>
      <c r="AH93" s="112"/>
      <c r="AI93" s="112"/>
      <c r="AJ93" s="112"/>
      <c r="AK93" s="112"/>
      <c r="AL93" s="112"/>
      <c r="AU93" s="129"/>
      <c r="AV93" s="140"/>
      <c r="AW93" s="140"/>
      <c r="AX93" s="141"/>
      <c r="AY93" s="142"/>
      <c r="AZ93" s="143"/>
      <c r="BA93" s="141"/>
      <c r="BB93" s="127"/>
      <c r="BC93" s="102"/>
      <c r="BD93" s="140"/>
      <c r="BE93" s="85"/>
      <c r="BF93" s="42"/>
      <c r="BG93" s="42"/>
      <c r="BH93" s="42"/>
      <c r="BI93" s="42"/>
    </row>
    <row r="94" spans="33:61" x14ac:dyDescent="0.2">
      <c r="AG94" s="111"/>
      <c r="AH94" s="112"/>
      <c r="AI94" s="112"/>
      <c r="AJ94" s="112"/>
      <c r="AK94" s="112"/>
      <c r="AL94" s="112"/>
      <c r="AU94" s="129"/>
      <c r="AV94" s="140"/>
      <c r="AW94" s="140"/>
      <c r="AX94" s="141"/>
      <c r="AY94" s="142"/>
      <c r="AZ94" s="143"/>
      <c r="BA94" s="141"/>
      <c r="BB94" s="127"/>
      <c r="BC94" s="102"/>
      <c r="BD94" s="140"/>
      <c r="BE94" s="85"/>
      <c r="BF94" s="42"/>
      <c r="BG94" s="42"/>
      <c r="BH94" s="42"/>
      <c r="BI94" s="42"/>
    </row>
    <row r="95" spans="33:61" x14ac:dyDescent="0.2">
      <c r="AG95" s="111"/>
      <c r="AH95" s="112"/>
      <c r="AI95" s="112"/>
      <c r="AJ95" s="112"/>
      <c r="AK95" s="112"/>
      <c r="AL95" s="112"/>
      <c r="AU95" s="130" t="str">
        <f>_xlfn.XLOOKUP(10,LiabilitiesMaster[Num],LiabilitiesMaster[Name])</f>
        <v>Senior Debt</v>
      </c>
      <c r="AV95" s="140"/>
      <c r="AW95" s="140">
        <f>IFERROR(_xlfn.XLOOKUP(AU95,BegBalSht[Account],BegBalSht[Amount]),0)</f>
        <v>0</v>
      </c>
      <c r="AX95" s="141" t="s">
        <v>94</v>
      </c>
      <c r="AY95" s="142">
        <f ca="1">IFERROR(_xlfn.XLOOKUP(AU95,$AI$67:$AI$80,$AK$67:$AK$80),0)</f>
        <v>0</v>
      </c>
      <c r="AZ95" s="143">
        <f>IFERROR(_xlfn.XLOOKUP(AU95,$AJ$51:$AJ$64,$AL$51:$AL$64),0)</f>
        <v>0</v>
      </c>
      <c r="BA95" s="141" t="s">
        <v>128</v>
      </c>
      <c r="BB95" s="127"/>
      <c r="BC95" s="102">
        <f>AW95-BG95+BH95</f>
        <v>0</v>
      </c>
      <c r="BD95" s="145">
        <f ca="1">-MIN(BC95-AW95-SUM(AZ95:AZ98)+SUM(AY95:AY98),0)</f>
        <v>0</v>
      </c>
      <c r="BE95" s="146">
        <f ca="1">MAX(BC95-AW95-SUM(AZ95:AZ98)+SUM(AY95:AY98),0)</f>
        <v>0</v>
      </c>
      <c r="BF95" s="42"/>
      <c r="BG95" s="42">
        <f>SUMIF(Answers[DrAccnt],AU95,Answers[DrAmt])</f>
        <v>0</v>
      </c>
      <c r="BH95" s="42">
        <f>SUMIF(Answers[CrAccnt],AU95,Answers[CrAmt])</f>
        <v>0</v>
      </c>
      <c r="BI95" s="42"/>
    </row>
    <row r="96" spans="33:61" x14ac:dyDescent="0.2">
      <c r="AG96" s="111"/>
      <c r="AH96" s="112"/>
      <c r="AI96" s="112"/>
      <c r="AJ96" s="112"/>
      <c r="AK96" s="112"/>
      <c r="AL96" s="112"/>
      <c r="AU96" s="129"/>
      <c r="AV96" s="140"/>
      <c r="AW96" s="140"/>
      <c r="AX96" s="141"/>
      <c r="AY96" s="142"/>
      <c r="AZ96" s="143"/>
      <c r="BA96" s="141"/>
      <c r="BB96" s="127"/>
      <c r="BC96" s="102"/>
      <c r="BD96" s="140"/>
      <c r="BE96" s="85"/>
      <c r="BF96" s="42"/>
      <c r="BG96" s="42"/>
      <c r="BH96" s="42"/>
      <c r="BI96" s="42"/>
    </row>
    <row r="97" spans="47:61" x14ac:dyDescent="0.2">
      <c r="AU97" s="129"/>
      <c r="AV97" s="140"/>
      <c r="AW97" s="140"/>
      <c r="AX97" s="141"/>
      <c r="AY97" s="142"/>
      <c r="AZ97" s="143"/>
      <c r="BA97" s="141"/>
      <c r="BB97" s="127"/>
      <c r="BC97" s="102"/>
      <c r="BD97" s="140"/>
      <c r="BE97" s="85"/>
      <c r="BF97" s="42"/>
      <c r="BG97" s="42"/>
      <c r="BH97" s="42"/>
      <c r="BI97" s="42"/>
    </row>
    <row r="98" spans="47:61" x14ac:dyDescent="0.2">
      <c r="AU98" s="129"/>
      <c r="AV98" s="140"/>
      <c r="AW98" s="140"/>
      <c r="AX98" s="141"/>
      <c r="AY98" s="142"/>
      <c r="AZ98" s="143"/>
      <c r="BA98" s="141"/>
      <c r="BB98" s="127"/>
      <c r="BC98" s="102"/>
      <c r="BD98" s="140"/>
      <c r="BE98" s="85"/>
      <c r="BF98" s="42"/>
      <c r="BG98" s="42"/>
      <c r="BH98" s="42"/>
      <c r="BI98" s="42"/>
    </row>
    <row r="99" spans="47:61" x14ac:dyDescent="0.2">
      <c r="AU99" s="130" t="str">
        <f>_xlfn.XLOOKUP(11,LiabilitiesMaster[Num],LiabilitiesMaster[Name])</f>
        <v>Subordinated Debt</v>
      </c>
      <c r="AV99" s="140"/>
      <c r="AW99" s="140">
        <f>IFERROR(_xlfn.XLOOKUP(AU99,BegBalSht[Account],BegBalSht[Amount]),0)</f>
        <v>0</v>
      </c>
      <c r="AX99" s="141" t="s">
        <v>94</v>
      </c>
      <c r="AY99" s="142">
        <f ca="1">IFERROR(_xlfn.XLOOKUP(AU99,$AI$67:$AI$80,$AK$67:$AK$80),0)</f>
        <v>0</v>
      </c>
      <c r="AZ99" s="143">
        <f>IFERROR(_xlfn.XLOOKUP(AU99,$AJ$51:$AJ$64,$AL$51:$AL$64),0)</f>
        <v>0</v>
      </c>
      <c r="BA99" s="141" t="s">
        <v>128</v>
      </c>
      <c r="BB99" s="127"/>
      <c r="BC99" s="102">
        <f>AW99-BG99+BH99</f>
        <v>0</v>
      </c>
      <c r="BD99" s="145">
        <f ca="1">-MIN(BC99-AW99-SUM(AZ99:AZ102)+SUM(AY99:AY102),0)</f>
        <v>0</v>
      </c>
      <c r="BE99" s="146">
        <f ca="1">MAX(BC99-AW99-SUM(AZ99:AZ102)+SUM(AY99:AY102),0)</f>
        <v>0</v>
      </c>
      <c r="BF99" s="42"/>
      <c r="BG99" s="42">
        <f>SUMIF(Answers[DrAccnt],AU99,Answers[DrAmt])</f>
        <v>0</v>
      </c>
      <c r="BH99" s="42">
        <f>SUMIF(Answers[CrAccnt],AU99,Answers[CrAmt])</f>
        <v>0</v>
      </c>
      <c r="BI99" s="42"/>
    </row>
    <row r="100" spans="47:61" x14ac:dyDescent="0.2">
      <c r="AU100" s="129"/>
      <c r="AV100" s="140"/>
      <c r="AW100" s="140"/>
      <c r="AX100" s="141"/>
      <c r="AY100" s="142"/>
      <c r="AZ100" s="143"/>
      <c r="BA100" s="141"/>
      <c r="BB100" s="127"/>
      <c r="BC100" s="102"/>
      <c r="BD100" s="140"/>
      <c r="BE100" s="85"/>
      <c r="BF100" s="42"/>
      <c r="BG100" s="42"/>
      <c r="BH100" s="42"/>
      <c r="BI100" s="42"/>
    </row>
    <row r="101" spans="47:61" x14ac:dyDescent="0.2">
      <c r="AU101" s="129"/>
      <c r="AV101" s="140"/>
      <c r="AW101" s="140"/>
      <c r="AX101" s="141"/>
      <c r="AY101" s="142"/>
      <c r="AZ101" s="143"/>
      <c r="BA101" s="141"/>
      <c r="BB101" s="127"/>
      <c r="BC101" s="102"/>
      <c r="BD101" s="140"/>
      <c r="BE101" s="85"/>
      <c r="BF101" s="42"/>
      <c r="BG101" s="42"/>
      <c r="BH101" s="42"/>
      <c r="BI101" s="42"/>
    </row>
    <row r="102" spans="47:61" x14ac:dyDescent="0.2">
      <c r="AU102" s="129"/>
      <c r="AV102" s="140"/>
      <c r="AW102" s="140"/>
      <c r="AX102" s="141"/>
      <c r="AY102" s="142"/>
      <c r="AZ102" s="143"/>
      <c r="BA102" s="141"/>
      <c r="BB102" s="127"/>
      <c r="BC102" s="102"/>
      <c r="BD102" s="140"/>
      <c r="BE102" s="85"/>
      <c r="BF102" s="42"/>
      <c r="BG102" s="42"/>
      <c r="BH102" s="42"/>
      <c r="BI102" s="42"/>
    </row>
    <row r="103" spans="47:61" x14ac:dyDescent="0.2">
      <c r="AU103" s="130" t="str">
        <f>_xlfn.XLOOKUP(1,EquitiesMaster[Num],EquitiesMaster[Name])</f>
        <v>Preferred Stock</v>
      </c>
      <c r="AV103" s="140"/>
      <c r="AW103" s="140">
        <f>IFERROR(_xlfn.XLOOKUP(AU103,BegBalSht[Account],BegBalSht[Amount]),0)</f>
        <v>0</v>
      </c>
      <c r="AX103" s="141"/>
      <c r="AY103" s="142"/>
      <c r="AZ103" s="143"/>
      <c r="BA103" s="141"/>
      <c r="BB103" s="127"/>
      <c r="BC103" s="102">
        <f>AW103-BG103+BH103</f>
        <v>0</v>
      </c>
      <c r="BD103" s="145">
        <f>-MIN(BC103-AW103-SUM(AZ103:AZ106)+SUM(AY103:AY106),0)</f>
        <v>0</v>
      </c>
      <c r="BE103" s="146">
        <f>MAX(BC103-AW103-SUM(AZ103:AZ106)+SUM(AY103:AY106),0)</f>
        <v>0</v>
      </c>
      <c r="BF103" s="42"/>
      <c r="BG103" s="42">
        <f>SUMIF(Answers[DrAccnt],AU103,Answers[DrAmt])</f>
        <v>0</v>
      </c>
      <c r="BH103" s="42">
        <f>SUMIF(Answers[CrAccnt],AU103,Answers[CrAmt])</f>
        <v>0</v>
      </c>
      <c r="BI103" s="42"/>
    </row>
    <row r="104" spans="47:61" x14ac:dyDescent="0.2">
      <c r="AU104" s="129"/>
      <c r="AV104" s="140"/>
      <c r="AW104" s="140"/>
      <c r="AX104" s="141"/>
      <c r="AY104" s="142"/>
      <c r="AZ104" s="143"/>
      <c r="BA104" s="141"/>
      <c r="BB104" s="127"/>
      <c r="BC104" s="102"/>
      <c r="BD104" s="140"/>
      <c r="BE104" s="85"/>
      <c r="BF104" s="42"/>
      <c r="BG104" s="42"/>
      <c r="BH104" s="42"/>
      <c r="BI104" s="42"/>
    </row>
    <row r="105" spans="47:61" x14ac:dyDescent="0.2">
      <c r="AU105" s="129"/>
      <c r="AV105" s="140"/>
      <c r="AW105" s="140"/>
      <c r="AX105" s="141"/>
      <c r="AY105" s="142"/>
      <c r="AZ105" s="143"/>
      <c r="BA105" s="141"/>
      <c r="BB105" s="127"/>
      <c r="BC105" s="102"/>
      <c r="BD105" s="140"/>
      <c r="BE105" s="85"/>
      <c r="BF105" s="42"/>
      <c r="BG105" s="42"/>
      <c r="BH105" s="42"/>
      <c r="BI105" s="42"/>
    </row>
    <row r="106" spans="47:61" x14ac:dyDescent="0.2">
      <c r="AU106" s="129"/>
      <c r="AV106" s="140"/>
      <c r="AW106" s="140"/>
      <c r="AX106" s="141"/>
      <c r="AY106" s="142"/>
      <c r="AZ106" s="143"/>
      <c r="BA106" s="141"/>
      <c r="BB106" s="127"/>
      <c r="BC106" s="102"/>
      <c r="BD106" s="140"/>
      <c r="BE106" s="85"/>
      <c r="BF106" s="42"/>
      <c r="BG106" s="42"/>
      <c r="BH106" s="42"/>
      <c r="BI106" s="42"/>
    </row>
    <row r="107" spans="47:61" x14ac:dyDescent="0.2">
      <c r="AU107" s="130" t="str">
        <f>_xlfn.XLOOKUP(2,EquitiesMaster[Num],EquitiesMaster[Name])</f>
        <v>Common Stock</v>
      </c>
      <c r="AV107" s="140"/>
      <c r="AW107" s="140">
        <f>IFERROR(_xlfn.XLOOKUP(AU107,BegBalSht[Account],BegBalSht[Amount]),0)</f>
        <v>0</v>
      </c>
      <c r="AX107" s="141"/>
      <c r="AY107" s="142"/>
      <c r="AZ107" s="143">
        <f>IFERROR(_xlfn.XLOOKUP(AU107,$AC$3:$AC$8,$AE$3:$AE$8),0)</f>
        <v>0</v>
      </c>
      <c r="BA107" s="141" t="s">
        <v>96</v>
      </c>
      <c r="BB107" s="127"/>
      <c r="BC107" s="102">
        <f>AW107-BG107+BH107</f>
        <v>0</v>
      </c>
      <c r="BD107" s="145">
        <f>-MIN(BC107-AW107-SUM(AZ107:AZ110)+SUM(AY107:AY110),0)</f>
        <v>0</v>
      </c>
      <c r="BE107" s="146">
        <f>MAX(BC107-AW107-SUM(AZ107:AZ110)+SUM(AY107:AY110),0)</f>
        <v>0</v>
      </c>
      <c r="BF107" s="42"/>
      <c r="BG107" s="42">
        <f>SUMIF(Answers[DrAccnt],AU107,Answers[DrAmt])</f>
        <v>0</v>
      </c>
      <c r="BH107" s="42">
        <f>SUMIF(Answers[CrAccnt],AU107,Answers[CrAmt])</f>
        <v>0</v>
      </c>
      <c r="BI107" s="42"/>
    </row>
    <row r="108" spans="47:61" x14ac:dyDescent="0.2">
      <c r="AU108" s="129"/>
      <c r="AV108" s="140"/>
      <c r="AW108" s="140"/>
      <c r="AX108" s="141"/>
      <c r="AY108" s="142"/>
      <c r="AZ108" s="143">
        <f>IFERROR(_xlfn.XLOOKUP(AU107,AQ11:AQ16,AS11:AS16),0)</f>
        <v>0</v>
      </c>
      <c r="BA108" s="141" t="s">
        <v>122</v>
      </c>
      <c r="BB108" s="127"/>
      <c r="BC108" s="102"/>
      <c r="BD108" s="140"/>
      <c r="BE108" s="85"/>
      <c r="BF108" s="42"/>
      <c r="BG108" s="42"/>
      <c r="BH108" s="42"/>
      <c r="BI108" s="42"/>
    </row>
    <row r="109" spans="47:61" x14ac:dyDescent="0.2">
      <c r="AU109" s="129"/>
      <c r="AV109" s="140"/>
      <c r="AW109" s="140"/>
      <c r="AX109" s="141"/>
      <c r="AY109" s="142"/>
      <c r="AZ109" s="143"/>
      <c r="BA109" s="141"/>
      <c r="BB109" s="127"/>
      <c r="BC109" s="102"/>
      <c r="BD109" s="140"/>
      <c r="BE109" s="85"/>
      <c r="BF109" s="42"/>
      <c r="BG109" s="42"/>
      <c r="BH109" s="42"/>
      <c r="BI109" s="42"/>
    </row>
    <row r="110" spans="47:61" x14ac:dyDescent="0.2">
      <c r="AU110" s="129"/>
      <c r="AV110" s="140"/>
      <c r="AW110" s="140"/>
      <c r="AX110" s="141"/>
      <c r="AY110" s="142"/>
      <c r="AZ110" s="143"/>
      <c r="BA110" s="141"/>
      <c r="BB110" s="127"/>
      <c r="BC110" s="102"/>
      <c r="BD110" s="140"/>
      <c r="BE110" s="85"/>
      <c r="BF110" s="42"/>
      <c r="BG110" s="42"/>
      <c r="BH110" s="42"/>
      <c r="BI110" s="42"/>
    </row>
    <row r="111" spans="47:61" x14ac:dyDescent="0.2">
      <c r="AU111" s="130" t="str">
        <f>_xlfn.XLOOKUP(3,EquitiesMaster[Num],EquitiesMaster[Name])</f>
        <v>Additional Paid-in Capital</v>
      </c>
      <c r="AV111" s="140"/>
      <c r="AW111" s="140">
        <f>IFERROR(_xlfn.XLOOKUP(AU111,BegBalSht[Account],BegBalSht[Amount]),0)</f>
        <v>0</v>
      </c>
      <c r="AX111" s="141"/>
      <c r="AY111" s="142"/>
      <c r="AZ111" s="143">
        <f>IFERROR(_xlfn.XLOOKUP(AU111,$AC$3:$AC$8,$AE$3:$AE$8),0)</f>
        <v>0</v>
      </c>
      <c r="BA111" s="141" t="s">
        <v>96</v>
      </c>
      <c r="BB111" s="127"/>
      <c r="BC111" s="102">
        <f>AW111-BG111+BH111</f>
        <v>0</v>
      </c>
      <c r="BD111" s="145">
        <f>-MIN(BC111-AW111-SUM(AZ111:AZ114)+SUM(AY111:AY114),0)</f>
        <v>0</v>
      </c>
      <c r="BE111" s="146">
        <f>MAX(BC111-AW111-SUM(AZ111:AZ114)+SUM(AY111:AY114),0)</f>
        <v>0</v>
      </c>
      <c r="BF111" s="42"/>
      <c r="BG111" s="42">
        <f>SUMIF(Answers[DrAccnt],AU111,Answers[DrAmt])</f>
        <v>0</v>
      </c>
      <c r="BH111" s="42">
        <f>SUMIF(Answers[CrAccnt],AU111,Answers[CrAmt])</f>
        <v>0</v>
      </c>
      <c r="BI111" s="42"/>
    </row>
    <row r="112" spans="47:61" x14ac:dyDescent="0.2">
      <c r="AU112" s="129"/>
      <c r="AV112" s="140"/>
      <c r="AW112" s="140"/>
      <c r="AX112" s="141"/>
      <c r="AY112" s="142"/>
      <c r="AZ112" s="143"/>
      <c r="BA112" s="141"/>
      <c r="BB112" s="127"/>
      <c r="BC112" s="102"/>
      <c r="BD112" s="140"/>
      <c r="BE112" s="85"/>
      <c r="BF112" s="42"/>
      <c r="BG112" s="42"/>
      <c r="BH112" s="42"/>
      <c r="BI112" s="42"/>
    </row>
    <row r="113" spans="47:61" x14ac:dyDescent="0.2">
      <c r="AU113" s="129"/>
      <c r="AV113" s="140"/>
      <c r="AW113" s="140"/>
      <c r="AX113" s="141"/>
      <c r="AY113" s="142"/>
      <c r="AZ113" s="143"/>
      <c r="BA113" s="141"/>
      <c r="BB113" s="127"/>
      <c r="BC113" s="102"/>
      <c r="BD113" s="140"/>
      <c r="BE113" s="85"/>
      <c r="BF113" s="42"/>
      <c r="BG113" s="42"/>
      <c r="BH113" s="42"/>
      <c r="BI113" s="42"/>
    </row>
    <row r="114" spans="47:61" x14ac:dyDescent="0.2">
      <c r="AU114" s="129"/>
      <c r="AV114" s="140"/>
      <c r="AW114" s="140"/>
      <c r="AX114" s="141"/>
      <c r="AY114" s="142"/>
      <c r="AZ114" s="143"/>
      <c r="BA114" s="141"/>
      <c r="BB114" s="127"/>
      <c r="BC114" s="102"/>
      <c r="BD114" s="140"/>
      <c r="BE114" s="85"/>
      <c r="BF114" s="42"/>
      <c r="BG114" s="42"/>
      <c r="BH114" s="42"/>
      <c r="BI114" s="42"/>
    </row>
    <row r="115" spans="47:61" x14ac:dyDescent="0.2">
      <c r="AU115" s="130" t="str">
        <f>_xlfn.XLOOKUP(4,EquitiesMaster[Num],EquitiesMaster[Name])</f>
        <v>Accumulated Other Comprehensive Income</v>
      </c>
      <c r="AV115" s="140"/>
      <c r="AW115" s="140">
        <f>IFERROR(_xlfn.XLOOKUP(AU115,BegBalSht[Account],BegBalSht[Amount]),0)</f>
        <v>0</v>
      </c>
      <c r="AX115" s="141"/>
      <c r="AY115" s="142"/>
      <c r="AZ115" s="143"/>
      <c r="BA115" s="141"/>
      <c r="BB115" s="127"/>
      <c r="BC115" s="102">
        <f>AW115-BG115+BH115</f>
        <v>0</v>
      </c>
      <c r="BD115" s="145">
        <f>-MIN(BC115-AW115-SUM(AZ115:AZ118)+SUM(AY115:AY118),0)</f>
        <v>0</v>
      </c>
      <c r="BE115" s="146">
        <f>MAX(BC115-AW115-SUM(AZ115:AZ118)+SUM(AY115:AY118),0)</f>
        <v>0</v>
      </c>
      <c r="BF115" s="42"/>
      <c r="BG115" s="42">
        <f>SUMIF(Answers[DrAccnt],AU115,Answers[DrAmt])</f>
        <v>0</v>
      </c>
      <c r="BH115" s="42">
        <f>SUMIF(Answers[CrAccnt],AU115,Answers[CrAmt])</f>
        <v>0</v>
      </c>
      <c r="BI115" s="42"/>
    </row>
    <row r="116" spans="47:61" x14ac:dyDescent="0.2">
      <c r="AU116" s="129"/>
      <c r="AV116" s="140"/>
      <c r="AW116" s="140"/>
      <c r="AX116" s="141"/>
      <c r="AY116" s="142"/>
      <c r="AZ116" s="143"/>
      <c r="BA116" s="141"/>
      <c r="BB116" s="127"/>
      <c r="BC116" s="102"/>
      <c r="BD116" s="140"/>
      <c r="BE116" s="85"/>
      <c r="BF116" s="42"/>
      <c r="BG116" s="42"/>
      <c r="BH116" s="42"/>
      <c r="BI116" s="42"/>
    </row>
    <row r="117" spans="47:61" x14ac:dyDescent="0.2">
      <c r="AU117" s="129"/>
      <c r="AV117" s="140"/>
      <c r="AW117" s="140"/>
      <c r="AX117" s="141"/>
      <c r="AY117" s="142"/>
      <c r="AZ117" s="143"/>
      <c r="BA117" s="141"/>
      <c r="BB117" s="127"/>
      <c r="BC117" s="102"/>
      <c r="BD117" s="140"/>
      <c r="BE117" s="85"/>
      <c r="BF117" s="42"/>
      <c r="BG117" s="42"/>
      <c r="BH117" s="42"/>
      <c r="BI117" s="42"/>
    </row>
    <row r="118" spans="47:61" x14ac:dyDescent="0.2">
      <c r="AU118" s="129"/>
      <c r="AV118" s="140"/>
      <c r="AW118" s="140"/>
      <c r="AX118" s="141"/>
      <c r="AY118" s="142"/>
      <c r="AZ118" s="143"/>
      <c r="BA118" s="141"/>
      <c r="BB118" s="127"/>
      <c r="BC118" s="102"/>
      <c r="BD118" s="140"/>
      <c r="BE118" s="85"/>
      <c r="BF118" s="42"/>
      <c r="BG118" s="42"/>
      <c r="BH118" s="42"/>
      <c r="BI118" s="42"/>
    </row>
    <row r="119" spans="47:61" x14ac:dyDescent="0.2">
      <c r="AU119" s="130" t="str">
        <f>_xlfn.XLOOKUP(5,EquitiesMaster[Num],EquitiesMaster[Name])</f>
        <v>Retained Earnings</v>
      </c>
      <c r="AV119" s="140"/>
      <c r="AW119" s="140">
        <f>IFERROR(_xlfn.XLOOKUP(AU119,BegBalSht[Account],BegBalSht[Amount]),0)</f>
        <v>0</v>
      </c>
      <c r="AX119" s="141" t="s">
        <v>106</v>
      </c>
      <c r="AY119" s="142">
        <f>IFERROR(_xlfn.XLOOKUP(AU119,AP27:AP32,AR27:AR32),0)</f>
        <v>0</v>
      </c>
      <c r="AZ119" s="143"/>
      <c r="BA119" s="141"/>
      <c r="BB119" s="127"/>
      <c r="BC119" s="102">
        <f>AW119-BG119+BH119</f>
        <v>0</v>
      </c>
      <c r="BD119" s="147">
        <f>-MIN(BC119-AW119-SUM(AZ119:AZ122)+SUM(AY119:AY122),0)</f>
        <v>0</v>
      </c>
      <c r="BE119" s="148">
        <f>MAX(BC119-AW119-SUM(AZ119:AZ122)+SUM(AY119:AY122),0)</f>
        <v>0</v>
      </c>
      <c r="BF119" s="42"/>
      <c r="BG119" s="42">
        <f>SUMIF(Answers[DrAccnt],AU119,Answers[DrAmt])</f>
        <v>0</v>
      </c>
      <c r="BH119" s="42">
        <f>SUMIF(Answers[CrAccnt],AU119,Answers[CrAmt])</f>
        <v>0</v>
      </c>
      <c r="BI119" s="42"/>
    </row>
    <row r="120" spans="47:61" x14ac:dyDescent="0.2">
      <c r="AU120" s="129"/>
      <c r="AV120" s="140"/>
      <c r="AW120" s="140"/>
      <c r="AX120" s="141"/>
      <c r="AY120" s="142"/>
      <c r="AZ120" s="143"/>
      <c r="BA120" s="141"/>
      <c r="BB120" s="127"/>
      <c r="BC120" s="102"/>
      <c r="BD120" s="140"/>
      <c r="BE120" s="85"/>
      <c r="BF120" s="42"/>
      <c r="BG120" s="42"/>
      <c r="BH120" s="42"/>
      <c r="BI120" s="42"/>
    </row>
    <row r="121" spans="47:61" x14ac:dyDescent="0.2">
      <c r="AU121" s="129"/>
      <c r="AV121" s="140"/>
      <c r="AW121" s="140"/>
      <c r="AX121" s="141"/>
      <c r="AY121" s="142"/>
      <c r="AZ121" s="143"/>
      <c r="BA121" s="141"/>
      <c r="BB121" s="127"/>
      <c r="BC121" s="102"/>
      <c r="BD121" s="140"/>
      <c r="BE121" s="85"/>
      <c r="BF121" s="42"/>
      <c r="BG121" s="42"/>
      <c r="BH121" s="42"/>
      <c r="BI121" s="42"/>
    </row>
    <row r="122" spans="47:61" x14ac:dyDescent="0.2">
      <c r="AU122" s="129"/>
      <c r="AV122" s="140"/>
      <c r="AW122" s="140"/>
      <c r="AX122" s="141"/>
      <c r="AY122" s="142"/>
      <c r="AZ122" s="143"/>
      <c r="BA122" s="141"/>
      <c r="BB122" s="127"/>
      <c r="BC122" s="102"/>
      <c r="BD122" s="140"/>
      <c r="BE122" s="85"/>
      <c r="BF122" s="42"/>
      <c r="BG122" s="42"/>
      <c r="BH122" s="42"/>
      <c r="BI122" s="42"/>
    </row>
    <row r="123" spans="47:61" x14ac:dyDescent="0.2">
      <c r="AU123" s="130" t="str">
        <f>_xlfn.XLOOKUP(6,EquitiesMaster[Num],EquitiesMaster[Name])</f>
        <v>Treasury Stock</v>
      </c>
      <c r="AV123" s="140" cm="1">
        <f t="array" ref="AV123">IFERROR(_xlfn.XLOOKUP(AU123,BegBalSht[Account],-BegBalSht[Amount]),0)</f>
        <v>0</v>
      </c>
      <c r="AW123" s="140"/>
      <c r="AX123" s="141"/>
      <c r="AY123" s="142"/>
      <c r="AZ123" s="143"/>
      <c r="BA123" s="141"/>
      <c r="BB123" s="127">
        <f>AV123+BG123-BH123</f>
        <v>0</v>
      </c>
      <c r="BC123" s="102"/>
      <c r="BD123" s="147">
        <f>-MIN(BC123-AW123-SUM(AZ123:AZ126)+SUM(AY123:AY126),0)</f>
        <v>0</v>
      </c>
      <c r="BE123" s="148">
        <f>MAX(BC123-AW123-SUM(AZ123:AZ126)+SUM(AY123:AY126),0)</f>
        <v>0</v>
      </c>
      <c r="BF123" s="42"/>
      <c r="BG123" s="42">
        <f>SUMIF(Answers[DrAccnt],AU123,Answers[DrAmt])</f>
        <v>0</v>
      </c>
      <c r="BH123" s="42">
        <f>SUMIF(Answers[CrAccnt],AU123,Answers[CrAmt])</f>
        <v>0</v>
      </c>
      <c r="BI123" s="42"/>
    </row>
    <row r="124" spans="47:61" x14ac:dyDescent="0.2">
      <c r="AU124" s="129"/>
      <c r="AV124" s="127"/>
      <c r="AW124" s="127"/>
      <c r="AX124" s="149"/>
      <c r="AY124" s="108"/>
      <c r="AZ124" s="108"/>
      <c r="BA124" s="141"/>
      <c r="BB124" s="127"/>
      <c r="BC124" s="102"/>
      <c r="BD124" s="150"/>
      <c r="BE124" s="151"/>
      <c r="BF124" s="42"/>
      <c r="BG124" s="42"/>
      <c r="BH124" s="42"/>
      <c r="BI124" s="42"/>
    </row>
    <row r="125" spans="47:61" x14ac:dyDescent="0.2">
      <c r="AU125" s="129"/>
      <c r="AV125" s="127"/>
      <c r="AW125" s="127"/>
      <c r="AX125" s="152"/>
      <c r="AY125" s="108"/>
      <c r="AZ125" s="108"/>
      <c r="BA125" s="141"/>
      <c r="BB125" s="127"/>
      <c r="BC125" s="102"/>
      <c r="BD125" s="150"/>
      <c r="BE125" s="151"/>
      <c r="BF125" s="42"/>
      <c r="BG125" s="42"/>
      <c r="BH125" s="42"/>
      <c r="BI125" s="42"/>
    </row>
    <row r="126" spans="47:61" x14ac:dyDescent="0.2">
      <c r="AU126" s="129"/>
      <c r="AV126" s="140"/>
      <c r="AW126" s="140"/>
      <c r="AX126" s="141"/>
      <c r="AY126" s="142"/>
      <c r="AZ126" s="143"/>
      <c r="BA126" s="141"/>
      <c r="BB126" s="127"/>
      <c r="BC126" s="102"/>
      <c r="BD126" s="140"/>
      <c r="BE126" s="85"/>
      <c r="BF126" s="42"/>
      <c r="BG126" s="42"/>
      <c r="BH126" s="42"/>
      <c r="BI126" s="42"/>
    </row>
    <row r="127" spans="47:61" x14ac:dyDescent="0.2">
      <c r="AU127" s="130" t="str">
        <f>_xlfn.XLOOKUP(7,EquitiesMaster[Num],EquitiesMaster[Name])</f>
        <v>Noncontrolling Interests in Subsidiaries</v>
      </c>
      <c r="AV127" s="140" cm="1">
        <f t="array" ref="AV127">IFERROR(_xlfn.XLOOKUP(AU127,BegBalSht[Account],-BegBalSht[Amount]),0)</f>
        <v>0</v>
      </c>
      <c r="AW127" s="140"/>
      <c r="AX127" s="141"/>
      <c r="AY127" s="142"/>
      <c r="AZ127" s="143"/>
      <c r="BA127" s="141"/>
      <c r="BB127" s="127">
        <f>AV127+BG127-BH127</f>
        <v>0</v>
      </c>
      <c r="BC127" s="102"/>
      <c r="BD127" s="147">
        <f>MAX(BB127-AV127-SUM(AY127:AY130)+SUM(AZ127:AZ130),0)</f>
        <v>0</v>
      </c>
      <c r="BE127" s="148">
        <f>-MIN(BB127-AV127-SUM(AY127:AY130)+SUM(AZ127:AZ130),0)</f>
        <v>0</v>
      </c>
      <c r="BF127" s="42"/>
      <c r="BG127" s="42">
        <f>SUMIF(Answers[DrAccnt],AU127,Answers[DrAmt])</f>
        <v>0</v>
      </c>
      <c r="BH127" s="42">
        <f>SUMIF(Answers[CrAccnt],AU127,Answers[CrAmt])</f>
        <v>0</v>
      </c>
      <c r="BI127" s="42"/>
    </row>
    <row r="128" spans="47:61" x14ac:dyDescent="0.2">
      <c r="AU128" s="129"/>
      <c r="AV128" s="140"/>
      <c r="AW128" s="140"/>
      <c r="AX128" s="141"/>
      <c r="AY128" s="142"/>
      <c r="AZ128" s="143"/>
      <c r="BA128" s="141"/>
      <c r="BB128" s="127"/>
      <c r="BC128" s="102"/>
      <c r="BD128" s="140"/>
      <c r="BE128" s="85"/>
      <c r="BF128" s="42"/>
    </row>
    <row r="129" spans="47:61" x14ac:dyDescent="0.2">
      <c r="AU129" s="129"/>
      <c r="AV129" s="140"/>
      <c r="AW129" s="140"/>
      <c r="AX129" s="141"/>
      <c r="AY129" s="142"/>
      <c r="AZ129" s="143"/>
      <c r="BA129" s="141"/>
      <c r="BB129" s="127"/>
      <c r="BC129" s="102"/>
      <c r="BD129" s="140"/>
      <c r="BE129" s="85"/>
      <c r="BF129" s="42"/>
    </row>
    <row r="130" spans="47:61" ht="16" thickBot="1" x14ac:dyDescent="0.25">
      <c r="AU130" s="131"/>
      <c r="AV130" s="132"/>
      <c r="AW130" s="132"/>
      <c r="AX130" s="153"/>
      <c r="AY130" s="109"/>
      <c r="AZ130" s="109"/>
      <c r="BA130" s="154"/>
      <c r="BB130" s="132"/>
      <c r="BC130" s="155"/>
      <c r="BD130" s="150"/>
      <c r="BE130" s="156"/>
      <c r="BF130" s="42"/>
    </row>
    <row r="131" spans="47:61" ht="17" thickTop="1" thickBot="1" x14ac:dyDescent="0.25">
      <c r="AV131" s="140"/>
      <c r="AW131" s="140"/>
      <c r="AX131" s="141"/>
      <c r="AY131" s="157" t="s">
        <v>159</v>
      </c>
      <c r="AZ131" s="157"/>
      <c r="BA131" s="141"/>
      <c r="BB131" s="140"/>
      <c r="BC131" s="140"/>
      <c r="BD131" s="158"/>
      <c r="BE131" s="158"/>
      <c r="BF131" s="42"/>
    </row>
    <row r="132" spans="47:61" x14ac:dyDescent="0.2">
      <c r="AV132" s="42"/>
      <c r="AW132" s="42"/>
      <c r="AX132" s="159" t="s">
        <v>517</v>
      </c>
      <c r="AY132" s="42">
        <f>_xlfn.XLOOKUP("Cash",BegBalSht[Account],BegBalSht[Amount])</f>
        <v>0</v>
      </c>
      <c r="AZ132" s="42"/>
      <c r="BA132" s="160"/>
      <c r="BB132" s="42"/>
      <c r="BC132" s="42"/>
      <c r="BD132" s="42"/>
      <c r="BE132" s="42"/>
      <c r="BF132" s="42"/>
    </row>
    <row r="133" spans="47:61" x14ac:dyDescent="0.2">
      <c r="AV133" s="42"/>
      <c r="AW133" s="42"/>
      <c r="AX133" s="160"/>
      <c r="AY133" s="161" t="s">
        <v>436</v>
      </c>
      <c r="AZ133" s="161"/>
      <c r="BA133" s="160"/>
      <c r="BB133" s="42"/>
      <c r="BC133" s="42"/>
      <c r="BD133" s="42"/>
      <c r="BE133" s="42"/>
      <c r="BF133" s="42"/>
    </row>
    <row r="134" spans="47:61" x14ac:dyDescent="0.2">
      <c r="AV134" s="42"/>
      <c r="AW134" s="42"/>
      <c r="AX134" s="160" t="s">
        <v>518</v>
      </c>
      <c r="AY134" s="162">
        <f>F35</f>
        <v>5</v>
      </c>
      <c r="AZ134" s="42"/>
      <c r="BA134" s="160" t="s">
        <v>519</v>
      </c>
      <c r="BB134" s="42"/>
      <c r="BC134" s="42"/>
      <c r="BD134" s="42"/>
      <c r="BE134" s="42"/>
      <c r="BF134" s="42"/>
      <c r="BG134" s="42"/>
      <c r="BH134" s="159" t="s">
        <v>331</v>
      </c>
      <c r="BI134" s="159" t="s">
        <v>333</v>
      </c>
    </row>
    <row r="135" spans="47:61" x14ac:dyDescent="0.2">
      <c r="AV135" s="42"/>
      <c r="AW135" s="42"/>
      <c r="AX135" s="160" t="s">
        <v>520</v>
      </c>
      <c r="AY135" s="85">
        <f>IFERROR(_xlfn.XLOOKUP("Loss on Sale of PP&amp;E",AI27:AI32,AK27:AK32),0)</f>
        <v>0</v>
      </c>
      <c r="AZ135" s="42">
        <f>IFERROR(_xlfn.XLOOKUP("Gain on Sale of PP&amp;E",AJ27:AJ32,AL27:AL32),0)</f>
        <v>0</v>
      </c>
      <c r="BA135" s="160" t="s">
        <v>521</v>
      </c>
      <c r="BB135" s="42"/>
      <c r="BC135" s="42"/>
      <c r="BD135" s="42"/>
      <c r="BE135" s="42"/>
      <c r="BF135" s="42"/>
      <c r="BG135" s="42" t="s">
        <v>522</v>
      </c>
      <c r="BH135" s="42">
        <f ca="1">SUM(AY3:AY130)</f>
        <v>0</v>
      </c>
      <c r="BI135" s="42" t="e">
        <f ca="1">SUM(AZ3:AZ130)</f>
        <v>#NAME?</v>
      </c>
    </row>
    <row r="136" spans="47:61" x14ac:dyDescent="0.2">
      <c r="AV136" s="42"/>
      <c r="AW136" s="42"/>
      <c r="AX136" s="160" t="s">
        <v>523</v>
      </c>
      <c r="AY136" s="85">
        <f ca="1">IFERROR(_xlfn.XLOOKUP("Loss on Sale of Subsidiary",$AI$67:$AI$80,$AK$67:$AK$80),0)</f>
        <v>0</v>
      </c>
      <c r="AZ136" s="140">
        <f ca="1">IFERROR(_xlfn.XLOOKUP("Gain on Sale of Subsidiary",$AJ$67:$AJ$80,$AL$67:$AL$80),0)</f>
        <v>0</v>
      </c>
      <c r="BA136" s="141" t="s">
        <v>524</v>
      </c>
      <c r="BB136" s="42"/>
      <c r="BC136" s="42"/>
      <c r="BD136" s="42"/>
      <c r="BE136" s="42"/>
      <c r="BF136" s="42"/>
      <c r="BG136" s="42" t="s">
        <v>525</v>
      </c>
      <c r="BH136" s="42" t="e">
        <f ca="1">SUM(BD3:BD130)</f>
        <v>#NAME?</v>
      </c>
      <c r="BI136" s="42" t="e">
        <f ca="1">SUM(BE3:BE130)</f>
        <v>#NAME?</v>
      </c>
    </row>
    <row r="137" spans="47:61" x14ac:dyDescent="0.2">
      <c r="AV137" s="42"/>
      <c r="AW137" s="42"/>
      <c r="AX137" s="160" t="s">
        <v>526</v>
      </c>
      <c r="AY137" s="85">
        <f>IFERROR(_xlfn.XLOOKUP("LOss on Retirement of Debt",AB59:AB64,AD59:AD64),0)</f>
        <v>0</v>
      </c>
      <c r="AZ137" s="42">
        <f>IFERROR(_xlfn.XLOOKUP("Gain on Retirement of Debt",AC59:AC64,AE59:AE64),0)</f>
        <v>0</v>
      </c>
      <c r="BA137" s="160" t="s">
        <v>527</v>
      </c>
      <c r="BB137" s="42"/>
      <c r="BC137" s="42"/>
      <c r="BD137" s="42"/>
      <c r="BE137" s="42"/>
      <c r="BF137" s="42"/>
      <c r="BG137" s="42" t="s">
        <v>436</v>
      </c>
      <c r="BH137" s="42" t="e">
        <f ca="1">SUM(AY134:AY159)</f>
        <v>#NAME?</v>
      </c>
      <c r="BI137" s="42" t="e">
        <f ca="1">SUM(AZ134:AZ159)</f>
        <v>#NAME?</v>
      </c>
    </row>
    <row r="138" spans="47:61" x14ac:dyDescent="0.2">
      <c r="AV138" s="42"/>
      <c r="AW138" s="42"/>
      <c r="AX138" s="160" t="s">
        <v>292</v>
      </c>
      <c r="AY138" s="85">
        <f ca="1">BE11</f>
        <v>0</v>
      </c>
      <c r="AZ138" s="42">
        <f ca="1">BD11</f>
        <v>0</v>
      </c>
      <c r="BA138" s="160" t="s">
        <v>282</v>
      </c>
      <c r="BB138" s="42"/>
      <c r="BC138" s="42"/>
      <c r="BD138" s="42"/>
      <c r="BE138" s="42"/>
      <c r="BF138" s="42"/>
      <c r="BG138" s="42" t="s">
        <v>528</v>
      </c>
      <c r="BH138" s="42">
        <f ca="1">SUM(AY176:AY182)</f>
        <v>0</v>
      </c>
      <c r="BI138" s="42">
        <f>SUM(AZ176:AZ182)</f>
        <v>0</v>
      </c>
    </row>
    <row r="139" spans="47:61" x14ac:dyDescent="0.2">
      <c r="AV139" s="42"/>
      <c r="AW139" s="42"/>
      <c r="AY139" s="85"/>
      <c r="AZ139" s="42"/>
      <c r="BB139" s="42"/>
      <c r="BC139" s="42"/>
      <c r="BD139" s="42"/>
      <c r="BE139" s="42"/>
      <c r="BF139" s="42"/>
      <c r="BG139" s="42" t="s">
        <v>529</v>
      </c>
      <c r="BH139" s="42">
        <f>SUM(AY185:AY191)</f>
        <v>0</v>
      </c>
      <c r="BI139" s="42">
        <f>SUM(AZ185:AZ191)</f>
        <v>0</v>
      </c>
    </row>
    <row r="140" spans="47:61" ht="16" thickBot="1" x14ac:dyDescent="0.25">
      <c r="AV140" s="42"/>
      <c r="AW140" s="42"/>
      <c r="AX140" s="160" t="s">
        <v>530</v>
      </c>
      <c r="AY140" s="85">
        <f ca="1">BE35</f>
        <v>0</v>
      </c>
      <c r="AZ140" s="42"/>
      <c r="BA140" s="160"/>
      <c r="BB140" s="42"/>
      <c r="BC140" s="42"/>
      <c r="BD140" s="42"/>
      <c r="BE140" s="42"/>
      <c r="BF140" s="42"/>
      <c r="BG140" s="42" t="s">
        <v>409</v>
      </c>
      <c r="BH140" s="163" t="e">
        <f ca="1">SUM(BH135:BH139)</f>
        <v>#NAME?</v>
      </c>
      <c r="BI140" s="163" t="e">
        <f ca="1">SUM(BI135:BI139)</f>
        <v>#NAME?</v>
      </c>
    </row>
    <row r="141" spans="47:61" ht="16" thickTop="1" x14ac:dyDescent="0.2">
      <c r="AV141" s="42"/>
      <c r="AW141" s="42"/>
      <c r="AX141" s="160" t="s">
        <v>531</v>
      </c>
      <c r="AY141" s="85">
        <f ca="1">BE39</f>
        <v>0</v>
      </c>
      <c r="AZ141" s="42"/>
      <c r="BA141" s="160"/>
      <c r="BB141" s="42"/>
      <c r="BC141" s="42"/>
      <c r="BD141" s="42"/>
      <c r="BE141" s="42"/>
      <c r="BF141" s="42"/>
      <c r="BG141" s="42"/>
      <c r="BH141" s="42"/>
      <c r="BI141" s="42"/>
    </row>
    <row r="142" spans="47:61" x14ac:dyDescent="0.2">
      <c r="AV142" s="42"/>
      <c r="AW142" s="42"/>
      <c r="AX142" s="160"/>
      <c r="AY142" s="85"/>
      <c r="AZ142" s="42"/>
      <c r="BA142" s="160"/>
      <c r="BB142" s="42"/>
      <c r="BC142" s="42"/>
      <c r="BD142" s="42"/>
      <c r="BE142" s="42"/>
      <c r="BF142" s="42"/>
      <c r="BG142" s="42"/>
      <c r="BH142" s="42"/>
      <c r="BI142" s="42"/>
    </row>
    <row r="143" spans="47:61" x14ac:dyDescent="0.2">
      <c r="AV143" s="42"/>
      <c r="AW143" s="42"/>
      <c r="AX143" s="160" t="s">
        <v>210</v>
      </c>
      <c r="AY143" s="85" t="e">
        <f ca="1">BE3</f>
        <v>#NAME?</v>
      </c>
      <c r="AZ143" s="42" t="e">
        <f ca="1">BD3</f>
        <v>#NAME?</v>
      </c>
      <c r="BA143" s="160" t="s">
        <v>210</v>
      </c>
      <c r="BB143" s="42"/>
      <c r="BC143" s="42"/>
      <c r="BD143" s="42"/>
      <c r="BE143" s="42"/>
      <c r="BF143" s="42"/>
      <c r="BG143" s="42"/>
      <c r="BH143" s="42"/>
      <c r="BI143" s="42"/>
    </row>
    <row r="144" spans="47:61" x14ac:dyDescent="0.2">
      <c r="AV144" s="42"/>
      <c r="AW144" s="42"/>
      <c r="AX144" s="160"/>
      <c r="AY144" s="85"/>
      <c r="AZ144" s="42">
        <f ca="1">BD7</f>
        <v>0</v>
      </c>
      <c r="BA144" s="160" t="s">
        <v>211</v>
      </c>
      <c r="BB144" s="42"/>
      <c r="BC144" s="42"/>
      <c r="BD144" s="42"/>
      <c r="BE144" s="42"/>
      <c r="BF144" s="42"/>
      <c r="BG144" s="42"/>
      <c r="BH144" s="42"/>
      <c r="BI144" s="42"/>
    </row>
    <row r="145" spans="48:61" x14ac:dyDescent="0.2">
      <c r="AV145" s="42"/>
      <c r="AW145" s="42"/>
      <c r="AX145" s="160" t="s">
        <v>532</v>
      </c>
      <c r="AY145" s="85">
        <f ca="1">BE15</f>
        <v>0</v>
      </c>
      <c r="AZ145" s="42">
        <f ca="1">BD15</f>
        <v>0</v>
      </c>
      <c r="BA145" s="160" t="s">
        <v>532</v>
      </c>
      <c r="BB145" s="42"/>
      <c r="BC145" s="42"/>
      <c r="BD145" s="42"/>
      <c r="BE145" s="42"/>
      <c r="BF145" s="42"/>
      <c r="BG145" s="42"/>
      <c r="BH145" s="42"/>
      <c r="BI145" s="42"/>
    </row>
    <row r="146" spans="48:61" x14ac:dyDescent="0.2">
      <c r="AV146" s="42"/>
      <c r="AW146" s="42"/>
      <c r="AX146" s="160" t="s">
        <v>215</v>
      </c>
      <c r="AY146" s="85">
        <f ca="1">BE19</f>
        <v>0</v>
      </c>
      <c r="AZ146" s="42">
        <f ca="1">BD19</f>
        <v>0</v>
      </c>
      <c r="BA146" s="160" t="s">
        <v>215</v>
      </c>
      <c r="BB146" s="42"/>
      <c r="BC146" s="42"/>
      <c r="BD146" s="42"/>
      <c r="BE146" s="42"/>
      <c r="BF146" s="42"/>
      <c r="BG146" s="42"/>
      <c r="BH146" s="42"/>
      <c r="BI146" s="42"/>
    </row>
    <row r="147" spans="48:61" x14ac:dyDescent="0.2">
      <c r="AV147" s="42"/>
      <c r="AW147" s="42"/>
      <c r="AX147" s="160" t="s">
        <v>216</v>
      </c>
      <c r="AY147" s="85">
        <f ca="1">BE23</f>
        <v>0</v>
      </c>
      <c r="AZ147" s="42">
        <f ca="1">BD23</f>
        <v>0</v>
      </c>
      <c r="BA147" s="160" t="s">
        <v>216</v>
      </c>
      <c r="BB147" s="42"/>
      <c r="BC147" s="42"/>
      <c r="BD147" s="42"/>
      <c r="BE147" s="42"/>
      <c r="BF147" s="42"/>
      <c r="BG147" s="42"/>
      <c r="BH147" s="42"/>
      <c r="BI147" s="42"/>
    </row>
    <row r="148" spans="48:61" x14ac:dyDescent="0.2">
      <c r="AV148" s="42"/>
      <c r="AW148" s="42"/>
      <c r="AX148" s="160" t="s">
        <v>217</v>
      </c>
      <c r="AY148" s="85">
        <f ca="1">BE27</f>
        <v>0</v>
      </c>
      <c r="AZ148" s="42">
        <f ca="1">BD27</f>
        <v>0</v>
      </c>
      <c r="BA148" s="160" t="s">
        <v>217</v>
      </c>
      <c r="BB148" s="42"/>
      <c r="BC148" s="42"/>
      <c r="BD148" s="42"/>
      <c r="BE148" s="42"/>
      <c r="BF148" s="42"/>
      <c r="BG148" s="42"/>
      <c r="BH148" s="42"/>
      <c r="BI148" s="42"/>
    </row>
    <row r="149" spans="48:61" x14ac:dyDescent="0.2">
      <c r="AV149" s="42"/>
      <c r="AW149" s="42"/>
      <c r="AX149" s="160" t="s">
        <v>218</v>
      </c>
      <c r="AY149" s="85">
        <f ca="1">BE31</f>
        <v>50</v>
      </c>
      <c r="AZ149" s="42">
        <f ca="1">BD31</f>
        <v>0</v>
      </c>
      <c r="BA149" s="160" t="s">
        <v>218</v>
      </c>
      <c r="BB149" s="42"/>
      <c r="BC149" s="42"/>
      <c r="BD149" s="42"/>
      <c r="BE149" s="42"/>
      <c r="BF149" s="42"/>
      <c r="BG149" s="42"/>
      <c r="BH149" s="42"/>
      <c r="BI149" s="42"/>
    </row>
    <row r="150" spans="48:61" x14ac:dyDescent="0.2">
      <c r="AV150" s="42"/>
      <c r="AW150" s="42"/>
      <c r="AX150" s="160" t="s">
        <v>533</v>
      </c>
      <c r="AY150" s="85">
        <f ca="1">BE43</f>
        <v>0</v>
      </c>
      <c r="AZ150" s="42">
        <f ca="1">BD43</f>
        <v>0</v>
      </c>
      <c r="BA150" s="160" t="s">
        <v>533</v>
      </c>
      <c r="BB150" s="42"/>
      <c r="BC150" s="42"/>
      <c r="BD150" s="42"/>
      <c r="BE150" s="42"/>
      <c r="BF150" s="42"/>
      <c r="BG150" s="42"/>
      <c r="BH150" s="42"/>
      <c r="BI150" s="42"/>
    </row>
    <row r="151" spans="48:61" x14ac:dyDescent="0.2">
      <c r="AV151" s="42"/>
      <c r="AW151" s="42"/>
      <c r="AX151" s="160" t="s">
        <v>534</v>
      </c>
      <c r="AY151" s="85">
        <f ca="1">BE47</f>
        <v>0</v>
      </c>
      <c r="AZ151" s="42">
        <f ca="1">BD47</f>
        <v>0</v>
      </c>
      <c r="BA151" s="160" t="s">
        <v>534</v>
      </c>
      <c r="BB151" s="42"/>
      <c r="BC151" s="42"/>
      <c r="BD151" s="42"/>
      <c r="BE151" s="42"/>
      <c r="BF151" s="42"/>
      <c r="BG151" s="42"/>
      <c r="BH151" s="42"/>
      <c r="BI151" s="42"/>
    </row>
    <row r="152" spans="48:61" x14ac:dyDescent="0.2">
      <c r="AV152" s="42"/>
      <c r="AW152" s="42"/>
      <c r="AX152" s="1" t="s">
        <v>224</v>
      </c>
      <c r="AY152" s="85">
        <f ca="1">BE51</f>
        <v>0</v>
      </c>
      <c r="AZ152" s="42">
        <f ca="1">BD51</f>
        <v>0</v>
      </c>
      <c r="BA152" s="1" t="s">
        <v>224</v>
      </c>
      <c r="BB152" s="42"/>
      <c r="BC152" s="42"/>
      <c r="BD152" s="42"/>
      <c r="BE152" s="42"/>
      <c r="BF152" s="42"/>
      <c r="BG152" s="42"/>
      <c r="BH152" s="42"/>
      <c r="BI152" s="42"/>
    </row>
    <row r="153" spans="48:61" x14ac:dyDescent="0.2">
      <c r="AV153" s="42"/>
      <c r="AW153" s="42"/>
      <c r="AX153" s="160"/>
      <c r="AY153" s="85"/>
      <c r="AZ153" s="42"/>
      <c r="BA153" s="160"/>
      <c r="BB153" s="42"/>
      <c r="BC153" s="42"/>
      <c r="BD153" s="42"/>
      <c r="BE153" s="42"/>
      <c r="BF153" s="42"/>
      <c r="BG153" s="42"/>
      <c r="BH153" s="42"/>
      <c r="BI153" s="42"/>
    </row>
    <row r="154" spans="48:61" x14ac:dyDescent="0.2">
      <c r="AV154" s="42"/>
      <c r="AW154" s="42"/>
      <c r="AX154" s="160" t="s">
        <v>227</v>
      </c>
      <c r="AY154" s="85">
        <f ca="1">BE55</f>
        <v>0</v>
      </c>
      <c r="AZ154" s="42">
        <f ca="1">BD55</f>
        <v>20</v>
      </c>
      <c r="BA154" s="160" t="s">
        <v>227</v>
      </c>
      <c r="BB154" s="42"/>
      <c r="BC154" s="42"/>
      <c r="BD154" s="42"/>
      <c r="BE154" s="42"/>
      <c r="BF154" s="42"/>
      <c r="BG154" s="42"/>
      <c r="BH154" s="42"/>
      <c r="BI154" s="42"/>
    </row>
    <row r="155" spans="48:61" x14ac:dyDescent="0.2">
      <c r="AV155" s="42"/>
      <c r="AW155" s="42"/>
      <c r="AX155" s="160" t="s">
        <v>238</v>
      </c>
      <c r="AY155" s="85">
        <f ca="1">BE59</f>
        <v>0</v>
      </c>
      <c r="AZ155" s="42">
        <f ca="1">BD59</f>
        <v>0</v>
      </c>
      <c r="BA155" s="160" t="s">
        <v>238</v>
      </c>
      <c r="BB155" s="42"/>
      <c r="BC155" s="42"/>
      <c r="BD155" s="42"/>
      <c r="BE155" s="42"/>
      <c r="BF155" s="42"/>
      <c r="BG155" s="42"/>
      <c r="BH155" s="42"/>
      <c r="BI155" s="42"/>
    </row>
    <row r="156" spans="48:61" x14ac:dyDescent="0.2">
      <c r="AV156" s="42"/>
      <c r="AW156" s="42"/>
      <c r="AX156" s="160" t="s">
        <v>535</v>
      </c>
      <c r="AY156" s="85">
        <f ca="1">BE63</f>
        <v>0</v>
      </c>
      <c r="AZ156" s="42">
        <f ca="1">BD63</f>
        <v>0</v>
      </c>
      <c r="BA156" s="160" t="s">
        <v>535</v>
      </c>
      <c r="BB156" s="42"/>
      <c r="BC156" s="42"/>
      <c r="BD156" s="42"/>
      <c r="BE156" s="42"/>
      <c r="BF156" s="42"/>
      <c r="BG156" s="42"/>
      <c r="BH156" s="42"/>
      <c r="BI156" s="42"/>
    </row>
    <row r="157" spans="48:61" x14ac:dyDescent="0.2">
      <c r="AV157" s="42"/>
      <c r="AW157" s="42"/>
      <c r="AX157" s="160" t="s">
        <v>229</v>
      </c>
      <c r="AY157" s="85">
        <f ca="1">BE67</f>
        <v>0</v>
      </c>
      <c r="AZ157" s="42">
        <f ca="1">BD67</f>
        <v>0</v>
      </c>
      <c r="BA157" s="160" t="s">
        <v>229</v>
      </c>
      <c r="BB157" s="42"/>
      <c r="BC157" s="42"/>
      <c r="BD157" s="42"/>
      <c r="BE157" s="42"/>
      <c r="BF157" s="42"/>
      <c r="BG157" s="42"/>
      <c r="BH157" s="42"/>
      <c r="BI157" s="42"/>
    </row>
    <row r="158" spans="48:61" x14ac:dyDescent="0.2">
      <c r="AV158" s="42"/>
      <c r="AW158" s="42"/>
      <c r="AX158" s="160" t="s">
        <v>230</v>
      </c>
      <c r="AY158" s="85">
        <f ca="1">BE71</f>
        <v>0</v>
      </c>
      <c r="AZ158" s="42">
        <f ca="1">BD71</f>
        <v>0</v>
      </c>
      <c r="BA158" s="160" t="s">
        <v>230</v>
      </c>
      <c r="BB158" s="42"/>
      <c r="BC158" s="42"/>
      <c r="BD158" s="42"/>
      <c r="BE158" s="42"/>
      <c r="BF158" s="42"/>
      <c r="BG158" s="42"/>
      <c r="BH158" s="42"/>
      <c r="BI158" s="42"/>
    </row>
    <row r="159" spans="48:61" x14ac:dyDescent="0.2">
      <c r="AV159" s="42"/>
      <c r="AW159" s="42"/>
      <c r="AX159" s="160" t="s">
        <v>536</v>
      </c>
      <c r="AY159" s="85">
        <f ca="1">BE75</f>
        <v>0</v>
      </c>
      <c r="AZ159" s="42">
        <f ca="1">BD75</f>
        <v>0</v>
      </c>
      <c r="BA159" s="160" t="s">
        <v>536</v>
      </c>
      <c r="BB159" s="42"/>
      <c r="BC159" s="42"/>
      <c r="BD159" s="42"/>
      <c r="BE159" s="42"/>
      <c r="BF159" s="42"/>
      <c r="BG159" s="42"/>
      <c r="BH159" s="42"/>
      <c r="BI159" s="42"/>
    </row>
    <row r="160" spans="48:61" x14ac:dyDescent="0.2">
      <c r="AV160" s="42"/>
      <c r="AW160" s="42"/>
      <c r="AX160" s="160" t="s">
        <v>232</v>
      </c>
      <c r="AY160" s="85">
        <f ca="1">BE79</f>
        <v>0</v>
      </c>
      <c r="AZ160" s="42">
        <f ca="1">BD79</f>
        <v>0</v>
      </c>
      <c r="BA160" s="160" t="s">
        <v>232</v>
      </c>
      <c r="BB160" s="42"/>
      <c r="BC160" s="42"/>
      <c r="BD160" s="42"/>
      <c r="BE160" s="42"/>
      <c r="BF160" s="42"/>
      <c r="BG160" s="42"/>
      <c r="BH160" s="42"/>
      <c r="BI160" s="42"/>
    </row>
    <row r="161" spans="48:61" x14ac:dyDescent="0.2">
      <c r="AV161" s="42"/>
      <c r="AW161" s="42"/>
      <c r="AX161" s="160" t="s">
        <v>233</v>
      </c>
      <c r="AY161" s="85">
        <f ca="1">BE83</f>
        <v>0</v>
      </c>
      <c r="AZ161" s="42">
        <f ca="1">BD83</f>
        <v>0</v>
      </c>
      <c r="BA161" s="160" t="s">
        <v>233</v>
      </c>
      <c r="BB161" s="42"/>
      <c r="BC161" s="42"/>
      <c r="BD161" s="42"/>
      <c r="BE161" s="42"/>
      <c r="BF161" s="42"/>
      <c r="BG161" s="42"/>
      <c r="BH161" s="42"/>
      <c r="BI161" s="42"/>
    </row>
    <row r="162" spans="48:61" x14ac:dyDescent="0.2">
      <c r="AV162" s="42"/>
      <c r="AW162" s="42"/>
      <c r="AX162" s="160" t="s">
        <v>234</v>
      </c>
      <c r="AY162" s="85">
        <f ca="1">BE87</f>
        <v>0</v>
      </c>
      <c r="AZ162" s="42">
        <f ca="1">BD87</f>
        <v>0</v>
      </c>
      <c r="BA162" s="160" t="s">
        <v>234</v>
      </c>
      <c r="BB162" s="42"/>
      <c r="BC162" s="42"/>
      <c r="BD162" s="42"/>
      <c r="BE162" s="42"/>
      <c r="BF162" s="42"/>
      <c r="BG162" s="42"/>
      <c r="BH162" s="42"/>
      <c r="BI162" s="42"/>
    </row>
    <row r="163" spans="48:61" x14ac:dyDescent="0.2">
      <c r="AV163" s="42"/>
      <c r="AW163" s="42"/>
      <c r="AX163" s="160" t="s">
        <v>235</v>
      </c>
      <c r="AY163" s="85">
        <f ca="1">BE91</f>
        <v>0</v>
      </c>
      <c r="AZ163" s="42">
        <f ca="1">BD91</f>
        <v>0</v>
      </c>
      <c r="BA163" s="160" t="s">
        <v>235</v>
      </c>
      <c r="BB163" s="42"/>
      <c r="BC163" s="42"/>
      <c r="BD163" s="42"/>
      <c r="BE163" s="42"/>
      <c r="BF163" s="42"/>
      <c r="BG163" s="42"/>
      <c r="BH163" s="42"/>
      <c r="BI163" s="42"/>
    </row>
    <row r="164" spans="48:61" x14ac:dyDescent="0.2">
      <c r="AV164" s="42"/>
      <c r="AW164" s="42"/>
      <c r="AX164" s="160" t="s">
        <v>236</v>
      </c>
      <c r="AY164" s="85">
        <f ca="1">BE95</f>
        <v>0</v>
      </c>
      <c r="AZ164" s="42">
        <f ca="1">BD95</f>
        <v>0</v>
      </c>
      <c r="BA164" s="160" t="s">
        <v>236</v>
      </c>
      <c r="BB164" s="42"/>
      <c r="BC164" s="42"/>
      <c r="BD164" s="42"/>
      <c r="BE164" s="42"/>
      <c r="BF164" s="42"/>
      <c r="BG164" s="42"/>
      <c r="BH164" s="42"/>
      <c r="BI164" s="42"/>
    </row>
    <row r="165" spans="48:61" x14ac:dyDescent="0.2">
      <c r="AV165" s="42"/>
      <c r="AW165" s="42"/>
      <c r="AX165" s="160" t="s">
        <v>237</v>
      </c>
      <c r="AY165" s="85">
        <f ca="1">BE99</f>
        <v>0</v>
      </c>
      <c r="AZ165" s="42">
        <f ca="1">BD99</f>
        <v>0</v>
      </c>
      <c r="BA165" s="160" t="s">
        <v>237</v>
      </c>
      <c r="BB165" s="42"/>
      <c r="BC165" s="42"/>
      <c r="BD165" s="42"/>
      <c r="BE165" s="42"/>
      <c r="BF165" s="42"/>
      <c r="BG165" s="42"/>
      <c r="BH165" s="42"/>
      <c r="BI165" s="42"/>
    </row>
    <row r="166" spans="48:61" x14ac:dyDescent="0.2">
      <c r="AV166" s="42"/>
      <c r="AW166" s="42"/>
      <c r="AX166" s="160"/>
      <c r="AY166" s="85"/>
      <c r="AZ166" s="42"/>
      <c r="BA166" s="160"/>
      <c r="BB166" s="42"/>
      <c r="BC166" s="42"/>
      <c r="BD166" s="42"/>
      <c r="BE166" s="42"/>
      <c r="BF166" s="42"/>
      <c r="BG166" s="42"/>
      <c r="BH166" s="42"/>
      <c r="BI166" s="42"/>
    </row>
    <row r="167" spans="48:61" x14ac:dyDescent="0.2">
      <c r="AV167" s="42"/>
      <c r="AW167" s="42"/>
      <c r="AX167" s="160" t="s">
        <v>537</v>
      </c>
      <c r="AY167" s="85">
        <f>BE103</f>
        <v>0</v>
      </c>
      <c r="AZ167" s="42">
        <f>BD103</f>
        <v>0</v>
      </c>
      <c r="BA167" s="160" t="s">
        <v>537</v>
      </c>
      <c r="BB167" s="42"/>
      <c r="BC167" s="42"/>
      <c r="BD167" s="42"/>
      <c r="BE167" s="42"/>
      <c r="BF167" s="42"/>
      <c r="BG167" s="42"/>
      <c r="BH167" s="42"/>
      <c r="BI167" s="42"/>
    </row>
    <row r="168" spans="48:61" x14ac:dyDescent="0.2">
      <c r="AV168" s="42"/>
      <c r="AW168" s="42"/>
      <c r="AX168" s="160" t="s">
        <v>241</v>
      </c>
      <c r="AY168" s="85">
        <f>BE107</f>
        <v>0</v>
      </c>
      <c r="AZ168" s="42">
        <f>BD107</f>
        <v>0</v>
      </c>
      <c r="BA168" s="160" t="s">
        <v>241</v>
      </c>
      <c r="BB168" s="42"/>
      <c r="BC168" s="42"/>
      <c r="BD168" s="42"/>
      <c r="BE168" s="42"/>
      <c r="BF168" s="42"/>
      <c r="BG168" s="42"/>
      <c r="BH168" s="42"/>
      <c r="BI168" s="42"/>
    </row>
    <row r="169" spans="48:61" x14ac:dyDescent="0.2">
      <c r="AV169" s="42"/>
      <c r="AW169" s="42"/>
      <c r="AX169" s="160" t="s">
        <v>242</v>
      </c>
      <c r="AY169" s="85">
        <f>BE111</f>
        <v>0</v>
      </c>
      <c r="AZ169" s="42">
        <f>BD111</f>
        <v>0</v>
      </c>
      <c r="BA169" s="160" t="s">
        <v>242</v>
      </c>
      <c r="BB169" s="42"/>
      <c r="BC169" s="42"/>
      <c r="BD169" s="42"/>
      <c r="BE169" s="42"/>
      <c r="BF169" s="42"/>
      <c r="BG169" s="42"/>
      <c r="BH169" s="42"/>
      <c r="BI169" s="42"/>
    </row>
    <row r="170" spans="48:61" x14ac:dyDescent="0.2">
      <c r="AV170" s="42"/>
      <c r="AW170" s="42"/>
      <c r="AX170" s="160" t="s">
        <v>243</v>
      </c>
      <c r="AY170" s="85">
        <f>BE115</f>
        <v>0</v>
      </c>
      <c r="AZ170" s="42">
        <f>BD115</f>
        <v>0</v>
      </c>
      <c r="BA170" s="160" t="s">
        <v>243</v>
      </c>
      <c r="BB170" s="42"/>
      <c r="BC170" s="42"/>
      <c r="BD170" s="42"/>
      <c r="BE170" s="42"/>
      <c r="BF170" s="42"/>
      <c r="BG170" s="42"/>
      <c r="BH170" s="42"/>
      <c r="BI170" s="42"/>
    </row>
    <row r="171" spans="48:61" x14ac:dyDescent="0.2">
      <c r="AV171" s="42"/>
      <c r="AW171" s="42"/>
      <c r="AX171" s="1" t="s">
        <v>246</v>
      </c>
      <c r="AY171" s="85">
        <f>BE123</f>
        <v>0</v>
      </c>
      <c r="AZ171" s="42">
        <f>BD123</f>
        <v>0</v>
      </c>
      <c r="BA171" s="1" t="s">
        <v>246</v>
      </c>
      <c r="BB171" s="42"/>
      <c r="BC171" s="42"/>
      <c r="BD171" s="42"/>
      <c r="BE171" s="42"/>
      <c r="BF171" s="42"/>
      <c r="BG171" s="42"/>
      <c r="BH171" s="42"/>
      <c r="BI171" s="42"/>
    </row>
    <row r="172" spans="48:61" x14ac:dyDescent="0.2">
      <c r="AV172" s="42"/>
      <c r="AW172" s="42"/>
      <c r="AX172" s="1" t="s">
        <v>248</v>
      </c>
      <c r="AY172" s="85">
        <f>BE127</f>
        <v>0</v>
      </c>
      <c r="AZ172" s="42">
        <f>BD127</f>
        <v>0</v>
      </c>
      <c r="BA172" s="1" t="s">
        <v>248</v>
      </c>
      <c r="BB172" s="42"/>
      <c r="BC172" s="42"/>
      <c r="BD172" s="42"/>
      <c r="BE172" s="42"/>
      <c r="BF172" s="42"/>
      <c r="BG172" s="42"/>
      <c r="BH172" s="42"/>
      <c r="BI172" s="42"/>
    </row>
    <row r="173" spans="48:61" x14ac:dyDescent="0.2">
      <c r="AV173" s="42"/>
      <c r="AW173" s="42"/>
      <c r="AY173" s="85"/>
      <c r="AZ173" s="42"/>
      <c r="BB173" s="42"/>
      <c r="BC173" s="42"/>
      <c r="BD173" s="42"/>
      <c r="BE173" s="42"/>
      <c r="BF173" s="42"/>
      <c r="BG173" s="42"/>
      <c r="BH173" s="42"/>
      <c r="BI173" s="42"/>
    </row>
    <row r="174" spans="48:61" x14ac:dyDescent="0.2">
      <c r="AV174" s="42"/>
      <c r="AW174" s="42"/>
      <c r="AX174" s="160"/>
      <c r="AY174" s="164" t="e">
        <f ca="1">MAX(SUM(AY134:AY173)-SUM(AZ134:AZ173),0)</f>
        <v>#NAME?</v>
      </c>
      <c r="AZ174" s="165" t="e">
        <f ca="1">-MIN(SUM(AY134:AY173)-SUM(AZ134:AZ173),0)</f>
        <v>#NAME?</v>
      </c>
      <c r="BA174" s="160"/>
      <c r="BB174" s="42"/>
      <c r="BC174" s="42"/>
      <c r="BD174" s="42"/>
      <c r="BE174" s="42"/>
    </row>
    <row r="175" spans="48:61" x14ac:dyDescent="0.2">
      <c r="AV175" s="42"/>
      <c r="AW175" s="42"/>
      <c r="AX175" s="160"/>
      <c r="AY175" s="161" t="s">
        <v>528</v>
      </c>
      <c r="AZ175" s="161"/>
      <c r="BA175" s="160"/>
      <c r="BB175" s="42"/>
      <c r="BC175" s="42"/>
      <c r="BD175" s="42"/>
      <c r="BE175" s="42"/>
    </row>
    <row r="176" spans="48:61" x14ac:dyDescent="0.2">
      <c r="AV176" s="42"/>
      <c r="AW176" s="42"/>
      <c r="AX176" s="160" t="s">
        <v>478</v>
      </c>
      <c r="AY176" s="162">
        <f>IFERROR(_xlfn.XLOOKUP("Cash",AI11:AI16,AK11:AK16),0)</f>
        <v>0</v>
      </c>
      <c r="AZ176" s="42">
        <f>IFERROR(_xlfn.XLOOKUP("Cash",AJ3:AJ8,AL3:AL8),0)</f>
        <v>0</v>
      </c>
      <c r="BA176" s="160" t="s">
        <v>116</v>
      </c>
      <c r="BB176" s="42"/>
      <c r="BC176" s="42"/>
      <c r="BD176" s="42"/>
      <c r="BE176" s="42"/>
    </row>
    <row r="177" spans="48:57" x14ac:dyDescent="0.2">
      <c r="AV177" s="42"/>
      <c r="AW177" s="42"/>
      <c r="AX177" s="160" t="s">
        <v>120</v>
      </c>
      <c r="AY177" s="85">
        <f>IFERROR(_xlfn.XLOOKUP("Cash",AI27:AI32,AK27:AK32),0)</f>
        <v>0</v>
      </c>
      <c r="AZ177" s="42">
        <f>IFERROR(_xlfn.XLOOKUP("Cash",AJ19:AJ24,AL19:AL24),0)</f>
        <v>0</v>
      </c>
      <c r="BA177" s="160" t="s">
        <v>118</v>
      </c>
      <c r="BB177" s="42"/>
      <c r="BC177" s="42"/>
      <c r="BD177" s="42"/>
      <c r="BE177" s="42"/>
    </row>
    <row r="178" spans="48:57" x14ac:dyDescent="0.2">
      <c r="AX178" s="160" t="s">
        <v>126</v>
      </c>
      <c r="AY178" s="85">
        <f>IFERROR(_xlfn.XLOOKUP("Cash",AI43:AI48,AK43:AK48),0)</f>
        <v>0</v>
      </c>
      <c r="AZ178" s="42">
        <f>IFERROR(_xlfn.XLOOKUP("Cash",AJ35:AJ40,AL35:AL40),0)</f>
        <v>0</v>
      </c>
      <c r="BA178" s="160" t="s">
        <v>124</v>
      </c>
    </row>
    <row r="179" spans="48:57" x14ac:dyDescent="0.2">
      <c r="AX179" s="160" t="s">
        <v>94</v>
      </c>
      <c r="AY179" s="85">
        <f ca="1">IFERROR(_xlfn.XLOOKUP("Cash",AI67:AI80,AK67:AK80),0)</f>
        <v>0</v>
      </c>
      <c r="AZ179" s="42">
        <f>IFERROR(_xlfn.XLOOKUP("Cash",AJ51:AJ64,AL51:AL64),0)</f>
        <v>0</v>
      </c>
      <c r="BA179" s="160" t="s">
        <v>128</v>
      </c>
    </row>
    <row r="180" spans="48:57" x14ac:dyDescent="0.2">
      <c r="AX180" s="160" t="s">
        <v>133</v>
      </c>
      <c r="AY180" s="85">
        <f>IFERROR(_xlfn.XLOOKUP("Cash",AI83:AI88,AK83:AK88),0)</f>
        <v>0</v>
      </c>
      <c r="AZ180" s="42">
        <f>IFERROR(_xlfn.XLOOKUP("Cash",AJ83:AJ88,AL83:AL88),0)</f>
        <v>0</v>
      </c>
      <c r="BA180" s="160" t="s">
        <v>131</v>
      </c>
    </row>
    <row r="181" spans="48:57" x14ac:dyDescent="0.2">
      <c r="AX181" s="160"/>
      <c r="AY181" s="85"/>
      <c r="AZ181" s="42"/>
      <c r="BA181" s="160"/>
    </row>
    <row r="182" spans="48:57" x14ac:dyDescent="0.2">
      <c r="AX182" s="160"/>
      <c r="AY182" s="85"/>
      <c r="AZ182" s="42"/>
      <c r="BA182" s="160"/>
    </row>
    <row r="183" spans="48:57" x14ac:dyDescent="0.2">
      <c r="AX183" s="160"/>
      <c r="AY183" s="164">
        <f ca="1">MAX(SUM(AY176:AY182)-SUM(AZ176:AZ182),0)</f>
        <v>0</v>
      </c>
      <c r="AZ183" s="165">
        <f ca="1">-MIN(SUM(AY176:AY182)-SUM(AZ176:AZ182),0)</f>
        <v>0</v>
      </c>
      <c r="BA183" s="160"/>
    </row>
    <row r="184" spans="48:57" x14ac:dyDescent="0.2">
      <c r="AX184" s="160"/>
      <c r="AY184" s="161" t="s">
        <v>529</v>
      </c>
      <c r="AZ184" s="161"/>
      <c r="BA184" s="160"/>
    </row>
    <row r="185" spans="48:57" x14ac:dyDescent="0.2">
      <c r="AX185" s="160" t="s">
        <v>96</v>
      </c>
      <c r="AY185" s="162">
        <f>IFERROR(_xlfn.XLOOKUP("Cash",AB3:AB8,AD3:AD8),0)</f>
        <v>0</v>
      </c>
      <c r="AZ185" s="42">
        <f>IFERROR(_xlfn.XLOOKUP("Cash",AC59:AC64,AE59:AE64),0)</f>
        <v>0</v>
      </c>
      <c r="BA185" s="160" t="s">
        <v>110</v>
      </c>
    </row>
    <row r="186" spans="48:57" x14ac:dyDescent="0.2">
      <c r="AX186" s="160" t="s">
        <v>98</v>
      </c>
      <c r="AY186" s="85">
        <f>IFERROR(_xlfn.XLOOKUP("Cash",AB11:AB16,AD11:AD16),0)</f>
        <v>0</v>
      </c>
      <c r="AZ186" s="42">
        <f>IFERROR(_xlfn.XLOOKUP("Cash",AC51:AC56,AE51:AE56),0)</f>
        <v>0</v>
      </c>
      <c r="BA186" s="160" t="s">
        <v>108</v>
      </c>
    </row>
    <row r="187" spans="48:57" x14ac:dyDescent="0.2">
      <c r="AX187" s="160" t="s">
        <v>100</v>
      </c>
      <c r="AY187" s="85">
        <f>IFERROR(_xlfn.XLOOKUP("Cash",AB19:AB24,AD19:AD24),0)</f>
        <v>0</v>
      </c>
      <c r="AZ187" s="42">
        <f>IFERROR(_xlfn.XLOOKUP("Cash",AC67:AC72,AE67:AE72),0)</f>
        <v>0</v>
      </c>
      <c r="BA187" s="160" t="s">
        <v>112</v>
      </c>
    </row>
    <row r="188" spans="48:57" x14ac:dyDescent="0.2">
      <c r="AX188" s="160" t="s">
        <v>102</v>
      </c>
      <c r="AY188" s="85">
        <f>IFERROR(_xlfn.XLOOKUP("Cash",AB27:AB32,AD27:AD32),0)</f>
        <v>0</v>
      </c>
      <c r="AZ188" s="42"/>
      <c r="BA188" s="160"/>
    </row>
    <row r="189" spans="48:57" x14ac:dyDescent="0.2">
      <c r="AX189" s="160" t="s">
        <v>104</v>
      </c>
      <c r="AY189" s="85">
        <f>IFERROR(_xlfn.XLOOKUP("Cash",AB35:AB40,AD35:AD40),0)</f>
        <v>0</v>
      </c>
      <c r="AZ189" s="42"/>
      <c r="BA189" s="160"/>
    </row>
    <row r="190" spans="48:57" x14ac:dyDescent="0.2">
      <c r="AX190" s="160" t="s">
        <v>114</v>
      </c>
      <c r="AY190" s="85">
        <f>IFERROR(_xlfn.XLOOKUP("Cash",AB75:AB80,AD75:AD80),0)</f>
        <v>0</v>
      </c>
      <c r="AZ190" s="42"/>
      <c r="BA190" s="160"/>
    </row>
    <row r="191" spans="48:57" x14ac:dyDescent="0.2">
      <c r="AX191" s="160"/>
      <c r="AY191" s="85"/>
      <c r="AZ191" s="42"/>
      <c r="BA191" s="160"/>
    </row>
    <row r="192" spans="48:57" x14ac:dyDescent="0.2">
      <c r="AX192" s="160"/>
      <c r="AY192" s="164">
        <f>MAX(SUM(AY185:AY191)-SUM(AZ185:AZ191),0)</f>
        <v>0</v>
      </c>
      <c r="AZ192" s="165">
        <f>-MIN(SUM(AY185:AY191)-SUM(AZ185:AZ191),0)</f>
        <v>0</v>
      </c>
      <c r="BA192" s="160"/>
    </row>
    <row r="193" spans="50:53" x14ac:dyDescent="0.2">
      <c r="AX193" s="160" t="s">
        <v>538</v>
      </c>
      <c r="AY193" s="42" t="e">
        <f ca="1">AY132+AY174+AY183+AY192-AZ174-AZ183-AZ192</f>
        <v>#NAME?</v>
      </c>
      <c r="AZ193" s="42"/>
      <c r="BA193" s="160"/>
    </row>
    <row r="194" spans="50:53" x14ac:dyDescent="0.2">
      <c r="AX194" s="160" t="s">
        <v>539</v>
      </c>
      <c r="AY194" s="42">
        <f>U8</f>
        <v>100</v>
      </c>
      <c r="AZ194" s="42"/>
      <c r="BA194" s="160"/>
    </row>
    <row r="195" spans="50:53" x14ac:dyDescent="0.2">
      <c r="AX195" s="160" t="s">
        <v>303</v>
      </c>
      <c r="AY195" s="42" t="e">
        <f ca="1">AY193-AY194</f>
        <v>#NAME?</v>
      </c>
      <c r="AZ195" s="42"/>
      <c r="BA195" s="160"/>
    </row>
    <row r="196" spans="50:53" x14ac:dyDescent="0.2">
      <c r="AX196" s="160"/>
      <c r="AY196" s="42"/>
      <c r="AZ196" s="42"/>
      <c r="BA196" s="160"/>
    </row>
  </sheetData>
  <conditionalFormatting sqref="Z3:AE8">
    <cfRule type="cellIs" dxfId="115" priority="58" operator="equal">
      <formula>0</formula>
    </cfRule>
  </conditionalFormatting>
  <conditionalFormatting sqref="Z12:AE16 AA11:AE11">
    <cfRule type="cellIs" dxfId="114" priority="57" operator="equal">
      <formula>0</formula>
    </cfRule>
  </conditionalFormatting>
  <conditionalFormatting sqref="Z20:AE24 AA19:AE19">
    <cfRule type="cellIs" dxfId="113" priority="56" operator="equal">
      <formula>0</formula>
    </cfRule>
  </conditionalFormatting>
  <conditionalFormatting sqref="Z28:AE32 AA27:AE27">
    <cfRule type="cellIs" dxfId="112" priority="55" operator="equal">
      <formula>0</formula>
    </cfRule>
  </conditionalFormatting>
  <conditionalFormatting sqref="Z36:AE40 AA35:AE35">
    <cfRule type="cellIs" dxfId="111" priority="54" operator="equal">
      <formula>0</formula>
    </cfRule>
  </conditionalFormatting>
  <conditionalFormatting sqref="Z44:AE48 AA43:AE43">
    <cfRule type="cellIs" dxfId="110" priority="53" operator="equal">
      <formula>0</formula>
    </cfRule>
  </conditionalFormatting>
  <conditionalFormatting sqref="Z52:AE56 AA51:AE51">
    <cfRule type="cellIs" dxfId="109" priority="52" operator="equal">
      <formula>0</formula>
    </cfRule>
  </conditionalFormatting>
  <conditionalFormatting sqref="Z60:AE64 AA59:AE59">
    <cfRule type="cellIs" dxfId="108" priority="51" operator="equal">
      <formula>0</formula>
    </cfRule>
  </conditionalFormatting>
  <conditionalFormatting sqref="AG3:AL8">
    <cfRule type="cellIs" dxfId="107" priority="50" operator="between">
      <formula>-0.00000001</formula>
      <formula>0.00000001</formula>
    </cfRule>
  </conditionalFormatting>
  <conditionalFormatting sqref="Z68:AE72 AA67:AE67">
    <cfRule type="cellIs" dxfId="106" priority="49" operator="equal">
      <formula>0</formula>
    </cfRule>
  </conditionalFormatting>
  <conditionalFormatting sqref="Z76:AE80 AA75:AE75">
    <cfRule type="cellIs" dxfId="105" priority="48" operator="equal">
      <formula>0</formula>
    </cfRule>
  </conditionalFormatting>
  <conditionalFormatting sqref="BJ2">
    <cfRule type="cellIs" dxfId="104" priority="47" operator="notBetween">
      <formula>-0.0000001</formula>
      <formula>0.000001</formula>
    </cfRule>
  </conditionalFormatting>
  <conditionalFormatting sqref="AY195">
    <cfRule type="cellIs" dxfId="103" priority="46" operator="notBetween">
      <formula>-0.0000001</formula>
      <formula>0.000001</formula>
    </cfRule>
  </conditionalFormatting>
  <conditionalFormatting sqref="AG57:AL64">
    <cfRule type="cellIs" dxfId="102" priority="45" operator="between">
      <formula>-0.00000001</formula>
      <formula>0.00000001</formula>
    </cfRule>
  </conditionalFormatting>
  <conditionalFormatting sqref="AG68:AL80 AH67:AL67">
    <cfRule type="cellIs" dxfId="101" priority="44" operator="between">
      <formula>-0.00000001</formula>
      <formula>0.00000001</formula>
    </cfRule>
  </conditionalFormatting>
  <conditionalFormatting sqref="AG84:AL88 AH83:AL83">
    <cfRule type="cellIs" dxfId="100" priority="43" operator="between">
      <formula>-0.00000001</formula>
      <formula>0.00000001</formula>
    </cfRule>
  </conditionalFormatting>
  <conditionalFormatting sqref="AG92:AL96 AH91:AL91">
    <cfRule type="cellIs" dxfId="99" priority="42" operator="between">
      <formula>-0.00000001</formula>
      <formula>0.00000001</formula>
    </cfRule>
  </conditionalFormatting>
  <conditionalFormatting sqref="AG19:AL24">
    <cfRule type="cellIs" dxfId="98" priority="41" operator="between">
      <formula>-0.00000001</formula>
      <formula>0.00000001</formula>
    </cfRule>
  </conditionalFormatting>
  <conditionalFormatting sqref="AG27:AL32">
    <cfRule type="cellIs" dxfId="97" priority="40" operator="between">
      <formula>-0.00000001</formula>
      <formula>0.00000001</formula>
    </cfRule>
  </conditionalFormatting>
  <conditionalFormatting sqref="AG35:AL40">
    <cfRule type="cellIs" dxfId="96" priority="39" operator="between">
      <formula>-0.00000001</formula>
      <formula>0.00000001</formula>
    </cfRule>
  </conditionalFormatting>
  <conditionalFormatting sqref="AG43:AL48">
    <cfRule type="cellIs" dxfId="95" priority="38" operator="between">
      <formula>-0.00000001</formula>
      <formula>0.00000001</formula>
    </cfRule>
  </conditionalFormatting>
  <conditionalFormatting sqref="AG51:AL56">
    <cfRule type="cellIs" dxfId="94" priority="37" operator="between">
      <formula>-0.00000001</formula>
      <formula>0.00000001</formula>
    </cfRule>
  </conditionalFormatting>
  <conditionalFormatting sqref="AG67">
    <cfRule type="cellIs" dxfId="93" priority="36" operator="between">
      <formula>-0.00000001</formula>
      <formula>0.00000001</formula>
    </cfRule>
  </conditionalFormatting>
  <conditionalFormatting sqref="AG83">
    <cfRule type="cellIs" dxfId="92" priority="35" operator="between">
      <formula>-0.00000001</formula>
      <formula>0.00000001</formula>
    </cfRule>
  </conditionalFormatting>
  <conditionalFormatting sqref="AG91">
    <cfRule type="cellIs" dxfId="91" priority="34" operator="between">
      <formula>-0.00000001</formula>
      <formula>0.00000001</formula>
    </cfRule>
  </conditionalFormatting>
  <conditionalFormatting sqref="Z11">
    <cfRule type="cellIs" dxfId="90" priority="33" operator="equal">
      <formula>0</formula>
    </cfRule>
  </conditionalFormatting>
  <conditionalFormatting sqref="Z19">
    <cfRule type="cellIs" dxfId="89" priority="32" operator="equal">
      <formula>0</formula>
    </cfRule>
  </conditionalFormatting>
  <conditionalFormatting sqref="Z27">
    <cfRule type="cellIs" dxfId="88" priority="31" operator="equal">
      <formula>0</formula>
    </cfRule>
  </conditionalFormatting>
  <conditionalFormatting sqref="Z35">
    <cfRule type="cellIs" dxfId="87" priority="30" operator="equal">
      <formula>0</formula>
    </cfRule>
  </conditionalFormatting>
  <conditionalFormatting sqref="Z43">
    <cfRule type="cellIs" dxfId="86" priority="29" operator="equal">
      <formula>0</formula>
    </cfRule>
  </conditionalFormatting>
  <conditionalFormatting sqref="Z51">
    <cfRule type="cellIs" dxfId="85" priority="28" operator="equal">
      <formula>0</formula>
    </cfRule>
  </conditionalFormatting>
  <conditionalFormatting sqref="Z59">
    <cfRule type="cellIs" dxfId="84" priority="27" operator="equal">
      <formula>0</formula>
    </cfRule>
  </conditionalFormatting>
  <conditionalFormatting sqref="Z67">
    <cfRule type="cellIs" dxfId="83" priority="26" operator="equal">
      <formula>0</formula>
    </cfRule>
  </conditionalFormatting>
  <conditionalFormatting sqref="Z75">
    <cfRule type="cellIs" dxfId="82" priority="25" operator="equal">
      <formula>0</formula>
    </cfRule>
  </conditionalFormatting>
  <conditionalFormatting sqref="AG11:AL16">
    <cfRule type="cellIs" dxfId="81" priority="24" operator="between">
      <formula>-0.00000001</formula>
      <formula>0.00000001</formula>
    </cfRule>
  </conditionalFormatting>
  <conditionalFormatting sqref="AN3">
    <cfRule type="cellIs" dxfId="80" priority="23" operator="equal">
      <formula>0</formula>
    </cfRule>
  </conditionalFormatting>
  <conditionalFormatting sqref="AN3:AS8">
    <cfRule type="cellIs" dxfId="79" priority="22" operator="equal">
      <formula>0</formula>
    </cfRule>
  </conditionalFormatting>
  <conditionalFormatting sqref="AN11">
    <cfRule type="cellIs" dxfId="78" priority="21" operator="equal">
      <formula>0</formula>
    </cfRule>
  </conditionalFormatting>
  <conditionalFormatting sqref="AN11:AS16">
    <cfRule type="cellIs" dxfId="77" priority="20" operator="equal">
      <formula>0</formula>
    </cfRule>
  </conditionalFormatting>
  <conditionalFormatting sqref="AN19">
    <cfRule type="cellIs" dxfId="76" priority="19" operator="equal">
      <formula>0</formula>
    </cfRule>
  </conditionalFormatting>
  <conditionalFormatting sqref="AN19:AS24">
    <cfRule type="cellIs" dxfId="75" priority="18" operator="equal">
      <formula>0</formula>
    </cfRule>
  </conditionalFormatting>
  <conditionalFormatting sqref="AN27">
    <cfRule type="cellIs" dxfId="74" priority="17" operator="equal">
      <formula>0</formula>
    </cfRule>
  </conditionalFormatting>
  <conditionalFormatting sqref="AN27:AS32">
    <cfRule type="cellIs" dxfId="73" priority="16" operator="equal">
      <formula>0</formula>
    </cfRule>
  </conditionalFormatting>
  <conditionalFormatting sqref="AN35">
    <cfRule type="cellIs" dxfId="72" priority="15" operator="equal">
      <formula>0</formula>
    </cfRule>
  </conditionalFormatting>
  <conditionalFormatting sqref="AN35:AS40">
    <cfRule type="cellIs" dxfId="71" priority="14" operator="equal">
      <formula>0</formula>
    </cfRule>
  </conditionalFormatting>
  <conditionalFormatting sqref="AN43">
    <cfRule type="cellIs" dxfId="70" priority="13" operator="equal">
      <formula>0</formula>
    </cfRule>
  </conditionalFormatting>
  <conditionalFormatting sqref="AN43:AS48">
    <cfRule type="cellIs" dxfId="69" priority="12" operator="equal">
      <formula>0</formula>
    </cfRule>
  </conditionalFormatting>
  <conditionalFormatting sqref="AN51">
    <cfRule type="cellIs" dxfId="68" priority="11" operator="equal">
      <formula>0</formula>
    </cfRule>
  </conditionalFormatting>
  <conditionalFormatting sqref="AN51:AS56">
    <cfRule type="cellIs" dxfId="67" priority="10" operator="equal">
      <formula>0</formula>
    </cfRule>
  </conditionalFormatting>
  <conditionalFormatting sqref="AN59">
    <cfRule type="cellIs" dxfId="66" priority="9" operator="equal">
      <formula>0</formula>
    </cfRule>
  </conditionalFormatting>
  <conditionalFormatting sqref="AN59:AS64">
    <cfRule type="cellIs" dxfId="65" priority="8" operator="equal">
      <formula>0</formula>
    </cfRule>
  </conditionalFormatting>
  <conditionalFormatting sqref="AN67">
    <cfRule type="cellIs" dxfId="64" priority="7" operator="equal">
      <formula>0</formula>
    </cfRule>
  </conditionalFormatting>
  <conditionalFormatting sqref="AN67:AS72">
    <cfRule type="cellIs" dxfId="63" priority="6" operator="equal">
      <formula>0</formula>
    </cfRule>
  </conditionalFormatting>
  <conditionalFormatting sqref="AN75">
    <cfRule type="cellIs" dxfId="62" priority="5" operator="equal">
      <formula>0</formula>
    </cfRule>
  </conditionalFormatting>
  <conditionalFormatting sqref="AN75:AS80">
    <cfRule type="cellIs" dxfId="61" priority="4" operator="equal">
      <formula>0</formula>
    </cfRule>
  </conditionalFormatting>
  <conditionalFormatting sqref="AN83">
    <cfRule type="cellIs" dxfId="60" priority="3" operator="equal">
      <formula>0</formula>
    </cfRule>
  </conditionalFormatting>
  <conditionalFormatting sqref="AN83:AS88">
    <cfRule type="cellIs" dxfId="59" priority="2" operator="equal">
      <formula>0</formula>
    </cfRule>
  </conditionalFormatting>
  <conditionalFormatting sqref="E2:F5 E35:F35 H2:O5 L18 O18 Q8:R8 Q29:R29 T2:U4 T66:U66 L8 L13 H13 O13 Q2:R5">
    <cfRule type="expression" dxfId="58" priority="1">
      <formula>NOT($F$43)</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6">
        <x14:dataValidation type="list" allowBlank="1" showInputMessage="1" showErrorMessage="1" xr:uid="{9092D695-CE52-4035-9BD8-44569CC93C98}">
          <x14:formula1>
            <xm:f>INDIRECT(AccountData!$A$18)</xm:f>
          </x14:formula1>
          <xm:sqref>B8:B17 T20:T29 T8:T17 B20:B29</xm:sqref>
        </x14:dataValidation>
        <x14:dataValidation type="list" allowBlank="1" showInputMessage="1" showErrorMessage="1" xr:uid="{E8EC8ACB-CCFB-4BF5-BC6D-BFF4490145DE}">
          <x14:formula1>
            <xm:f>INDIRECT(AccountData!$H$8)</xm:f>
          </x14:formula1>
          <xm:sqref>E8:E11</xm:sqref>
        </x14:dataValidation>
        <x14:dataValidation type="list" allowBlank="1" showInputMessage="1" showErrorMessage="1" xr:uid="{0E51B333-8E7D-407E-99CA-45307F1A74A5}">
          <x14:formula1>
            <xm:f>INDIRECT(AccountData!$H$23)</xm:f>
          </x14:formula1>
          <xm:sqref>E14:E21</xm:sqref>
        </x14:dataValidation>
        <x14:dataValidation type="list" allowBlank="1" showInputMessage="1" showErrorMessage="1" xr:uid="{0313E55B-BD29-47B7-A030-1CE15A4A978F}">
          <x14:formula1>
            <xm:f>INDIRECT(AccountData!$A$38)</xm:f>
          </x14:formula1>
          <xm:sqref>B34:B43 T46:T55 T34:T43 B46:B55</xm:sqref>
        </x14:dataValidation>
        <x14:dataValidation type="list" allowBlank="1" showInputMessage="1" showErrorMessage="1" xr:uid="{D3E07B21-E8A8-4D0E-B7AF-B8EF3CA89A8B}">
          <x14:formula1>
            <xm:f>INDIRECT(AccountData!$A$56)</xm:f>
          </x14:formula1>
          <xm:sqref>T59:T64 B59:B65</xm:sqref>
        </x14:dataValidation>
        <x14:dataValidation type="list" allowBlank="1" showInputMessage="1" showErrorMessage="1" xr:uid="{72223ECD-504F-401F-AA1C-54269853B465}">
          <x14:formula1>
            <xm:f>INDIRECT(AccountData!$B$56)</xm:f>
          </x14:formula1>
          <xm:sqref>I8:N8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54653-A90C-48DC-84D8-66F35F679EA6}">
  <sheetPr>
    <tabColor rgb="FFFF0000"/>
  </sheetPr>
  <dimension ref="A1:BM196"/>
  <sheetViews>
    <sheetView topLeftCell="T1" zoomScale="85" zoomScaleNormal="85" workbookViewId="0">
      <selection activeCell="AZ3" sqref="AZ3"/>
    </sheetView>
  </sheetViews>
  <sheetFormatPr baseColWidth="10" defaultColWidth="8.83203125" defaultRowHeight="15" outlineLevelCol="1" x14ac:dyDescent="0.2"/>
  <cols>
    <col min="2" max="2" width="29.6640625" customWidth="1" outlineLevel="1"/>
    <col min="3" max="3" width="9.5" customWidth="1" outlineLevel="1"/>
    <col min="4" max="4" width="13.6640625" customWidth="1"/>
    <col min="5" max="5" width="42.1640625" customWidth="1" outlineLevel="1"/>
    <col min="6" max="6" width="9.5" customWidth="1" outlineLevel="1"/>
    <col min="7" max="7" width="16.5" customWidth="1"/>
    <col min="8" max="8" width="31.5" customWidth="1" outlineLevel="1"/>
    <col min="9" max="9" width="8.83203125" customWidth="1" outlineLevel="1"/>
    <col min="10" max="10" width="9.5" customWidth="1" outlineLevel="1"/>
    <col min="11" max="14" width="8.83203125" customWidth="1" outlineLevel="1"/>
    <col min="15" max="15" width="10.83203125" customWidth="1" outlineLevel="1"/>
    <col min="16" max="16" width="23.6640625" bestFit="1" customWidth="1"/>
    <col min="17" max="17" width="39.1640625" customWidth="1" outlineLevel="1"/>
    <col min="18" max="18" width="10.33203125" customWidth="1" outlineLevel="1"/>
    <col min="19" max="19" width="27.33203125" bestFit="1" customWidth="1"/>
    <col min="20" max="20" width="29.6640625" customWidth="1" outlineLevel="1"/>
    <col min="21" max="21" width="10.83203125" customWidth="1" outlineLevel="1"/>
    <col min="22" max="22" width="14" bestFit="1" customWidth="1"/>
    <col min="23" max="24" width="8.83203125" customWidth="1" outlineLevel="1"/>
    <col min="26" max="27" width="8.83203125" customWidth="1" outlineLevel="1"/>
    <col min="28" max="29" width="22.33203125" customWidth="1" outlineLevel="1"/>
    <col min="30" max="31" width="8.83203125" customWidth="1" outlineLevel="1"/>
    <col min="33" max="34" width="8.83203125" customWidth="1" outlineLevel="1"/>
    <col min="35" max="35" width="25.1640625" customWidth="1" outlineLevel="1"/>
    <col min="36" max="36" width="22.33203125" customWidth="1" outlineLevel="1"/>
    <col min="37" max="38" width="8.83203125" customWidth="1" outlineLevel="1"/>
    <col min="40" max="41" width="8.83203125" customWidth="1" outlineLevel="1"/>
    <col min="42" max="42" width="22.33203125" customWidth="1" outlineLevel="1"/>
    <col min="43" max="43" width="38" customWidth="1" outlineLevel="1"/>
    <col min="44" max="45" width="8.83203125" customWidth="1" outlineLevel="1"/>
    <col min="47" max="47" width="38" customWidth="1" outlineLevel="1"/>
    <col min="48" max="49" width="8.83203125" customWidth="1" outlineLevel="1"/>
    <col min="50" max="50" width="6" style="1" customWidth="1" outlineLevel="1"/>
    <col min="51" max="51" width="9.1640625" customWidth="1" outlineLevel="1"/>
    <col min="52" max="52" width="9.33203125" customWidth="1" outlineLevel="1"/>
    <col min="53" max="53" width="5.6640625" style="1" customWidth="1" outlineLevel="1"/>
    <col min="54" max="54" width="9.33203125" customWidth="1" outlineLevel="1"/>
    <col min="55" max="55" width="10.1640625" customWidth="1" outlineLevel="1"/>
    <col min="56" max="56" width="9.33203125" customWidth="1" outlineLevel="1"/>
    <col min="57" max="58" width="8.83203125" customWidth="1" outlineLevel="1"/>
    <col min="59" max="59" width="10.5" customWidth="1" outlineLevel="1"/>
    <col min="60" max="61" width="9.33203125" customWidth="1" outlineLevel="1"/>
    <col min="62" max="62" width="8.83203125" customWidth="1" outlineLevel="1"/>
  </cols>
  <sheetData>
    <row r="1" spans="1:65" ht="17" thickTop="1" thickBot="1" x14ac:dyDescent="0.25">
      <c r="A1" t="s">
        <v>472</v>
      </c>
      <c r="D1" s="5" t="s">
        <v>379</v>
      </c>
      <c r="G1" s="5" t="s">
        <v>381</v>
      </c>
      <c r="P1" s="5" t="s">
        <v>383</v>
      </c>
      <c r="S1" s="5" t="s">
        <v>387</v>
      </c>
      <c r="V1" s="5" t="s">
        <v>388</v>
      </c>
      <c r="Z1" s="5" t="s">
        <v>447</v>
      </c>
      <c r="AG1" s="5" t="s">
        <v>473</v>
      </c>
      <c r="AN1" s="5" t="s">
        <v>136</v>
      </c>
      <c r="AV1" s="3" t="s">
        <v>504</v>
      </c>
      <c r="AW1" s="3"/>
      <c r="AX1" s="4"/>
      <c r="AY1" s="3" t="s">
        <v>505</v>
      </c>
      <c r="AZ1" s="3"/>
      <c r="BA1" s="4"/>
      <c r="BB1" s="3" t="s">
        <v>506</v>
      </c>
      <c r="BC1" s="3"/>
      <c r="BD1" s="122" t="s">
        <v>507</v>
      </c>
      <c r="BE1" s="123"/>
      <c r="BJ1" t="s">
        <v>508</v>
      </c>
    </row>
    <row r="2" spans="1:65" ht="16" thickBot="1" x14ac:dyDescent="0.25">
      <c r="B2" s="377">
        <f>Entity</f>
        <v>0</v>
      </c>
      <c r="C2" s="378"/>
      <c r="E2" s="383">
        <f>Entity</f>
        <v>0</v>
      </c>
      <c r="F2" s="384"/>
      <c r="H2" s="383">
        <f>Entity</f>
        <v>0</v>
      </c>
      <c r="I2" s="389"/>
      <c r="J2" s="389"/>
      <c r="K2" s="389"/>
      <c r="L2" s="389"/>
      <c r="M2" s="389"/>
      <c r="N2" s="389"/>
      <c r="O2" s="384"/>
      <c r="Q2" s="383">
        <f>Entity</f>
        <v>0</v>
      </c>
      <c r="R2" s="384"/>
      <c r="T2" s="182">
        <f>Entity</f>
        <v>0</v>
      </c>
      <c r="U2" s="183"/>
      <c r="Z2" s="5" t="s">
        <v>449</v>
      </c>
      <c r="AC2" s="4" t="s">
        <v>96</v>
      </c>
      <c r="AG2" s="5" t="s">
        <v>474</v>
      </c>
      <c r="AJ2" s="4" t="s">
        <v>116</v>
      </c>
      <c r="AN2" s="5" t="s">
        <v>450</v>
      </c>
      <c r="AQ2" s="4" t="s">
        <v>135</v>
      </c>
      <c r="AV2" s="4" t="s">
        <v>509</v>
      </c>
      <c r="AW2" s="4" t="s">
        <v>510</v>
      </c>
      <c r="AX2" s="4"/>
      <c r="AY2" s="4" t="s">
        <v>509</v>
      </c>
      <c r="AZ2" s="4" t="s">
        <v>510</v>
      </c>
      <c r="BA2" s="4"/>
      <c r="BB2" s="4" t="s">
        <v>509</v>
      </c>
      <c r="BC2" s="124" t="s">
        <v>510</v>
      </c>
      <c r="BD2" s="125" t="s">
        <v>509</v>
      </c>
      <c r="BE2" s="126" t="s">
        <v>510</v>
      </c>
      <c r="BG2" t="s">
        <v>331</v>
      </c>
      <c r="BH2" t="s">
        <v>333</v>
      </c>
      <c r="BJ2" s="42" t="e">
        <f ca="1">BH140-BI140</f>
        <v>#NAME?</v>
      </c>
      <c r="BM2" t="e" cm="1">
        <f t="array" aca="1" ref="BM2" ca="1">_xlfn._xlws.FILTER(Answers[CrAmt],(Answers[ref2]="SBU")*(Answers[CrAccnt]=AU3),"")</f>
        <v>#NAME?</v>
      </c>
    </row>
    <row r="3" spans="1:65" ht="16" thickTop="1" x14ac:dyDescent="0.2">
      <c r="B3" s="379" t="str">
        <f>"Balance Sheet as of "&amp;BegDate</f>
        <v xml:space="preserve">Balance Sheet as of </v>
      </c>
      <c r="C3" s="380"/>
      <c r="E3" s="385" t="str">
        <f>IF(F43,"Income Statement","Temporary Accounts")</f>
        <v>Temporary Accounts</v>
      </c>
      <c r="F3" s="386"/>
      <c r="H3" s="385" t="s">
        <v>397</v>
      </c>
      <c r="I3" s="390"/>
      <c r="J3" s="390"/>
      <c r="K3" s="390"/>
      <c r="L3" s="390"/>
      <c r="M3" s="390"/>
      <c r="N3" s="390"/>
      <c r="O3" s="386"/>
      <c r="Q3" s="385" t="s">
        <v>398</v>
      </c>
      <c r="R3" s="386"/>
      <c r="T3" s="184" t="str">
        <f>IF(F43,"Balance Sheet as of "&amp;EndDate,"Amounts in Permanent Accounts")</f>
        <v>Amounts in Permanent Accounts</v>
      </c>
      <c r="U3" s="185"/>
      <c r="Z3" s="110" t="e" cm="1">
        <f t="array" aca="1" ref="Z3" ca="1">_xlfn._xlws.FILTER(Answers[ref]:Answers[CrAmt],Answers[ref2]=AC2,"")</f>
        <v>#NAME?</v>
      </c>
      <c r="AA3" s="31"/>
      <c r="AB3" s="31"/>
      <c r="AC3" s="31"/>
      <c r="AD3" s="31"/>
      <c r="AE3" s="31"/>
      <c r="AG3" s="111" t="e" cm="1">
        <f t="array" aca="1" ref="AG3" ca="1">_xlfn._xlws.FILTER(Answers[ref]:Answers[CrAmt],Answers[ref2]=AJ2,"")</f>
        <v>#NAME?</v>
      </c>
      <c r="AH3" s="112"/>
      <c r="AI3" s="112"/>
      <c r="AJ3" s="112"/>
      <c r="AK3" s="112"/>
      <c r="AL3" s="112"/>
      <c r="AN3" s="114" t="e" cm="1">
        <f t="array" aca="1" ref="AN3" ca="1">_xlfn._xlws.FILTER(Answers[ref]:Answers[CrAmt],Answers[ref2]=AQ2,"")</f>
        <v>#NAME?</v>
      </c>
      <c r="AO3" s="115"/>
      <c r="AP3" s="115"/>
      <c r="AQ3" s="115"/>
      <c r="AR3" s="115"/>
      <c r="AS3" s="115"/>
      <c r="AU3" s="128" t="e">
        <f ca="1">_xlfn.XLOOKUP(2,AssetsMaster[Num],AssetsMaster[Name])</f>
        <v>#NAME?</v>
      </c>
      <c r="AV3" s="133">
        <f ca="1">IFERROR(_xlfn.XLOOKUP(AU3,BegBalSht[Account],BegBalSht[Amount]),0)</f>
        <v>0</v>
      </c>
      <c r="AW3" s="133"/>
      <c r="AX3" s="134" t="s">
        <v>128</v>
      </c>
      <c r="AY3" s="135">
        <f ca="1">IFERROR(_xlfn.XLOOKUP(AU3,$AI$51:$AI$64,$AK$51:$AK$64),0)</f>
        <v>0</v>
      </c>
      <c r="AZ3" s="135" t="e" cm="1">
        <f t="array" aca="1" ref="AZ3" ca="1">_xlfn._xlws.FILTER(Answers[CrAmt],(Answers[ref2]="SBU")*(Answers[CrAccnt]=AU3),"")</f>
        <v>#NAME?</v>
      </c>
      <c r="BA3" s="134" t="s">
        <v>94</v>
      </c>
      <c r="BB3" s="136">
        <f ca="1">AV3+BG3-BH3</f>
        <v>0</v>
      </c>
      <c r="BC3" s="137"/>
      <c r="BD3" s="138" t="e">
        <f ca="1">MAX(BB3-AV3-SUM(AY3:AY6)+SUM(AZ3:AZ6),0)</f>
        <v>#NAME?</v>
      </c>
      <c r="BE3" s="139" t="e">
        <f ca="1">-MIN(BB3-AV3-SUM(AY3:AY6)+SUM(AZ3:AZ6),0)</f>
        <v>#NAME?</v>
      </c>
      <c r="BF3" s="42"/>
      <c r="BG3" s="42">
        <f ca="1">SUMIF(Answers[DrAccnt],AU3,Answers[DrAmt])</f>
        <v>0</v>
      </c>
      <c r="BH3" s="42">
        <f ca="1">SUMIF(Answers[CrAccnt],AU3,Answers[CrAmt])</f>
        <v>0</v>
      </c>
      <c r="BI3" s="42"/>
    </row>
    <row r="4" spans="1:65" ht="16" thickBot="1" x14ac:dyDescent="0.25">
      <c r="B4" s="381" t="str">
        <f>"("&amp;Units&amp;")"</f>
        <v>()</v>
      </c>
      <c r="C4" s="382"/>
      <c r="E4" s="385" t="str">
        <f>"For the "&amp;Period&amp;" Ended "&amp;EndDate</f>
        <v xml:space="preserve">For the  Ended </v>
      </c>
      <c r="F4" s="386"/>
      <c r="H4" s="385" t="str">
        <f>"For the "&amp;Period&amp;" Ended "&amp;EndDate</f>
        <v xml:space="preserve">For the  Ended </v>
      </c>
      <c r="I4" s="390"/>
      <c r="J4" s="390"/>
      <c r="K4" s="390"/>
      <c r="L4" s="390"/>
      <c r="M4" s="390"/>
      <c r="N4" s="390"/>
      <c r="O4" s="386"/>
      <c r="Q4" s="385" t="str">
        <f>"For the "&amp;Period&amp;" Ended "&amp;EndDate</f>
        <v xml:space="preserve">For the  Ended </v>
      </c>
      <c r="R4" s="386"/>
      <c r="T4" s="186" t="str">
        <f>"("&amp;Units&amp;")"</f>
        <v>()</v>
      </c>
      <c r="U4" s="185"/>
      <c r="Z4" s="110"/>
      <c r="AA4" s="31"/>
      <c r="AB4" s="31"/>
      <c r="AC4" s="31"/>
      <c r="AD4" s="31"/>
      <c r="AE4" s="31"/>
      <c r="AG4" s="111"/>
      <c r="AH4" s="112"/>
      <c r="AI4" s="112"/>
      <c r="AJ4" s="112"/>
      <c r="AK4" s="112"/>
      <c r="AL4" s="112"/>
      <c r="AN4" s="114"/>
      <c r="AO4" s="115"/>
      <c r="AP4" s="115"/>
      <c r="AQ4" s="115"/>
      <c r="AR4" s="115"/>
      <c r="AS4" s="115"/>
      <c r="AU4" s="129"/>
      <c r="AV4" s="140"/>
      <c r="AW4" s="140"/>
      <c r="AX4" s="141"/>
      <c r="AY4" s="142"/>
      <c r="AZ4" s="143"/>
      <c r="BA4" s="141"/>
      <c r="BB4" s="127"/>
      <c r="BC4" s="102"/>
      <c r="BD4" s="140"/>
      <c r="BE4" s="85"/>
      <c r="BF4" s="42"/>
      <c r="BG4" s="42"/>
      <c r="BH4" s="42"/>
      <c r="BI4" s="42"/>
    </row>
    <row r="5" spans="1:65" ht="16" thickBot="1" x14ac:dyDescent="0.25">
      <c r="B5" s="28"/>
      <c r="C5" s="27"/>
      <c r="E5" s="387" t="str">
        <f>"("&amp;Units&amp;")"</f>
        <v>()</v>
      </c>
      <c r="F5" s="388"/>
      <c r="H5" s="387" t="str">
        <f>"("&amp;Units&amp;")"</f>
        <v>()</v>
      </c>
      <c r="I5" s="391"/>
      <c r="J5" s="391"/>
      <c r="K5" s="391"/>
      <c r="L5" s="391"/>
      <c r="M5" s="391"/>
      <c r="N5" s="391"/>
      <c r="O5" s="388"/>
      <c r="Q5" s="387" t="str">
        <f>"("&amp;Units&amp;")"</f>
        <v>()</v>
      </c>
      <c r="R5" s="388"/>
      <c r="T5" s="28"/>
      <c r="U5" s="27"/>
      <c r="Z5" s="110"/>
      <c r="AA5" s="31"/>
      <c r="AB5" s="31"/>
      <c r="AC5" s="31"/>
      <c r="AD5" s="31"/>
      <c r="AE5" s="31"/>
      <c r="AG5" s="111"/>
      <c r="AH5" s="112"/>
      <c r="AI5" s="112"/>
      <c r="AJ5" s="112"/>
      <c r="AK5" s="112"/>
      <c r="AL5" s="112"/>
      <c r="AN5" s="114"/>
      <c r="AO5" s="115"/>
      <c r="AP5" s="115"/>
      <c r="AQ5" s="115"/>
      <c r="AR5" s="115"/>
      <c r="AS5" s="115"/>
      <c r="AU5" s="129"/>
      <c r="AV5" s="140"/>
      <c r="AW5" s="140"/>
      <c r="AX5" s="141"/>
      <c r="AY5" s="142"/>
      <c r="AZ5" s="143"/>
      <c r="BA5" s="141"/>
      <c r="BB5" s="127"/>
      <c r="BC5" s="102"/>
      <c r="BD5" s="140"/>
      <c r="BE5" s="85"/>
      <c r="BF5" s="42"/>
      <c r="BG5" s="42"/>
      <c r="BH5" s="42"/>
      <c r="BI5" s="42"/>
    </row>
    <row r="6" spans="1:65" x14ac:dyDescent="0.2">
      <c r="B6" s="187" t="s">
        <v>363</v>
      </c>
      <c r="C6" s="188"/>
      <c r="E6" s="17"/>
      <c r="F6" s="18"/>
      <c r="H6" s="16"/>
      <c r="I6" s="2"/>
      <c r="J6" s="2"/>
      <c r="K6" s="2"/>
      <c r="L6" s="2"/>
      <c r="M6" s="2"/>
      <c r="N6" s="2"/>
      <c r="O6" s="15"/>
      <c r="Q6" s="17"/>
      <c r="R6" s="18"/>
      <c r="T6" s="187" t="s">
        <v>363</v>
      </c>
      <c r="U6" s="188"/>
      <c r="Z6" s="110"/>
      <c r="AA6" s="31"/>
      <c r="AB6" s="31"/>
      <c r="AC6" s="31"/>
      <c r="AD6" s="31"/>
      <c r="AE6" s="31"/>
      <c r="AG6" s="111"/>
      <c r="AH6" s="112"/>
      <c r="AI6" s="112"/>
      <c r="AJ6" s="112"/>
      <c r="AK6" s="112"/>
      <c r="AL6" s="112"/>
      <c r="AN6" s="114"/>
      <c r="AO6" s="115"/>
      <c r="AP6" s="115"/>
      <c r="AQ6" s="115"/>
      <c r="AR6" s="115"/>
      <c r="AS6" s="115"/>
      <c r="AU6" s="129"/>
      <c r="AV6" s="144"/>
      <c r="AW6" s="140"/>
      <c r="AX6" s="141"/>
      <c r="AY6" s="142"/>
      <c r="AZ6" s="143"/>
      <c r="BA6" s="141"/>
      <c r="BB6" s="127"/>
      <c r="BC6" s="102"/>
      <c r="BD6" s="140"/>
      <c r="BE6" s="85"/>
      <c r="BF6" s="42"/>
      <c r="BG6" s="42"/>
      <c r="BH6" s="42"/>
      <c r="BI6" s="42"/>
    </row>
    <row r="7" spans="1:65" x14ac:dyDescent="0.2">
      <c r="B7" s="52" t="s">
        <v>404</v>
      </c>
      <c r="C7" s="46">
        <f>BegDate</f>
        <v>0</v>
      </c>
      <c r="E7" s="190" t="s">
        <v>405</v>
      </c>
      <c r="F7" s="20"/>
      <c r="H7" s="17"/>
      <c r="I7" s="61" t="s">
        <v>406</v>
      </c>
      <c r="J7" s="2"/>
      <c r="K7" s="2"/>
      <c r="L7" s="2"/>
      <c r="M7" s="2"/>
      <c r="N7" s="2"/>
      <c r="O7" s="18"/>
      <c r="Q7" s="190" t="s">
        <v>408</v>
      </c>
      <c r="R7" s="20"/>
      <c r="T7" s="52" t="s">
        <v>404</v>
      </c>
      <c r="U7" s="46">
        <f>EndDate</f>
        <v>0</v>
      </c>
      <c r="W7" t="s">
        <v>301</v>
      </c>
      <c r="X7" t="s">
        <v>302</v>
      </c>
      <c r="Z7" s="110"/>
      <c r="AA7" s="31"/>
      <c r="AB7" s="31"/>
      <c r="AC7" s="31"/>
      <c r="AD7" s="31"/>
      <c r="AE7" s="31"/>
      <c r="AG7" s="111"/>
      <c r="AH7" s="112"/>
      <c r="AI7" s="112"/>
      <c r="AJ7" s="112"/>
      <c r="AK7" s="112"/>
      <c r="AL7" s="112"/>
      <c r="AN7" s="114"/>
      <c r="AO7" s="115"/>
      <c r="AP7" s="115"/>
      <c r="AQ7" s="115"/>
      <c r="AR7" s="115"/>
      <c r="AS7" s="115"/>
      <c r="AU7" s="130" t="str">
        <f>_xlfn.XLOOKUP(3,AssetsMaster[Num],AssetsMaster[Name])</f>
        <v>Allowance for Doubtful Accounts</v>
      </c>
      <c r="AV7" s="140"/>
      <c r="AW7" s="140" cm="1">
        <f t="array" ref="AW7">IFERROR(_xlfn.XLOOKUP(AU7,BegBalSht[Account],-BegBalSht[Amount]),0)</f>
        <v>0</v>
      </c>
      <c r="AX7" s="141" t="s">
        <v>94</v>
      </c>
      <c r="AY7" s="142">
        <f ca="1">IFERROR(_xlfn.XLOOKUP(AU7,$AI$67:$AI$80,$AK$67:$AK$80),0)</f>
        <v>0</v>
      </c>
      <c r="AZ7" s="143">
        <f>IFERROR(_xlfn.XLOOKUP(AU7,$AJ$51:$AJ$64,$AL$51:$AL$64),0)</f>
        <v>0</v>
      </c>
      <c r="BA7" s="141" t="s">
        <v>128</v>
      </c>
      <c r="BB7" s="127"/>
      <c r="BC7" s="102">
        <f>AW7-BG7+BH7</f>
        <v>0</v>
      </c>
      <c r="BD7" s="145">
        <f ca="1">-MIN(BC7-AW7-SUM(AZ7:AZ10)+SUM(AY7:AY10),0)</f>
        <v>0</v>
      </c>
      <c r="BE7" s="146">
        <f ca="1">MAX(BC7-AW7-SUM(AZ7:AZ10)+SUM(AY7:AY10),0)</f>
        <v>0</v>
      </c>
      <c r="BF7" s="42"/>
      <c r="BG7" s="42">
        <f>SUMIF(Answers[DrAccnt],AU7,Answers[DrAmt])</f>
        <v>0</v>
      </c>
      <c r="BH7" s="42">
        <f>SUMIF(Answers[CrAccnt],AU7,Answers[CrAmt])</f>
        <v>0</v>
      </c>
      <c r="BI7" s="42"/>
    </row>
    <row r="8" spans="1:65" ht="17" thickBot="1" x14ac:dyDescent="0.25">
      <c r="B8" s="17" t="str" cm="1">
        <f t="array" ref="B8:B15">_xlfn._xlws.FILTER(Asset[Name],Asset[C/NC]="C")</f>
        <v>Cash</v>
      </c>
      <c r="C8" s="99">
        <f>IF(ISBLANK(B8),"",_xlfn.XLOOKUP(B8,BegBalSht[Account],BegBalSht[Amount]))</f>
        <v>0</v>
      </c>
      <c r="E8" s="17" t="str" cm="1">
        <f t="array" ref="E8">_xlfn._xlws.FILTER(_Revenue[Name],NOT(ISBLANK(_Revenue[Name])),"")</f>
        <v>Sales</v>
      </c>
      <c r="F8" s="82">
        <f>SUMIFS(Answers[CrAmt],Answers[CrAccnt],E8,Answers[ref2],"&lt;&gt;CL")-SUMIFS(Answers[DrAmt],Answers[DrAccnt],E8,Answers[ref2],"&lt;&gt;CL")</f>
        <v>0</v>
      </c>
      <c r="H8" s="17"/>
      <c r="I8" s="197" t="s">
        <v>240</v>
      </c>
      <c r="J8" s="197" t="s">
        <v>241</v>
      </c>
      <c r="K8" s="197" t="s">
        <v>242</v>
      </c>
      <c r="L8" s="197" t="s">
        <v>245</v>
      </c>
      <c r="M8" s="197" t="s">
        <v>243</v>
      </c>
      <c r="N8" s="197" t="s">
        <v>246</v>
      </c>
      <c r="O8" s="198" t="s">
        <v>409</v>
      </c>
      <c r="Q8" s="17" t="str">
        <f>IF(F43,"Net Income (Loss)","Amount inTemporary Accounts")</f>
        <v>Amount inTemporary Accounts</v>
      </c>
      <c r="R8" s="169">
        <f>AY134-AZ134</f>
        <v>5</v>
      </c>
      <c r="T8" s="17" t="str">
        <f t="shared" ref="T8:T17" si="0">IF(ISBLANK(B8),"",B8)</f>
        <v>Cash</v>
      </c>
      <c r="U8" s="99">
        <f t="shared" ref="U8:U17" si="1">IFERROR(C8+W8-X8,0)</f>
        <v>100</v>
      </c>
      <c r="V8" s="1"/>
      <c r="W8">
        <f>SUMIF(Answers[DrAccnt],FS_All_Auto_Solution!T8,Answers[DrAmt])</f>
        <v>100</v>
      </c>
      <c r="X8">
        <f>SUMIF(Answers[CrAccnt],FS_All_Auto_Solution!T8,Answers[CrAmt])</f>
        <v>0</v>
      </c>
      <c r="Z8" s="110"/>
      <c r="AA8" s="31"/>
      <c r="AB8" s="31"/>
      <c r="AC8" s="31"/>
      <c r="AD8" s="31"/>
      <c r="AE8" s="31"/>
      <c r="AG8" s="111"/>
      <c r="AH8" s="112"/>
      <c r="AI8" s="112"/>
      <c r="AJ8" s="112"/>
      <c r="AK8" s="112"/>
      <c r="AL8" s="112"/>
      <c r="AN8" s="114"/>
      <c r="AO8" s="115"/>
      <c r="AP8" s="115"/>
      <c r="AQ8" s="115"/>
      <c r="AR8" s="115"/>
      <c r="AS8" s="115"/>
      <c r="AU8" s="129"/>
      <c r="AV8" s="140"/>
      <c r="AW8" s="140"/>
      <c r="AX8" s="141"/>
      <c r="AY8" s="142"/>
      <c r="AZ8" s="143"/>
      <c r="BA8" s="141"/>
      <c r="BB8" s="127"/>
      <c r="BC8" s="102"/>
      <c r="BD8" s="140"/>
      <c r="BE8" s="85"/>
      <c r="BF8" s="42"/>
      <c r="BG8" s="42"/>
      <c r="BH8" s="42"/>
      <c r="BI8" s="42"/>
    </row>
    <row r="9" spans="1:65" x14ac:dyDescent="0.2">
      <c r="B9" s="17" t="str">
        <v>Accounts Receivable</v>
      </c>
      <c r="C9" s="100">
        <f>IF(ISBLANK(B9),"",_xlfn.XLOOKUP(B9,BegBalSht[Account],BegBalSht[Amount]))</f>
        <v>0</v>
      </c>
      <c r="E9" s="17"/>
      <c r="F9" s="102">
        <f>SUMIFS(Answers[CrAmt],Answers[CrAccnt],E9,Answers[ref2],"&lt;&gt;CL")-SUMIFS(Answers[DrAmt],Answers[DrAccnt],E9,Answers[ref2],"&lt;&gt;CL")</f>
        <v>0</v>
      </c>
      <c r="H9" s="19" t="str">
        <f>"Balance as of "&amp;BegDate</f>
        <v xml:space="preserve">Balance as of </v>
      </c>
      <c r="I9" s="107">
        <f t="shared" ref="I9:N9" si="2">_xlfn.XLOOKUP(I8,$A59:$A65,$C59:$C65,0)</f>
        <v>0</v>
      </c>
      <c r="J9" s="107">
        <f t="shared" si="2"/>
        <v>0</v>
      </c>
      <c r="K9" s="107">
        <f t="shared" si="2"/>
        <v>0</v>
      </c>
      <c r="L9" s="107">
        <f t="shared" si="2"/>
        <v>0</v>
      </c>
      <c r="M9" s="107">
        <f t="shared" si="2"/>
        <v>0</v>
      </c>
      <c r="N9" s="107">
        <f t="shared" si="2"/>
        <v>0</v>
      </c>
      <c r="O9" s="64">
        <f>SUM(I9:N9)</f>
        <v>0</v>
      </c>
      <c r="Q9" s="75" t="s">
        <v>412</v>
      </c>
      <c r="R9" s="18"/>
      <c r="T9" s="17" t="str">
        <f t="shared" si="0"/>
        <v>Accounts Receivable</v>
      </c>
      <c r="U9" s="100">
        <f t="shared" si="1"/>
        <v>-75</v>
      </c>
      <c r="V9" s="1"/>
      <c r="W9">
        <f>SUMIF(Answers[DrAccnt],FS_All_Auto_Solution!T9,Answers[DrAmt])</f>
        <v>0</v>
      </c>
      <c r="X9">
        <f>SUMIF(Answers[CrAccnt],FS_All_Auto_Solution!T9,Answers[CrAmt])</f>
        <v>75</v>
      </c>
      <c r="AU9" s="129"/>
      <c r="AV9" s="140"/>
      <c r="AW9" s="140"/>
      <c r="AX9" s="141"/>
      <c r="AY9" s="142"/>
      <c r="AZ9" s="143"/>
      <c r="BA9" s="141"/>
      <c r="BB9" s="127"/>
      <c r="BC9" s="102"/>
      <c r="BD9" s="140"/>
      <c r="BE9" s="85"/>
      <c r="BF9" s="42"/>
      <c r="BG9" s="42"/>
      <c r="BH9" s="42"/>
      <c r="BI9" s="42"/>
    </row>
    <row r="10" spans="1:65" x14ac:dyDescent="0.2">
      <c r="B10" s="17" t="str">
        <v>Allowance for Doubtful Accounts</v>
      </c>
      <c r="C10" s="100">
        <f>IF(ISBLANK(B10),"",_xlfn.XLOOKUP(B10,BegBalSht[Account],BegBalSht[Amount]))</f>
        <v>0</v>
      </c>
      <c r="E10" s="17"/>
      <c r="F10" s="102">
        <f>SUMIFS(Answers[CrAmt],Answers[CrAccnt],E10,Answers[ref2],"&lt;&gt;CL")-SUMIFS(Answers[DrAmt],Answers[DrAccnt],E10,Answers[ref2],"&lt;&gt;CL")</f>
        <v>0</v>
      </c>
      <c r="H10" s="17" t="s">
        <v>451</v>
      </c>
      <c r="I10" s="108" cm="1">
        <f t="array" ref="I10">_xlfn._xlws.FILTER(Answers[CrAmt],(Answers[ref2]="IPS")*(Answers[CrAccnt]="Preferred Stock"),0)</f>
        <v>0</v>
      </c>
      <c r="J10" s="108" t="str">
        <f ca="1">IFERROR(_xlfn.XLOOKUP("Preferred Stock",AU11:AU16,AW11:AW16),"")</f>
        <v/>
      </c>
      <c r="K10" s="108"/>
      <c r="L10" s="108"/>
      <c r="M10" s="108"/>
      <c r="N10" s="108"/>
      <c r="O10" s="65">
        <f t="shared" ref="O10:O17" ca="1" si="3">SUM(I10:N10)</f>
        <v>0</v>
      </c>
      <c r="Q10" s="17" t="s">
        <v>511</v>
      </c>
      <c r="R10" s="82">
        <f>AY135-AZ135</f>
        <v>0</v>
      </c>
      <c r="T10" s="17" t="str">
        <f t="shared" si="0"/>
        <v>Allowance for Doubtful Accounts</v>
      </c>
      <c r="U10" s="100">
        <f t="shared" si="1"/>
        <v>0</v>
      </c>
      <c r="V10" s="1"/>
      <c r="W10">
        <f>SUMIF(Answers[DrAccnt],FS_All_Auto_Solution!T10,Answers[DrAmt])</f>
        <v>0</v>
      </c>
      <c r="X10">
        <f>SUMIF(Answers[CrAccnt],FS_All_Auto_Solution!T10,Answers[CrAmt])</f>
        <v>0</v>
      </c>
      <c r="Z10" s="5" t="s">
        <v>453</v>
      </c>
      <c r="AC10" s="4" t="s">
        <v>98</v>
      </c>
      <c r="AG10" s="5" t="s">
        <v>477</v>
      </c>
      <c r="AJ10" s="4" t="s">
        <v>478</v>
      </c>
      <c r="AN10" s="5" t="s">
        <v>319</v>
      </c>
      <c r="AQ10" s="4" t="s">
        <v>122</v>
      </c>
      <c r="AU10" s="129"/>
      <c r="AV10" s="140"/>
      <c r="AW10" s="140"/>
      <c r="AX10" s="141"/>
      <c r="AY10" s="142"/>
      <c r="AZ10" s="143"/>
      <c r="BA10" s="141"/>
      <c r="BB10" s="127"/>
      <c r="BC10" s="102"/>
      <c r="BD10" s="140"/>
      <c r="BE10" s="85"/>
      <c r="BF10" s="42"/>
      <c r="BG10" s="42"/>
      <c r="BH10" s="42"/>
      <c r="BI10" s="42"/>
    </row>
    <row r="11" spans="1:65" x14ac:dyDescent="0.2">
      <c r="B11" s="17" t="str">
        <v>Marketable Securities</v>
      </c>
      <c r="C11" s="100">
        <f>IF(ISBLANK(B11),"",_xlfn.XLOOKUP(B11,BegBalSht[Account],BegBalSht[Amount]))</f>
        <v>0</v>
      </c>
      <c r="E11" s="17"/>
      <c r="F11" s="102">
        <f>SUMIFS(Answers[CrAmt],Answers[CrAccnt],E11,Answers[ref],"&lt;&gt;CL")-SUMIFS(Answers[DrAmt],Answers[DrAccnt],E11,Answers[ref],"&lt;&gt;CL")</f>
        <v>0</v>
      </c>
      <c r="H11" s="17" t="s">
        <v>454</v>
      </c>
      <c r="I11" s="108"/>
      <c r="J11" s="108" cm="1">
        <f t="array" ref="J11">_xlfn._xlws.FILTER(Answers[CrAmt],(Answers[ref2]="ICS")*(Answers[CrAccnt]="Common Stock"),0)</f>
        <v>0</v>
      </c>
      <c r="K11" s="108" cm="1">
        <f t="array" ref="K11">_xlfn._xlws.FILTER(Answers[CrAmt],(Answers[ref2]="ICS")*(Answers[CrAccnt]="Additional Paid-in Capital"),0)</f>
        <v>0</v>
      </c>
      <c r="L11" s="108"/>
      <c r="M11" s="108"/>
      <c r="N11" s="108"/>
      <c r="O11" s="65">
        <f t="shared" si="3"/>
        <v>0</v>
      </c>
      <c r="Q11" s="17" t="s">
        <v>512</v>
      </c>
      <c r="R11" s="102">
        <f ca="1">AY136-AZ136</f>
        <v>0</v>
      </c>
      <c r="T11" s="17" t="str">
        <f t="shared" si="0"/>
        <v>Marketable Securities</v>
      </c>
      <c r="U11" s="100">
        <f t="shared" si="1"/>
        <v>0</v>
      </c>
      <c r="V11" s="1"/>
      <c r="W11">
        <f>SUMIF(Answers[DrAccnt],FS_All_Auto_Solution!T11,Answers[DrAmt])</f>
        <v>0</v>
      </c>
      <c r="X11">
        <f>SUMIF(Answers[CrAccnt],FS_All_Auto_Solution!T11,Answers[CrAmt])</f>
        <v>0</v>
      </c>
      <c r="Z11" s="110" t="e" cm="1">
        <f t="array" aca="1" ref="Z11" ca="1">_xlfn._xlws.FILTER(Answers[ref]:Answers[CrAmt],Answers[ref2]=AC10,"")</f>
        <v>#NAME?</v>
      </c>
      <c r="AA11" s="31"/>
      <c r="AB11" s="31"/>
      <c r="AC11" s="31"/>
      <c r="AD11" s="31"/>
      <c r="AE11" s="31"/>
      <c r="AG11" s="111" t="e" cm="1">
        <f t="array" aca="1" ref="AG11" ca="1">_xlfn._xlws.FILTER(Answers[ref]:Answers[CrAmt],Answers[ref2]=AJ10,"")</f>
        <v>#NAME?</v>
      </c>
      <c r="AH11" s="112"/>
      <c r="AI11" s="112"/>
      <c r="AJ11" s="112"/>
      <c r="AK11" s="112"/>
      <c r="AL11" s="112"/>
      <c r="AN11" s="114" t="e" cm="1">
        <f t="array" aca="1" ref="AN11" ca="1">_xlfn._xlws.FILTER(Answers[ref]:Answers[CrAmt],Answers[ref2]=AQ10,"")</f>
        <v>#NAME?</v>
      </c>
      <c r="AO11" s="115"/>
      <c r="AP11" s="115"/>
      <c r="AQ11" s="115"/>
      <c r="AR11" s="115"/>
      <c r="AS11" s="115"/>
      <c r="AU11" s="130" t="e">
        <f ca="1">_xlfn.XLOOKUP(4,AssetsMaster[Num],AssetsMaster[Name])</f>
        <v>#NAME?</v>
      </c>
      <c r="AV11" s="140">
        <f ca="1">IFERROR(_xlfn.XLOOKUP(AU11,BegBalSht[Account],BegBalSht[Amount]),0)</f>
        <v>0</v>
      </c>
      <c r="AW11" s="140"/>
      <c r="AX11" s="141" t="s">
        <v>128</v>
      </c>
      <c r="AY11" s="142">
        <f ca="1">IFERROR(_xlfn.XLOOKUP(AU11,$AI$51:$AI$64,$AK$51:$AK$64),0)</f>
        <v>0</v>
      </c>
      <c r="AZ11" s="143">
        <f ca="1">IFERROR(_xlfn.XLOOKUP(AU11,$AJ$67:$AJ$80,$AL$67:$AL$80),0)</f>
        <v>0</v>
      </c>
      <c r="BA11" s="141" t="s">
        <v>94</v>
      </c>
      <c r="BB11" s="127">
        <f ca="1">AV11+BG11-BH11</f>
        <v>0</v>
      </c>
      <c r="BC11" s="102"/>
      <c r="BD11" s="166">
        <f ca="1">MAX(BB11-AV11-SUM(AY11:AY14)+SUM(AZ11:AZ14),0)</f>
        <v>0</v>
      </c>
      <c r="BE11" s="167">
        <f ca="1">-MIN(BB11-AV11-SUM(AY11:AY14)+SUM(AZ11:AZ14),0)</f>
        <v>0</v>
      </c>
      <c r="BF11" s="42"/>
      <c r="BG11" s="42">
        <f ca="1">SUMIF(Answers[DrAccnt],AU11,Answers[DrAmt])</f>
        <v>0</v>
      </c>
      <c r="BH11" s="42">
        <f ca="1">SUMIF(Answers[CrAccnt],AU11,Answers[CrAmt])</f>
        <v>0</v>
      </c>
      <c r="BI11" s="42"/>
    </row>
    <row r="12" spans="1:65" x14ac:dyDescent="0.2">
      <c r="B12" s="17" t="str">
        <v>Inventories</v>
      </c>
      <c r="C12" s="100">
        <f>IF(ISBLANK(B12),"",_xlfn.XLOOKUP(B12,BegBalSht[Account],BegBalSht[Amount]))</f>
        <v>0</v>
      </c>
      <c r="E12" s="21" t="s">
        <v>413</v>
      </c>
      <c r="F12" s="47">
        <f>SUM(F8:F11)</f>
        <v>0</v>
      </c>
      <c r="H12" s="17" t="s">
        <v>480</v>
      </c>
      <c r="I12" s="108"/>
      <c r="J12" s="108"/>
      <c r="K12" s="108"/>
      <c r="L12" s="108" cm="1">
        <f t="array" ref="L12">-_xlfn._xlws.FILTER(Answers[DrAmt],(Answers[ref2]="DD")*(Answers[DrAccnt]="Retained Earnings"),0)</f>
        <v>0</v>
      </c>
      <c r="M12" s="108"/>
      <c r="N12" s="108"/>
      <c r="O12" s="65">
        <f t="shared" si="3"/>
        <v>0</v>
      </c>
      <c r="Q12" s="17" t="s">
        <v>513</v>
      </c>
      <c r="R12" s="102">
        <f>AY137-AZ137</f>
        <v>0</v>
      </c>
      <c r="T12" s="17" t="str">
        <f t="shared" si="0"/>
        <v>Inventories</v>
      </c>
      <c r="U12" s="100">
        <f t="shared" si="1"/>
        <v>0</v>
      </c>
      <c r="V12" s="1"/>
      <c r="W12">
        <f>SUMIF(Answers[DrAccnt],FS_All_Auto_Solution!T12,Answers[DrAmt])</f>
        <v>0</v>
      </c>
      <c r="X12">
        <f>SUMIF(Answers[CrAccnt],FS_All_Auto_Solution!T12,Answers[CrAmt])</f>
        <v>0</v>
      </c>
      <c r="Z12" s="110"/>
      <c r="AA12" s="31"/>
      <c r="AB12" s="31"/>
      <c r="AC12" s="31"/>
      <c r="AD12" s="31"/>
      <c r="AE12" s="31"/>
      <c r="AG12" s="111"/>
      <c r="AH12" s="112"/>
      <c r="AI12" s="112"/>
      <c r="AJ12" s="112"/>
      <c r="AK12" s="112"/>
      <c r="AL12" s="112"/>
      <c r="AN12" s="114"/>
      <c r="AO12" s="115"/>
      <c r="AP12" s="115"/>
      <c r="AQ12" s="115"/>
      <c r="AR12" s="115"/>
      <c r="AS12" s="115"/>
      <c r="AU12" s="129"/>
      <c r="AV12" s="140"/>
      <c r="AW12" s="140"/>
      <c r="AX12" s="141" t="s">
        <v>116</v>
      </c>
      <c r="AY12" s="142">
        <f ca="1">IFERROR(_xlfn.XLOOKUP(AU11,AI3:AI8,AK3:AK8),0)</f>
        <v>0</v>
      </c>
      <c r="AZ12" s="143"/>
      <c r="BA12" s="141"/>
      <c r="BB12" s="127"/>
      <c r="BC12" s="102"/>
      <c r="BD12" s="140"/>
      <c r="BE12" s="85"/>
      <c r="BF12" s="42"/>
      <c r="BG12" s="42"/>
      <c r="BH12" s="42"/>
      <c r="BI12" s="42"/>
    </row>
    <row r="13" spans="1:65" x14ac:dyDescent="0.2">
      <c r="B13" s="17" t="str">
        <v>Prepaid Expenses</v>
      </c>
      <c r="C13" s="100">
        <f>IF(ISBLANK(B13),"",_xlfn.XLOOKUP(B13,BegBalSht[Account],BegBalSht[Amount]))</f>
        <v>0</v>
      </c>
      <c r="E13" s="190" t="s">
        <v>414</v>
      </c>
      <c r="F13" s="20"/>
      <c r="H13" s="17" t="str">
        <f>IF(F43,"Net Income (Loss)","Amount in Temporary Accounts")</f>
        <v>Amount in Temporary Accounts</v>
      </c>
      <c r="I13" s="108"/>
      <c r="J13" s="108"/>
      <c r="K13" s="108"/>
      <c r="L13" s="108">
        <f>Net_Income</f>
        <v>5</v>
      </c>
      <c r="M13" s="108"/>
      <c r="N13" s="108"/>
      <c r="O13" s="65">
        <f t="shared" si="3"/>
        <v>5</v>
      </c>
      <c r="Q13" s="17" t="s">
        <v>514</v>
      </c>
      <c r="R13" s="102">
        <f ca="1">AY138-AZ138</f>
        <v>0</v>
      </c>
      <c r="T13" s="17" t="str">
        <f t="shared" si="0"/>
        <v>Prepaid Expenses</v>
      </c>
      <c r="U13" s="100">
        <f t="shared" si="1"/>
        <v>0</v>
      </c>
      <c r="V13" s="1"/>
      <c r="W13">
        <f>SUMIF(Answers[DrAccnt],FS_All_Auto_Solution!T13,Answers[DrAmt])</f>
        <v>0</v>
      </c>
      <c r="X13">
        <f>SUMIF(Answers[CrAccnt],FS_All_Auto_Solution!T13,Answers[CrAmt])</f>
        <v>0</v>
      </c>
      <c r="Z13" s="110"/>
      <c r="AA13" s="31"/>
      <c r="AB13" s="31"/>
      <c r="AC13" s="31"/>
      <c r="AD13" s="31"/>
      <c r="AE13" s="31"/>
      <c r="AG13" s="111"/>
      <c r="AH13" s="112"/>
      <c r="AI13" s="112"/>
      <c r="AJ13" s="112"/>
      <c r="AK13" s="112"/>
      <c r="AL13" s="112"/>
      <c r="AN13" s="114"/>
      <c r="AO13" s="115"/>
      <c r="AP13" s="115"/>
      <c r="AQ13" s="115"/>
      <c r="AR13" s="115"/>
      <c r="AS13" s="115"/>
      <c r="AU13" s="129"/>
      <c r="AV13" s="140"/>
      <c r="AW13" s="140"/>
      <c r="AX13" s="141"/>
      <c r="AY13" s="142"/>
      <c r="AZ13" s="143"/>
      <c r="BA13" s="141"/>
      <c r="BB13" s="127"/>
      <c r="BC13" s="102"/>
      <c r="BD13" s="140"/>
      <c r="BE13" s="85"/>
      <c r="BF13" s="42"/>
      <c r="BG13" s="42"/>
      <c r="BH13" s="42"/>
      <c r="BI13" s="42"/>
    </row>
    <row r="14" spans="1:65" x14ac:dyDescent="0.2">
      <c r="B14" s="17" t="str">
        <v>Prepaid Rent</v>
      </c>
      <c r="C14" s="100">
        <f>IF(ISBLANK(B14),"",_xlfn.XLOOKUP(B14,BegBalSht[Account],BegBalSht[Amount]))</f>
        <v>0</v>
      </c>
      <c r="E14" s="17" t="str" cm="1">
        <f t="array" ref="E14">_xlfn._xlws.FILTER(_Expense[Name],NOT(ISBLANK(_Expense[Name])),"")</f>
        <v>Cost of Goods Sold</v>
      </c>
      <c r="F14" s="82">
        <f>-SUMIFS(Answers[CrAmt],Answers[CrAccnt],E14,Answers[ref2],"&lt;&gt;CL")+SUMIFS(Answers[DrAmt],Answers[DrAccnt],E14,Answers[ref2],"&lt;&gt;CL")</f>
        <v>0</v>
      </c>
      <c r="H14" s="17" t="s">
        <v>457</v>
      </c>
      <c r="I14" s="108"/>
      <c r="J14" s="108"/>
      <c r="K14" s="108"/>
      <c r="L14" s="108"/>
      <c r="M14" s="108"/>
      <c r="N14" s="108" cm="1">
        <f t="array" ref="N14">-_xlfn._xlws.FILTER(Answers[DrAmt],(Answers[ref2]="PTS")*(Answers[DrAccnt]="Treasury Stock"),0)</f>
        <v>0</v>
      </c>
      <c r="O14" s="65">
        <f t="shared" si="3"/>
        <v>0</v>
      </c>
      <c r="Q14" s="17" t="s">
        <v>515</v>
      </c>
      <c r="R14" s="102">
        <f ca="1">AY140</f>
        <v>0</v>
      </c>
      <c r="T14" s="17" t="str">
        <f t="shared" si="0"/>
        <v>Prepaid Rent</v>
      </c>
      <c r="U14" s="100">
        <f t="shared" si="1"/>
        <v>0</v>
      </c>
      <c r="V14" s="1"/>
      <c r="W14">
        <f>SUMIF(Answers[DrAccnt],FS_All_Auto_Solution!T14,Answers[DrAmt])</f>
        <v>0</v>
      </c>
      <c r="X14">
        <f>SUMIF(Answers[CrAccnt],FS_All_Auto_Solution!T14,Answers[CrAmt])</f>
        <v>0</v>
      </c>
      <c r="Z14" s="110"/>
      <c r="AA14" s="31"/>
      <c r="AB14" s="31"/>
      <c r="AC14" s="31"/>
      <c r="AD14" s="31"/>
      <c r="AE14" s="31"/>
      <c r="AG14" s="111"/>
      <c r="AH14" s="112"/>
      <c r="AI14" s="112"/>
      <c r="AJ14" s="112"/>
      <c r="AK14" s="112"/>
      <c r="AL14" s="112"/>
      <c r="AN14" s="114"/>
      <c r="AO14" s="115"/>
      <c r="AP14" s="115"/>
      <c r="AQ14" s="115"/>
      <c r="AR14" s="115"/>
      <c r="AS14" s="115"/>
      <c r="AU14" s="129"/>
      <c r="AV14" s="140"/>
      <c r="AW14" s="140"/>
      <c r="AX14" s="141"/>
      <c r="AY14" s="142"/>
      <c r="AZ14" s="143"/>
      <c r="BA14" s="141"/>
      <c r="BB14" s="127"/>
      <c r="BC14" s="102"/>
      <c r="BD14" s="140"/>
      <c r="BE14" s="85"/>
      <c r="BF14" s="42"/>
      <c r="BG14" s="42"/>
      <c r="BH14" s="42"/>
      <c r="BI14" s="42"/>
    </row>
    <row r="15" spans="1:65" x14ac:dyDescent="0.2">
      <c r="B15" s="17" t="str">
        <v>Other Current Assets</v>
      </c>
      <c r="C15" s="100">
        <f>IF(ISBLANK(B15),"",_xlfn.XLOOKUP(B15,BegBalSht[Account],BegBalSht[Amount]))</f>
        <v>0</v>
      </c>
      <c r="E15" s="17"/>
      <c r="F15" s="102">
        <f>-SUMIFS(Answers[CrAmt],Answers[CrAccnt],E15,Answers[ref2],"&lt;&gt;CL")+SUMIFS(Answers[DrAmt],Answers[DrAccnt],E15,Answers[ref2],"&lt;&gt;CL")</f>
        <v>0</v>
      </c>
      <c r="H15" s="17" t="s">
        <v>458</v>
      </c>
      <c r="I15" s="108"/>
      <c r="J15" s="108"/>
      <c r="K15" s="108"/>
      <c r="L15" s="108"/>
      <c r="M15" s="108"/>
      <c r="N15" s="108" cm="1">
        <f t="array" ref="N15">_xlfn._xlws.FILTER(Answers[CrAmt],(Answers[ref2]="STS")*(Answers[CrAccnt]="Treasury Stock"),0)</f>
        <v>0</v>
      </c>
      <c r="O15" s="65">
        <f t="shared" si="3"/>
        <v>0</v>
      </c>
      <c r="Q15" s="17" t="s">
        <v>516</v>
      </c>
      <c r="R15" s="102">
        <f ca="1">AY141</f>
        <v>0</v>
      </c>
      <c r="T15" s="17" t="str">
        <f t="shared" si="0"/>
        <v>Other Current Assets</v>
      </c>
      <c r="U15" s="100">
        <f t="shared" si="1"/>
        <v>0</v>
      </c>
      <c r="V15" s="1"/>
      <c r="W15">
        <f>SUMIF(Answers[DrAccnt],FS_All_Auto_Solution!T15,Answers[DrAmt])</f>
        <v>0</v>
      </c>
      <c r="X15">
        <f>SUMIF(Answers[CrAccnt],FS_All_Auto_Solution!T15,Answers[CrAmt])</f>
        <v>0</v>
      </c>
      <c r="Z15" s="110"/>
      <c r="AA15" s="31"/>
      <c r="AB15" s="31"/>
      <c r="AC15" s="31"/>
      <c r="AD15" s="31"/>
      <c r="AE15" s="31"/>
      <c r="AG15" s="111"/>
      <c r="AH15" s="112"/>
      <c r="AI15" s="112"/>
      <c r="AJ15" s="112"/>
      <c r="AK15" s="112"/>
      <c r="AL15" s="112"/>
      <c r="AN15" s="114"/>
      <c r="AO15" s="115"/>
      <c r="AP15" s="115"/>
      <c r="AQ15" s="115"/>
      <c r="AR15" s="115"/>
      <c r="AS15" s="115"/>
      <c r="AU15" s="130" t="str">
        <f>_xlfn.XLOOKUP(5,AssetsMaster[Num],AssetsMaster[Name])</f>
        <v>Inventories</v>
      </c>
      <c r="AV15" s="140">
        <f>IFERROR(_xlfn.XLOOKUP(AU15,BegBalSht[Account],BegBalSht[Amount]),0)</f>
        <v>0</v>
      </c>
      <c r="AW15" s="140"/>
      <c r="AX15" s="141" t="s">
        <v>128</v>
      </c>
      <c r="AY15" s="142">
        <f>IFERROR(_xlfn.XLOOKUP(AU15,$AI$51:$AI$64,$AK$51:$AK$64),0)</f>
        <v>0</v>
      </c>
      <c r="AZ15" s="143">
        <f ca="1">IFERROR(_xlfn.XLOOKUP(AU15,$AJ$67:$AJ$80,$AL$67:$AL$80),0)</f>
        <v>0</v>
      </c>
      <c r="BA15" s="141" t="s">
        <v>94</v>
      </c>
      <c r="BB15" s="127">
        <f>AV15+BG15-BH15</f>
        <v>0</v>
      </c>
      <c r="BC15" s="102"/>
      <c r="BD15" s="145">
        <f ca="1">MAX(BB15-AV15-SUM(AY15:AY18)+SUM(AZ15:AZ18),0)</f>
        <v>0</v>
      </c>
      <c r="BE15" s="146">
        <f ca="1">-MIN(BB15-AV15-SUM(AY15:AY18)+SUM(AZ15:AZ18),0)</f>
        <v>0</v>
      </c>
      <c r="BF15" s="42"/>
      <c r="BG15" s="42">
        <f>SUMIF(Answers[DrAccnt],AU15,Answers[DrAmt])</f>
        <v>0</v>
      </c>
      <c r="BH15" s="42">
        <f>SUMIF(Answers[CrAccnt],AU15,Answers[CrAmt])</f>
        <v>0</v>
      </c>
      <c r="BI15" s="42"/>
    </row>
    <row r="16" spans="1:65" x14ac:dyDescent="0.2">
      <c r="B16" s="17"/>
      <c r="C16" s="100" t="str">
        <f>IF(ISBLANK(B16),"",_xlfn.XLOOKUP(B16,BegBalSht[Account],BegBalSht[Amount]))</f>
        <v/>
      </c>
      <c r="E16" s="17"/>
      <c r="F16" s="102">
        <f>-SUMIFS(Answers[CrAmt],Answers[CrAccnt],E16,Answers[ref2],"&lt;&gt;CL")+SUMIFS(Answers[DrAmt],Answers[DrAccnt],E16,Answers[ref2],"&lt;&gt;CL")</f>
        <v>0</v>
      </c>
      <c r="H16" s="17" t="s">
        <v>459</v>
      </c>
      <c r="I16" s="108"/>
      <c r="J16" s="108"/>
      <c r="K16" s="108"/>
      <c r="L16" s="108"/>
      <c r="M16" s="108">
        <f ca="1">M23</f>
        <v>0</v>
      </c>
      <c r="N16" s="108"/>
      <c r="O16" s="65">
        <f t="shared" ca="1" si="3"/>
        <v>0</v>
      </c>
      <c r="Q16" s="75" t="s">
        <v>417</v>
      </c>
      <c r="R16" s="18"/>
      <c r="T16" s="17" t="str">
        <f t="shared" si="0"/>
        <v/>
      </c>
      <c r="U16" s="100">
        <f t="shared" si="1"/>
        <v>0</v>
      </c>
      <c r="V16" s="1"/>
      <c r="W16">
        <f>SUMIF(Answers[DrAccnt],FS_All_Auto_Solution!T16,Answers[DrAmt])</f>
        <v>0</v>
      </c>
      <c r="X16">
        <f>SUMIF(Answers[CrAccnt],FS_All_Auto_Solution!T16,Answers[CrAmt])</f>
        <v>0</v>
      </c>
      <c r="Z16" s="110"/>
      <c r="AA16" s="31"/>
      <c r="AB16" s="31"/>
      <c r="AC16" s="31"/>
      <c r="AD16" s="31"/>
      <c r="AE16" s="31"/>
      <c r="AG16" s="111"/>
      <c r="AH16" s="112"/>
      <c r="AI16" s="112"/>
      <c r="AJ16" s="112"/>
      <c r="AK16" s="112"/>
      <c r="AL16" s="112"/>
      <c r="AN16" s="114"/>
      <c r="AO16" s="115"/>
      <c r="AP16" s="115"/>
      <c r="AQ16" s="115"/>
      <c r="AR16" s="115"/>
      <c r="AS16" s="115"/>
      <c r="AU16" s="129"/>
      <c r="AV16" s="140"/>
      <c r="AW16" s="140"/>
      <c r="AX16" s="141"/>
      <c r="AY16" s="142"/>
      <c r="AZ16" s="143"/>
      <c r="BA16" s="141"/>
      <c r="BB16" s="127"/>
      <c r="BC16" s="102"/>
      <c r="BD16" s="140"/>
      <c r="BE16" s="85"/>
      <c r="BF16" s="42"/>
      <c r="BG16" s="42"/>
      <c r="BH16" s="42"/>
      <c r="BI16" s="42"/>
    </row>
    <row r="17" spans="2:61" ht="16" thickBot="1" x14ac:dyDescent="0.25">
      <c r="B17" s="91"/>
      <c r="C17" s="101" t="str">
        <f>IF(ISBLANK(B17),"",_xlfn.XLOOKUP(B17,BegBalSht[Account],BegBalSht[Amount]))</f>
        <v/>
      </c>
      <c r="E17" s="17"/>
      <c r="F17" s="102">
        <f>-SUMIFS(Answers[CrAmt],Answers[CrAccnt],E17,Answers[ref2],"&lt;&gt;CL")+SUMIFS(Answers[DrAmt],Answers[DrAccnt],E17,Answers[ref2],"&lt;&gt;CL")</f>
        <v>0</v>
      </c>
      <c r="H17" s="17" t="s">
        <v>460</v>
      </c>
      <c r="I17" s="109"/>
      <c r="J17" s="109" cm="1">
        <f t="array" ref="J17">_xlfn._xlws.FILTER(Answers[CrAmt],(Answers[ref2]="PPEfCS")*(Answers[CrAccnt]="Common Stock"),0)</f>
        <v>0</v>
      </c>
      <c r="K17" s="109" cm="1">
        <f t="array" ref="K17">_xlfn._xlws.FILTER(Answers[CrAmt],(Answers[ref2]="PPEfCS")*(Answers[CrAccnt]="Additional Paid-in Capital"),0)</f>
        <v>0</v>
      </c>
      <c r="L17" s="109"/>
      <c r="M17" s="109"/>
      <c r="N17" s="109"/>
      <c r="O17" s="66">
        <f t="shared" si="3"/>
        <v>0</v>
      </c>
      <c r="Q17" s="17" t="s">
        <v>161</v>
      </c>
      <c r="R17" s="82" t="e">
        <f ca="1">AY143-AZ143</f>
        <v>#NAME?</v>
      </c>
      <c r="T17" s="91" t="str">
        <f t="shared" si="0"/>
        <v/>
      </c>
      <c r="U17" s="101">
        <f t="shared" si="1"/>
        <v>0</v>
      </c>
      <c r="V17" s="1"/>
      <c r="W17">
        <f>SUMIF(Answers[DrAccnt],FS_All_Auto_Solution!T17,Answers[DrAmt])</f>
        <v>0</v>
      </c>
      <c r="X17">
        <f>SUMIF(Answers[CrAccnt],FS_All_Auto_Solution!T17,Answers[CrAmt])</f>
        <v>0</v>
      </c>
      <c r="AU17" s="129"/>
      <c r="AV17" s="140"/>
      <c r="AW17" s="140"/>
      <c r="AX17" s="141"/>
      <c r="AY17" s="142"/>
      <c r="AZ17" s="143"/>
      <c r="BA17" s="141"/>
      <c r="BB17" s="127"/>
      <c r="BC17" s="102"/>
      <c r="BD17" s="140"/>
      <c r="BE17" s="85"/>
      <c r="BF17" s="42"/>
      <c r="BG17" s="42"/>
      <c r="BH17" s="42"/>
      <c r="BI17" s="42"/>
    </row>
    <row r="18" spans="2:61" ht="16" thickBot="1" x14ac:dyDescent="0.25">
      <c r="B18" s="53" t="s">
        <v>419</v>
      </c>
      <c r="C18" s="47">
        <f>SUBTOTAL(9,C8:C17)</f>
        <v>0</v>
      </c>
      <c r="E18" s="17"/>
      <c r="F18" s="102">
        <f>-SUMIFS(Answers[CrAmt],Answers[CrAccnt],E18,Answers[ref2],"&lt;&gt;CL")+SUMIFS(Answers[DrAmt],Answers[DrAccnt],E18,Answers[ref2],"&lt;&gt;CL")</f>
        <v>0</v>
      </c>
      <c r="H18" s="58" t="str">
        <f>"Balance as of "&amp;EndDate</f>
        <v xml:space="preserve">Balance as of </v>
      </c>
      <c r="I18" s="195">
        <f>SUM(I9:I17)</f>
        <v>0</v>
      </c>
      <c r="J18" s="195">
        <f t="shared" ref="J18:N18" ca="1" si="4">SUM(J9:J17)</f>
        <v>0</v>
      </c>
      <c r="K18" s="195">
        <f t="shared" si="4"/>
        <v>0</v>
      </c>
      <c r="L18" s="195">
        <f t="shared" si="4"/>
        <v>5</v>
      </c>
      <c r="M18" s="195">
        <f t="shared" ca="1" si="4"/>
        <v>0</v>
      </c>
      <c r="N18" s="195">
        <f t="shared" si="4"/>
        <v>0</v>
      </c>
      <c r="O18" s="196">
        <f ca="1">SUM(O9:O17)</f>
        <v>5</v>
      </c>
      <c r="Q18" s="17" t="s">
        <v>162</v>
      </c>
      <c r="R18" s="102">
        <f ca="1">AY144-AZ144</f>
        <v>0</v>
      </c>
      <c r="T18" s="53" t="s">
        <v>419</v>
      </c>
      <c r="U18" s="47">
        <f>SUBTOTAL(9,U8:U17)</f>
        <v>25</v>
      </c>
      <c r="Z18" s="5" t="s">
        <v>461</v>
      </c>
      <c r="AC18" s="4" t="s">
        <v>100</v>
      </c>
      <c r="AG18" s="5" t="s">
        <v>119</v>
      </c>
      <c r="AJ18" s="4" t="s">
        <v>118</v>
      </c>
      <c r="AN18" s="5" t="s">
        <v>138</v>
      </c>
      <c r="AQ18" s="4" t="s">
        <v>137</v>
      </c>
      <c r="AU18" s="129"/>
      <c r="AV18" s="140"/>
      <c r="AW18" s="140"/>
      <c r="AX18" s="141"/>
      <c r="AY18" s="142"/>
      <c r="AZ18" s="143"/>
      <c r="BA18" s="141"/>
      <c r="BB18" s="127"/>
      <c r="BC18" s="102"/>
      <c r="BD18" s="140"/>
      <c r="BE18" s="85"/>
      <c r="BF18" s="42"/>
      <c r="BG18" s="42"/>
      <c r="BH18" s="42"/>
      <c r="BI18" s="42"/>
    </row>
    <row r="19" spans="2:61" x14ac:dyDescent="0.2">
      <c r="B19" s="52" t="s">
        <v>420</v>
      </c>
      <c r="C19" s="18"/>
      <c r="E19" s="17"/>
      <c r="F19" s="102">
        <f>-SUMIFS(Answers[CrAmt],Answers[CrAccnt],E19,Answers[ref2],"&lt;&gt;CL")+SUMIFS(Answers[DrAmt],Answers[DrAccnt],E19,Answers[ref2],"&lt;&gt;CL")</f>
        <v>0</v>
      </c>
      <c r="Q19" s="17" t="s">
        <v>164</v>
      </c>
      <c r="R19" s="102">
        <f ca="1">AY145-AZ145</f>
        <v>0</v>
      </c>
      <c r="T19" s="52" t="s">
        <v>420</v>
      </c>
      <c r="U19" s="18"/>
      <c r="Z19" s="110" t="e" cm="1">
        <f t="array" aca="1" ref="Z19" ca="1">_xlfn._xlws.FILTER(Answers[ref]:Answers[CrAmt],Answers[ref2]=AC18,"")</f>
        <v>#NAME?</v>
      </c>
      <c r="AA19" s="31"/>
      <c r="AB19" s="31"/>
      <c r="AC19" s="31"/>
      <c r="AD19" s="31"/>
      <c r="AE19" s="31"/>
      <c r="AG19" s="111" t="e" cm="1">
        <f t="array" aca="1" ref="AG19" ca="1">_xlfn._xlws.FILTER(Answers[ref]:Answers[CrAmt],Answers[ref2]=AJ18,"")</f>
        <v>#NAME?</v>
      </c>
      <c r="AH19" s="112"/>
      <c r="AI19" s="112"/>
      <c r="AJ19" s="112"/>
      <c r="AK19" s="112"/>
      <c r="AL19" s="112"/>
      <c r="AN19" s="114" t="e" cm="1">
        <f t="array" aca="1" ref="AN19" ca="1">_xlfn._xlws.FILTER(Answers[ref]:Answers[CrAmt],Answers[ref2]=AQ18,"")</f>
        <v>#NAME?</v>
      </c>
      <c r="AO19" s="115"/>
      <c r="AP19" s="115"/>
      <c r="AQ19" s="115"/>
      <c r="AR19" s="115"/>
      <c r="AS19" s="115"/>
      <c r="AU19" s="130" t="e">
        <f ca="1">_xlfn.XLOOKUP(6,AssetsMaster[Num],AssetsMaster[Name])</f>
        <v>#NAME?</v>
      </c>
      <c r="AV19" s="140">
        <f ca="1">IFERROR(_xlfn.XLOOKUP(AU19,BegBalSht[Account],BegBalSht[Amount]),0)</f>
        <v>0</v>
      </c>
      <c r="AW19" s="140"/>
      <c r="AX19" s="141" t="s">
        <v>128</v>
      </c>
      <c r="AY19" s="142">
        <f ca="1">IFERROR(_xlfn.XLOOKUP(AU19,$AI$51:$AI$64,$AK$51:$AK$64),0)</f>
        <v>0</v>
      </c>
      <c r="AZ19" s="143">
        <f ca="1">IFERROR(_xlfn.XLOOKUP(AU19,$AJ$67:$AJ$80,$AL$67:$AL$80),0)</f>
        <v>0</v>
      </c>
      <c r="BA19" s="141" t="s">
        <v>94</v>
      </c>
      <c r="BB19" s="127">
        <f ca="1">AV19+BG19-BH19</f>
        <v>0</v>
      </c>
      <c r="BC19" s="102"/>
      <c r="BD19" s="145">
        <f ca="1">MAX(BB19-AV19-SUM(AY19:AY22)+SUM(AZ19:AZ22),0)</f>
        <v>0</v>
      </c>
      <c r="BE19" s="146">
        <f ca="1">-MIN(BB19-AV19-SUM(AY19:AY22)+SUM(AZ19:AZ22),0)</f>
        <v>0</v>
      </c>
      <c r="BF19" s="42"/>
      <c r="BG19" s="42">
        <f ca="1">SUMIF(Answers[DrAccnt],AU19,Answers[DrAmt])</f>
        <v>0</v>
      </c>
      <c r="BH19" s="42">
        <f ca="1">SUMIF(Answers[CrAccnt],AU19,Answers[CrAmt])</f>
        <v>0</v>
      </c>
      <c r="BI19" s="42"/>
    </row>
    <row r="20" spans="2:61" x14ac:dyDescent="0.2">
      <c r="B20" s="17" t="str" cm="1">
        <f t="array" ref="B20:B26">_xlfn._xlws.FILTER(Asset[Name],Asset[C/NC]="NC")</f>
        <v>Property, Plant &amp; Equipment</v>
      </c>
      <c r="C20" s="99">
        <f>IF(ISBLANK(B20),"",_xlfn.XLOOKUP(B20,BegBalSht[Account],BegBalSht[Amount]))</f>
        <v>0</v>
      </c>
      <c r="E20" s="17"/>
      <c r="F20" s="102">
        <f>-SUMIFS(Answers[CrAmt],Answers[CrAccnt],E20,Answers[ref],"&lt;&gt;CL")+SUMIFS(Answers[DrAmt],Answers[DrAccnt],E20,Answers[ref],"&lt;&gt;CL")</f>
        <v>0</v>
      </c>
      <c r="L20" s="103" cm="1">
        <f t="array" ref="L20">_xlfn._xlws.FILTER(Answers[CrAmt],(Answers[ref]="CL")*(Answers[CrAccnt]="Retained Earnings"),0)</f>
        <v>0</v>
      </c>
      <c r="Q20" s="17" t="s">
        <v>165</v>
      </c>
      <c r="R20" s="102">
        <f ca="1">AY146-AZ146</f>
        <v>0</v>
      </c>
      <c r="T20" s="17" t="str">
        <f t="shared" ref="T20:T29" si="5">IF(ISBLANK(B20),"",B20)</f>
        <v>Property, Plant &amp; Equipment</v>
      </c>
      <c r="U20" s="99">
        <f t="shared" ref="U20:U29" si="6">IFERROR(C20+W20-X20,0)</f>
        <v>-50</v>
      </c>
      <c r="V20" s="1"/>
      <c r="W20">
        <f>SUMIF(Answers[DrAccnt],FS_All_Auto_Solution!T20,Answers[DrAmt])</f>
        <v>0</v>
      </c>
      <c r="X20">
        <f>SUMIF(Answers[CrAccnt],FS_All_Auto_Solution!T20,Answers[CrAmt])</f>
        <v>50</v>
      </c>
      <c r="Z20" s="110"/>
      <c r="AA20" s="31"/>
      <c r="AB20" s="31"/>
      <c r="AC20" s="31"/>
      <c r="AD20" s="31"/>
      <c r="AE20" s="31"/>
      <c r="AG20" s="111"/>
      <c r="AH20" s="112"/>
      <c r="AI20" s="112"/>
      <c r="AJ20" s="112"/>
      <c r="AK20" s="112"/>
      <c r="AL20" s="112"/>
      <c r="AN20" s="114"/>
      <c r="AO20" s="115"/>
      <c r="AP20" s="115"/>
      <c r="AQ20" s="115"/>
      <c r="AR20" s="115"/>
      <c r="AS20" s="115"/>
      <c r="AU20" s="129"/>
      <c r="AV20" s="140"/>
      <c r="AW20" s="140"/>
      <c r="AX20" s="141"/>
      <c r="AY20" s="142"/>
      <c r="AZ20" s="143"/>
      <c r="BA20" s="141"/>
      <c r="BB20" s="127"/>
      <c r="BC20" s="102"/>
      <c r="BD20" s="140"/>
      <c r="BE20" s="85"/>
      <c r="BF20" s="42"/>
      <c r="BG20" s="42"/>
      <c r="BH20" s="42"/>
      <c r="BI20" s="42"/>
    </row>
    <row r="21" spans="2:61" x14ac:dyDescent="0.2">
      <c r="B21" s="17" t="str">
        <v>Accumulated Depreciation</v>
      </c>
      <c r="C21" s="100">
        <f>IF(ISBLANK(B21),"",_xlfn.XLOOKUP(B21,BegBalSht[Account],BegBalSht[Amount]))</f>
        <v>0</v>
      </c>
      <c r="E21" s="17"/>
      <c r="F21" s="102">
        <f>-SUMIFS(Answers[CrAmt],Answers[CrAccnt],E21,Answers[ref],"&lt;&gt;CL")+SUMIFS(Answers[DrAmt],Answers[DrAccnt],E21,Answers[ref],"&lt;&gt;CL")</f>
        <v>0</v>
      </c>
      <c r="L21" s="103" cm="1">
        <f t="array" ref="L21">-_xlfn._xlws.FILTER(Answers[DrAmt],(Answers[ref]="CL")*(Answers[DrAccnt]="Retained Earnings"),0)</f>
        <v>0</v>
      </c>
      <c r="M21" s="103">
        <f ca="1">IFERROR(_xlfn.XLOOKUP("Accumulated Other Comprehensive Income",BB3:BB8,BD3:BD8),0)</f>
        <v>0</v>
      </c>
      <c r="Q21" s="17" t="s">
        <v>167</v>
      </c>
      <c r="R21" s="102">
        <f ca="1">AY147-AZ147</f>
        <v>0</v>
      </c>
      <c r="T21" s="17" t="str">
        <f t="shared" si="5"/>
        <v>Accumulated Depreciation</v>
      </c>
      <c r="U21" s="100">
        <f t="shared" si="6"/>
        <v>10</v>
      </c>
      <c r="V21" s="1"/>
      <c r="W21">
        <f>SUMIF(Answers[DrAccnt],FS_All_Auto_Solution!T21,Answers[DrAmt])</f>
        <v>10</v>
      </c>
      <c r="X21">
        <f>SUMIF(Answers[CrAccnt],FS_All_Auto_Solution!T21,Answers[CrAmt])</f>
        <v>0</v>
      </c>
      <c r="Z21" s="110"/>
      <c r="AA21" s="31"/>
      <c r="AB21" s="31"/>
      <c r="AC21" s="31"/>
      <c r="AD21" s="31"/>
      <c r="AE21" s="31"/>
      <c r="AG21" s="111"/>
      <c r="AH21" s="112"/>
      <c r="AI21" s="112"/>
      <c r="AJ21" s="112"/>
      <c r="AK21" s="112"/>
      <c r="AL21" s="112"/>
      <c r="AN21" s="114"/>
      <c r="AO21" s="115"/>
      <c r="AP21" s="115"/>
      <c r="AQ21" s="115"/>
      <c r="AR21" s="115"/>
      <c r="AS21" s="115"/>
      <c r="AU21" s="129"/>
      <c r="AV21" s="140"/>
      <c r="AW21" s="140"/>
      <c r="AX21" s="141"/>
      <c r="AY21" s="142"/>
      <c r="AZ21" s="143"/>
      <c r="BA21" s="141"/>
      <c r="BB21" s="127"/>
      <c r="BC21" s="102"/>
      <c r="BD21" s="140"/>
      <c r="BE21" s="85"/>
      <c r="BF21" s="42"/>
      <c r="BG21" s="42"/>
      <c r="BH21" s="42"/>
      <c r="BI21" s="42"/>
    </row>
    <row r="22" spans="2:61" x14ac:dyDescent="0.2">
      <c r="B22" s="17" t="str">
        <v>Intangibles</v>
      </c>
      <c r="C22" s="100">
        <f>IF(ISBLANK(B22),"",_xlfn.XLOOKUP(B22,BegBalSht[Account],BegBalSht[Amount]))</f>
        <v>0</v>
      </c>
      <c r="E22" s="21" t="s">
        <v>421</v>
      </c>
      <c r="F22" s="47">
        <f>SUM(F14:F21)</f>
        <v>0</v>
      </c>
      <c r="L22" s="103">
        <f>SUM(L20:L21)</f>
        <v>0</v>
      </c>
      <c r="M22" s="103">
        <f>IFERROR(-_xlfn.XLOOKUP("Accumulated Other Comprehensive Income",BA3:BA8,BC3:BC8),0)</f>
        <v>0</v>
      </c>
      <c r="Q22" s="17" t="s">
        <v>180</v>
      </c>
      <c r="R22" s="102">
        <f ca="1">AY154-AZ154</f>
        <v>-20</v>
      </c>
      <c r="T22" s="17" t="str">
        <f t="shared" si="5"/>
        <v>Intangibles</v>
      </c>
      <c r="U22" s="100">
        <f t="shared" si="6"/>
        <v>0</v>
      </c>
      <c r="V22" s="1"/>
      <c r="W22">
        <f>SUMIF(Answers[DrAccnt],FS_All_Auto_Solution!T22,Answers[DrAmt])</f>
        <v>0</v>
      </c>
      <c r="X22">
        <f>SUMIF(Answers[CrAccnt],FS_All_Auto_Solution!T22,Answers[CrAmt])</f>
        <v>0</v>
      </c>
      <c r="Z22" s="110"/>
      <c r="AA22" s="31"/>
      <c r="AB22" s="31"/>
      <c r="AC22" s="31"/>
      <c r="AD22" s="31"/>
      <c r="AE22" s="31"/>
      <c r="AG22" s="111"/>
      <c r="AH22" s="112"/>
      <c r="AI22" s="112"/>
      <c r="AJ22" s="112"/>
      <c r="AK22" s="112"/>
      <c r="AL22" s="112"/>
      <c r="AN22" s="114"/>
      <c r="AO22" s="115"/>
      <c r="AP22" s="115"/>
      <c r="AQ22" s="115"/>
      <c r="AR22" s="115"/>
      <c r="AS22" s="115"/>
      <c r="AU22" s="129"/>
      <c r="AV22" s="140"/>
      <c r="AW22" s="140"/>
      <c r="AX22" s="141"/>
      <c r="AY22" s="142"/>
      <c r="AZ22" s="143"/>
      <c r="BA22" s="141"/>
      <c r="BB22" s="127"/>
      <c r="BC22" s="102"/>
      <c r="BD22" s="140"/>
      <c r="BE22" s="85"/>
      <c r="BF22" s="42"/>
      <c r="BG22" s="42"/>
      <c r="BH22" s="42"/>
      <c r="BI22" s="42"/>
    </row>
    <row r="23" spans="2:61" x14ac:dyDescent="0.2">
      <c r="B23" s="17" t="str">
        <v>Goodwill</v>
      </c>
      <c r="C23" s="100">
        <f>IF(ISBLANK(B23),"",_xlfn.XLOOKUP(B23,BegBalSht[Account],BegBalSht[Amount]))</f>
        <v>0</v>
      </c>
      <c r="E23" s="190" t="s">
        <v>422</v>
      </c>
      <c r="F23" s="20"/>
      <c r="M23" s="103">
        <f ca="1">M21+M22</f>
        <v>0</v>
      </c>
      <c r="Q23" s="17" t="s">
        <v>193</v>
      </c>
      <c r="R23" s="102">
        <f ca="1">AY155-AZ155</f>
        <v>0</v>
      </c>
      <c r="T23" s="17" t="str">
        <f t="shared" si="5"/>
        <v>Goodwill</v>
      </c>
      <c r="U23" s="100">
        <f t="shared" si="6"/>
        <v>0</v>
      </c>
      <c r="V23" s="1"/>
      <c r="W23">
        <f>SUMIF(Answers[DrAccnt],FS_All_Auto_Solution!T23,Answers[DrAmt])</f>
        <v>0</v>
      </c>
      <c r="X23">
        <f>SUMIF(Answers[CrAccnt],FS_All_Auto_Solution!T23,Answers[CrAmt])</f>
        <v>0</v>
      </c>
      <c r="Z23" s="110"/>
      <c r="AA23" s="31"/>
      <c r="AB23" s="31"/>
      <c r="AC23" s="31"/>
      <c r="AD23" s="31"/>
      <c r="AE23" s="31"/>
      <c r="AG23" s="111"/>
      <c r="AH23" s="112"/>
      <c r="AI23" s="112"/>
      <c r="AJ23" s="112"/>
      <c r="AK23" s="112"/>
      <c r="AL23" s="112"/>
      <c r="AN23" s="114"/>
      <c r="AO23" s="115"/>
      <c r="AP23" s="115"/>
      <c r="AQ23" s="115"/>
      <c r="AR23" s="115"/>
      <c r="AS23" s="115"/>
      <c r="AU23" s="130" t="str">
        <f>_xlfn.XLOOKUP(7,AssetsMaster[Num],AssetsMaster[Name])</f>
        <v>Prepaid Rent</v>
      </c>
      <c r="AV23" s="140">
        <f>IFERROR(_xlfn.XLOOKUP(AU23,BegBalSht[Account],BegBalSht[Amount]),0)</f>
        <v>0</v>
      </c>
      <c r="AW23" s="140"/>
      <c r="AX23" s="141" t="s">
        <v>128</v>
      </c>
      <c r="AY23" s="142">
        <f>IFERROR(_xlfn.XLOOKUP(AU23,$AI$51:$AI$64,$AK$51:$AK$64),0)</f>
        <v>0</v>
      </c>
      <c r="AZ23" s="143">
        <f ca="1">IFERROR(_xlfn.XLOOKUP(AU23,$AJ$67:$AJ$80,$AL$67:$AL$80),0)</f>
        <v>0</v>
      </c>
      <c r="BA23" s="141" t="s">
        <v>94</v>
      </c>
      <c r="BB23" s="127">
        <f>AV23+BG23-BH23</f>
        <v>0</v>
      </c>
      <c r="BC23" s="102"/>
      <c r="BD23" s="145">
        <f ca="1">MAX(BB23-AV23-SUM(AY23:AY26)+SUM(AZ23:AZ26),0)</f>
        <v>0</v>
      </c>
      <c r="BE23" s="146">
        <f ca="1">-MIN(BB23-AV23-SUM(AY23:AY26)+SUM(AZ23:AZ26),0)</f>
        <v>0</v>
      </c>
      <c r="BF23" s="42"/>
      <c r="BG23" s="42">
        <f>SUMIF(Answers[DrAccnt],AU23,Answers[DrAmt])</f>
        <v>0</v>
      </c>
      <c r="BH23" s="42">
        <f>SUMIF(Answers[CrAccnt],AU23,Answers[CrAmt])</f>
        <v>0</v>
      </c>
      <c r="BI23" s="42"/>
    </row>
    <row r="24" spans="2:61" x14ac:dyDescent="0.2">
      <c r="B24" s="17" t="str">
        <v>Other Noncurrent Assets</v>
      </c>
      <c r="C24" s="100">
        <f>IF(ISBLANK(B24),"",_xlfn.XLOOKUP(B24,BegBalSht[Account],BegBalSht[Amount]))</f>
        <v>0</v>
      </c>
      <c r="E24" s="17" t="str" cm="1">
        <f t="array" ref="E24">_xlfn._xlws.FILTER(_Gain[Name],NOT(ISBLANK(_Gain[Name])),"")</f>
        <v>Gain on Sale of Subsidiary</v>
      </c>
      <c r="F24" s="82">
        <f>SUMIFS(Answers[CrAmt],Answers[CrAccnt],E24,Answers[ref2],"&lt;&gt;CL")-SUMIFS(Answers[DrAmt],Answers[DrAccnt],E24,Answers[ref2],"&lt;&gt;CL")</f>
        <v>5</v>
      </c>
      <c r="Q24" s="17" t="s">
        <v>181</v>
      </c>
      <c r="R24" s="102">
        <f ca="1">AY156-AZ156</f>
        <v>0</v>
      </c>
      <c r="T24" s="17" t="str">
        <f t="shared" si="5"/>
        <v>Other Noncurrent Assets</v>
      </c>
      <c r="U24" s="100">
        <f t="shared" si="6"/>
        <v>0</v>
      </c>
      <c r="V24" s="1"/>
      <c r="W24">
        <f>SUMIF(Answers[DrAccnt],FS_All_Auto_Solution!T24,Answers[DrAmt])</f>
        <v>0</v>
      </c>
      <c r="X24">
        <f>SUMIF(Answers[CrAccnt],FS_All_Auto_Solution!T24,Answers[CrAmt])</f>
        <v>0</v>
      </c>
      <c r="Z24" s="110"/>
      <c r="AA24" s="31"/>
      <c r="AB24" s="31"/>
      <c r="AC24" s="31"/>
      <c r="AD24" s="31"/>
      <c r="AE24" s="31"/>
      <c r="AG24" s="111"/>
      <c r="AH24" s="112"/>
      <c r="AI24" s="112"/>
      <c r="AJ24" s="112"/>
      <c r="AK24" s="112"/>
      <c r="AL24" s="112"/>
      <c r="AN24" s="114"/>
      <c r="AO24" s="115"/>
      <c r="AP24" s="115"/>
      <c r="AQ24" s="115"/>
      <c r="AR24" s="115"/>
      <c r="AS24" s="115"/>
      <c r="AU24" s="129"/>
      <c r="AV24" s="140"/>
      <c r="AW24" s="140"/>
      <c r="AX24" s="141"/>
      <c r="AY24" s="142"/>
      <c r="AZ24" s="143"/>
      <c r="BA24" s="141"/>
      <c r="BB24" s="127"/>
      <c r="BC24" s="102"/>
      <c r="BD24" s="140"/>
      <c r="BE24" s="85"/>
      <c r="BF24" s="42"/>
      <c r="BG24" s="42"/>
      <c r="BH24" s="42"/>
      <c r="BI24" s="42"/>
    </row>
    <row r="25" spans="2:61" x14ac:dyDescent="0.2">
      <c r="B25" s="17" t="str">
        <v>Deferred Tax Assets</v>
      </c>
      <c r="C25" s="100">
        <f>IF(ISBLANK(B25),"",_xlfn.XLOOKUP(B25,BegBalSht[Account],BegBalSht[Amount]))</f>
        <v>0</v>
      </c>
      <c r="E25" s="17"/>
      <c r="F25" s="102">
        <f>SUMIFS(Answers[CrAmt],Answers[CrAccnt],E25,Answers[ref2],"&lt;&gt;CL")-SUMIFS(Answers[DrAmt],Answers[DrAccnt],E25,Answers[ref2],"&lt;&gt;CL")</f>
        <v>0</v>
      </c>
      <c r="Q25" s="17" t="s">
        <v>183</v>
      </c>
      <c r="R25" s="102">
        <f ca="1">AY157-AZ157</f>
        <v>0</v>
      </c>
      <c r="T25" s="17" t="str">
        <f t="shared" si="5"/>
        <v>Deferred Tax Assets</v>
      </c>
      <c r="U25" s="100">
        <f t="shared" si="6"/>
        <v>0</v>
      </c>
      <c r="V25" s="1"/>
      <c r="W25">
        <f>SUMIF(Answers[DrAccnt],FS_All_Auto_Solution!T25,Answers[DrAmt])</f>
        <v>0</v>
      </c>
      <c r="X25">
        <f>SUMIF(Answers[CrAccnt],FS_All_Auto_Solution!T25,Answers[CrAmt])</f>
        <v>0</v>
      </c>
      <c r="AU25" s="129"/>
      <c r="AV25" s="140"/>
      <c r="AW25" s="140"/>
      <c r="AX25" s="141"/>
      <c r="AY25" s="142"/>
      <c r="AZ25" s="143"/>
      <c r="BA25" s="141"/>
      <c r="BB25" s="127"/>
      <c r="BC25" s="102"/>
      <c r="BD25" s="140"/>
      <c r="BE25" s="85"/>
      <c r="BF25" s="42"/>
      <c r="BG25" s="42"/>
      <c r="BH25" s="42"/>
      <c r="BI25" s="42"/>
    </row>
    <row r="26" spans="2:61" x14ac:dyDescent="0.2">
      <c r="B26" s="17" t="str">
        <v>Accumulated Amortization</v>
      </c>
      <c r="C26" s="100">
        <f>IF(ISBLANK(B26),"",_xlfn.XLOOKUP(B26,BegBalSht[Account],BegBalSht[Amount]))</f>
        <v>0</v>
      </c>
      <c r="E26" s="17"/>
      <c r="F26" s="102">
        <f>SUMIFS(Answers[CrAmt],Answers[CrAccnt],E26,Answers[ref2],"&lt;&gt;CL")-SUMIFS(Answers[DrAmt],Answers[DrAccnt],E26,Answers[ref2],"&lt;&gt;CL")</f>
        <v>0</v>
      </c>
      <c r="Q26" s="17" t="s">
        <v>185</v>
      </c>
      <c r="R26" s="102">
        <f ca="1">AY159-AZ159</f>
        <v>0</v>
      </c>
      <c r="T26" s="17" t="str">
        <f t="shared" si="5"/>
        <v>Accumulated Amortization</v>
      </c>
      <c r="U26" s="100">
        <f t="shared" si="6"/>
        <v>0</v>
      </c>
      <c r="V26" s="1"/>
      <c r="W26">
        <f>SUMIF(Answers[DrAccnt],FS_All_Auto_Solution!T26,Answers[DrAmt])</f>
        <v>0</v>
      </c>
      <c r="X26">
        <f>SUMIF(Answers[CrAccnt],FS_All_Auto_Solution!T26,Answers[CrAmt])</f>
        <v>0</v>
      </c>
      <c r="Z26" s="5" t="s">
        <v>462</v>
      </c>
      <c r="AC26" s="4" t="s">
        <v>102</v>
      </c>
      <c r="AG26" s="5" t="s">
        <v>121</v>
      </c>
      <c r="AJ26" s="4" t="s">
        <v>120</v>
      </c>
      <c r="AN26" s="5" t="s">
        <v>463</v>
      </c>
      <c r="AO26" s="5"/>
      <c r="AQ26" s="4" t="s">
        <v>106</v>
      </c>
      <c r="AU26" s="129"/>
      <c r="AV26" s="140"/>
      <c r="AW26" s="140"/>
      <c r="AX26" s="141"/>
      <c r="AY26" s="142"/>
      <c r="AZ26" s="143"/>
      <c r="BA26" s="141"/>
      <c r="BB26" s="127"/>
      <c r="BC26" s="102"/>
      <c r="BD26" s="140"/>
      <c r="BE26" s="85"/>
      <c r="BF26" s="42"/>
      <c r="BG26" s="42"/>
      <c r="BH26" s="42"/>
      <c r="BI26" s="42"/>
    </row>
    <row r="27" spans="2:61" x14ac:dyDescent="0.2">
      <c r="B27" s="17"/>
      <c r="C27" s="100" t="str">
        <f>IF(ISBLANK(B27),"",_xlfn.XLOOKUP(B27,BegBalSht[Account],BegBalSht[Amount]))</f>
        <v/>
      </c>
      <c r="E27" s="17"/>
      <c r="F27" s="102">
        <f>SUMIFS(Answers[CrAmt],Answers[CrAccnt],E27,Answers[ref2],"&lt;&gt;CL")-SUMIFS(Answers[DrAmt],Answers[DrAccnt],E27,Answers[ref2],"&lt;&gt;CL")</f>
        <v>0</v>
      </c>
      <c r="Q27" s="17" t="s">
        <v>186</v>
      </c>
      <c r="R27" s="102">
        <f ca="1">AY160-AZ160</f>
        <v>0</v>
      </c>
      <c r="T27" s="17" t="str">
        <f t="shared" si="5"/>
        <v/>
      </c>
      <c r="U27" s="100">
        <f t="shared" si="6"/>
        <v>0</v>
      </c>
      <c r="V27" s="1"/>
      <c r="W27">
        <f>SUMIF(Answers[DrAccnt],FS_All_Auto_Solution!T27,Answers[DrAmt])</f>
        <v>0</v>
      </c>
      <c r="X27">
        <f>SUMIF(Answers[CrAccnt],FS_All_Auto_Solution!T27,Answers[CrAmt])</f>
        <v>0</v>
      </c>
      <c r="Z27" s="110" t="e" cm="1">
        <f t="array" aca="1" ref="Z27" ca="1">_xlfn._xlws.FILTER(Answers[ref]:Answers[CrAmt],Answers[ref2]=AC26,"")</f>
        <v>#NAME?</v>
      </c>
      <c r="AA27" s="31"/>
      <c r="AB27" s="31"/>
      <c r="AC27" s="31"/>
      <c r="AD27" s="31"/>
      <c r="AE27" s="31"/>
      <c r="AG27" s="111" t="e" cm="1">
        <f t="array" aca="1" ref="AG27" ca="1">_xlfn._xlws.FILTER(Answers[ref]:Answers[CrAmt],Answers[ref2]=AJ26,"")</f>
        <v>#NAME?</v>
      </c>
      <c r="AH27" s="112"/>
      <c r="AI27" s="112"/>
      <c r="AJ27" s="112"/>
      <c r="AK27" s="112"/>
      <c r="AL27" s="112"/>
      <c r="AN27" s="114" t="e" cm="1">
        <f t="array" aca="1" ref="AN27" ca="1">_xlfn._xlws.FILTER(Answers[ref]:Answers[CrAmt],Answers[ref2]=AQ26,"")</f>
        <v>#NAME?</v>
      </c>
      <c r="AO27" s="115"/>
      <c r="AP27" s="115"/>
      <c r="AQ27" s="115"/>
      <c r="AR27" s="115"/>
      <c r="AS27" s="115"/>
      <c r="AU27" s="130" t="e">
        <f ca="1">_xlfn.XLOOKUP(8,AssetsMaster[Num],AssetsMaster[Name])</f>
        <v>#NAME?</v>
      </c>
      <c r="AV27" s="140">
        <f ca="1">IFERROR(_xlfn.XLOOKUP(AU27,BegBalSht[Account],BegBalSht[Amount]),0)</f>
        <v>0</v>
      </c>
      <c r="AW27" s="140"/>
      <c r="AX27" s="141" t="s">
        <v>128</v>
      </c>
      <c r="AY27" s="142">
        <f ca="1">IFERROR(_xlfn.XLOOKUP(AU27,$AI$51:$AI$64,$AK$51:$AK$64),0)</f>
        <v>0</v>
      </c>
      <c r="AZ27" s="143">
        <f ca="1">IFERROR(_xlfn.XLOOKUP(AU27,$AJ$67:$AJ$80,$AL$67:$AL$80),0)</f>
        <v>0</v>
      </c>
      <c r="BA27" s="141" t="s">
        <v>94</v>
      </c>
      <c r="BB27" s="127">
        <f ca="1">AV27+BG27-BH27</f>
        <v>0</v>
      </c>
      <c r="BC27" s="102"/>
      <c r="BD27" s="145">
        <f ca="1">-MIN(BC27-AW27-SUM(AZ27:AZ30)+SUM(AY27:AY30),0)</f>
        <v>0</v>
      </c>
      <c r="BE27" s="146">
        <f ca="1">MAX(BC27-AW27-SUM(AZ27:AZ30)+SUM(AY27:AY30),0)</f>
        <v>0</v>
      </c>
      <c r="BF27" s="42"/>
      <c r="BG27" s="42">
        <f ca="1">SUMIF(Answers[DrAccnt],AU27,Answers[DrAmt])</f>
        <v>0</v>
      </c>
      <c r="BH27" s="42">
        <f ca="1">SUMIF(Answers[CrAccnt],AU27,Answers[CrAmt])</f>
        <v>0</v>
      </c>
      <c r="BI27" s="42"/>
    </row>
    <row r="28" spans="2:61" x14ac:dyDescent="0.2">
      <c r="B28" s="17"/>
      <c r="C28" s="100" t="str">
        <f>IF(ISBLANK(B28),"",_xlfn.XLOOKUP(B28,BegBalSht[Account],BegBalSht[Amount]))</f>
        <v/>
      </c>
      <c r="E28" s="21" t="s">
        <v>425</v>
      </c>
      <c r="F28" s="47">
        <f>SUM(F24:F27)</f>
        <v>5</v>
      </c>
      <c r="Q28" s="17" t="s">
        <v>187</v>
      </c>
      <c r="R28" s="102">
        <f ca="1">AY160-AZ160</f>
        <v>0</v>
      </c>
      <c r="T28" s="17" t="str">
        <f t="shared" si="5"/>
        <v/>
      </c>
      <c r="U28" s="100">
        <f t="shared" si="6"/>
        <v>0</v>
      </c>
      <c r="V28" s="1"/>
      <c r="W28">
        <f>SUMIF(Answers[DrAccnt],FS_All_Auto_Solution!T28,Answers[DrAmt])</f>
        <v>0</v>
      </c>
      <c r="X28">
        <f>SUMIF(Answers[CrAccnt],FS_All_Auto_Solution!T28,Answers[CrAmt])</f>
        <v>0</v>
      </c>
      <c r="Z28" s="110"/>
      <c r="AA28" s="31"/>
      <c r="AB28" s="31"/>
      <c r="AC28" s="31"/>
      <c r="AD28" s="31"/>
      <c r="AE28" s="31"/>
      <c r="AG28" s="111"/>
      <c r="AH28" s="112"/>
      <c r="AI28" s="112"/>
      <c r="AJ28" s="112"/>
      <c r="AK28" s="112"/>
      <c r="AL28" s="112"/>
      <c r="AN28" s="114"/>
      <c r="AO28" s="115"/>
      <c r="AP28" s="115"/>
      <c r="AQ28" s="115"/>
      <c r="AR28" s="115"/>
      <c r="AS28" s="115"/>
      <c r="AU28" s="129"/>
      <c r="AV28" s="140"/>
      <c r="AW28" s="140"/>
      <c r="AX28" s="141"/>
      <c r="AY28" s="142"/>
      <c r="AZ28" s="143"/>
      <c r="BA28" s="141"/>
      <c r="BB28" s="127"/>
      <c r="BC28" s="102"/>
      <c r="BD28" s="140"/>
      <c r="BE28" s="85"/>
      <c r="BF28" s="42"/>
      <c r="BG28" s="42"/>
      <c r="BH28" s="42"/>
      <c r="BI28" s="42"/>
    </row>
    <row r="29" spans="2:61" x14ac:dyDescent="0.2">
      <c r="B29" s="91"/>
      <c r="C29" s="101" t="str">
        <f>IF(ISBLANK(B29),"",_xlfn.XLOOKUP(B29,BegBalSht[Account],BegBalSht[Amount]))</f>
        <v/>
      </c>
      <c r="E29" s="190" t="s">
        <v>426</v>
      </c>
      <c r="F29" s="20"/>
      <c r="Q29" s="75" t="s">
        <v>416</v>
      </c>
      <c r="R29" s="47" t="e">
        <f ca="1">SUBTOTAL(9,R8:R28)</f>
        <v>#NAME?</v>
      </c>
      <c r="T29" s="91" t="str">
        <f t="shared" si="5"/>
        <v/>
      </c>
      <c r="U29" s="101">
        <f t="shared" si="6"/>
        <v>0</v>
      </c>
      <c r="V29" s="1"/>
      <c r="W29">
        <f>SUMIF(Answers[DrAccnt],FS_All_Auto_Solution!T29,Answers[DrAmt])</f>
        <v>0</v>
      </c>
      <c r="X29">
        <f>SUMIF(Answers[CrAccnt],FS_All_Auto_Solution!T29,Answers[CrAmt])</f>
        <v>0</v>
      </c>
      <c r="Z29" s="110"/>
      <c r="AA29" s="31"/>
      <c r="AB29" s="31"/>
      <c r="AC29" s="31"/>
      <c r="AD29" s="31"/>
      <c r="AE29" s="31"/>
      <c r="AG29" s="111"/>
      <c r="AH29" s="112"/>
      <c r="AI29" s="112"/>
      <c r="AJ29" s="112"/>
      <c r="AK29" s="112"/>
      <c r="AL29" s="112"/>
      <c r="AN29" s="114"/>
      <c r="AO29" s="115"/>
      <c r="AP29" s="115"/>
      <c r="AQ29" s="115"/>
      <c r="AR29" s="115"/>
      <c r="AS29" s="115"/>
      <c r="AU29" s="129"/>
      <c r="AV29" s="140"/>
      <c r="AW29" s="140"/>
      <c r="AX29" s="141"/>
      <c r="AY29" s="142"/>
      <c r="AZ29" s="143"/>
      <c r="BA29" s="141"/>
      <c r="BB29" s="127"/>
      <c r="BC29" s="102"/>
      <c r="BD29" s="140"/>
      <c r="BE29" s="85"/>
      <c r="BF29" s="42"/>
      <c r="BG29" s="42"/>
      <c r="BH29" s="42"/>
      <c r="BI29" s="42"/>
    </row>
    <row r="30" spans="2:61" x14ac:dyDescent="0.2">
      <c r="B30" s="53" t="s">
        <v>427</v>
      </c>
      <c r="C30" s="49">
        <f>SUBTOTAL(9,C20:C29)</f>
        <v>0</v>
      </c>
      <c r="E30" s="17" t="str" cm="1">
        <f t="array" ref="E30">_xlfn._xlws.FILTER(_Loss[Name],NOT(ISBLANK(_Loss[Name])),"")</f>
        <v>Loss on Sale of Subsidiary</v>
      </c>
      <c r="F30" s="82">
        <f>-SUMIFS(Answers[CrAmt],Answers[CrAccnt],E30,Answers[ref2],"&lt;&gt;CL")+SUMIFS(Answers[DrAmt],Answers[DrAccnt],E30,Answers[ref2],"&lt;&gt;CL")</f>
        <v>0</v>
      </c>
      <c r="Q30" s="17"/>
      <c r="R30" s="18"/>
      <c r="T30" s="53" t="s">
        <v>427</v>
      </c>
      <c r="U30" s="49">
        <f>SUBTOTAL(9,U20:U29)</f>
        <v>-40</v>
      </c>
      <c r="Z30" s="110"/>
      <c r="AA30" s="31"/>
      <c r="AB30" s="31"/>
      <c r="AC30" s="31"/>
      <c r="AD30" s="31"/>
      <c r="AE30" s="31"/>
      <c r="AG30" s="111"/>
      <c r="AH30" s="112"/>
      <c r="AI30" s="112"/>
      <c r="AJ30" s="112"/>
      <c r="AK30" s="112"/>
      <c r="AL30" s="112"/>
      <c r="AN30" s="114"/>
      <c r="AO30" s="115"/>
      <c r="AP30" s="115"/>
      <c r="AQ30" s="115"/>
      <c r="AR30" s="115"/>
      <c r="AS30" s="115"/>
      <c r="AU30" s="129"/>
      <c r="AV30" s="140"/>
      <c r="AW30" s="140"/>
      <c r="AX30" s="141"/>
      <c r="AY30" s="142"/>
      <c r="AZ30" s="143"/>
      <c r="BA30" s="141"/>
      <c r="BB30" s="127"/>
      <c r="BC30" s="102"/>
      <c r="BD30" s="140"/>
      <c r="BE30" s="85"/>
      <c r="BF30" s="42"/>
      <c r="BG30" s="42"/>
      <c r="BH30" s="42"/>
      <c r="BI30" s="42"/>
    </row>
    <row r="31" spans="2:61" ht="16" thickBot="1" x14ac:dyDescent="0.25">
      <c r="B31" s="193" t="s">
        <v>428</v>
      </c>
      <c r="C31" s="194">
        <f>SUBTOTAL(9,C8:C30)</f>
        <v>0</v>
      </c>
      <c r="E31" s="17"/>
      <c r="F31" s="102">
        <f>-SUMIFS(Answers[CrAmt],Answers[CrAccnt],E31,Answers[ref2],"&lt;&gt;CL")+SUMIFS(Answers[DrAmt],Answers[DrAccnt],E31,Answers[ref2],"&lt;&gt;CL")</f>
        <v>0</v>
      </c>
      <c r="Q31" s="190" t="s">
        <v>418</v>
      </c>
      <c r="R31" s="20"/>
      <c r="T31" s="193" t="s">
        <v>428</v>
      </c>
      <c r="U31" s="194">
        <f>SUBTOTAL(9,U8:U30)</f>
        <v>-15</v>
      </c>
      <c r="Z31" s="110"/>
      <c r="AA31" s="31"/>
      <c r="AB31" s="31"/>
      <c r="AC31" s="31"/>
      <c r="AD31" s="31"/>
      <c r="AE31" s="31"/>
      <c r="AG31" s="111"/>
      <c r="AH31" s="112"/>
      <c r="AI31" s="112"/>
      <c r="AJ31" s="112"/>
      <c r="AK31" s="112"/>
      <c r="AL31" s="112"/>
      <c r="AN31" s="114"/>
      <c r="AO31" s="115"/>
      <c r="AP31" s="115"/>
      <c r="AQ31" s="115"/>
      <c r="AR31" s="115"/>
      <c r="AS31" s="115"/>
      <c r="AU31" s="130" t="str">
        <f>_xlfn.XLOOKUP(9,AssetsMaster[Num],AssetsMaster[Name])</f>
        <v>Property, Plant &amp; Equipment</v>
      </c>
      <c r="AV31" s="140">
        <f>IFERROR(_xlfn.XLOOKUP(AU31,BegBalSht[Account],BegBalSht[Amount]),0)</f>
        <v>0</v>
      </c>
      <c r="AW31" s="140"/>
      <c r="AX31" s="141" t="s">
        <v>128</v>
      </c>
      <c r="AY31" s="142">
        <f>IFERROR(_xlfn.XLOOKUP(AU31,$AI$51:$AI$64,$AK$51:$AK$64),0)</f>
        <v>0</v>
      </c>
      <c r="AZ31" s="143">
        <f ca="1">IFERROR(_xlfn.XLOOKUP(AU31,$AJ$67:$AJ$80,$AL$67:$AL$80),0)</f>
        <v>0</v>
      </c>
      <c r="BA31" s="141" t="s">
        <v>94</v>
      </c>
      <c r="BB31" s="127">
        <f>AV31+BG31-BH31</f>
        <v>-50</v>
      </c>
      <c r="BC31" s="102"/>
      <c r="BD31" s="145">
        <f ca="1">MAX(BB31-AV31-SUM(AY31:AY34)+SUM(AZ31:AZ34),0)</f>
        <v>0</v>
      </c>
      <c r="BE31" s="146">
        <f ca="1">-MIN(BB31-AV31-SUM(AY31:AY34)+SUM(AZ31:AZ34),0)</f>
        <v>50</v>
      </c>
      <c r="BF31" s="42"/>
      <c r="BG31" s="42">
        <f>SUMIF(Answers[DrAccnt],AU31,Answers[DrAmt])</f>
        <v>0</v>
      </c>
      <c r="BH31" s="42">
        <f>SUMIF(Answers[CrAccnt],AU31,Answers[CrAmt])</f>
        <v>50</v>
      </c>
      <c r="BI31" s="42"/>
    </row>
    <row r="32" spans="2:61" x14ac:dyDescent="0.2">
      <c r="B32" s="187" t="s">
        <v>364</v>
      </c>
      <c r="C32" s="188"/>
      <c r="E32" s="17"/>
      <c r="F32" s="102">
        <f>-SUMIFS(Answers[CrAmt],Answers[CrAccnt],E32,Answers[ref2],"&lt;&gt;CL")+SUMIFS(Answers[DrAmt],Answers[DrAccnt],E32,Answers[ref2],"&lt;&gt;CL")</f>
        <v>0</v>
      </c>
      <c r="Q32" s="17" t="s">
        <v>482</v>
      </c>
      <c r="R32" s="82">
        <f>IFERROR(_xlfn.XLOOKUP("Cash",AI27:AI32,AK27:AK32),0)</f>
        <v>0</v>
      </c>
      <c r="T32" s="187" t="s">
        <v>364</v>
      </c>
      <c r="U32" s="188"/>
      <c r="Z32" s="110"/>
      <c r="AA32" s="31"/>
      <c r="AB32" s="31"/>
      <c r="AC32" s="31"/>
      <c r="AD32" s="31"/>
      <c r="AE32" s="31"/>
      <c r="AG32" s="111"/>
      <c r="AH32" s="112"/>
      <c r="AI32" s="112"/>
      <c r="AJ32" s="112"/>
      <c r="AK32" s="112"/>
      <c r="AL32" s="112"/>
      <c r="AN32" s="114"/>
      <c r="AO32" s="115"/>
      <c r="AP32" s="115"/>
      <c r="AQ32" s="115"/>
      <c r="AR32" s="115"/>
      <c r="AS32" s="115"/>
      <c r="AU32" s="129"/>
      <c r="AV32" s="140"/>
      <c r="AW32" s="140"/>
      <c r="AX32" s="141" t="s">
        <v>118</v>
      </c>
      <c r="AY32" s="142">
        <f>IFERROR(_xlfn.XLOOKUP(AU31,AI19:AI24,AK19:AK24),0)</f>
        <v>0</v>
      </c>
      <c r="AZ32" s="142">
        <f>IFERROR(_xlfn.XLOOKUP(AU31,AJ27:AJ32,AL27:AL32),0)</f>
        <v>0</v>
      </c>
      <c r="BA32" s="141" t="s">
        <v>120</v>
      </c>
      <c r="BB32" s="127"/>
      <c r="BC32" s="102"/>
      <c r="BD32" s="140"/>
      <c r="BE32" s="85"/>
      <c r="BF32" s="42"/>
      <c r="BG32" s="42"/>
      <c r="BH32" s="42"/>
      <c r="BI32" s="42"/>
    </row>
    <row r="33" spans="2:61" x14ac:dyDescent="0.2">
      <c r="B33" s="52" t="s">
        <v>429</v>
      </c>
      <c r="C33" s="46">
        <f>BegDate</f>
        <v>0</v>
      </c>
      <c r="E33" s="17"/>
      <c r="F33" s="102">
        <f>-SUMIFS(Answers[CrAmt],Answers[CrAccnt],E33,Answers[ref2],"&lt;&gt;CL")+SUMIFS(Answers[DrAmt],Answers[DrAccnt],E33,Answers[ref2],"&lt;&gt;CL")</f>
        <v>0</v>
      </c>
      <c r="Q33" s="17" t="s">
        <v>483</v>
      </c>
      <c r="R33" s="102">
        <f ca="1">IFERROR(_xlfn.XLOOKUP("Cash",AI67:AI80,AK67:AK80),0)</f>
        <v>0</v>
      </c>
      <c r="T33" s="52" t="s">
        <v>429</v>
      </c>
      <c r="U33" s="46">
        <f>EndDate</f>
        <v>0</v>
      </c>
      <c r="AU33" s="129"/>
      <c r="AV33" s="140"/>
      <c r="AW33" s="140"/>
      <c r="AX33" s="141" t="s">
        <v>122</v>
      </c>
      <c r="AY33" s="142">
        <f>IFERROR(_xlfn.XLOOKUP(AU31,AP11:AP16,AR11:AR16),0)</f>
        <v>0</v>
      </c>
      <c r="AZ33" s="143"/>
      <c r="BA33" s="141"/>
      <c r="BB33" s="127"/>
      <c r="BC33" s="102"/>
      <c r="BD33" s="140"/>
      <c r="BE33" s="85"/>
      <c r="BF33" s="42"/>
      <c r="BG33" s="42"/>
      <c r="BH33" s="42"/>
      <c r="BI33" s="42"/>
    </row>
    <row r="34" spans="2:61" x14ac:dyDescent="0.2">
      <c r="B34" s="17" t="str" cm="1">
        <f t="array" ref="B34:B41">_xlfn._xlws.FILTER(Liability[Name],Liability[C/NC]="C")</f>
        <v>Accounts Payable</v>
      </c>
      <c r="C34" s="99">
        <f>IF(ISBLANK(B34),"",_xlfn.XLOOKUP(B34,BegBalSht[Account],BegBalSht[Amount]))</f>
        <v>0</v>
      </c>
      <c r="E34" s="21" t="s">
        <v>430</v>
      </c>
      <c r="F34" s="47">
        <f>SUM(F30:F33)</f>
        <v>0</v>
      </c>
      <c r="Q34" s="17" t="s">
        <v>484</v>
      </c>
      <c r="R34" s="102">
        <f>IFERROR(_xlfn.XLOOKUP("Cash",AI11:AI16,AK11:AK16),0)</f>
        <v>0</v>
      </c>
      <c r="T34" s="17" t="str">
        <f t="shared" ref="T34:T43" si="7">IF(ISBLANK(B34),"",B34)</f>
        <v>Accounts Payable</v>
      </c>
      <c r="U34" s="99">
        <f t="shared" ref="U34:U43" si="8">IFERROR(C34+X34-W34,0)</f>
        <v>-20</v>
      </c>
      <c r="W34">
        <f>SUMIF(Answers[DrAccnt],FS_All_Auto_Solution!T34,Answers[DrAmt])</f>
        <v>20</v>
      </c>
      <c r="X34">
        <f>SUMIF(Answers[CrAccnt],FS_All_Auto_Solution!T34,Answers[CrAmt])</f>
        <v>0</v>
      </c>
      <c r="Z34" s="5" t="s">
        <v>105</v>
      </c>
      <c r="AA34" s="5"/>
      <c r="AC34" s="4" t="s">
        <v>104</v>
      </c>
      <c r="AG34" s="5" t="s">
        <v>125</v>
      </c>
      <c r="AJ34" s="4" t="s">
        <v>124</v>
      </c>
      <c r="AN34" s="5" t="s">
        <v>464</v>
      </c>
      <c r="AO34" s="5"/>
      <c r="AQ34" s="4" t="s">
        <v>141</v>
      </c>
      <c r="AU34" s="129"/>
      <c r="AV34" s="140"/>
      <c r="AW34" s="140"/>
      <c r="AX34" s="141"/>
      <c r="AY34" s="142"/>
      <c r="AZ34" s="143"/>
      <c r="BA34" s="141"/>
      <c r="BB34" s="127"/>
      <c r="BC34" s="102"/>
      <c r="BD34" s="140"/>
      <c r="BE34" s="85"/>
      <c r="BF34" s="42"/>
      <c r="BG34" s="42"/>
      <c r="BH34" s="42"/>
      <c r="BI34" s="42"/>
    </row>
    <row r="35" spans="2:61" ht="16" thickBot="1" x14ac:dyDescent="0.25">
      <c r="B35" s="17" t="str">
        <v>Accrued Expenses</v>
      </c>
      <c r="C35" s="100">
        <f>IF(ISBLANK(B35),"",_xlfn.XLOOKUP(B35,BegBalSht[Account],BegBalSht[Amount]))</f>
        <v>0</v>
      </c>
      <c r="E35" s="191" t="str">
        <f>IF(F43,"Net Income","Net Balance in Temporary Accounts")</f>
        <v>Net Balance in Temporary Accounts</v>
      </c>
      <c r="F35" s="192">
        <f>F12-F22+F28-F34</f>
        <v>5</v>
      </c>
      <c r="Q35" s="17" t="s">
        <v>485</v>
      </c>
      <c r="R35" s="102">
        <f>IFERROR(_xlfn.XLOOKUP("Cash",AI43:AI48,AK43:AK48),0)</f>
        <v>0</v>
      </c>
      <c r="T35" s="17" t="str">
        <f t="shared" si="7"/>
        <v>Accrued Expenses</v>
      </c>
      <c r="U35" s="100">
        <f t="shared" si="8"/>
        <v>0</v>
      </c>
      <c r="W35">
        <f>SUMIF(Answers[DrAccnt],FS_All_Auto_Solution!T35,Answers[DrAmt])</f>
        <v>0</v>
      </c>
      <c r="X35">
        <f>SUMIF(Answers[CrAccnt],FS_All_Auto_Solution!T35,Answers[CrAmt])</f>
        <v>0</v>
      </c>
      <c r="Z35" s="110" t="e" cm="1">
        <f t="array" aca="1" ref="Z35" ca="1">_xlfn._xlws.FILTER(Answers[ref]:Answers[CrAmt],Answers[ref2]=AC34,"")</f>
        <v>#NAME?</v>
      </c>
      <c r="AA35" s="31"/>
      <c r="AB35" s="31"/>
      <c r="AC35" s="31"/>
      <c r="AD35" s="31"/>
      <c r="AE35" s="31"/>
      <c r="AG35" s="111" t="e" cm="1">
        <f t="array" aca="1" ref="AG35" ca="1">_xlfn._xlws.FILTER(Answers[ref]:Answers[CrAmt],Answers[ref2]=AJ34,"")</f>
        <v>#NAME?</v>
      </c>
      <c r="AH35" s="112"/>
      <c r="AI35" s="112"/>
      <c r="AJ35" s="112"/>
      <c r="AK35" s="112"/>
      <c r="AL35" s="112"/>
      <c r="AN35" s="114" t="e" cm="1">
        <f t="array" aca="1" ref="AN35" ca="1">_xlfn._xlws.FILTER(Answers[ref]:Answers[CrAmt],Answers[ref2]=AQ34,"")</f>
        <v>#NAME?</v>
      </c>
      <c r="AO35" s="115"/>
      <c r="AP35" s="115"/>
      <c r="AQ35" s="115"/>
      <c r="AR35" s="115"/>
      <c r="AS35" s="115"/>
      <c r="AU35" s="130" t="e">
        <f ca="1">_xlfn.XLOOKUP(10,AssetsMaster[Num],AssetsMaster[Name])</f>
        <v>#NAME?</v>
      </c>
      <c r="AV35" s="140"/>
      <c r="AW35" s="140" cm="1">
        <f t="array" aca="1" ref="AW35" ca="1">IFERROR(_xlfn.XLOOKUP(AU35,BegBalSht[Account],-BegBalSht[Amount]),0)</f>
        <v>0</v>
      </c>
      <c r="AX35" s="141" t="s">
        <v>94</v>
      </c>
      <c r="AY35" s="142">
        <f ca="1">IFERROR(_xlfn.XLOOKUP(AU35,$AI$67:$AI$80,$AK$67:$AK$80),0)</f>
        <v>0</v>
      </c>
      <c r="AZ35" s="143"/>
      <c r="BA35" s="141"/>
      <c r="BB35" s="127"/>
      <c r="BC35" s="102">
        <f ca="1">AW35-BG35+BH35</f>
        <v>0</v>
      </c>
      <c r="BD35" s="145">
        <f ca="1">-MIN(BC35-AW35-SUM(AZ35:AZ38)+SUM(AY35:AY38),0)</f>
        <v>0</v>
      </c>
      <c r="BE35" s="146">
        <f ca="1">MAX(BC35-AW35-SUM(AZ35:AZ38)+SUM(AY35:AY38),0)</f>
        <v>0</v>
      </c>
      <c r="BF35" s="42"/>
      <c r="BG35" s="42">
        <f ca="1">SUMIF(Answers[DrAccnt],AU35,Answers[DrAmt])</f>
        <v>0</v>
      </c>
      <c r="BH35" s="42">
        <f ca="1">SUMIF(Answers[CrAccnt],AU35,Answers[CrAmt])</f>
        <v>0</v>
      </c>
      <c r="BI35" s="42"/>
    </row>
    <row r="36" spans="2:61" ht="17" thickTop="1" thickBot="1" x14ac:dyDescent="0.25">
      <c r="B36" s="17" t="str">
        <v>Interest Payable</v>
      </c>
      <c r="C36" s="100">
        <f>IF(ISBLANK(B36),"",_xlfn.XLOOKUP(B36,BegBalSht[Account],BegBalSht[Amount]))</f>
        <v>0</v>
      </c>
      <c r="E36" s="24"/>
      <c r="F36" s="25"/>
      <c r="Q36" s="17" t="s">
        <v>486</v>
      </c>
      <c r="R36" s="102">
        <f>IFERROR(_xlfn.XLOOKUP("Cash",AI91:AI96,AK91:AK96),0)</f>
        <v>0</v>
      </c>
      <c r="T36" s="17" t="str">
        <f t="shared" si="7"/>
        <v>Interest Payable</v>
      </c>
      <c r="U36" s="100">
        <f t="shared" si="8"/>
        <v>0</v>
      </c>
      <c r="W36">
        <f>SUMIF(Answers[DrAccnt],FS_All_Auto_Solution!T36,Answers[DrAmt])</f>
        <v>0</v>
      </c>
      <c r="X36">
        <f>SUMIF(Answers[CrAccnt],FS_All_Auto_Solution!T36,Answers[CrAmt])</f>
        <v>0</v>
      </c>
      <c r="Z36" s="110"/>
      <c r="AA36" s="31"/>
      <c r="AB36" s="31"/>
      <c r="AC36" s="31"/>
      <c r="AD36" s="31"/>
      <c r="AE36" s="31"/>
      <c r="AG36" s="111"/>
      <c r="AH36" s="112"/>
      <c r="AI36" s="112"/>
      <c r="AJ36" s="112"/>
      <c r="AK36" s="112"/>
      <c r="AL36" s="112"/>
      <c r="AN36" s="114"/>
      <c r="AO36" s="115"/>
      <c r="AP36" s="115"/>
      <c r="AQ36" s="115"/>
      <c r="AR36" s="115"/>
      <c r="AS36" s="115"/>
      <c r="AU36" s="129"/>
      <c r="AV36" s="140"/>
      <c r="AW36" s="140"/>
      <c r="AX36" s="141" t="s">
        <v>120</v>
      </c>
      <c r="AY36" s="142">
        <f ca="1">IFERROR(_xlfn.XLOOKUP(AU35,AI27:AI32,AK27:AK32),0)</f>
        <v>0</v>
      </c>
      <c r="AZ36" s="143"/>
      <c r="BA36" s="141"/>
      <c r="BB36" s="127"/>
      <c r="BC36" s="102"/>
      <c r="BD36" s="140"/>
      <c r="BE36" s="85"/>
      <c r="BF36" s="42"/>
      <c r="BG36" s="42"/>
      <c r="BH36" s="42"/>
      <c r="BI36" s="42"/>
    </row>
    <row r="37" spans="2:61" x14ac:dyDescent="0.2">
      <c r="B37" s="17" t="str">
        <v>Dividends Payable</v>
      </c>
      <c r="C37" s="100">
        <f>IF(ISBLANK(B37),"",_xlfn.XLOOKUP(B37,BegBalSht[Account],BegBalSht[Amount]))</f>
        <v>0</v>
      </c>
      <c r="Q37" s="17" t="s">
        <v>487</v>
      </c>
      <c r="R37" s="102" cm="1">
        <f t="array" ref="R37">IFERROR(_xlfn.XLOOKUP("Cash",AJ19:AJ24,-AL19:AL24),0)</f>
        <v>0</v>
      </c>
      <c r="T37" s="17" t="str">
        <f t="shared" si="7"/>
        <v>Dividends Payable</v>
      </c>
      <c r="U37" s="100">
        <f t="shared" si="8"/>
        <v>0</v>
      </c>
      <c r="W37">
        <f>SUMIF(Answers[DrAccnt],FS_All_Auto_Solution!T37,Answers[DrAmt])</f>
        <v>0</v>
      </c>
      <c r="X37">
        <f>SUMIF(Answers[CrAccnt],FS_All_Auto_Solution!T37,Answers[CrAmt])</f>
        <v>0</v>
      </c>
      <c r="Z37" s="110"/>
      <c r="AA37" s="31"/>
      <c r="AB37" s="31"/>
      <c r="AC37" s="31"/>
      <c r="AD37" s="31"/>
      <c r="AE37" s="31"/>
      <c r="AG37" s="111"/>
      <c r="AH37" s="112"/>
      <c r="AI37" s="112"/>
      <c r="AJ37" s="112"/>
      <c r="AK37" s="112"/>
      <c r="AL37" s="112"/>
      <c r="AN37" s="114"/>
      <c r="AO37" s="115"/>
      <c r="AP37" s="115"/>
      <c r="AQ37" s="115"/>
      <c r="AR37" s="115"/>
      <c r="AS37" s="115"/>
      <c r="AU37" s="129"/>
      <c r="AV37" s="140"/>
      <c r="AW37" s="140"/>
      <c r="AX37" s="141"/>
      <c r="AY37" s="142"/>
      <c r="AZ37" s="143"/>
      <c r="BA37" s="141"/>
      <c r="BB37" s="127"/>
      <c r="BC37" s="102"/>
      <c r="BD37" s="140"/>
      <c r="BE37" s="85"/>
      <c r="BF37" s="42"/>
      <c r="BG37" s="42"/>
      <c r="BH37" s="42"/>
      <c r="BI37" s="42"/>
    </row>
    <row r="38" spans="2:61" x14ac:dyDescent="0.2">
      <c r="B38" s="17" t="str">
        <v>Taxes Payable</v>
      </c>
      <c r="C38" s="100">
        <f>IF(ISBLANK(B38),"",_xlfn.XLOOKUP(B38,BegBalSht[Account],BegBalSht[Amount]))</f>
        <v>0</v>
      </c>
      <c r="Q38" s="17" t="s">
        <v>488</v>
      </c>
      <c r="R38" s="102" cm="1">
        <f t="array" ref="R38">IFERROR(_xlfn.XLOOKUP("Cash",AJ51:AJ64,-AL51:AL64),0)</f>
        <v>0</v>
      </c>
      <c r="T38" s="17" t="str">
        <f t="shared" si="7"/>
        <v>Taxes Payable</v>
      </c>
      <c r="U38" s="100">
        <f t="shared" si="8"/>
        <v>0</v>
      </c>
      <c r="W38">
        <f>SUMIF(Answers[DrAccnt],FS_All_Auto_Solution!T38,Answers[DrAmt])</f>
        <v>0</v>
      </c>
      <c r="X38">
        <f>SUMIF(Answers[CrAccnt],FS_All_Auto_Solution!T38,Answers[CrAmt])</f>
        <v>0</v>
      </c>
      <c r="Z38" s="110"/>
      <c r="AA38" s="31"/>
      <c r="AB38" s="31"/>
      <c r="AC38" s="31"/>
      <c r="AD38" s="31"/>
      <c r="AE38" s="31"/>
      <c r="AG38" s="111"/>
      <c r="AH38" s="112"/>
      <c r="AI38" s="112"/>
      <c r="AJ38" s="112"/>
      <c r="AK38" s="112"/>
      <c r="AL38" s="112"/>
      <c r="AN38" s="114"/>
      <c r="AO38" s="115"/>
      <c r="AP38" s="115"/>
      <c r="AQ38" s="115"/>
      <c r="AR38" s="115"/>
      <c r="AS38" s="115"/>
      <c r="AU38" s="129"/>
      <c r="AV38" s="140"/>
      <c r="AW38" s="140"/>
      <c r="AX38" s="141"/>
      <c r="AY38" s="142"/>
      <c r="AZ38" s="143"/>
      <c r="BA38" s="141"/>
      <c r="BB38" s="127"/>
      <c r="BC38" s="102"/>
      <c r="BD38" s="140"/>
      <c r="BE38" s="85"/>
      <c r="BF38" s="42"/>
      <c r="BG38" s="42"/>
      <c r="BH38" s="42"/>
      <c r="BI38" s="42"/>
    </row>
    <row r="39" spans="2:61" x14ac:dyDescent="0.2">
      <c r="B39" s="17" t="str">
        <v>Deferred Tax Liabilities</v>
      </c>
      <c r="C39" s="100">
        <f>IF(ISBLANK(B39),"",_xlfn.XLOOKUP(B39,BegBalSht[Account],BegBalSht[Amount]))</f>
        <v>0</v>
      </c>
      <c r="E39" s="103" t="s">
        <v>580</v>
      </c>
      <c r="F39" s="103">
        <f>SUMIF(Answers[AccntType],"_Revenue",Answers[CrAmt])-SUMIF(Answers[AccntType],"_Revenue",Answers[DrAmt])</f>
        <v>0</v>
      </c>
      <c r="Q39" s="17" t="s">
        <v>489</v>
      </c>
      <c r="R39" s="102" cm="1">
        <f t="array" ref="R39">IFERROR(_xlfn.XLOOKUP("Cash",AJ3:AJ8,-AL3:AL8),0)</f>
        <v>0</v>
      </c>
      <c r="T39" s="17" t="str">
        <f t="shared" si="7"/>
        <v>Deferred Tax Liabilities</v>
      </c>
      <c r="U39" s="100">
        <f t="shared" si="8"/>
        <v>0</v>
      </c>
      <c r="W39">
        <f>SUMIF(Answers[DrAccnt],FS_All_Auto_Solution!T39,Answers[DrAmt])</f>
        <v>0</v>
      </c>
      <c r="X39">
        <f>SUMIF(Answers[CrAccnt],FS_All_Auto_Solution!T39,Answers[CrAmt])</f>
        <v>0</v>
      </c>
      <c r="Z39" s="110"/>
      <c r="AA39" s="31"/>
      <c r="AB39" s="31"/>
      <c r="AC39" s="31"/>
      <c r="AD39" s="31"/>
      <c r="AE39" s="31"/>
      <c r="AG39" s="111"/>
      <c r="AH39" s="112"/>
      <c r="AI39" s="112"/>
      <c r="AJ39" s="112"/>
      <c r="AK39" s="112"/>
      <c r="AL39" s="112"/>
      <c r="AN39" s="114"/>
      <c r="AO39" s="115"/>
      <c r="AP39" s="115"/>
      <c r="AQ39" s="115"/>
      <c r="AR39" s="115"/>
      <c r="AS39" s="115"/>
      <c r="AU39" s="130" t="str">
        <f>_xlfn.XLOOKUP(11,AssetsMaster[Num],AssetsMaster[Name])</f>
        <v>Intangibles</v>
      </c>
      <c r="AV39" s="140">
        <f>IFERROR(_xlfn.XLOOKUP(AU39,BegBalSht[Account],BegBalSht[Amount]),0)</f>
        <v>0</v>
      </c>
      <c r="AW39" s="140"/>
      <c r="AX39" s="141" t="s">
        <v>128</v>
      </c>
      <c r="AY39" s="142">
        <f>IFERROR(_xlfn.XLOOKUP(AU39,$AI$51:$AI$64,$AK$51:$AK$64),0)</f>
        <v>0</v>
      </c>
      <c r="AZ39" s="143">
        <f ca="1">IFERROR(_xlfn.XLOOKUP(AU39,$AJ$67:$AJ$80,$AL$67:$AL$80),0)</f>
        <v>0</v>
      </c>
      <c r="BA39" s="141" t="s">
        <v>94</v>
      </c>
      <c r="BB39" s="127">
        <f>AV39+BG39-BH39</f>
        <v>0</v>
      </c>
      <c r="BC39" s="102"/>
      <c r="BD39" s="145">
        <f ca="1">MAX(BB39-AV39-SUM(AY39:AY42)+SUM(AZ39:AZ42),0)</f>
        <v>0</v>
      </c>
      <c r="BE39" s="146">
        <f ca="1">-MIN(BB39-AV39-SUM(AY39:AY42)+SUM(AZ39:AZ42),0)</f>
        <v>0</v>
      </c>
      <c r="BF39" s="42"/>
      <c r="BG39" s="42">
        <f>SUMIF(Answers[DrAccnt],AU39,Answers[DrAmt])</f>
        <v>0</v>
      </c>
      <c r="BH39" s="42">
        <f>SUMIF(Answers[CrAccnt],AU39,Answers[CrAmt])</f>
        <v>0</v>
      </c>
      <c r="BI39" s="42"/>
    </row>
    <row r="40" spans="2:61" x14ac:dyDescent="0.2">
      <c r="B40" s="17" t="str">
        <v>Unearned Revenue</v>
      </c>
      <c r="C40" s="100">
        <f>IF(ISBLANK(B40),"",_xlfn.XLOOKUP(B40,BegBalSht[Account],BegBalSht[Amount]))</f>
        <v>0</v>
      </c>
      <c r="E40" s="103" t="s">
        <v>581</v>
      </c>
      <c r="F40" s="103">
        <f>SUMIF(Answers[AccntType],"_Expense",Answers[DrAmt])-SUMIF(Answers[AccntType],"_Expense",Answers[CrAmt])</f>
        <v>0</v>
      </c>
      <c r="Q40" s="17" t="s">
        <v>490</v>
      </c>
      <c r="R40" s="102" cm="1">
        <f t="array" ref="R40">IFERROR(_xlfn.XLOOKUP("Cash",AJ35:AJ40,-AL35:AL40),0)</f>
        <v>0</v>
      </c>
      <c r="T40" s="17" t="str">
        <f t="shared" si="7"/>
        <v>Unearned Revenue</v>
      </c>
      <c r="U40" s="100">
        <f t="shared" si="8"/>
        <v>0</v>
      </c>
      <c r="W40">
        <f>SUMIF(Answers[DrAccnt],FS_All_Auto_Solution!T40,Answers[DrAmt])</f>
        <v>0</v>
      </c>
      <c r="X40">
        <f>SUMIF(Answers[CrAccnt],FS_All_Auto_Solution!T40,Answers[CrAmt])</f>
        <v>0</v>
      </c>
      <c r="Z40" s="110"/>
      <c r="AA40" s="31"/>
      <c r="AB40" s="31"/>
      <c r="AC40" s="31"/>
      <c r="AD40" s="31"/>
      <c r="AE40" s="31"/>
      <c r="AG40" s="111"/>
      <c r="AH40" s="112"/>
      <c r="AI40" s="112"/>
      <c r="AJ40" s="112"/>
      <c r="AK40" s="112"/>
      <c r="AL40" s="112"/>
      <c r="AN40" s="114"/>
      <c r="AO40" s="115"/>
      <c r="AP40" s="115"/>
      <c r="AQ40" s="115"/>
      <c r="AR40" s="115"/>
      <c r="AS40" s="115"/>
      <c r="AU40" s="129"/>
      <c r="AV40" s="140"/>
      <c r="AW40" s="140"/>
      <c r="AX40" s="141"/>
      <c r="AY40" s="142"/>
      <c r="AZ40" s="143"/>
      <c r="BA40" s="141"/>
      <c r="BB40" s="127"/>
      <c r="BC40" s="102"/>
      <c r="BD40" s="140"/>
      <c r="BE40" s="85"/>
      <c r="BF40" s="42"/>
      <c r="BG40" s="42"/>
      <c r="BH40" s="42"/>
      <c r="BI40" s="42"/>
    </row>
    <row r="41" spans="2:61" x14ac:dyDescent="0.2">
      <c r="B41" s="17" t="str">
        <v>Salaries &amp; Wages Payable</v>
      </c>
      <c r="C41" s="100">
        <f>IF(ISBLANK(B41),"",_xlfn.XLOOKUP(B41,BegBalSht[Account],BegBalSht[Amount]))</f>
        <v>0</v>
      </c>
      <c r="E41" s="103" t="s">
        <v>582</v>
      </c>
      <c r="F41" s="103">
        <f>SUMIF(Answers[AccntType],"_Gain",Answers[CrAmt])-SUMIF(Answers[AccntType],"_Gain",Answers[DrAmt])</f>
        <v>5</v>
      </c>
      <c r="Q41" s="17" t="s">
        <v>491</v>
      </c>
      <c r="R41" s="102" cm="1">
        <f t="array" ref="R41">IFERROR(_xlfn.XLOOKUP("Cash",AJ83:AJ88,-AL83:AL88),0)</f>
        <v>0</v>
      </c>
      <c r="T41" s="17" t="str">
        <f t="shared" si="7"/>
        <v>Salaries &amp; Wages Payable</v>
      </c>
      <c r="U41" s="100">
        <f t="shared" si="8"/>
        <v>0</v>
      </c>
      <c r="W41">
        <f>SUMIF(Answers[DrAccnt],FS_All_Auto_Solution!T41,Answers[DrAmt])</f>
        <v>0</v>
      </c>
      <c r="X41">
        <f>SUMIF(Answers[CrAccnt],FS_All_Auto_Solution!T41,Answers[CrAmt])</f>
        <v>0</v>
      </c>
      <c r="AU41" s="129"/>
      <c r="AV41" s="140"/>
      <c r="AW41" s="140"/>
      <c r="AX41" s="141"/>
      <c r="AY41" s="142"/>
      <c r="AZ41" s="143"/>
      <c r="BA41" s="141"/>
      <c r="BB41" s="127"/>
      <c r="BC41" s="102"/>
      <c r="BD41" s="140"/>
      <c r="BE41" s="85"/>
      <c r="BF41" s="42"/>
      <c r="BG41" s="42"/>
      <c r="BH41" s="42"/>
      <c r="BI41" s="42"/>
    </row>
    <row r="42" spans="2:61" x14ac:dyDescent="0.2">
      <c r="B42" s="17"/>
      <c r="C42" s="100" t="str">
        <f>IF(ISBLANK(B42),"",_xlfn.XLOOKUP(B42,BegBalSht[Account],BegBalSht[Amount]))</f>
        <v/>
      </c>
      <c r="E42" s="103" t="s">
        <v>583</v>
      </c>
      <c r="F42" s="103">
        <f>SUMIF(Answers[AccntType],"_Loss",Answers[DrAmt])-SUMIF(Answers[AccntType],"_Loss",Answers[CrAmt])</f>
        <v>0</v>
      </c>
      <c r="Q42" s="75" t="s">
        <v>423</v>
      </c>
      <c r="R42" s="47">
        <f ca="1">SUBTOTAL(9,R32:R41)</f>
        <v>0</v>
      </c>
      <c r="T42" s="17" t="str">
        <f t="shared" si="7"/>
        <v/>
      </c>
      <c r="U42" s="100">
        <f t="shared" si="8"/>
        <v>0</v>
      </c>
      <c r="W42">
        <f>SUMIF(Answers[DrAccnt],FS_All_Auto_Solution!T42,Answers[DrAmt])</f>
        <v>0</v>
      </c>
      <c r="X42">
        <f>SUMIF(Answers[CrAccnt],FS_All_Auto_Solution!T42,Answers[CrAmt])</f>
        <v>0</v>
      </c>
      <c r="Z42" s="5"/>
      <c r="AA42" s="5"/>
      <c r="AC42" s="4"/>
      <c r="AG42" s="5" t="s">
        <v>127</v>
      </c>
      <c r="AJ42" s="4" t="s">
        <v>126</v>
      </c>
      <c r="AN42" s="5" t="s">
        <v>465</v>
      </c>
      <c r="AO42" s="5"/>
      <c r="AQ42" s="4" t="s">
        <v>149</v>
      </c>
      <c r="AU42" s="129"/>
      <c r="AV42" s="140"/>
      <c r="AW42" s="140"/>
      <c r="AX42" s="141"/>
      <c r="AY42" s="142"/>
      <c r="AZ42" s="143"/>
      <c r="BA42" s="141"/>
      <c r="BB42" s="127"/>
      <c r="BC42" s="102"/>
      <c r="BD42" s="140"/>
      <c r="BE42" s="85"/>
      <c r="BF42" s="42"/>
      <c r="BG42" s="42"/>
      <c r="BH42" s="42"/>
      <c r="BI42" s="42"/>
    </row>
    <row r="43" spans="2:61" x14ac:dyDescent="0.2">
      <c r="B43" s="91"/>
      <c r="C43" s="101" t="str">
        <f>IF(ISBLANK(B43),"",_xlfn.XLOOKUP(B43,BegBalSht[Account],BegBalSht[Amount]))</f>
        <v/>
      </c>
      <c r="E43" s="103" t="s">
        <v>584</v>
      </c>
      <c r="F43" s="103" t="b">
        <f>IF(ROUND(SUM(F39:F42),2)=0,TRUE,FALSE)</f>
        <v>0</v>
      </c>
      <c r="Q43" s="17"/>
      <c r="R43" s="18"/>
      <c r="T43" s="91" t="str">
        <f t="shared" si="7"/>
        <v/>
      </c>
      <c r="U43" s="101">
        <f t="shared" si="8"/>
        <v>0</v>
      </c>
      <c r="W43">
        <f>SUMIF(Answers[DrAccnt],FS_All_Auto_Solution!T43,Answers[DrAmt])</f>
        <v>0</v>
      </c>
      <c r="X43">
        <f>SUMIF(Answers[CrAccnt],FS_All_Auto_Solution!T43,Answers[CrAmt])</f>
        <v>0</v>
      </c>
      <c r="Z43" s="110"/>
      <c r="AA43" s="31"/>
      <c r="AB43" s="31"/>
      <c r="AC43" s="31"/>
      <c r="AD43" s="31"/>
      <c r="AE43" s="31"/>
      <c r="AG43" s="111" t="e" cm="1">
        <f t="array" aca="1" ref="AG43" ca="1">_xlfn._xlws.FILTER(Answers[ref]:Answers[CrAmt],Answers[ref2]=AJ42,"")</f>
        <v>#NAME?</v>
      </c>
      <c r="AH43" s="112"/>
      <c r="AI43" s="112"/>
      <c r="AJ43" s="112"/>
      <c r="AK43" s="112"/>
      <c r="AL43" s="112"/>
      <c r="AN43" s="114" t="e" cm="1">
        <f t="array" aca="1" ref="AN43" ca="1">_xlfn._xlws.FILTER(Answers[ref]:Answers[CrAmt],Answers[ref2]=AQ42,"")</f>
        <v>#NAME?</v>
      </c>
      <c r="AO43" s="115"/>
      <c r="AP43" s="115"/>
      <c r="AQ43" s="115"/>
      <c r="AR43" s="115"/>
      <c r="AS43" s="115"/>
      <c r="AU43" s="130" t="e">
        <f ca="1">_xlfn.XLOOKUP(12,AssetsMaster[Num],AssetsMaster[Name])</f>
        <v>#NAME?</v>
      </c>
      <c r="AV43" s="140">
        <f ca="1">IFERROR(_xlfn.XLOOKUP(AU43,BegBalSht[Account],BegBalSht[Amount]),0)</f>
        <v>0</v>
      </c>
      <c r="AW43" s="140"/>
      <c r="AX43" s="141" t="s">
        <v>128</v>
      </c>
      <c r="AY43" s="142">
        <f ca="1">IFERROR(_xlfn.XLOOKUP(AU43,$AI$51:$AI$64,$AK$51:$AK$64),0)</f>
        <v>0</v>
      </c>
      <c r="AZ43" s="143">
        <f ca="1">IFERROR(_xlfn.XLOOKUP(AU43,$AJ$67:$AJ$80,$AL$67:$AL$80),0)</f>
        <v>0</v>
      </c>
      <c r="BA43" s="141" t="s">
        <v>94</v>
      </c>
      <c r="BB43" s="127">
        <f ca="1">AV43+BG43-BH43</f>
        <v>0</v>
      </c>
      <c r="BC43" s="102"/>
      <c r="BD43" s="145">
        <f ca="1">MAX(BB43-AV43-SUM(AY43:AY46)+SUM(AZ43:AZ46),0)</f>
        <v>0</v>
      </c>
      <c r="BE43" s="146">
        <f ca="1">-MIN(BB43-AV43-SUM(AY43:AY46)+SUM(AZ43:AZ46),0)</f>
        <v>0</v>
      </c>
      <c r="BF43" s="42"/>
      <c r="BG43" s="42">
        <f ca="1">SUMIF(Answers[DrAccnt],AU43,Answers[DrAmt])</f>
        <v>0</v>
      </c>
      <c r="BH43" s="42">
        <f ca="1">SUMIF(Answers[CrAccnt],AU43,Answers[CrAmt])</f>
        <v>0</v>
      </c>
      <c r="BI43" s="42"/>
    </row>
    <row r="44" spans="2:61" x14ac:dyDescent="0.2">
      <c r="B44" s="54" t="s">
        <v>434</v>
      </c>
      <c r="C44" s="51">
        <f>SUBTOTAL(9,C34:C43)</f>
        <v>0</v>
      </c>
      <c r="Q44" s="190" t="s">
        <v>424</v>
      </c>
      <c r="R44" s="20"/>
      <c r="T44" s="54" t="s">
        <v>434</v>
      </c>
      <c r="U44" s="51">
        <f>SUBTOTAL(9,U34:U43)</f>
        <v>-20</v>
      </c>
      <c r="Z44" s="110"/>
      <c r="AA44" s="31"/>
      <c r="AB44" s="31"/>
      <c r="AC44" s="31"/>
      <c r="AD44" s="31"/>
      <c r="AE44" s="31"/>
      <c r="AG44" s="111"/>
      <c r="AH44" s="112"/>
      <c r="AI44" s="112"/>
      <c r="AJ44" s="112"/>
      <c r="AK44" s="112"/>
      <c r="AL44" s="112"/>
      <c r="AN44" s="114"/>
      <c r="AO44" s="115"/>
      <c r="AP44" s="115"/>
      <c r="AQ44" s="115"/>
      <c r="AR44" s="115"/>
      <c r="AS44" s="115"/>
      <c r="AU44" s="129"/>
      <c r="AV44" s="140"/>
      <c r="AW44" s="140"/>
      <c r="AX44" s="141"/>
      <c r="AY44" s="142"/>
      <c r="AZ44" s="143"/>
      <c r="BA44" s="141"/>
      <c r="BB44" s="127"/>
      <c r="BC44" s="102"/>
      <c r="BD44" s="140"/>
      <c r="BE44" s="85"/>
      <c r="BF44" s="42"/>
      <c r="BG44" s="42"/>
      <c r="BH44" s="42"/>
      <c r="BI44" s="42"/>
    </row>
    <row r="45" spans="2:61" x14ac:dyDescent="0.2">
      <c r="B45" s="55" t="s">
        <v>435</v>
      </c>
      <c r="C45" s="18"/>
      <c r="Q45" s="17" t="s">
        <v>454</v>
      </c>
      <c r="R45" s="82">
        <f>IFERROR(_xlfn.XLOOKUP("Cash",AB3:AB8,AD3:AD8),0)</f>
        <v>0</v>
      </c>
      <c r="T45" s="55" t="s">
        <v>435</v>
      </c>
      <c r="U45" s="18"/>
      <c r="Z45" s="110"/>
      <c r="AA45" s="31"/>
      <c r="AB45" s="31"/>
      <c r="AC45" s="31"/>
      <c r="AD45" s="31"/>
      <c r="AE45" s="31"/>
      <c r="AG45" s="111"/>
      <c r="AH45" s="112"/>
      <c r="AI45" s="112"/>
      <c r="AJ45" s="112"/>
      <c r="AK45" s="112"/>
      <c r="AL45" s="112"/>
      <c r="AN45" s="114"/>
      <c r="AO45" s="115"/>
      <c r="AP45" s="115"/>
      <c r="AQ45" s="115"/>
      <c r="AR45" s="115"/>
      <c r="AS45" s="115"/>
      <c r="AU45" s="129"/>
      <c r="AV45" s="140"/>
      <c r="AW45" s="140"/>
      <c r="AX45" s="141"/>
      <c r="AY45" s="142"/>
      <c r="AZ45" s="143"/>
      <c r="BA45" s="141"/>
      <c r="BB45" s="127"/>
      <c r="BC45" s="102"/>
      <c r="BD45" s="140"/>
      <c r="BE45" s="85"/>
      <c r="BF45" s="42"/>
      <c r="BG45" s="42"/>
      <c r="BH45" s="42"/>
      <c r="BI45" s="42"/>
    </row>
    <row r="46" spans="2:61" x14ac:dyDescent="0.2">
      <c r="B46" s="17" t="str" cm="1">
        <f t="array" ref="B46:B49">_xlfn._xlws.FILTER(Liability[Name],Liability[C/NC]="NC")</f>
        <v>Bonds Payable</v>
      </c>
      <c r="C46" s="99">
        <f>IF(ISBLANK(B46),"",_xlfn.XLOOKUP(B46,BegBalSht[Account],BegBalSht[Amount]))</f>
        <v>0</v>
      </c>
      <c r="Q46" s="17" t="s">
        <v>451</v>
      </c>
      <c r="R46" s="62">
        <f>IFERROR(_xlfn.XLOOKUP("Cash",AB11:AB16,AD11:AD16),0)</f>
        <v>0</v>
      </c>
      <c r="T46" s="17" t="str">
        <f t="shared" ref="T46:T55" si="9">IF(ISBLANK(B46),"",B46)</f>
        <v>Bonds Payable</v>
      </c>
      <c r="U46" s="99">
        <f t="shared" ref="U46:U55" si="10">IFERROR(C46+X46-W46,0)</f>
        <v>0</v>
      </c>
      <c r="W46">
        <f>SUMIF(Answers[DrAccnt],FS_All_Auto_Solution!T46,Answers[DrAmt])</f>
        <v>0</v>
      </c>
      <c r="X46">
        <f>SUMIF(Answers[CrAccnt],FS_All_Auto_Solution!T46,Answers[CrAmt])</f>
        <v>0</v>
      </c>
      <c r="Z46" s="110"/>
      <c r="AA46" s="31"/>
      <c r="AB46" s="31"/>
      <c r="AC46" s="31"/>
      <c r="AD46" s="31"/>
      <c r="AE46" s="31"/>
      <c r="AG46" s="111"/>
      <c r="AH46" s="112"/>
      <c r="AI46" s="112"/>
      <c r="AJ46" s="112"/>
      <c r="AK46" s="112"/>
      <c r="AL46" s="112"/>
      <c r="AN46" s="114"/>
      <c r="AO46" s="115"/>
      <c r="AP46" s="115"/>
      <c r="AQ46" s="115"/>
      <c r="AR46" s="115"/>
      <c r="AS46" s="115"/>
      <c r="AU46" s="129"/>
      <c r="AV46" s="140"/>
      <c r="AW46" s="140"/>
      <c r="AX46" s="141"/>
      <c r="AY46" s="142"/>
      <c r="AZ46" s="143"/>
      <c r="BA46" s="141"/>
      <c r="BB46" s="127"/>
      <c r="BC46" s="102"/>
      <c r="BD46" s="140"/>
      <c r="BE46" s="85"/>
      <c r="BF46" s="42"/>
      <c r="BG46" s="42"/>
      <c r="BH46" s="42"/>
      <c r="BI46" s="42"/>
    </row>
    <row r="47" spans="2:61" x14ac:dyDescent="0.2">
      <c r="B47" s="17" t="str">
        <v>Notes Payable</v>
      </c>
      <c r="C47" s="100">
        <f>IF(ISBLANK(B47),"",_xlfn.XLOOKUP(B47,BegBalSht[Account],BegBalSht[Amount]))</f>
        <v>0</v>
      </c>
      <c r="Q47" s="17" t="s">
        <v>492</v>
      </c>
      <c r="R47" s="62">
        <f>IFERROR(_xlfn.XLOOKUP("Cash",AB19:AB24,AE19:AE24),0)</f>
        <v>0</v>
      </c>
      <c r="T47" s="17" t="str">
        <f t="shared" si="9"/>
        <v>Notes Payable</v>
      </c>
      <c r="U47" s="100">
        <f t="shared" si="10"/>
        <v>0</v>
      </c>
      <c r="W47">
        <f>SUMIF(Answers[DrAccnt],FS_All_Auto_Solution!T47,Answers[DrAmt])</f>
        <v>0</v>
      </c>
      <c r="X47">
        <f>SUMIF(Answers[CrAccnt],FS_All_Auto_Solution!T47,Answers[CrAmt])</f>
        <v>0</v>
      </c>
      <c r="Z47" s="110"/>
      <c r="AA47" s="31"/>
      <c r="AB47" s="31"/>
      <c r="AC47" s="31"/>
      <c r="AD47" s="31"/>
      <c r="AE47" s="31"/>
      <c r="AG47" s="111"/>
      <c r="AH47" s="112"/>
      <c r="AI47" s="112"/>
      <c r="AJ47" s="112"/>
      <c r="AK47" s="112"/>
      <c r="AL47" s="112"/>
      <c r="AN47" s="114"/>
      <c r="AO47" s="115"/>
      <c r="AP47" s="115"/>
      <c r="AQ47" s="115"/>
      <c r="AR47" s="115"/>
      <c r="AS47" s="115"/>
      <c r="AU47" s="130" t="str">
        <f>_xlfn.XLOOKUP(13,AssetsMaster[Num],AssetsMaster[Name])</f>
        <v>Other Noncurrent Assets</v>
      </c>
      <c r="AV47" s="140">
        <f>IFERROR(_xlfn.XLOOKUP(AU47,BegBalSht[Account],BegBalSht[Amount]),0)</f>
        <v>0</v>
      </c>
      <c r="AW47" s="140"/>
      <c r="AX47" s="141" t="s">
        <v>128</v>
      </c>
      <c r="AY47" s="142">
        <f>IFERROR(_xlfn.XLOOKUP(AU47,$AI$51:$AI$64,$AK$51:$AK$64),0)</f>
        <v>0</v>
      </c>
      <c r="AZ47" s="143">
        <f ca="1">IFERROR(_xlfn.XLOOKUP(AU47,$AJ$67:$AJ$80,$AL$67:$AL$80),0)</f>
        <v>0</v>
      </c>
      <c r="BA47" s="141" t="s">
        <v>94</v>
      </c>
      <c r="BB47" s="127">
        <f>AV47+BG47-BH47</f>
        <v>0</v>
      </c>
      <c r="BC47" s="102"/>
      <c r="BD47" s="145">
        <f ca="1">MAX(BB47-AV47-SUM(AY47:AY50)+SUM(AZ47:AZ50),0)</f>
        <v>0</v>
      </c>
      <c r="BE47" s="146">
        <f ca="1">-MIN(BB47-AV47-SUM(AY47:AY50)+SUM(AZ47:AZ50),0)</f>
        <v>0</v>
      </c>
      <c r="BF47" s="42"/>
      <c r="BG47" s="42">
        <f>SUMIF(Answers[DrAccnt],AU47,Answers[DrAmt])</f>
        <v>0</v>
      </c>
      <c r="BH47" s="42">
        <f>SUMIF(Answers[CrAccnt],AU47,Answers[CrAmt])</f>
        <v>0</v>
      </c>
      <c r="BI47" s="42"/>
    </row>
    <row r="48" spans="2:61" x14ac:dyDescent="0.2">
      <c r="B48" s="17" t="str">
        <v>Senior Debt</v>
      </c>
      <c r="C48" s="100">
        <f>IF(ISBLANK(B48),"",_xlfn.XLOOKUP(B48,BegBalSht[Account],BegBalSht[Amount]))</f>
        <v>0</v>
      </c>
      <c r="Q48" s="17" t="s">
        <v>493</v>
      </c>
      <c r="R48" s="62">
        <f>IFERROR(_xlfn.XLOOKUP("Cash",AB27:AB32,AD27:AD32),0)</f>
        <v>0</v>
      </c>
      <c r="T48" s="17" t="str">
        <f t="shared" si="9"/>
        <v>Senior Debt</v>
      </c>
      <c r="U48" s="100">
        <f t="shared" si="10"/>
        <v>0</v>
      </c>
      <c r="W48">
        <f>SUMIF(Answers[DrAccnt],FS_All_Auto_Solution!T48,Answers[DrAmt])</f>
        <v>0</v>
      </c>
      <c r="X48">
        <f>SUMIF(Answers[CrAccnt],FS_All_Auto_Solution!T48,Answers[CrAmt])</f>
        <v>0</v>
      </c>
      <c r="Z48" s="110"/>
      <c r="AA48" s="31"/>
      <c r="AB48" s="31"/>
      <c r="AC48" s="31"/>
      <c r="AD48" s="31"/>
      <c r="AE48" s="31"/>
      <c r="AG48" s="111"/>
      <c r="AH48" s="112"/>
      <c r="AI48" s="112"/>
      <c r="AJ48" s="112"/>
      <c r="AK48" s="112"/>
      <c r="AL48" s="112"/>
      <c r="AN48" s="114"/>
      <c r="AO48" s="115"/>
      <c r="AP48" s="115"/>
      <c r="AQ48" s="115"/>
      <c r="AR48" s="115"/>
      <c r="AS48" s="115"/>
      <c r="AU48" s="129"/>
      <c r="AV48" s="140"/>
      <c r="AW48" s="140"/>
      <c r="AX48" s="141"/>
      <c r="AY48" s="142"/>
      <c r="AZ48" s="143"/>
      <c r="BA48" s="141"/>
      <c r="BB48" s="127"/>
      <c r="BC48" s="102"/>
      <c r="BD48" s="140"/>
      <c r="BE48" s="85"/>
      <c r="BF48" s="42"/>
      <c r="BG48" s="42"/>
      <c r="BH48" s="42"/>
      <c r="BI48" s="42"/>
    </row>
    <row r="49" spans="1:61" x14ac:dyDescent="0.2">
      <c r="B49" s="17" t="str">
        <v>Subordinated Debt</v>
      </c>
      <c r="C49" s="100">
        <f>IF(ISBLANK(B49),"",_xlfn.XLOOKUP(B49,BegBalSht[Account],BegBalSht[Amount]))</f>
        <v>0</v>
      </c>
      <c r="Q49" s="17" t="s">
        <v>494</v>
      </c>
      <c r="R49" s="62">
        <f>IFERROR(_xlfn.XLOOKUP("Cash",AB35:AB40,AD35:AD40),0)</f>
        <v>0</v>
      </c>
      <c r="T49" s="17" t="str">
        <f t="shared" si="9"/>
        <v>Subordinated Debt</v>
      </c>
      <c r="U49" s="100">
        <f t="shared" si="10"/>
        <v>0</v>
      </c>
      <c r="W49">
        <f>SUMIF(Answers[DrAccnt],FS_All_Auto_Solution!T49,Answers[DrAmt])</f>
        <v>0</v>
      </c>
      <c r="X49">
        <f>SUMIF(Answers[CrAccnt],FS_All_Auto_Solution!T49,Answers[CrAmt])</f>
        <v>0</v>
      </c>
      <c r="AU49" s="129"/>
      <c r="AV49" s="140"/>
      <c r="AW49" s="140"/>
      <c r="AX49" s="141"/>
      <c r="AY49" s="142"/>
      <c r="AZ49" s="143"/>
      <c r="BA49" s="141"/>
      <c r="BB49" s="127"/>
      <c r="BC49" s="102"/>
      <c r="BD49" s="140"/>
      <c r="BE49" s="85"/>
      <c r="BF49" s="42"/>
      <c r="BG49" s="42"/>
      <c r="BH49" s="42"/>
      <c r="BI49" s="42"/>
    </row>
    <row r="50" spans="1:61" x14ac:dyDescent="0.2">
      <c r="B50" s="17"/>
      <c r="C50" s="100" t="str">
        <f>IF(ISBLANK(B50),"",_xlfn.XLOOKUP(B50,BegBalSht[Account],BegBalSht[Amount]))</f>
        <v/>
      </c>
      <c r="Q50" s="17" t="s">
        <v>495</v>
      </c>
      <c r="R50" s="62">
        <f>IFERROR(_xlfn.XLOOKUP("Cash",AB75:AB80,AD75:AD80),0)</f>
        <v>0</v>
      </c>
      <c r="T50" s="17" t="str">
        <f t="shared" si="9"/>
        <v/>
      </c>
      <c r="U50" s="100">
        <f t="shared" si="10"/>
        <v>0</v>
      </c>
      <c r="W50">
        <f>SUMIF(Answers[DrAccnt],FS_All_Auto_Solution!T50,Answers[DrAmt])</f>
        <v>0</v>
      </c>
      <c r="X50">
        <f>SUMIF(Answers[CrAccnt],FS_All_Auto_Solution!T50,Answers[CrAmt])</f>
        <v>0</v>
      </c>
      <c r="Z50" s="5" t="s">
        <v>466</v>
      </c>
      <c r="AC50" s="4" t="s">
        <v>108</v>
      </c>
      <c r="AG50" s="5" t="s">
        <v>499</v>
      </c>
      <c r="AJ50" s="4" t="s">
        <v>128</v>
      </c>
      <c r="AN50" s="5" t="s">
        <v>467</v>
      </c>
      <c r="AO50" s="5"/>
      <c r="AQ50" s="4" t="s">
        <v>151</v>
      </c>
      <c r="AU50" s="129"/>
      <c r="AV50" s="140"/>
      <c r="AW50" s="140"/>
      <c r="AX50" s="141"/>
      <c r="AY50" s="142"/>
      <c r="AZ50" s="143"/>
      <c r="BA50" s="141"/>
      <c r="BB50" s="127"/>
      <c r="BC50" s="102"/>
      <c r="BD50" s="140"/>
      <c r="BE50" s="85"/>
      <c r="BF50" s="42"/>
      <c r="BG50" s="42"/>
      <c r="BH50" s="42"/>
      <c r="BI50" s="42"/>
    </row>
    <row r="51" spans="1:61" x14ac:dyDescent="0.2">
      <c r="B51" s="17"/>
      <c r="C51" s="100" t="str">
        <f>IF(ISBLANK(B51),"",_xlfn.XLOOKUP(B51,BegBalSht[Account],BegBalSht[Amount]))</f>
        <v/>
      </c>
      <c r="Q51" s="17" t="s">
        <v>496</v>
      </c>
      <c r="R51" s="62" cm="1">
        <f t="array" ref="R51">IFERROR(_xlfn.XLOOKUP("Cash",AC51:AC56,-AE51:AE56),0)</f>
        <v>0</v>
      </c>
      <c r="T51" s="17" t="str">
        <f t="shared" si="9"/>
        <v/>
      </c>
      <c r="U51" s="100">
        <f t="shared" si="10"/>
        <v>0</v>
      </c>
      <c r="W51">
        <f>SUMIF(Answers[DrAccnt],FS_All_Auto_Solution!T51,Answers[DrAmt])</f>
        <v>0</v>
      </c>
      <c r="X51">
        <f>SUMIF(Answers[CrAccnt],FS_All_Auto_Solution!T51,Answers[CrAmt])</f>
        <v>0</v>
      </c>
      <c r="Z51" s="110" t="e" cm="1">
        <f t="array" aca="1" ref="Z51" ca="1">_xlfn._xlws.FILTER(Answers[ref]:Answers[CrAmt],Answers[ref2]=AC50,"")</f>
        <v>#NAME?</v>
      </c>
      <c r="AA51" s="31"/>
      <c r="AB51" s="31"/>
      <c r="AC51" s="31"/>
      <c r="AD51" s="31"/>
      <c r="AE51" s="31"/>
      <c r="AG51" s="111" t="e" cm="1">
        <f t="array" aca="1" ref="AG51" ca="1">_xlfn._xlws.FILTER(Answers[ref]:Answers[CrAmt],Answers[ref2]=AJ50,"")</f>
        <v>#NAME?</v>
      </c>
      <c r="AH51" s="112"/>
      <c r="AI51" s="112"/>
      <c r="AJ51" s="112"/>
      <c r="AK51" s="112"/>
      <c r="AL51" s="112"/>
      <c r="AN51" s="114" t="e" cm="1">
        <f t="array" aca="1" ref="AN51" ca="1">_xlfn._xlws.FILTER(Answers[ref]:Answers[CrAmt],Answers[ref2]=AQ50,"")</f>
        <v>#NAME?</v>
      </c>
      <c r="AO51" s="115"/>
      <c r="AP51" s="115"/>
      <c r="AQ51" s="115"/>
      <c r="AR51" s="115"/>
      <c r="AS51" s="115"/>
      <c r="AU51" s="130" t="e">
        <f ca="1">_xlfn.XLOOKUP(14,AssetsMaster[Num],AssetsMaster[Name])</f>
        <v>#NAME?</v>
      </c>
      <c r="AV51" s="140">
        <f ca="1">IFERROR(_xlfn.XLOOKUP(AU51,BegBalSht[Account],BegBalSht[Amount]),0)</f>
        <v>0</v>
      </c>
      <c r="AW51" s="140"/>
      <c r="AX51" s="141" t="s">
        <v>128</v>
      </c>
      <c r="AY51" s="142">
        <f ca="1">IFERROR(_xlfn.XLOOKUP(AU51,$AI$51:$AI$64,$AK$51:$AK$64),0)</f>
        <v>0</v>
      </c>
      <c r="AZ51" s="143">
        <f ca="1">IFERROR(_xlfn.XLOOKUP(AU51,$AJ$67:$AJ$80,$AL$67:$AL$80),0)</f>
        <v>0</v>
      </c>
      <c r="BA51" s="141" t="s">
        <v>94</v>
      </c>
      <c r="BB51" s="127">
        <f ca="1">AV51+BG51-BH51</f>
        <v>0</v>
      </c>
      <c r="BC51" s="102"/>
      <c r="BD51" s="145">
        <f ca="1">MAX(BB51-AV51-SUM(AY51:AY54)+SUM(AZ51:AZ54),0)</f>
        <v>0</v>
      </c>
      <c r="BE51" s="146">
        <f ca="1">-MIN(BB51-AV51-SUM(AY51:AY54)+SUM(AZ51:AZ54),0)</f>
        <v>0</v>
      </c>
      <c r="BF51" s="42"/>
      <c r="BG51" s="42">
        <f ca="1">SUMIF(Answers[DrAccnt],AU51,Answers[DrAmt])</f>
        <v>0</v>
      </c>
      <c r="BH51" s="42">
        <f ca="1">SUMIF(Answers[CrAccnt],AU51,Answers[CrAmt])</f>
        <v>0</v>
      </c>
      <c r="BI51" s="42"/>
    </row>
    <row r="52" spans="1:61" x14ac:dyDescent="0.2">
      <c r="B52" s="17"/>
      <c r="C52" s="100" t="str">
        <f>IF(ISBLANK(B52),"",_xlfn.XLOOKUP(B52,BegBalSht[Account],BegBalSht[Amount]))</f>
        <v/>
      </c>
      <c r="Q52" s="17" t="s">
        <v>497</v>
      </c>
      <c r="R52" s="62" cm="1">
        <f t="array" ref="R52">IFERROR(_xlfn.XLOOKUP("Cash",AC59:AC64,-AE59:AE64),0)</f>
        <v>0</v>
      </c>
      <c r="T52" s="17" t="str">
        <f t="shared" si="9"/>
        <v/>
      </c>
      <c r="U52" s="100">
        <f t="shared" si="10"/>
        <v>0</v>
      </c>
      <c r="W52">
        <f>SUMIF(Answers[DrAccnt],FS_All_Auto_Solution!T52,Answers[DrAmt])</f>
        <v>0</v>
      </c>
      <c r="X52">
        <f>SUMIF(Answers[CrAccnt],FS_All_Auto_Solution!T52,Answers[CrAmt])</f>
        <v>0</v>
      </c>
      <c r="Z52" s="110"/>
      <c r="AA52" s="31"/>
      <c r="AB52" s="31"/>
      <c r="AC52" s="31"/>
      <c r="AD52" s="31"/>
      <c r="AE52" s="31"/>
      <c r="AG52" s="111"/>
      <c r="AH52" s="112"/>
      <c r="AI52" s="112"/>
      <c r="AJ52" s="112"/>
      <c r="AK52" s="112"/>
      <c r="AL52" s="112"/>
      <c r="AN52" s="114"/>
      <c r="AO52" s="115"/>
      <c r="AP52" s="115"/>
      <c r="AQ52" s="115"/>
      <c r="AR52" s="115"/>
      <c r="AS52" s="115"/>
      <c r="AU52" s="129"/>
      <c r="AV52" s="140"/>
      <c r="AW52" s="140"/>
      <c r="AX52" s="141"/>
      <c r="AY52" s="142"/>
      <c r="AZ52" s="143"/>
      <c r="BA52" s="141"/>
      <c r="BB52" s="127"/>
      <c r="BC52" s="102"/>
      <c r="BD52" s="140"/>
      <c r="BE52" s="85"/>
      <c r="BF52" s="42"/>
      <c r="BG52" s="42"/>
      <c r="BH52" s="42"/>
      <c r="BI52" s="42"/>
    </row>
    <row r="53" spans="1:61" x14ac:dyDescent="0.2">
      <c r="B53" s="17"/>
      <c r="C53" s="100" t="str">
        <f>IF(ISBLANK(B53),"",_xlfn.XLOOKUP(B53,BegBalSht[Account],BegBalSht[Amount]))</f>
        <v/>
      </c>
      <c r="Q53" s="17" t="s">
        <v>457</v>
      </c>
      <c r="R53" s="62" cm="1">
        <f t="array" ref="R53">IFERROR(_xlfn.XLOOKUP("Cash",AC67:AC72,-AE67:AE72),0)</f>
        <v>0</v>
      </c>
      <c r="T53" s="17" t="str">
        <f t="shared" si="9"/>
        <v/>
      </c>
      <c r="U53" s="100">
        <f t="shared" si="10"/>
        <v>0</v>
      </c>
      <c r="W53">
        <f>SUMIF(Answers[DrAccnt],FS_All_Auto_Solution!T53,Answers[DrAmt])</f>
        <v>0</v>
      </c>
      <c r="X53">
        <f>SUMIF(Answers[CrAccnt],FS_All_Auto_Solution!T53,Answers[CrAmt])</f>
        <v>0</v>
      </c>
      <c r="Z53" s="110"/>
      <c r="AA53" s="31"/>
      <c r="AB53" s="31"/>
      <c r="AC53" s="31"/>
      <c r="AD53" s="31"/>
      <c r="AE53" s="31"/>
      <c r="AG53" s="111"/>
      <c r="AH53" s="112"/>
      <c r="AI53" s="112"/>
      <c r="AJ53" s="112"/>
      <c r="AK53" s="112"/>
      <c r="AL53" s="112"/>
      <c r="AN53" s="114"/>
      <c r="AO53" s="115"/>
      <c r="AP53" s="115"/>
      <c r="AQ53" s="115"/>
      <c r="AR53" s="115"/>
      <c r="AS53" s="115"/>
      <c r="AU53" s="129"/>
      <c r="AV53" s="140"/>
      <c r="AW53" s="140"/>
      <c r="AX53" s="141"/>
      <c r="AY53" s="142"/>
      <c r="AZ53" s="143"/>
      <c r="BA53" s="141"/>
      <c r="BB53" s="127"/>
      <c r="BC53" s="102"/>
      <c r="BD53" s="140"/>
      <c r="BE53" s="85"/>
      <c r="BF53" s="42"/>
      <c r="BG53" s="42"/>
      <c r="BH53" s="42"/>
      <c r="BI53" s="42"/>
    </row>
    <row r="54" spans="1:61" x14ac:dyDescent="0.2">
      <c r="B54" s="17"/>
      <c r="C54" s="100" t="str">
        <f>IF(ISBLANK(B54),"",_xlfn.XLOOKUP(B54,BegBalSht[Account],BegBalSht[Amount]))</f>
        <v/>
      </c>
      <c r="Q54" s="75" t="s">
        <v>431</v>
      </c>
      <c r="R54" s="47">
        <f>SUBTOTAL(9,R45:R53)</f>
        <v>0</v>
      </c>
      <c r="T54" s="17" t="str">
        <f t="shared" si="9"/>
        <v/>
      </c>
      <c r="U54" s="100">
        <f t="shared" si="10"/>
        <v>0</v>
      </c>
      <c r="W54">
        <f>SUMIF(Answers[DrAccnt],FS_All_Auto_Solution!T54,Answers[DrAmt])</f>
        <v>0</v>
      </c>
      <c r="X54">
        <f>SUMIF(Answers[CrAccnt],FS_All_Auto_Solution!T54,Answers[CrAmt])</f>
        <v>0</v>
      </c>
      <c r="Z54" s="110"/>
      <c r="AA54" s="31"/>
      <c r="AB54" s="31"/>
      <c r="AC54" s="31"/>
      <c r="AD54" s="31"/>
      <c r="AE54" s="31"/>
      <c r="AG54" s="111"/>
      <c r="AH54" s="112"/>
      <c r="AI54" s="112"/>
      <c r="AJ54" s="112"/>
      <c r="AK54" s="112"/>
      <c r="AL54" s="112"/>
      <c r="AN54" s="114"/>
      <c r="AO54" s="115"/>
      <c r="AP54" s="115"/>
      <c r="AQ54" s="115"/>
      <c r="AR54" s="115"/>
      <c r="AS54" s="115"/>
      <c r="AU54" s="129"/>
      <c r="AV54" s="140"/>
      <c r="AW54" s="140"/>
      <c r="AX54" s="141"/>
      <c r="AY54" s="142"/>
      <c r="AZ54" s="143"/>
      <c r="BA54" s="141"/>
      <c r="BB54" s="127"/>
      <c r="BC54" s="102"/>
      <c r="BD54" s="140"/>
      <c r="BE54" s="85"/>
      <c r="BF54" s="42"/>
      <c r="BG54" s="42"/>
      <c r="BH54" s="42"/>
      <c r="BI54" s="42"/>
    </row>
    <row r="55" spans="1:61" x14ac:dyDescent="0.2">
      <c r="B55" s="91"/>
      <c r="C55" s="101" t="str">
        <f>IF(ISBLANK(B55),"",_xlfn.XLOOKUP(B55,BegBalSht[Account],BegBalSht[Amount]))</f>
        <v/>
      </c>
      <c r="Q55" s="75"/>
      <c r="R55" s="18"/>
      <c r="T55" s="91" t="str">
        <f t="shared" si="9"/>
        <v/>
      </c>
      <c r="U55" s="101">
        <f t="shared" si="10"/>
        <v>0</v>
      </c>
      <c r="W55">
        <f>SUMIF(Answers[DrAccnt],FS_All_Auto_Solution!T55,Answers[DrAmt])</f>
        <v>0</v>
      </c>
      <c r="X55">
        <f>SUMIF(Answers[CrAccnt],FS_All_Auto_Solution!T55,Answers[CrAmt])</f>
        <v>0</v>
      </c>
      <c r="Z55" s="110"/>
      <c r="AA55" s="31"/>
      <c r="AB55" s="31"/>
      <c r="AC55" s="31"/>
      <c r="AD55" s="31"/>
      <c r="AE55" s="31"/>
      <c r="AG55" s="111"/>
      <c r="AH55" s="112"/>
      <c r="AI55" s="112"/>
      <c r="AJ55" s="112"/>
      <c r="AK55" s="112"/>
      <c r="AL55" s="112"/>
      <c r="AN55" s="114"/>
      <c r="AO55" s="115"/>
      <c r="AP55" s="115"/>
      <c r="AQ55" s="115"/>
      <c r="AR55" s="115"/>
      <c r="AS55" s="115"/>
      <c r="AU55" s="130" t="str">
        <f>_xlfn.XLOOKUP(1,LiabilitiesMaster[Num],LiabilitiesMaster[Name])</f>
        <v>Accounts Payable</v>
      </c>
      <c r="AV55" s="140"/>
      <c r="AW55" s="140">
        <f>IFERROR(_xlfn.XLOOKUP(AU55,BegBalSht[Account],BegBalSht[Amount]),0)</f>
        <v>0</v>
      </c>
      <c r="AX55" s="141" t="s">
        <v>94</v>
      </c>
      <c r="AY55" s="142">
        <f ca="1">IFERROR(_xlfn.XLOOKUP(AU55,$AI$67:$AI$80,$AK$67:$AK$80),0)</f>
        <v>0</v>
      </c>
      <c r="AZ55" s="143">
        <f>IFERROR(_xlfn.XLOOKUP(AU55,$AJ$51:$AJ$64,$AL$51:$AL$64),0)</f>
        <v>0</v>
      </c>
      <c r="BA55" s="141" t="s">
        <v>128</v>
      </c>
      <c r="BB55" s="127"/>
      <c r="BC55" s="102">
        <f>AW55-BG55+BH55</f>
        <v>-20</v>
      </c>
      <c r="BD55" s="145">
        <f ca="1">-MIN(BC55-AW55-SUM(AZ55:AZ58)+SUM(AY55:AY58),0)</f>
        <v>20</v>
      </c>
      <c r="BE55" s="146">
        <f ca="1">MAX(BC55-AW55-SUM(AZ55:AZ58)+SUM(AY55:AY58),0)</f>
        <v>0</v>
      </c>
      <c r="BF55" s="42"/>
      <c r="BG55" s="42">
        <f>SUMIF(Answers[DrAccnt],AU55,Answers[DrAmt])</f>
        <v>20</v>
      </c>
      <c r="BH55" s="42">
        <f>SUMIF(Answers[CrAccnt],AU55,Answers[CrAmt])</f>
        <v>0</v>
      </c>
      <c r="BI55" s="42"/>
    </row>
    <row r="56" spans="1:61" x14ac:dyDescent="0.2">
      <c r="B56" s="53" t="s">
        <v>440</v>
      </c>
      <c r="C56" s="49">
        <f>SUBTOTAL(9,C46:C55)</f>
        <v>0</v>
      </c>
      <c r="Q56" s="17" t="s">
        <v>437</v>
      </c>
      <c r="R56" s="80" t="e">
        <f ca="1">SUBTOTAL(9,R8:R55)</f>
        <v>#NAME?</v>
      </c>
      <c r="T56" s="53" t="s">
        <v>440</v>
      </c>
      <c r="U56" s="49">
        <f>SUBTOTAL(9,U46:U55)</f>
        <v>0</v>
      </c>
      <c r="Z56" s="110"/>
      <c r="AA56" s="31"/>
      <c r="AB56" s="31"/>
      <c r="AC56" s="31"/>
      <c r="AD56" s="31"/>
      <c r="AE56" s="31"/>
      <c r="AG56" s="111"/>
      <c r="AH56" s="112"/>
      <c r="AI56" s="112"/>
      <c r="AJ56" s="112"/>
      <c r="AK56" s="112"/>
      <c r="AL56" s="112"/>
      <c r="AN56" s="114"/>
      <c r="AO56" s="115"/>
      <c r="AP56" s="115"/>
      <c r="AQ56" s="115"/>
      <c r="AR56" s="115"/>
      <c r="AS56" s="115"/>
      <c r="AU56" s="129"/>
      <c r="AV56" s="140"/>
      <c r="AW56" s="140"/>
      <c r="AX56" s="141"/>
      <c r="AY56" s="142"/>
      <c r="AZ56" s="143"/>
      <c r="BA56" s="141"/>
      <c r="BB56" s="127"/>
      <c r="BC56" s="102"/>
      <c r="BD56" s="140"/>
      <c r="BE56" s="85"/>
      <c r="BF56" s="42"/>
      <c r="BG56" s="42"/>
      <c r="BH56" s="42"/>
      <c r="BI56" s="42"/>
    </row>
    <row r="57" spans="1:61" x14ac:dyDescent="0.2">
      <c r="B57" s="56" t="s">
        <v>297</v>
      </c>
      <c r="C57" s="49">
        <f>SUBTOTAL(9,C34:C56)</f>
        <v>0</v>
      </c>
      <c r="Q57" s="17" t="str">
        <f>"Cash @ "&amp;BegDate</f>
        <v xml:space="preserve">Cash @ </v>
      </c>
      <c r="R57" s="62">
        <f>_xlfn.XLOOKUP("Cash",B8:B17,C8:C17,0)</f>
        <v>0</v>
      </c>
      <c r="T57" s="56" t="s">
        <v>297</v>
      </c>
      <c r="U57" s="49">
        <f>SUBTOTAL(9,U34:U56)</f>
        <v>-20</v>
      </c>
      <c r="AG57" s="111"/>
      <c r="AH57" s="112"/>
      <c r="AI57" s="112"/>
      <c r="AJ57" s="112"/>
      <c r="AK57" s="112"/>
      <c r="AL57" s="112"/>
      <c r="AU57" s="129"/>
      <c r="AV57" s="140"/>
      <c r="AW57" s="140"/>
      <c r="AX57" s="141"/>
      <c r="AY57" s="142"/>
      <c r="AZ57" s="143"/>
      <c r="BA57" s="141"/>
      <c r="BB57" s="127"/>
      <c r="BC57" s="102"/>
      <c r="BD57" s="140"/>
      <c r="BE57" s="85"/>
      <c r="BF57" s="42"/>
      <c r="BG57" s="42"/>
      <c r="BH57" s="42"/>
      <c r="BI57" s="42"/>
    </row>
    <row r="58" spans="1:61" ht="16" thickBot="1" x14ac:dyDescent="0.25">
      <c r="B58" s="189" t="s">
        <v>365</v>
      </c>
      <c r="C58" s="188"/>
      <c r="Q58" s="17" t="str">
        <f>"Cash @ "&amp;EndDate</f>
        <v xml:space="preserve">Cash @ </v>
      </c>
      <c r="R58" s="79" t="e">
        <f ca="1">SUM(R56:R57)</f>
        <v>#NAME?</v>
      </c>
      <c r="T58" s="189" t="s">
        <v>365</v>
      </c>
      <c r="U58" s="188"/>
      <c r="Z58" s="5" t="s">
        <v>468</v>
      </c>
      <c r="AC58" s="4" t="s">
        <v>110</v>
      </c>
      <c r="AG58" s="111"/>
      <c r="AH58" s="112"/>
      <c r="AI58" s="112"/>
      <c r="AJ58" s="112"/>
      <c r="AK58" s="112"/>
      <c r="AL58" s="112"/>
      <c r="AN58" s="5" t="s">
        <v>469</v>
      </c>
      <c r="AO58" s="5"/>
      <c r="AQ58" s="4" t="s">
        <v>139</v>
      </c>
      <c r="AU58" s="129"/>
      <c r="AV58" s="140"/>
      <c r="AW58" s="140"/>
      <c r="AX58" s="141"/>
      <c r="AY58" s="142"/>
      <c r="AZ58" s="143"/>
      <c r="BA58" s="141"/>
      <c r="BB58" s="127"/>
      <c r="BC58" s="102"/>
      <c r="BD58" s="140"/>
      <c r="BE58" s="85"/>
      <c r="BF58" s="42"/>
      <c r="BG58" s="42"/>
      <c r="BH58" s="42"/>
      <c r="BI58" s="42"/>
    </row>
    <row r="59" spans="1:61" ht="17" thickTop="1" thickBot="1" x14ac:dyDescent="0.25">
      <c r="A59" s="199" t="str">
        <f>_xlfn.XLOOKUP(B59,Equity[Name],Equity[Abbr],"")</f>
        <v>PrefStk</v>
      </c>
      <c r="B59" s="17" t="str" cm="1">
        <f t="array" ref="B59:B64">_xlfn._xlws.FILTER(Equity[Name],NOT(ISBLANK(Equity[Name])))</f>
        <v>Preferred Stock</v>
      </c>
      <c r="C59" s="99">
        <f>IF(ISBLANK(B59),"",_xlfn.XLOOKUP(B59,BegBalSht[Account],BegBalSht[Amount]))</f>
        <v>0</v>
      </c>
      <c r="Q59" s="24"/>
      <c r="R59" s="25"/>
      <c r="T59" s="17" t="str">
        <f t="shared" ref="T59:T63" si="11">IF(ISBLANK(B59),"",B59)</f>
        <v>Preferred Stock</v>
      </c>
      <c r="U59" s="99">
        <f t="shared" ref="U59:U63" si="12">IFERROR(C59+X59-W59,0)</f>
        <v>0</v>
      </c>
      <c r="W59">
        <f>SUMIF(Answers[DrAccnt],FS_All_Auto_Solution!T59,Answers[DrAmt])</f>
        <v>0</v>
      </c>
      <c r="X59">
        <f>SUMIF(Answers[CrAccnt],FS_All_Auto_Solution!T59,Answers[CrAmt])</f>
        <v>0</v>
      </c>
      <c r="Z59" s="110" t="e" cm="1">
        <f t="array" aca="1" ref="Z59" ca="1">_xlfn._xlws.FILTER(Answers[ref]:Answers[CrAmt],Answers[ref2]=AC58,"")</f>
        <v>#NAME?</v>
      </c>
      <c r="AA59" s="31"/>
      <c r="AB59" s="31"/>
      <c r="AC59" s="31"/>
      <c r="AD59" s="31"/>
      <c r="AE59" s="31"/>
      <c r="AG59" s="111"/>
      <c r="AH59" s="112"/>
      <c r="AI59" s="112"/>
      <c r="AJ59" s="112"/>
      <c r="AK59" s="112"/>
      <c r="AL59" s="112"/>
      <c r="AN59" s="114" t="e" cm="1">
        <f t="array" aca="1" ref="AN59" ca="1">_xlfn._xlws.FILTER(Answers[ref]:Answers[CrAmt],Answers[ref2]=AQ58,"")</f>
        <v>#NAME?</v>
      </c>
      <c r="AO59" s="115"/>
      <c r="AP59" s="115"/>
      <c r="AQ59" s="115"/>
      <c r="AR59" s="115"/>
      <c r="AS59" s="115"/>
      <c r="AU59" s="130" t="e">
        <f ca="1">_xlfn.XLOOKUP(12,LiabilitiesMaster[Num],LiabilitiesMaster[Name])</f>
        <v>#NAME?</v>
      </c>
      <c r="AV59" s="140"/>
      <c r="AW59" s="140">
        <f ca="1">IFERROR(_xlfn.XLOOKUP(AU59,BegBalSht[Account],BegBalSht[Amount]),0)</f>
        <v>0</v>
      </c>
      <c r="AX59" s="141" t="s">
        <v>94</v>
      </c>
      <c r="AY59" s="142">
        <f ca="1">IFERROR(_xlfn.XLOOKUP(AU59,$AI$67:$AI$80,$AK$67:$AK$80),0)</f>
        <v>0</v>
      </c>
      <c r="AZ59" s="143">
        <f ca="1">IFERROR(_xlfn.XLOOKUP(AU59,$AJ$51:$AJ$64,$AL$51:$AL$64),0)</f>
        <v>0</v>
      </c>
      <c r="BA59" s="141" t="s">
        <v>128</v>
      </c>
      <c r="BB59" s="127"/>
      <c r="BC59" s="102">
        <f ca="1">AW59-BG59+BH59</f>
        <v>0</v>
      </c>
      <c r="BD59" s="145">
        <f ca="1">-MIN(BC59-AW59-SUM(AZ59:AZ62)+SUM(AY59:AY62),0)</f>
        <v>0</v>
      </c>
      <c r="BE59" s="146">
        <f ca="1">MAX(BC59-AW59-SUM(AZ59:AZ62)+SUM(AY59:AY62),0)</f>
        <v>0</v>
      </c>
      <c r="BF59" s="42"/>
      <c r="BG59" s="42">
        <f ca="1">SUMIF(Answers[DrAccnt],AU59,Answers[DrAmt])</f>
        <v>0</v>
      </c>
      <c r="BH59" s="42">
        <f ca="1">SUMIF(Answers[CrAccnt],AU59,Answers[CrAmt])</f>
        <v>0</v>
      </c>
      <c r="BI59" s="42"/>
    </row>
    <row r="60" spans="1:61" ht="16" thickBot="1" x14ac:dyDescent="0.25">
      <c r="A60" s="199" t="str">
        <f>_xlfn.XLOOKUP(B60,Equity[Name],Equity[Abbr],"")</f>
        <v>CS</v>
      </c>
      <c r="B60" s="17" t="str">
        <v>Common Stock</v>
      </c>
      <c r="C60" s="100">
        <f>IF(ISBLANK(B60),"",_xlfn.XLOOKUP(B60,BegBalSht[Account],BegBalSht[Amount]))</f>
        <v>0</v>
      </c>
      <c r="T60" s="17" t="str">
        <f t="shared" si="11"/>
        <v>Common Stock</v>
      </c>
      <c r="U60" s="100">
        <f t="shared" si="12"/>
        <v>0</v>
      </c>
      <c r="W60">
        <f>SUMIF(Answers[DrAccnt],FS_All_Auto_Solution!T60,Answers[DrAmt])</f>
        <v>0</v>
      </c>
      <c r="X60">
        <f>SUMIF(Answers[CrAccnt],FS_All_Auto_Solution!T60,Answers[CrAmt])</f>
        <v>0</v>
      </c>
      <c r="Z60" s="110"/>
      <c r="AA60" s="31"/>
      <c r="AB60" s="31"/>
      <c r="AC60" s="31"/>
      <c r="AD60" s="31"/>
      <c r="AE60" s="31"/>
      <c r="AG60" s="111"/>
      <c r="AH60" s="112"/>
      <c r="AI60" s="112"/>
      <c r="AJ60" s="112"/>
      <c r="AK60" s="112"/>
      <c r="AL60" s="112"/>
      <c r="AN60" s="114"/>
      <c r="AO60" s="115"/>
      <c r="AP60" s="115"/>
      <c r="AQ60" s="115"/>
      <c r="AR60" s="115"/>
      <c r="AS60" s="115"/>
      <c r="AU60" s="129"/>
      <c r="AV60" s="140"/>
      <c r="AW60" s="140"/>
      <c r="AX60" s="141"/>
      <c r="AY60" s="142"/>
      <c r="AZ60" s="143"/>
      <c r="BA60" s="141"/>
      <c r="BB60" s="127"/>
      <c r="BC60" s="102"/>
      <c r="BD60" s="140"/>
      <c r="BE60" s="85"/>
      <c r="BF60" s="42"/>
      <c r="BG60" s="42"/>
      <c r="BH60" s="42"/>
      <c r="BI60" s="42"/>
    </row>
    <row r="61" spans="1:61" x14ac:dyDescent="0.2">
      <c r="A61" s="199" t="str">
        <f>_xlfn.XLOOKUP(B61,Equity[Name],Equity[Abbr],"")</f>
        <v>APIC</v>
      </c>
      <c r="B61" s="17" t="str">
        <v>Additional Paid-in Capital</v>
      </c>
      <c r="C61" s="100">
        <f>IF(ISBLANK(B61),"",_xlfn.XLOOKUP(B61,BegBalSht[Account],BegBalSht[Amount]))</f>
        <v>0</v>
      </c>
      <c r="Q61" s="76" t="s">
        <v>438</v>
      </c>
      <c r="R61" s="168">
        <f>IFERROR(_xlfn.XLOOKUP("Cash",AQ43:AQ48,AS43:AS48),0)</f>
        <v>0</v>
      </c>
      <c r="T61" s="17" t="str">
        <f t="shared" si="11"/>
        <v>Additional Paid-in Capital</v>
      </c>
      <c r="U61" s="100">
        <f t="shared" si="12"/>
        <v>0</v>
      </c>
      <c r="W61">
        <f>SUMIF(Answers[DrAccnt],FS_All_Auto_Solution!T61,Answers[DrAmt])</f>
        <v>0</v>
      </c>
      <c r="X61">
        <f>SUMIF(Answers[CrAccnt],FS_All_Auto_Solution!T61,Answers[CrAmt])</f>
        <v>0</v>
      </c>
      <c r="Z61" s="110"/>
      <c r="AA61" s="31"/>
      <c r="AB61" s="31"/>
      <c r="AC61" s="31"/>
      <c r="AD61" s="31"/>
      <c r="AE61" s="31"/>
      <c r="AG61" s="111"/>
      <c r="AH61" s="112"/>
      <c r="AI61" s="112"/>
      <c r="AJ61" s="112"/>
      <c r="AK61" s="112"/>
      <c r="AL61" s="112"/>
      <c r="AN61" s="114"/>
      <c r="AO61" s="115"/>
      <c r="AP61" s="115"/>
      <c r="AQ61" s="115"/>
      <c r="AR61" s="115"/>
      <c r="AS61" s="115"/>
      <c r="AU61" s="129"/>
      <c r="AV61" s="140"/>
      <c r="AW61" s="140"/>
      <c r="AX61" s="141"/>
      <c r="AY61" s="142"/>
      <c r="AZ61" s="143"/>
      <c r="BA61" s="141"/>
      <c r="BB61" s="127"/>
      <c r="BC61" s="102"/>
      <c r="BD61" s="140"/>
      <c r="BE61" s="85"/>
      <c r="BF61" s="42"/>
      <c r="BG61" s="42"/>
      <c r="BH61" s="42"/>
      <c r="BI61" s="42"/>
    </row>
    <row r="62" spans="1:61" ht="16" thickBot="1" x14ac:dyDescent="0.25">
      <c r="A62" s="199" t="str">
        <f>_xlfn.XLOOKUP(B62,Equity[Name],Equity[Abbr],"")</f>
        <v>RE</v>
      </c>
      <c r="B62" s="17" t="str">
        <v>Retained Earnings</v>
      </c>
      <c r="C62" s="100">
        <f>IF(ISBLANK(B62),"",_xlfn.XLOOKUP(B62,BegBalSht[Account],BegBalSht[Amount]))</f>
        <v>0</v>
      </c>
      <c r="Q62" s="24" t="s">
        <v>439</v>
      </c>
      <c r="R62" s="83">
        <f>IFERROR(_xlfn.XLOOKUP("Cash",AQ51:AQ56,AS51:AS56),0)</f>
        <v>0</v>
      </c>
      <c r="T62" s="17" t="str">
        <f t="shared" si="11"/>
        <v>Retained Earnings</v>
      </c>
      <c r="U62" s="100">
        <f t="shared" si="12"/>
        <v>0</v>
      </c>
      <c r="W62">
        <f>SUMIF(Answers[DrAccnt],FS_All_Auto_Solution!T62,Answers[DrAmt])</f>
        <v>0</v>
      </c>
      <c r="X62">
        <f>SUMIF(Answers[CrAccnt],FS_All_Auto_Solution!T62,Answers[CrAmt])</f>
        <v>0</v>
      </c>
      <c r="Z62" s="110"/>
      <c r="AA62" s="31"/>
      <c r="AB62" s="31"/>
      <c r="AC62" s="31"/>
      <c r="AD62" s="31"/>
      <c r="AE62" s="31"/>
      <c r="AG62" s="111"/>
      <c r="AH62" s="112"/>
      <c r="AI62" s="112"/>
      <c r="AJ62" s="112"/>
      <c r="AK62" s="112"/>
      <c r="AL62" s="112"/>
      <c r="AN62" s="114"/>
      <c r="AO62" s="115"/>
      <c r="AP62" s="115"/>
      <c r="AQ62" s="115"/>
      <c r="AR62" s="115"/>
      <c r="AS62" s="115"/>
      <c r="AU62" s="129"/>
      <c r="AV62" s="140"/>
      <c r="AW62" s="140"/>
      <c r="AX62" s="141"/>
      <c r="AY62" s="142"/>
      <c r="AZ62" s="143"/>
      <c r="BA62" s="141"/>
      <c r="BB62" s="127"/>
      <c r="BC62" s="102"/>
      <c r="BD62" s="140"/>
      <c r="BE62" s="85"/>
      <c r="BF62" s="42"/>
      <c r="BG62" s="42"/>
      <c r="BH62" s="42"/>
      <c r="BI62" s="42"/>
    </row>
    <row r="63" spans="1:61" ht="16" thickBot="1" x14ac:dyDescent="0.25">
      <c r="A63" s="199" t="str">
        <f>_xlfn.XLOOKUP(B63,Equity[Name],Equity[Abbr],"")</f>
        <v>AOCI</v>
      </c>
      <c r="B63" s="17" t="str">
        <v>Accumulated Other Comprehensive Income</v>
      </c>
      <c r="C63" s="100">
        <f>IF(ISBLANK(B63),"",_xlfn.XLOOKUP(B63,BegBalSht[Account],BegBalSht[Amount]))</f>
        <v>0</v>
      </c>
      <c r="T63" s="17" t="str">
        <f t="shared" si="11"/>
        <v>Accumulated Other Comprehensive Income</v>
      </c>
      <c r="U63" s="100">
        <f t="shared" si="12"/>
        <v>0</v>
      </c>
      <c r="W63">
        <f>SUMIF(Answers[DrAccnt],FS_All_Auto_Solution!T63,Answers[DrAmt])</f>
        <v>0</v>
      </c>
      <c r="X63">
        <f>SUMIF(Answers[CrAccnt],FS_All_Auto_Solution!T63,Answers[CrAmt])</f>
        <v>0</v>
      </c>
      <c r="Z63" s="110"/>
      <c r="AA63" s="31"/>
      <c r="AB63" s="31"/>
      <c r="AC63" s="31"/>
      <c r="AD63" s="31"/>
      <c r="AE63" s="31"/>
      <c r="AG63" s="111"/>
      <c r="AH63" s="112"/>
      <c r="AI63" s="112"/>
      <c r="AJ63" s="112"/>
      <c r="AK63" s="112"/>
      <c r="AL63" s="112"/>
      <c r="AN63" s="114"/>
      <c r="AO63" s="115"/>
      <c r="AP63" s="115"/>
      <c r="AQ63" s="115"/>
      <c r="AR63" s="115"/>
      <c r="AS63" s="115"/>
      <c r="AU63" s="130" t="str">
        <f>_xlfn.XLOOKUP(2,LiabilitiesMaster[Num],LiabilitiesMaster[Name])</f>
        <v>Accrued Expenses</v>
      </c>
      <c r="AV63" s="140"/>
      <c r="AW63" s="140">
        <f>IFERROR(_xlfn.XLOOKUP(AU63,BegBalSht[Account],BegBalSht[Amount]),0)</f>
        <v>0</v>
      </c>
      <c r="AX63" s="141" t="s">
        <v>94</v>
      </c>
      <c r="AY63" s="142">
        <f ca="1">IFERROR(_xlfn.XLOOKUP(AU63,$AI$67:$AI$80,$AK$67:$AK$80),0)</f>
        <v>0</v>
      </c>
      <c r="AZ63" s="143">
        <f>IFERROR(_xlfn.XLOOKUP(AU63,$AJ$51:$AJ$64,$AL$51:$AL$64),0)</f>
        <v>0</v>
      </c>
      <c r="BA63" s="141" t="s">
        <v>128</v>
      </c>
      <c r="BB63" s="127"/>
      <c r="BC63" s="102">
        <f>AW63-BG63+BH63</f>
        <v>0</v>
      </c>
      <c r="BD63" s="145">
        <f ca="1">-MIN(BC63-AW63-SUM(AZ63:AZ66)+SUM(AY63:AY66),0)</f>
        <v>0</v>
      </c>
      <c r="BE63" s="146">
        <f ca="1">MAX(BC63-AW63-SUM(AZ63:AZ66)+SUM(AY63:AY66),0)</f>
        <v>0</v>
      </c>
      <c r="BF63" s="42"/>
      <c r="BG63" s="42">
        <f>SUMIF(Answers[DrAccnt],AU63,Answers[DrAmt])</f>
        <v>0</v>
      </c>
      <c r="BH63" s="42">
        <f>SUMIF(Answers[CrAccnt],AU63,Answers[CrAmt])</f>
        <v>0</v>
      </c>
      <c r="BI63" s="42"/>
    </row>
    <row r="64" spans="1:61" x14ac:dyDescent="0.2">
      <c r="A64" s="199"/>
      <c r="B64" s="17" t="str">
        <v>Treasury Stock</v>
      </c>
      <c r="C64" s="100"/>
      <c r="Q64" s="72" t="s">
        <v>433</v>
      </c>
      <c r="R64" s="71"/>
      <c r="T64" s="91" t="str">
        <f>IF(ISBLANK(B65),"",B65)</f>
        <v/>
      </c>
      <c r="U64" s="101">
        <f>IFERROR(C65+X64-W64,0)</f>
        <v>0</v>
      </c>
      <c r="W64">
        <f>SUMIF(Answers[DrAccnt],FS_All_Auto_Solution!T64,Answers[DrAmt])</f>
        <v>0</v>
      </c>
      <c r="X64">
        <f>SUMIF(Answers[CrAccnt],FS_All_Auto_Solution!T64,Answers[CrAmt])</f>
        <v>0</v>
      </c>
      <c r="Z64" s="110"/>
      <c r="AA64" s="31"/>
      <c r="AB64" s="31"/>
      <c r="AC64" s="31"/>
      <c r="AD64" s="31"/>
      <c r="AE64" s="31"/>
      <c r="AG64" s="111"/>
      <c r="AH64" s="112"/>
      <c r="AI64" s="112"/>
      <c r="AJ64" s="112"/>
      <c r="AK64" s="112"/>
      <c r="AL64" s="112"/>
      <c r="AN64" s="114"/>
      <c r="AO64" s="115"/>
      <c r="AP64" s="115"/>
      <c r="AQ64" s="115"/>
      <c r="AR64" s="115"/>
      <c r="AS64" s="115"/>
      <c r="AU64" s="129"/>
      <c r="AV64" s="140"/>
      <c r="AW64" s="140"/>
      <c r="AX64" s="141"/>
      <c r="AY64" s="142"/>
      <c r="AZ64" s="143"/>
      <c r="BA64" s="141"/>
      <c r="BB64" s="127"/>
      <c r="BC64" s="102"/>
      <c r="BD64" s="140"/>
      <c r="BE64" s="85"/>
      <c r="BF64" s="42"/>
      <c r="BG64" s="42"/>
      <c r="BH64" s="42"/>
      <c r="BI64" s="42"/>
    </row>
    <row r="65" spans="1:61" x14ac:dyDescent="0.2">
      <c r="A65" s="199" t="str">
        <f>_xlfn.XLOOKUP(B65,Equity[Name],Equity[Abbr],"")</f>
        <v/>
      </c>
      <c r="B65" s="91"/>
      <c r="C65" s="101" t="str">
        <f>IF(ISBLANK(B65),"",_xlfn.XLOOKUP(B65,BegBalSht[Account],BegBalSht[Amount]))</f>
        <v/>
      </c>
      <c r="Q65" s="17" t="s">
        <v>460</v>
      </c>
      <c r="R65" s="82">
        <f>IFERROR(_xlfn.XLOOKUP("Common Stock",AQ11:AQ16,AS11:AS16),0)</f>
        <v>0</v>
      </c>
      <c r="T65" s="56" t="s">
        <v>298</v>
      </c>
      <c r="U65" s="49">
        <f>SUBTOTAL(9,U59:U64)</f>
        <v>0</v>
      </c>
      <c r="AU65" s="129"/>
      <c r="AV65" s="140"/>
      <c r="AW65" s="140"/>
      <c r="AX65" s="141"/>
      <c r="AY65" s="142"/>
      <c r="AZ65" s="143"/>
      <c r="BA65" s="141"/>
      <c r="BB65" s="127"/>
      <c r="BC65" s="102"/>
      <c r="BD65" s="140"/>
      <c r="BE65" s="85"/>
      <c r="BF65" s="42"/>
      <c r="BG65" s="42"/>
      <c r="BH65" s="42"/>
      <c r="BI65" s="42"/>
    </row>
    <row r="66" spans="1:61" ht="16" thickBot="1" x14ac:dyDescent="0.25">
      <c r="B66" s="56" t="s">
        <v>298</v>
      </c>
      <c r="C66" s="49">
        <f>SUBTOTAL(9,C59:C65)</f>
        <v>0</v>
      </c>
      <c r="Q66" s="17"/>
      <c r="R66" s="82"/>
      <c r="T66" s="193" t="s">
        <v>441</v>
      </c>
      <c r="U66" s="194">
        <f>SUBTOTAL(9,U34:U65)</f>
        <v>-20</v>
      </c>
      <c r="Z66" s="5" t="s">
        <v>113</v>
      </c>
      <c r="AC66" s="4" t="s">
        <v>112</v>
      </c>
      <c r="AG66" s="5" t="s">
        <v>500</v>
      </c>
      <c r="AJ66" s="4" t="s">
        <v>94</v>
      </c>
      <c r="AN66" s="5" t="s">
        <v>470</v>
      </c>
      <c r="AO66" s="5"/>
      <c r="AQ66" s="4" t="s">
        <v>143</v>
      </c>
      <c r="AU66" s="129"/>
      <c r="AV66" s="140"/>
      <c r="AW66" s="140"/>
      <c r="AX66" s="141"/>
      <c r="AY66" s="142"/>
      <c r="AZ66" s="143"/>
      <c r="BA66" s="141"/>
      <c r="BB66" s="127"/>
      <c r="BC66" s="102"/>
      <c r="BD66" s="140"/>
      <c r="BE66" s="85"/>
      <c r="BF66" s="42"/>
      <c r="BG66" s="42"/>
      <c r="BH66" s="42"/>
      <c r="BI66" s="42"/>
    </row>
    <row r="67" spans="1:61" ht="16" thickBot="1" x14ac:dyDescent="0.25">
      <c r="B67" s="193" t="s">
        <v>441</v>
      </c>
      <c r="C67" s="194">
        <f>SUBTOTAL(9,C34:C66)</f>
        <v>0</v>
      </c>
      <c r="Q67" s="17"/>
      <c r="R67" s="82"/>
      <c r="T67" s="24"/>
      <c r="U67" s="25"/>
      <c r="Z67" s="110" t="e" cm="1">
        <f t="array" aca="1" ref="Z67" ca="1">_xlfn._xlws.FILTER(Answers[ref]:Answers[CrAmt],Answers[ref2]=AC66,"")</f>
        <v>#NAME?</v>
      </c>
      <c r="AA67" s="31"/>
      <c r="AB67" s="31"/>
      <c r="AC67" s="31"/>
      <c r="AD67" s="31"/>
      <c r="AE67" s="31"/>
      <c r="AG67" s="111" t="e" cm="1">
        <f t="array" aca="1" ref="AG67:AL72" ca="1">_xlfn._xlws.FILTER(Answers[ref]:Answers[CrAmt],Answers[ref2]=AJ66,"")</f>
        <v>#NAME?</v>
      </c>
      <c r="AH67" s="112" t="e">
        <f ca="1"/>
        <v>#NAME?</v>
      </c>
      <c r="AI67" s="112" t="e">
        <f ca="1"/>
        <v>#NAME?</v>
      </c>
      <c r="AJ67" s="112" t="e">
        <f ca="1"/>
        <v>#NAME?</v>
      </c>
      <c r="AK67" s="112" t="e">
        <f ca="1"/>
        <v>#NAME?</v>
      </c>
      <c r="AL67" s="112" t="e">
        <f ca="1"/>
        <v>#NAME?</v>
      </c>
      <c r="AN67" s="114" t="e" cm="1">
        <f t="array" aca="1" ref="AN67" ca="1">_xlfn._xlws.FILTER(Answers[ref]:Answers[CrAmt],Answers[ref2]=AQ66,"")</f>
        <v>#NAME?</v>
      </c>
      <c r="AO67" s="115"/>
      <c r="AP67" s="115"/>
      <c r="AQ67" s="115"/>
      <c r="AR67" s="115"/>
      <c r="AS67" s="115"/>
      <c r="AU67" s="130" t="e">
        <f ca="1">_xlfn.XLOOKUP(3,LiabilitiesMaster[Num],LiabilitiesMaster[Name])</f>
        <v>#NAME?</v>
      </c>
      <c r="AV67" s="140"/>
      <c r="AW67" s="140">
        <f ca="1">IFERROR(_xlfn.XLOOKUP(AU67,BegBalSht[Account],BegBalSht[Amount]),0)</f>
        <v>0</v>
      </c>
      <c r="AX67" s="141" t="s">
        <v>94</v>
      </c>
      <c r="AY67" s="142">
        <f ca="1">IFERROR(_xlfn.XLOOKUP(AU67,$AI$67:$AI$80,$AK$67:$AK$80),0)</f>
        <v>0</v>
      </c>
      <c r="AZ67" s="143">
        <f ca="1">IFERROR(_xlfn.XLOOKUP(AU67,$AJ$51:$AJ$64,$AL$51:$AL$64),0)</f>
        <v>0</v>
      </c>
      <c r="BA67" s="141" t="s">
        <v>128</v>
      </c>
      <c r="BB67" s="127"/>
      <c r="BC67" s="102">
        <f ca="1">AW67-BG67+BH67</f>
        <v>0</v>
      </c>
      <c r="BD67" s="145">
        <f ca="1">-MIN(BC67-AW67-SUM(AZ67:AZ70)+SUM(AY67:AY70),0)</f>
        <v>0</v>
      </c>
      <c r="BE67" s="146">
        <f ca="1">MAX(BC67-AW67-SUM(AZ67:AZ70)+SUM(AY67:AY70),0)</f>
        <v>0</v>
      </c>
      <c r="BF67" s="42"/>
      <c r="BG67" s="42">
        <f ca="1">SUMIF(Answers[DrAccnt],AU67,Answers[DrAmt])</f>
        <v>0</v>
      </c>
      <c r="BH67" s="42">
        <f ca="1">SUMIF(Answers[CrAccnt],AU67,Answers[CrAmt])</f>
        <v>0</v>
      </c>
      <c r="BI67" s="42"/>
    </row>
    <row r="68" spans="1:61" ht="16" thickBot="1" x14ac:dyDescent="0.25">
      <c r="B68" s="24"/>
      <c r="C68" s="25"/>
      <c r="Q68" s="17"/>
      <c r="R68" s="82"/>
      <c r="Z68" s="110"/>
      <c r="AA68" s="31"/>
      <c r="AB68" s="31"/>
      <c r="AC68" s="31"/>
      <c r="AD68" s="31"/>
      <c r="AE68" s="31"/>
      <c r="AG68" s="111" t="e">
        <f ca="1"/>
        <v>#NAME?</v>
      </c>
      <c r="AH68" s="112" t="e">
        <f ca="1"/>
        <v>#NAME?</v>
      </c>
      <c r="AI68" s="112" t="e">
        <f ca="1"/>
        <v>#NAME?</v>
      </c>
      <c r="AJ68" s="112" t="e">
        <f ca="1"/>
        <v>#NAME?</v>
      </c>
      <c r="AK68" s="112" t="e">
        <f ca="1"/>
        <v>#NAME?</v>
      </c>
      <c r="AL68" s="112" t="e">
        <f ca="1"/>
        <v>#NAME?</v>
      </c>
      <c r="AN68" s="114"/>
      <c r="AO68" s="115"/>
      <c r="AP68" s="115"/>
      <c r="AQ68" s="115"/>
      <c r="AR68" s="115"/>
      <c r="AS68" s="115"/>
      <c r="AU68" s="129"/>
      <c r="AV68" s="140"/>
      <c r="AW68" s="140"/>
      <c r="AX68" s="141"/>
      <c r="AY68" s="142"/>
      <c r="AZ68" s="143"/>
      <c r="BA68" s="141"/>
      <c r="BB68" s="127"/>
      <c r="BC68" s="102"/>
      <c r="BD68" s="140"/>
      <c r="BE68" s="85"/>
      <c r="BF68" s="42"/>
      <c r="BG68" s="42"/>
      <c r="BH68" s="42"/>
      <c r="BI68" s="42"/>
    </row>
    <row r="69" spans="1:61" ht="16" thickBot="1" x14ac:dyDescent="0.25">
      <c r="Q69" s="24"/>
      <c r="R69" s="83"/>
      <c r="Z69" s="110"/>
      <c r="AA69" s="31"/>
      <c r="AB69" s="31"/>
      <c r="AC69" s="31"/>
      <c r="AD69" s="31"/>
      <c r="AE69" s="31"/>
      <c r="AG69" s="111" t="e">
        <f ca="1"/>
        <v>#NAME?</v>
      </c>
      <c r="AH69" s="112" t="e">
        <f ca="1"/>
        <v>#NAME?</v>
      </c>
      <c r="AI69" s="112" t="e">
        <f ca="1"/>
        <v>#NAME?</v>
      </c>
      <c r="AJ69" s="112" t="e">
        <f ca="1"/>
        <v>#NAME?</v>
      </c>
      <c r="AK69" s="112" t="e">
        <f ca="1"/>
        <v>#NAME?</v>
      </c>
      <c r="AL69" s="112" t="e">
        <f ca="1"/>
        <v>#NAME?</v>
      </c>
      <c r="AN69" s="114"/>
      <c r="AO69" s="115"/>
      <c r="AP69" s="115"/>
      <c r="AQ69" s="115"/>
      <c r="AR69" s="115"/>
      <c r="AS69" s="115"/>
      <c r="AU69" s="129"/>
      <c r="AV69" s="140"/>
      <c r="AW69" s="140"/>
      <c r="AX69" s="141"/>
      <c r="AY69" s="142"/>
      <c r="AZ69" s="143"/>
      <c r="BA69" s="141"/>
      <c r="BB69" s="127"/>
      <c r="BC69" s="102"/>
      <c r="BD69" s="140"/>
      <c r="BE69" s="85"/>
      <c r="BF69" s="42"/>
      <c r="BG69" s="42"/>
      <c r="BH69" s="42"/>
      <c r="BI69" s="42"/>
    </row>
    <row r="70" spans="1:61" x14ac:dyDescent="0.2">
      <c r="Z70" s="110"/>
      <c r="AA70" s="31"/>
      <c r="AB70" s="31"/>
      <c r="AC70" s="31"/>
      <c r="AD70" s="31"/>
      <c r="AE70" s="31"/>
      <c r="AG70" s="111" t="e">
        <f ca="1"/>
        <v>#NAME?</v>
      </c>
      <c r="AH70" s="112" t="e">
        <f ca="1"/>
        <v>#NAME?</v>
      </c>
      <c r="AI70" s="112" t="e">
        <f ca="1"/>
        <v>#NAME?</v>
      </c>
      <c r="AJ70" s="112" t="e">
        <f ca="1"/>
        <v>#NAME?</v>
      </c>
      <c r="AK70" s="112" t="e">
        <f ca="1"/>
        <v>#NAME?</v>
      </c>
      <c r="AL70" s="112" t="e">
        <f ca="1"/>
        <v>#NAME?</v>
      </c>
      <c r="AN70" s="114"/>
      <c r="AO70" s="115"/>
      <c r="AP70" s="115"/>
      <c r="AQ70" s="115"/>
      <c r="AR70" s="115"/>
      <c r="AS70" s="115"/>
      <c r="AU70" s="129"/>
      <c r="AV70" s="140"/>
      <c r="AW70" s="140"/>
      <c r="AX70" s="141"/>
      <c r="AY70" s="142"/>
      <c r="AZ70" s="143"/>
      <c r="BA70" s="141"/>
      <c r="BB70" s="127"/>
      <c r="BC70" s="102"/>
      <c r="BD70" s="140"/>
      <c r="BE70" s="85"/>
      <c r="BF70" s="42"/>
      <c r="BG70" s="42"/>
      <c r="BH70" s="42"/>
      <c r="BI70" s="42"/>
    </row>
    <row r="71" spans="1:61" x14ac:dyDescent="0.2">
      <c r="Z71" s="110"/>
      <c r="AA71" s="31"/>
      <c r="AB71" s="31"/>
      <c r="AC71" s="31"/>
      <c r="AD71" s="31"/>
      <c r="AE71" s="31"/>
      <c r="AG71" s="111" t="e">
        <f ca="1"/>
        <v>#NAME?</v>
      </c>
      <c r="AH71" s="112" t="e">
        <f ca="1"/>
        <v>#NAME?</v>
      </c>
      <c r="AI71" s="112" t="e">
        <f ca="1"/>
        <v>#NAME?</v>
      </c>
      <c r="AJ71" s="112" t="e">
        <f ca="1"/>
        <v>#NAME?</v>
      </c>
      <c r="AK71" s="112" t="e">
        <f ca="1"/>
        <v>#NAME?</v>
      </c>
      <c r="AL71" s="112" t="e">
        <f ca="1"/>
        <v>#NAME?</v>
      </c>
      <c r="AN71" s="114"/>
      <c r="AO71" s="115"/>
      <c r="AP71" s="115"/>
      <c r="AQ71" s="115"/>
      <c r="AR71" s="115"/>
      <c r="AS71" s="115"/>
      <c r="AU71" s="130" t="e">
        <f ca="1">_xlfn.XLOOKUP(4,LiabilitiesMaster[Num],LiabilitiesMaster[Name])</f>
        <v>#NAME?</v>
      </c>
      <c r="AV71" s="140"/>
      <c r="AW71" s="140">
        <f ca="1">IFERROR(_xlfn.XLOOKUP(AU71,BegBalSht[Account],BegBalSht[Amount]),0)</f>
        <v>0</v>
      </c>
      <c r="AX71" s="141" t="s">
        <v>108</v>
      </c>
      <c r="AY71" s="142">
        <f ca="1">IFERROR(_xlfn.XLOOKUP(AU71,AB51:AB56,AD51:AD56),0)</f>
        <v>0</v>
      </c>
      <c r="AZ71" s="143"/>
      <c r="BA71" s="141" t="s">
        <v>106</v>
      </c>
      <c r="BB71" s="127"/>
      <c r="BC71" s="102">
        <f ca="1">AW71-BG71+BH71</f>
        <v>0</v>
      </c>
      <c r="BD71" s="145">
        <f ca="1">-MIN(BC71-AW71-SUM(AZ71:AZ74)+SUM(AY71:AY74),0)</f>
        <v>0</v>
      </c>
      <c r="BE71" s="146">
        <f ca="1">MAX(BC71-AW71-SUM(AZ71:AZ74)+SUM(AY71:AY74),0)</f>
        <v>0</v>
      </c>
      <c r="BF71" s="42"/>
      <c r="BG71" s="42">
        <f ca="1">SUMIF(Answers[DrAccnt],AU71,Answers[DrAmt])</f>
        <v>0</v>
      </c>
      <c r="BH71" s="42">
        <f ca="1">SUMIF(Answers[CrAccnt],AU71,Answers[CrAmt])</f>
        <v>0</v>
      </c>
      <c r="BI71" s="42"/>
    </row>
    <row r="72" spans="1:61" x14ac:dyDescent="0.2">
      <c r="Z72" s="110"/>
      <c r="AA72" s="31"/>
      <c r="AB72" s="31"/>
      <c r="AC72" s="31"/>
      <c r="AD72" s="31"/>
      <c r="AE72" s="31"/>
      <c r="AG72" s="111" t="e">
        <f ca="1"/>
        <v>#NAME?</v>
      </c>
      <c r="AH72" s="112" t="e">
        <f ca="1"/>
        <v>#NAME?</v>
      </c>
      <c r="AI72" s="112" t="e">
        <f ca="1"/>
        <v>#NAME?</v>
      </c>
      <c r="AJ72" s="112" t="e">
        <f ca="1"/>
        <v>#NAME?</v>
      </c>
      <c r="AK72" s="112" t="e">
        <f ca="1"/>
        <v>#NAME?</v>
      </c>
      <c r="AL72" s="112" t="e">
        <f ca="1"/>
        <v>#NAME?</v>
      </c>
      <c r="AN72" s="114"/>
      <c r="AO72" s="115"/>
      <c r="AP72" s="115"/>
      <c r="AQ72" s="115"/>
      <c r="AR72" s="115"/>
      <c r="AS72" s="115"/>
      <c r="AU72" s="129"/>
      <c r="AV72" s="140"/>
      <c r="AW72" s="140"/>
      <c r="AX72" s="141"/>
      <c r="AY72" s="142"/>
      <c r="AZ72" s="143"/>
      <c r="BA72" s="141"/>
      <c r="BB72" s="127"/>
      <c r="BC72" s="102"/>
      <c r="BD72" s="140"/>
      <c r="BE72" s="85"/>
      <c r="BF72" s="42"/>
      <c r="BG72" s="42"/>
      <c r="BH72" s="42"/>
      <c r="BI72" s="42"/>
    </row>
    <row r="73" spans="1:61" x14ac:dyDescent="0.2">
      <c r="AG73" s="111"/>
      <c r="AH73" s="112"/>
      <c r="AI73" s="112"/>
      <c r="AJ73" s="112"/>
      <c r="AK73" s="112"/>
      <c r="AL73" s="112"/>
      <c r="AU73" s="129"/>
      <c r="AV73" s="140"/>
      <c r="AW73" s="140"/>
      <c r="AX73" s="141"/>
      <c r="AY73" s="142"/>
      <c r="AZ73" s="143"/>
      <c r="BA73" s="141"/>
      <c r="BB73" s="127"/>
      <c r="BC73" s="102"/>
      <c r="BD73" s="140"/>
      <c r="BE73" s="85"/>
      <c r="BF73" s="42"/>
      <c r="BG73" s="42"/>
      <c r="BH73" s="42"/>
      <c r="BI73" s="42"/>
    </row>
    <row r="74" spans="1:61" x14ac:dyDescent="0.2">
      <c r="Z74" s="5" t="s">
        <v>115</v>
      </c>
      <c r="AC74" s="4" t="s">
        <v>114</v>
      </c>
      <c r="AG74" s="111"/>
      <c r="AH74" s="112"/>
      <c r="AI74" s="112"/>
      <c r="AJ74" s="112"/>
      <c r="AK74" s="112"/>
      <c r="AL74" s="112"/>
      <c r="AN74" s="5" t="s">
        <v>148</v>
      </c>
      <c r="AO74" s="5"/>
      <c r="AQ74" s="4" t="s">
        <v>147</v>
      </c>
      <c r="AU74" s="129"/>
      <c r="AV74" s="140"/>
      <c r="AW74" s="140"/>
      <c r="AX74" s="141"/>
      <c r="AY74" s="142"/>
      <c r="AZ74" s="143"/>
      <c r="BA74" s="141"/>
      <c r="BB74" s="127"/>
      <c r="BC74" s="102"/>
      <c r="BD74" s="140"/>
      <c r="BE74" s="85"/>
      <c r="BF74" s="42"/>
      <c r="BG74" s="42"/>
      <c r="BH74" s="42"/>
      <c r="BI74" s="42"/>
    </row>
    <row r="75" spans="1:61" x14ac:dyDescent="0.2">
      <c r="Z75" s="110" t="e" cm="1">
        <f t="array" aca="1" ref="Z75" ca="1">_xlfn._xlws.FILTER(Answers[ref]:Answers[CrAmt],Answers[ref2]=AC74,"")</f>
        <v>#NAME?</v>
      </c>
      <c r="AA75" s="31"/>
      <c r="AB75" s="31"/>
      <c r="AC75" s="31"/>
      <c r="AD75" s="31"/>
      <c r="AE75" s="31"/>
      <c r="AG75" s="111"/>
      <c r="AH75" s="112"/>
      <c r="AI75" s="112"/>
      <c r="AJ75" s="112"/>
      <c r="AK75" s="112"/>
      <c r="AL75" s="112"/>
      <c r="AN75" s="114" t="e" cm="1">
        <f t="array" aca="1" ref="AN75" ca="1">_xlfn._xlws.FILTER(Answers[ref]:Answers[CrAmt],Answers[ref2]=AQ74,"")</f>
        <v>#NAME?</v>
      </c>
      <c r="AO75" s="115"/>
      <c r="AP75" s="115"/>
      <c r="AQ75" s="115"/>
      <c r="AR75" s="115"/>
      <c r="AS75" s="115"/>
      <c r="AU75" s="130" t="e">
        <f ca="1">_xlfn.XLOOKUP(5,LiabilitiesMaster[Num],LiabilitiesMaster[Name])</f>
        <v>#NAME?</v>
      </c>
      <c r="AV75" s="140"/>
      <c r="AW75" s="140">
        <f ca="1">IFERROR(_xlfn.XLOOKUP(AU75,BegBalSht[Account],BegBalSht[Amount]),0)</f>
        <v>0</v>
      </c>
      <c r="AX75" s="141" t="s">
        <v>94</v>
      </c>
      <c r="AY75" s="142">
        <f ca="1">IFERROR(_xlfn.XLOOKUP(AU75,$AI$67:$AI$80,$AK$67:$AK$80),0)</f>
        <v>0</v>
      </c>
      <c r="AZ75" s="143">
        <f ca="1">IFERROR(_xlfn.XLOOKUP(AU75,$AJ$51:$AJ$64,$AL$51:$AL$64),0)</f>
        <v>0</v>
      </c>
      <c r="BA75" s="141" t="s">
        <v>128</v>
      </c>
      <c r="BB75" s="127"/>
      <c r="BC75" s="102">
        <f ca="1">AW75-BG75+BH75</f>
        <v>0</v>
      </c>
      <c r="BD75" s="145">
        <f ca="1">-MIN(BC75-AW75-SUM(AZ75:AZ78)+SUM(AY75:AY78),0)</f>
        <v>0</v>
      </c>
      <c r="BE75" s="146">
        <f ca="1">MAX(BC75-AW75-SUM(AZ75:AZ78)+SUM(AY75:AY78),0)</f>
        <v>0</v>
      </c>
      <c r="BF75" s="42"/>
      <c r="BG75" s="42">
        <f ca="1">SUMIF(Answers[DrAccnt],AU75,Answers[DrAmt])</f>
        <v>0</v>
      </c>
      <c r="BH75" s="42">
        <f ca="1">SUMIF(Answers[CrAccnt],AU75,Answers[CrAmt])</f>
        <v>0</v>
      </c>
      <c r="BI75" s="42"/>
    </row>
    <row r="76" spans="1:61" x14ac:dyDescent="0.2">
      <c r="Z76" s="110"/>
      <c r="AA76" s="31"/>
      <c r="AB76" s="31"/>
      <c r="AC76" s="31"/>
      <c r="AD76" s="31"/>
      <c r="AE76" s="31"/>
      <c r="AG76" s="111"/>
      <c r="AH76" s="112"/>
      <c r="AI76" s="112"/>
      <c r="AJ76" s="112"/>
      <c r="AK76" s="112"/>
      <c r="AL76" s="112"/>
      <c r="AN76" s="114"/>
      <c r="AO76" s="115"/>
      <c r="AP76" s="115"/>
      <c r="AQ76" s="115"/>
      <c r="AR76" s="115"/>
      <c r="AS76" s="115"/>
      <c r="AU76" s="129"/>
      <c r="AV76" s="140"/>
      <c r="AW76" s="140"/>
      <c r="AX76" s="141"/>
      <c r="AY76" s="142"/>
      <c r="AZ76" s="143"/>
      <c r="BA76" s="141"/>
      <c r="BB76" s="127"/>
      <c r="BC76" s="102"/>
      <c r="BD76" s="140"/>
      <c r="BE76" s="85"/>
      <c r="BF76" s="42"/>
      <c r="BG76" s="42"/>
      <c r="BH76" s="42"/>
      <c r="BI76" s="42"/>
    </row>
    <row r="77" spans="1:61" x14ac:dyDescent="0.2">
      <c r="Z77" s="110"/>
      <c r="AA77" s="31"/>
      <c r="AB77" s="31"/>
      <c r="AC77" s="31"/>
      <c r="AD77" s="31"/>
      <c r="AE77" s="31"/>
      <c r="AG77" s="111"/>
      <c r="AH77" s="112"/>
      <c r="AI77" s="112"/>
      <c r="AJ77" s="112"/>
      <c r="AK77" s="112"/>
      <c r="AL77" s="112"/>
      <c r="AN77" s="114"/>
      <c r="AO77" s="115"/>
      <c r="AP77" s="115"/>
      <c r="AQ77" s="115"/>
      <c r="AR77" s="115"/>
      <c r="AS77" s="115"/>
      <c r="AU77" s="129"/>
      <c r="AV77" s="140"/>
      <c r="AW77" s="140"/>
      <c r="AX77" s="141"/>
      <c r="AY77" s="142"/>
      <c r="AZ77" s="143"/>
      <c r="BA77" s="141"/>
      <c r="BB77" s="127"/>
      <c r="BC77" s="102"/>
      <c r="BD77" s="140"/>
      <c r="BE77" s="85"/>
      <c r="BF77" s="42"/>
      <c r="BG77" s="42"/>
      <c r="BH77" s="42"/>
      <c r="BI77" s="42"/>
    </row>
    <row r="78" spans="1:61" x14ac:dyDescent="0.2">
      <c r="Z78" s="110"/>
      <c r="AA78" s="31"/>
      <c r="AB78" s="31"/>
      <c r="AC78" s="31"/>
      <c r="AD78" s="31"/>
      <c r="AE78" s="31"/>
      <c r="AG78" s="111"/>
      <c r="AH78" s="112"/>
      <c r="AI78" s="112"/>
      <c r="AJ78" s="112"/>
      <c r="AK78" s="112"/>
      <c r="AL78" s="112"/>
      <c r="AN78" s="114"/>
      <c r="AO78" s="115"/>
      <c r="AP78" s="115"/>
      <c r="AQ78" s="115"/>
      <c r="AR78" s="115"/>
      <c r="AS78" s="115"/>
      <c r="AU78" s="129"/>
      <c r="AV78" s="140"/>
      <c r="AW78" s="140"/>
      <c r="AX78" s="141"/>
      <c r="AY78" s="142"/>
      <c r="AZ78" s="143"/>
      <c r="BA78" s="141"/>
      <c r="BB78" s="127"/>
      <c r="BC78" s="102"/>
      <c r="BD78" s="140"/>
      <c r="BE78" s="85"/>
      <c r="BF78" s="42"/>
      <c r="BG78" s="42"/>
      <c r="BH78" s="42"/>
      <c r="BI78" s="42"/>
    </row>
    <row r="79" spans="1:61" x14ac:dyDescent="0.2">
      <c r="Z79" s="110"/>
      <c r="AA79" s="31"/>
      <c r="AB79" s="31"/>
      <c r="AC79" s="31"/>
      <c r="AD79" s="31"/>
      <c r="AE79" s="31"/>
      <c r="AG79" s="111"/>
      <c r="AH79" s="112"/>
      <c r="AI79" s="112"/>
      <c r="AJ79" s="112"/>
      <c r="AK79" s="112"/>
      <c r="AL79" s="112"/>
      <c r="AN79" s="114"/>
      <c r="AO79" s="115"/>
      <c r="AP79" s="115"/>
      <c r="AQ79" s="115"/>
      <c r="AR79" s="115"/>
      <c r="AS79" s="115"/>
      <c r="AU79" s="130" t="str">
        <f>_xlfn.XLOOKUP(6,LiabilitiesMaster[Num],LiabilitiesMaster[Name])</f>
        <v>Deferred Tax Liabilities</v>
      </c>
      <c r="AV79" s="140"/>
      <c r="AW79" s="140">
        <f>IFERROR(_xlfn.XLOOKUP(AU79,BegBalSht[Account],BegBalSht[Amount]),0)</f>
        <v>0</v>
      </c>
      <c r="AX79" s="141" t="s">
        <v>94</v>
      </c>
      <c r="AY79" s="142">
        <f ca="1">IFERROR(_xlfn.XLOOKUP(AU79,$AI$67:$AI$80,$AK$67:$AK$80),0)</f>
        <v>0</v>
      </c>
      <c r="AZ79" s="143">
        <f>IFERROR(_xlfn.XLOOKUP(AU79,$AJ$51:$AJ$64,$AL$51:$AL$64),0)</f>
        <v>0</v>
      </c>
      <c r="BA79" s="141" t="s">
        <v>128</v>
      </c>
      <c r="BB79" s="127"/>
      <c r="BC79" s="102">
        <f>AW79-BG79+BH79</f>
        <v>0</v>
      </c>
      <c r="BD79" s="145">
        <f ca="1">-MIN(BC79-AW79-SUM(AZ79:AZ82)+SUM(AY79:AY82),0)</f>
        <v>0</v>
      </c>
      <c r="BE79" s="146">
        <f ca="1">MAX(BC79-AW79-SUM(AZ79:AZ82)+SUM(AY79:AY82),0)</f>
        <v>0</v>
      </c>
      <c r="BF79" s="42"/>
      <c r="BG79" s="42">
        <f>SUMIF(Answers[DrAccnt],AU79,Answers[DrAmt])</f>
        <v>0</v>
      </c>
      <c r="BH79" s="42">
        <f>SUMIF(Answers[CrAccnt],AU79,Answers[CrAmt])</f>
        <v>0</v>
      </c>
      <c r="BI79" s="42"/>
    </row>
    <row r="80" spans="1:61" x14ac:dyDescent="0.2">
      <c r="Z80" s="110"/>
      <c r="AA80" s="31"/>
      <c r="AB80" s="31"/>
      <c r="AC80" s="31"/>
      <c r="AD80" s="31"/>
      <c r="AE80" s="31"/>
      <c r="AG80" s="111"/>
      <c r="AH80" s="112"/>
      <c r="AI80" s="112"/>
      <c r="AJ80" s="112"/>
      <c r="AK80" s="112"/>
      <c r="AL80" s="112"/>
      <c r="AN80" s="114"/>
      <c r="AO80" s="115"/>
      <c r="AP80" s="115"/>
      <c r="AQ80" s="115"/>
      <c r="AR80" s="115"/>
      <c r="AS80" s="115"/>
      <c r="AU80" s="129"/>
      <c r="AV80" s="140"/>
      <c r="AW80" s="140"/>
      <c r="AX80" s="141"/>
      <c r="AY80" s="142"/>
      <c r="AZ80" s="143"/>
      <c r="BA80" s="141"/>
      <c r="BB80" s="127"/>
      <c r="BC80" s="102"/>
      <c r="BD80" s="140"/>
      <c r="BE80" s="85"/>
      <c r="BF80" s="42"/>
      <c r="BG80" s="42"/>
      <c r="BH80" s="42"/>
      <c r="BI80" s="42"/>
    </row>
    <row r="81" spans="33:61" x14ac:dyDescent="0.2">
      <c r="AU81" s="129"/>
      <c r="AV81" s="140"/>
      <c r="AW81" s="140"/>
      <c r="AX81" s="141"/>
      <c r="AY81" s="142"/>
      <c r="AZ81" s="143"/>
      <c r="BA81" s="141"/>
      <c r="BB81" s="127"/>
      <c r="BC81" s="102"/>
      <c r="BD81" s="140"/>
      <c r="BE81" s="85"/>
      <c r="BF81" s="42"/>
      <c r="BG81" s="42"/>
      <c r="BH81" s="42"/>
      <c r="BI81" s="42"/>
    </row>
    <row r="82" spans="33:61" x14ac:dyDescent="0.2">
      <c r="AG82" s="5" t="s">
        <v>501</v>
      </c>
      <c r="AJ82" s="4" t="s">
        <v>131</v>
      </c>
      <c r="AN82" s="5" t="s">
        <v>471</v>
      </c>
      <c r="AO82" s="5"/>
      <c r="AQ82" s="4" t="s">
        <v>145</v>
      </c>
      <c r="AU82" s="129"/>
      <c r="AV82" s="140"/>
      <c r="AW82" s="140"/>
      <c r="AX82" s="141"/>
      <c r="AY82" s="142"/>
      <c r="AZ82" s="143"/>
      <c r="BA82" s="141"/>
      <c r="BB82" s="127"/>
      <c r="BC82" s="102"/>
      <c r="BD82" s="140"/>
      <c r="BE82" s="85"/>
      <c r="BF82" s="42"/>
      <c r="BG82" s="42"/>
      <c r="BH82" s="42"/>
      <c r="BI82" s="42"/>
    </row>
    <row r="83" spans="33:61" x14ac:dyDescent="0.2">
      <c r="AG83" s="111" t="e" cm="1">
        <f t="array" aca="1" ref="AG83" ca="1">_xlfn._xlws.FILTER(Answers[ref]:Answers[CrAmt],Answers[ref2]=AJ82,"")</f>
        <v>#NAME?</v>
      </c>
      <c r="AH83" s="112"/>
      <c r="AI83" s="112"/>
      <c r="AJ83" s="112"/>
      <c r="AK83" s="112"/>
      <c r="AL83" s="112"/>
      <c r="AN83" s="114" t="e" cm="1">
        <f t="array" aca="1" ref="AN83" ca="1">_xlfn._xlws.FILTER(Answers[ref]:Answers[CrAmt],Answers[ref2]=AQ82,"")</f>
        <v>#NAME?</v>
      </c>
      <c r="AO83" s="115"/>
      <c r="AP83" s="115"/>
      <c r="AQ83" s="115"/>
      <c r="AR83" s="115"/>
      <c r="AS83" s="115"/>
      <c r="AU83" s="130" t="e">
        <f ca="1">_xlfn.XLOOKUP(7,LiabilitiesMaster[Num],LiabilitiesMaster[Name])</f>
        <v>#NAME?</v>
      </c>
      <c r="AV83" s="140"/>
      <c r="AW83" s="140">
        <f ca="1">IFERROR(_xlfn.XLOOKUP(AU83,BegBalSht[Account],BegBalSht[Amount]),0)</f>
        <v>0</v>
      </c>
      <c r="AX83" s="141" t="s">
        <v>94</v>
      </c>
      <c r="AY83" s="142">
        <f ca="1">IFERROR(_xlfn.XLOOKUP(AU83,$AI$67:$AI$80,$AK$67:$AK$80),0)</f>
        <v>0</v>
      </c>
      <c r="AZ83" s="143">
        <f ca="1">IFERROR(_xlfn.XLOOKUP(AU83,$AJ$51:$AJ$64,$AL$51:$AL$64),0)</f>
        <v>0</v>
      </c>
      <c r="BA83" s="141" t="s">
        <v>128</v>
      </c>
      <c r="BB83" s="127"/>
      <c r="BC83" s="102">
        <f ca="1">AW83-BG83+BH83</f>
        <v>0</v>
      </c>
      <c r="BD83" s="145">
        <f ca="1">-MIN(BC83-AW83-SUM(AZ83:AZ86)+SUM(AY83:AY86),0)</f>
        <v>0</v>
      </c>
      <c r="BE83" s="146">
        <f ca="1">MAX(BC83-AW83-SUM(AZ83:AZ86)+SUM(AY83:AY86),0)</f>
        <v>0</v>
      </c>
      <c r="BF83" s="42"/>
      <c r="BG83" s="42">
        <f ca="1">SUMIF(Answers[DrAccnt],AU83,Answers[DrAmt])</f>
        <v>0</v>
      </c>
      <c r="BH83" s="42">
        <f ca="1">SUMIF(Answers[CrAccnt],AU83,Answers[CrAmt])</f>
        <v>0</v>
      </c>
      <c r="BI83" s="42"/>
    </row>
    <row r="84" spans="33:61" x14ac:dyDescent="0.2">
      <c r="AG84" s="111"/>
      <c r="AH84" s="112"/>
      <c r="AI84" s="112"/>
      <c r="AJ84" s="112"/>
      <c r="AK84" s="112"/>
      <c r="AL84" s="112"/>
      <c r="AN84" s="114"/>
      <c r="AO84" s="115"/>
      <c r="AP84" s="115"/>
      <c r="AQ84" s="115"/>
      <c r="AR84" s="115"/>
      <c r="AS84" s="115"/>
      <c r="AU84" s="129"/>
      <c r="AV84" s="140"/>
      <c r="AW84" s="140"/>
      <c r="AX84" s="141"/>
      <c r="AY84" s="142"/>
      <c r="AZ84" s="143"/>
      <c r="BA84" s="141"/>
      <c r="BB84" s="127"/>
      <c r="BC84" s="102"/>
      <c r="BD84" s="140"/>
      <c r="BE84" s="85"/>
      <c r="BF84" s="42"/>
      <c r="BG84" s="42"/>
      <c r="BH84" s="42"/>
      <c r="BI84" s="42"/>
    </row>
    <row r="85" spans="33:61" x14ac:dyDescent="0.2">
      <c r="AG85" s="111"/>
      <c r="AH85" s="112"/>
      <c r="AI85" s="112"/>
      <c r="AJ85" s="112"/>
      <c r="AK85" s="112"/>
      <c r="AL85" s="112"/>
      <c r="AN85" s="114"/>
      <c r="AO85" s="115"/>
      <c r="AP85" s="115"/>
      <c r="AQ85" s="115"/>
      <c r="AR85" s="115"/>
      <c r="AS85" s="115"/>
      <c r="AU85" s="129"/>
      <c r="AV85" s="140"/>
      <c r="AW85" s="140"/>
      <c r="AX85" s="141"/>
      <c r="AY85" s="142"/>
      <c r="AZ85" s="143"/>
      <c r="BA85" s="141"/>
      <c r="BB85" s="127"/>
      <c r="BC85" s="102"/>
      <c r="BD85" s="140"/>
      <c r="BE85" s="85"/>
      <c r="BF85" s="42"/>
      <c r="BG85" s="42"/>
      <c r="BH85" s="42"/>
      <c r="BI85" s="42"/>
    </row>
    <row r="86" spans="33:61" x14ac:dyDescent="0.2">
      <c r="AG86" s="111"/>
      <c r="AH86" s="112"/>
      <c r="AI86" s="112"/>
      <c r="AJ86" s="112"/>
      <c r="AK86" s="112"/>
      <c r="AL86" s="112"/>
      <c r="AN86" s="114"/>
      <c r="AO86" s="115"/>
      <c r="AP86" s="115"/>
      <c r="AQ86" s="115"/>
      <c r="AR86" s="115"/>
      <c r="AS86" s="115"/>
      <c r="AU86" s="129"/>
      <c r="AV86" s="140"/>
      <c r="AW86" s="140"/>
      <c r="AX86" s="141"/>
      <c r="AY86" s="142"/>
      <c r="AZ86" s="143"/>
      <c r="BA86" s="141"/>
      <c r="BB86" s="127"/>
      <c r="BC86" s="102"/>
      <c r="BD86" s="140"/>
      <c r="BE86" s="85"/>
      <c r="BF86" s="42"/>
      <c r="BG86" s="42"/>
      <c r="BH86" s="42"/>
      <c r="BI86" s="42"/>
    </row>
    <row r="87" spans="33:61" x14ac:dyDescent="0.2">
      <c r="AG87" s="111"/>
      <c r="AH87" s="112"/>
      <c r="AI87" s="112"/>
      <c r="AJ87" s="112"/>
      <c r="AK87" s="112"/>
      <c r="AL87" s="112"/>
      <c r="AN87" s="114"/>
      <c r="AO87" s="115"/>
      <c r="AP87" s="115"/>
      <c r="AQ87" s="115"/>
      <c r="AR87" s="115"/>
      <c r="AS87" s="115"/>
      <c r="AU87" s="130" t="str">
        <f>_xlfn.XLOOKUP(8,LiabilitiesMaster[Num],LiabilitiesMaster[Name])</f>
        <v>Bonds Payable</v>
      </c>
      <c r="AV87" s="140"/>
      <c r="AW87" s="140">
        <f>IFERROR(_xlfn.XLOOKUP(AU87,BegBalSht[Account],BegBalSht[Amount]),0)</f>
        <v>0</v>
      </c>
      <c r="AX87" s="141" t="s">
        <v>94</v>
      </c>
      <c r="AY87" s="142">
        <f ca="1">IFERROR(_xlfn.XLOOKUP(AU87,$AI$67:$AI$80,$AK$67:$AK$80),0)</f>
        <v>0</v>
      </c>
      <c r="AZ87" s="143">
        <f>IFERROR(_xlfn.XLOOKUP(AU87,$AJ$51:$AJ$64,$AL$51:$AL$64),0)</f>
        <v>0</v>
      </c>
      <c r="BA87" s="141" t="s">
        <v>128</v>
      </c>
      <c r="BB87" s="127"/>
      <c r="BC87" s="102">
        <f>AW87-BG87+BH87</f>
        <v>0</v>
      </c>
      <c r="BD87" s="145">
        <f ca="1">-MIN(BC87-AW87-SUM(AZ87:AZ90)+SUM(AY87:AY90),0)</f>
        <v>0</v>
      </c>
      <c r="BE87" s="146">
        <f ca="1">MAX(BC87-AW87-SUM(AZ87:AZ90)+SUM(AY87:AY90),0)</f>
        <v>0</v>
      </c>
      <c r="BF87" s="42"/>
      <c r="BG87" s="42">
        <f>SUMIF(Answers[DrAccnt],AU87,Answers[DrAmt])</f>
        <v>0</v>
      </c>
      <c r="BH87" s="42">
        <f>SUMIF(Answers[CrAccnt],AU87,Answers[CrAmt])</f>
        <v>0</v>
      </c>
      <c r="BI87" s="42"/>
    </row>
    <row r="88" spans="33:61" x14ac:dyDescent="0.2">
      <c r="AG88" s="111"/>
      <c r="AH88" s="112"/>
      <c r="AI88" s="112"/>
      <c r="AJ88" s="112"/>
      <c r="AK88" s="112"/>
      <c r="AL88" s="112"/>
      <c r="AN88" s="114"/>
      <c r="AO88" s="115"/>
      <c r="AP88" s="115"/>
      <c r="AQ88" s="115"/>
      <c r="AR88" s="115"/>
      <c r="AS88" s="115"/>
      <c r="AU88" s="129"/>
      <c r="AV88" s="140"/>
      <c r="AW88" s="140"/>
      <c r="AX88" s="141" t="s">
        <v>110</v>
      </c>
      <c r="AY88" s="142">
        <f>IFERROR(_xlfn.XLOOKUP(AU87,AB59:AB64,AD59:AD64),0)</f>
        <v>0</v>
      </c>
      <c r="AZ88" s="143"/>
      <c r="BA88" s="141"/>
      <c r="BB88" s="127"/>
      <c r="BC88" s="102"/>
      <c r="BD88" s="140"/>
      <c r="BE88" s="85"/>
      <c r="BF88" s="42"/>
      <c r="BG88" s="42"/>
      <c r="BH88" s="42"/>
      <c r="BI88" s="42"/>
    </row>
    <row r="89" spans="33:61" x14ac:dyDescent="0.2">
      <c r="AU89" s="129"/>
      <c r="AV89" s="140"/>
      <c r="AW89" s="140"/>
      <c r="AX89" s="141"/>
      <c r="AY89" s="142"/>
      <c r="AZ89" s="143"/>
      <c r="BA89" s="141"/>
      <c r="BB89" s="127"/>
      <c r="BC89" s="102"/>
      <c r="BD89" s="140"/>
      <c r="BE89" s="85"/>
      <c r="BF89" s="42"/>
      <c r="BG89" s="42"/>
      <c r="BH89" s="42"/>
      <c r="BI89" s="42"/>
    </row>
    <row r="90" spans="33:61" x14ac:dyDescent="0.2">
      <c r="AG90" s="5" t="s">
        <v>502</v>
      </c>
      <c r="AJ90" s="4" t="s">
        <v>133</v>
      </c>
      <c r="AU90" s="129"/>
      <c r="AV90" s="140"/>
      <c r="AW90" s="140"/>
      <c r="AX90" s="141"/>
      <c r="AY90" s="142"/>
      <c r="AZ90" s="143"/>
      <c r="BA90" s="141"/>
      <c r="BB90" s="127"/>
      <c r="BC90" s="102"/>
      <c r="BD90" s="140"/>
      <c r="BE90" s="85"/>
      <c r="BF90" s="42"/>
      <c r="BG90" s="42"/>
      <c r="BH90" s="42"/>
      <c r="BI90" s="42"/>
    </row>
    <row r="91" spans="33:61" x14ac:dyDescent="0.2">
      <c r="AG91" s="111" t="e" cm="1">
        <f t="array" aca="1" ref="AG91" ca="1">_xlfn._xlws.FILTER(Answers[ref]:Answers[CrAmt],Answers[ref2]=AJ90,"")</f>
        <v>#NAME?</v>
      </c>
      <c r="AH91" s="112"/>
      <c r="AI91" s="112"/>
      <c r="AJ91" s="112"/>
      <c r="AK91" s="112"/>
      <c r="AL91" s="112"/>
      <c r="AU91" s="130" t="e">
        <f ca="1">_xlfn.XLOOKUP(9,LiabilitiesMaster[Num],LiabilitiesMaster[Name])</f>
        <v>#NAME?</v>
      </c>
      <c r="AV91" s="140"/>
      <c r="AW91" s="140">
        <f ca="1">IFERROR(_xlfn.XLOOKUP(AU91,BegBalSht[Account],BegBalSht[Amount]),0)</f>
        <v>0</v>
      </c>
      <c r="AX91" s="141" t="s">
        <v>94</v>
      </c>
      <c r="AY91" s="142">
        <f ca="1">IFERROR(_xlfn.XLOOKUP(AU91,$AI$67:$AI$80,$AK$67:$AK$80),0)</f>
        <v>0</v>
      </c>
      <c r="AZ91" s="143">
        <f ca="1">IFERROR(_xlfn.XLOOKUP(AU91,$AJ$51:$AJ$64,$AL$51:$AL$64),0)</f>
        <v>0</v>
      </c>
      <c r="BA91" s="141" t="s">
        <v>128</v>
      </c>
      <c r="BB91" s="127"/>
      <c r="BC91" s="102">
        <f ca="1">AW91-BG91+BH91</f>
        <v>0</v>
      </c>
      <c r="BD91" s="145">
        <f ca="1">-MIN(BC91-AW91-SUM(AZ91:AZ94)+SUM(AY91:AY94),0)</f>
        <v>0</v>
      </c>
      <c r="BE91" s="146">
        <f ca="1">MAX(BC91-AW91-SUM(AZ91:AZ94)+SUM(AY91:AY94),0)</f>
        <v>0</v>
      </c>
      <c r="BF91" s="42"/>
      <c r="BG91" s="42">
        <f ca="1">SUMIF(Answers[DrAccnt],AU91,Answers[DrAmt])</f>
        <v>0</v>
      </c>
      <c r="BH91" s="42">
        <f ca="1">SUMIF(Answers[CrAccnt],AU91,Answers[CrAmt])</f>
        <v>0</v>
      </c>
      <c r="BI91" s="42"/>
    </row>
    <row r="92" spans="33:61" x14ac:dyDescent="0.2">
      <c r="AG92" s="111"/>
      <c r="AH92" s="112"/>
      <c r="AI92" s="112"/>
      <c r="AJ92" s="112"/>
      <c r="AK92" s="112"/>
      <c r="AL92" s="112"/>
      <c r="AU92" s="129"/>
      <c r="AV92" s="140"/>
      <c r="AW92" s="140"/>
      <c r="AX92" s="141"/>
      <c r="AY92" s="142"/>
      <c r="AZ92" s="143"/>
      <c r="BA92" s="141"/>
      <c r="BB92" s="127"/>
      <c r="BC92" s="102"/>
      <c r="BD92" s="140"/>
      <c r="BE92" s="85"/>
      <c r="BF92" s="42"/>
      <c r="BG92" s="42"/>
      <c r="BH92" s="42"/>
      <c r="BI92" s="42"/>
    </row>
    <row r="93" spans="33:61" x14ac:dyDescent="0.2">
      <c r="AG93" s="111"/>
      <c r="AH93" s="112"/>
      <c r="AI93" s="112"/>
      <c r="AJ93" s="112"/>
      <c r="AK93" s="112"/>
      <c r="AL93" s="112"/>
      <c r="AU93" s="129"/>
      <c r="AV93" s="140"/>
      <c r="AW93" s="140"/>
      <c r="AX93" s="141"/>
      <c r="AY93" s="142"/>
      <c r="AZ93" s="143"/>
      <c r="BA93" s="141"/>
      <c r="BB93" s="127"/>
      <c r="BC93" s="102"/>
      <c r="BD93" s="140"/>
      <c r="BE93" s="85"/>
      <c r="BF93" s="42"/>
      <c r="BG93" s="42"/>
      <c r="BH93" s="42"/>
      <c r="BI93" s="42"/>
    </row>
    <row r="94" spans="33:61" x14ac:dyDescent="0.2">
      <c r="AG94" s="111"/>
      <c r="AH94" s="112"/>
      <c r="AI94" s="112"/>
      <c r="AJ94" s="112"/>
      <c r="AK94" s="112"/>
      <c r="AL94" s="112"/>
      <c r="AU94" s="129"/>
      <c r="AV94" s="140"/>
      <c r="AW94" s="140"/>
      <c r="AX94" s="141"/>
      <c r="AY94" s="142"/>
      <c r="AZ94" s="143"/>
      <c r="BA94" s="141"/>
      <c r="BB94" s="127"/>
      <c r="BC94" s="102"/>
      <c r="BD94" s="140"/>
      <c r="BE94" s="85"/>
      <c r="BF94" s="42"/>
      <c r="BG94" s="42"/>
      <c r="BH94" s="42"/>
      <c r="BI94" s="42"/>
    </row>
    <row r="95" spans="33:61" x14ac:dyDescent="0.2">
      <c r="AG95" s="111"/>
      <c r="AH95" s="112"/>
      <c r="AI95" s="112"/>
      <c r="AJ95" s="112"/>
      <c r="AK95" s="112"/>
      <c r="AL95" s="112"/>
      <c r="AU95" s="130" t="str">
        <f>_xlfn.XLOOKUP(10,LiabilitiesMaster[Num],LiabilitiesMaster[Name])</f>
        <v>Senior Debt</v>
      </c>
      <c r="AV95" s="140"/>
      <c r="AW95" s="140">
        <f>IFERROR(_xlfn.XLOOKUP(AU95,BegBalSht[Account],BegBalSht[Amount]),0)</f>
        <v>0</v>
      </c>
      <c r="AX95" s="141" t="s">
        <v>94</v>
      </c>
      <c r="AY95" s="142">
        <f ca="1">IFERROR(_xlfn.XLOOKUP(AU95,$AI$67:$AI$80,$AK$67:$AK$80),0)</f>
        <v>0</v>
      </c>
      <c r="AZ95" s="143">
        <f>IFERROR(_xlfn.XLOOKUP(AU95,$AJ$51:$AJ$64,$AL$51:$AL$64),0)</f>
        <v>0</v>
      </c>
      <c r="BA95" s="141" t="s">
        <v>128</v>
      </c>
      <c r="BB95" s="127"/>
      <c r="BC95" s="102">
        <f>AW95-BG95+BH95</f>
        <v>0</v>
      </c>
      <c r="BD95" s="145">
        <f ca="1">-MIN(BC95-AW95-SUM(AZ95:AZ98)+SUM(AY95:AY98),0)</f>
        <v>0</v>
      </c>
      <c r="BE95" s="146">
        <f ca="1">MAX(BC95-AW95-SUM(AZ95:AZ98)+SUM(AY95:AY98),0)</f>
        <v>0</v>
      </c>
      <c r="BF95" s="42"/>
      <c r="BG95" s="42">
        <f>SUMIF(Answers[DrAccnt],AU95,Answers[DrAmt])</f>
        <v>0</v>
      </c>
      <c r="BH95" s="42">
        <f>SUMIF(Answers[CrAccnt],AU95,Answers[CrAmt])</f>
        <v>0</v>
      </c>
      <c r="BI95" s="42"/>
    </row>
    <row r="96" spans="33:61" x14ac:dyDescent="0.2">
      <c r="AG96" s="111"/>
      <c r="AH96" s="112"/>
      <c r="AI96" s="112"/>
      <c r="AJ96" s="112"/>
      <c r="AK96" s="112"/>
      <c r="AL96" s="112"/>
      <c r="AU96" s="129"/>
      <c r="AV96" s="140"/>
      <c r="AW96" s="140"/>
      <c r="AX96" s="141"/>
      <c r="AY96" s="142"/>
      <c r="AZ96" s="143"/>
      <c r="BA96" s="141"/>
      <c r="BB96" s="127"/>
      <c r="BC96" s="102"/>
      <c r="BD96" s="140"/>
      <c r="BE96" s="85"/>
      <c r="BF96" s="42"/>
      <c r="BG96" s="42"/>
      <c r="BH96" s="42"/>
      <c r="BI96" s="42"/>
    </row>
    <row r="97" spans="47:61" x14ac:dyDescent="0.2">
      <c r="AU97" s="129"/>
      <c r="AV97" s="140"/>
      <c r="AW97" s="140"/>
      <c r="AX97" s="141"/>
      <c r="AY97" s="142"/>
      <c r="AZ97" s="143"/>
      <c r="BA97" s="141"/>
      <c r="BB97" s="127"/>
      <c r="BC97" s="102"/>
      <c r="BD97" s="140"/>
      <c r="BE97" s="85"/>
      <c r="BF97" s="42"/>
      <c r="BG97" s="42"/>
      <c r="BH97" s="42"/>
      <c r="BI97" s="42"/>
    </row>
    <row r="98" spans="47:61" x14ac:dyDescent="0.2">
      <c r="AU98" s="129"/>
      <c r="AV98" s="140"/>
      <c r="AW98" s="140"/>
      <c r="AX98" s="141"/>
      <c r="AY98" s="142"/>
      <c r="AZ98" s="143"/>
      <c r="BA98" s="141"/>
      <c r="BB98" s="127"/>
      <c r="BC98" s="102"/>
      <c r="BD98" s="140"/>
      <c r="BE98" s="85"/>
      <c r="BF98" s="42"/>
      <c r="BG98" s="42"/>
      <c r="BH98" s="42"/>
      <c r="BI98" s="42"/>
    </row>
    <row r="99" spans="47:61" x14ac:dyDescent="0.2">
      <c r="AU99" s="130" t="str">
        <f>_xlfn.XLOOKUP(11,LiabilitiesMaster[Num],LiabilitiesMaster[Name])</f>
        <v>Subordinated Debt</v>
      </c>
      <c r="AV99" s="140"/>
      <c r="AW99" s="140">
        <f>IFERROR(_xlfn.XLOOKUP(AU99,BegBalSht[Account],BegBalSht[Amount]),0)</f>
        <v>0</v>
      </c>
      <c r="AX99" s="141" t="s">
        <v>94</v>
      </c>
      <c r="AY99" s="142">
        <f ca="1">IFERROR(_xlfn.XLOOKUP(AU99,$AI$67:$AI$80,$AK$67:$AK$80),0)</f>
        <v>0</v>
      </c>
      <c r="AZ99" s="143">
        <f>IFERROR(_xlfn.XLOOKUP(AU99,$AJ$51:$AJ$64,$AL$51:$AL$64),0)</f>
        <v>0</v>
      </c>
      <c r="BA99" s="141" t="s">
        <v>128</v>
      </c>
      <c r="BB99" s="127"/>
      <c r="BC99" s="102">
        <f>AW99-BG99+BH99</f>
        <v>0</v>
      </c>
      <c r="BD99" s="145">
        <f ca="1">-MIN(BC99-AW99-SUM(AZ99:AZ102)+SUM(AY99:AY102),0)</f>
        <v>0</v>
      </c>
      <c r="BE99" s="146">
        <f ca="1">MAX(BC99-AW99-SUM(AZ99:AZ102)+SUM(AY99:AY102),0)</f>
        <v>0</v>
      </c>
      <c r="BF99" s="42"/>
      <c r="BG99" s="42">
        <f>SUMIF(Answers[DrAccnt],AU99,Answers[DrAmt])</f>
        <v>0</v>
      </c>
      <c r="BH99" s="42">
        <f>SUMIF(Answers[CrAccnt],AU99,Answers[CrAmt])</f>
        <v>0</v>
      </c>
      <c r="BI99" s="42"/>
    </row>
    <row r="100" spans="47:61" x14ac:dyDescent="0.2">
      <c r="AU100" s="129"/>
      <c r="AV100" s="140"/>
      <c r="AW100" s="140"/>
      <c r="AX100" s="141"/>
      <c r="AY100" s="142"/>
      <c r="AZ100" s="143"/>
      <c r="BA100" s="141"/>
      <c r="BB100" s="127"/>
      <c r="BC100" s="102"/>
      <c r="BD100" s="140"/>
      <c r="BE100" s="85"/>
      <c r="BF100" s="42"/>
      <c r="BG100" s="42"/>
      <c r="BH100" s="42"/>
      <c r="BI100" s="42"/>
    </row>
    <row r="101" spans="47:61" x14ac:dyDescent="0.2">
      <c r="AU101" s="129"/>
      <c r="AV101" s="140"/>
      <c r="AW101" s="140"/>
      <c r="AX101" s="141"/>
      <c r="AY101" s="142"/>
      <c r="AZ101" s="143"/>
      <c r="BA101" s="141"/>
      <c r="BB101" s="127"/>
      <c r="BC101" s="102"/>
      <c r="BD101" s="140"/>
      <c r="BE101" s="85"/>
      <c r="BF101" s="42"/>
      <c r="BG101" s="42"/>
      <c r="BH101" s="42"/>
      <c r="BI101" s="42"/>
    </row>
    <row r="102" spans="47:61" x14ac:dyDescent="0.2">
      <c r="AU102" s="129"/>
      <c r="AV102" s="140"/>
      <c r="AW102" s="140"/>
      <c r="AX102" s="141"/>
      <c r="AY102" s="142"/>
      <c r="AZ102" s="143"/>
      <c r="BA102" s="141"/>
      <c r="BB102" s="127"/>
      <c r="BC102" s="102"/>
      <c r="BD102" s="140"/>
      <c r="BE102" s="85"/>
      <c r="BF102" s="42"/>
      <c r="BG102" s="42"/>
      <c r="BH102" s="42"/>
      <c r="BI102" s="42"/>
    </row>
    <row r="103" spans="47:61" x14ac:dyDescent="0.2">
      <c r="AU103" s="130" t="str">
        <f>_xlfn.XLOOKUP(1,EquitiesMaster[Num],EquitiesMaster[Name])</f>
        <v>Preferred Stock</v>
      </c>
      <c r="AV103" s="140"/>
      <c r="AW103" s="140">
        <f>IFERROR(_xlfn.XLOOKUP(AU103,BegBalSht[Account],BegBalSht[Amount]),0)</f>
        <v>0</v>
      </c>
      <c r="AX103" s="141"/>
      <c r="AY103" s="142"/>
      <c r="AZ103" s="143"/>
      <c r="BA103" s="141"/>
      <c r="BB103" s="127"/>
      <c r="BC103" s="102">
        <f>AW103-BG103+BH103</f>
        <v>0</v>
      </c>
      <c r="BD103" s="145">
        <f>-MIN(BC103-AW103-SUM(AZ103:AZ106)+SUM(AY103:AY106),0)</f>
        <v>0</v>
      </c>
      <c r="BE103" s="146">
        <f>MAX(BC103-AW103-SUM(AZ103:AZ106)+SUM(AY103:AY106),0)</f>
        <v>0</v>
      </c>
      <c r="BF103" s="42"/>
      <c r="BG103" s="42">
        <f>SUMIF(Answers[DrAccnt],AU103,Answers[DrAmt])</f>
        <v>0</v>
      </c>
      <c r="BH103" s="42">
        <f>SUMIF(Answers[CrAccnt],AU103,Answers[CrAmt])</f>
        <v>0</v>
      </c>
      <c r="BI103" s="42"/>
    </row>
    <row r="104" spans="47:61" x14ac:dyDescent="0.2">
      <c r="AU104" s="129"/>
      <c r="AV104" s="140"/>
      <c r="AW104" s="140"/>
      <c r="AX104" s="141"/>
      <c r="AY104" s="142"/>
      <c r="AZ104" s="143"/>
      <c r="BA104" s="141"/>
      <c r="BB104" s="127"/>
      <c r="BC104" s="102"/>
      <c r="BD104" s="140"/>
      <c r="BE104" s="85"/>
      <c r="BF104" s="42"/>
      <c r="BG104" s="42"/>
      <c r="BH104" s="42"/>
      <c r="BI104" s="42"/>
    </row>
    <row r="105" spans="47:61" x14ac:dyDescent="0.2">
      <c r="AU105" s="129"/>
      <c r="AV105" s="140"/>
      <c r="AW105" s="140"/>
      <c r="AX105" s="141"/>
      <c r="AY105" s="142"/>
      <c r="AZ105" s="143"/>
      <c r="BA105" s="141"/>
      <c r="BB105" s="127"/>
      <c r="BC105" s="102"/>
      <c r="BD105" s="140"/>
      <c r="BE105" s="85"/>
      <c r="BF105" s="42"/>
      <c r="BG105" s="42"/>
      <c r="BH105" s="42"/>
      <c r="BI105" s="42"/>
    </row>
    <row r="106" spans="47:61" x14ac:dyDescent="0.2">
      <c r="AU106" s="129"/>
      <c r="AV106" s="140"/>
      <c r="AW106" s="140"/>
      <c r="AX106" s="141"/>
      <c r="AY106" s="142"/>
      <c r="AZ106" s="143"/>
      <c r="BA106" s="141"/>
      <c r="BB106" s="127"/>
      <c r="BC106" s="102"/>
      <c r="BD106" s="140"/>
      <c r="BE106" s="85"/>
      <c r="BF106" s="42"/>
      <c r="BG106" s="42"/>
      <c r="BH106" s="42"/>
      <c r="BI106" s="42"/>
    </row>
    <row r="107" spans="47:61" x14ac:dyDescent="0.2">
      <c r="AU107" s="130" t="str">
        <f>_xlfn.XLOOKUP(2,EquitiesMaster[Num],EquitiesMaster[Name])</f>
        <v>Common Stock</v>
      </c>
      <c r="AV107" s="140"/>
      <c r="AW107" s="140">
        <f>IFERROR(_xlfn.XLOOKUP(AU107,BegBalSht[Account],BegBalSht[Amount]),0)</f>
        <v>0</v>
      </c>
      <c r="AX107" s="141"/>
      <c r="AY107" s="142"/>
      <c r="AZ107" s="143">
        <f>IFERROR(_xlfn.XLOOKUP(AU107,$AC$3:$AC$8,$AE$3:$AE$8),0)</f>
        <v>0</v>
      </c>
      <c r="BA107" s="141" t="s">
        <v>96</v>
      </c>
      <c r="BB107" s="127"/>
      <c r="BC107" s="102">
        <f>AW107-BG107+BH107</f>
        <v>0</v>
      </c>
      <c r="BD107" s="145">
        <f>-MIN(BC107-AW107-SUM(AZ107:AZ110)+SUM(AY107:AY110),0)</f>
        <v>0</v>
      </c>
      <c r="BE107" s="146">
        <f>MAX(BC107-AW107-SUM(AZ107:AZ110)+SUM(AY107:AY110),0)</f>
        <v>0</v>
      </c>
      <c r="BF107" s="42"/>
      <c r="BG107" s="42">
        <f>SUMIF(Answers[DrAccnt],AU107,Answers[DrAmt])</f>
        <v>0</v>
      </c>
      <c r="BH107" s="42">
        <f>SUMIF(Answers[CrAccnt],AU107,Answers[CrAmt])</f>
        <v>0</v>
      </c>
      <c r="BI107" s="42"/>
    </row>
    <row r="108" spans="47:61" x14ac:dyDescent="0.2">
      <c r="AU108" s="129"/>
      <c r="AV108" s="140"/>
      <c r="AW108" s="140"/>
      <c r="AX108" s="141"/>
      <c r="AY108" s="142"/>
      <c r="AZ108" s="143">
        <f>IFERROR(_xlfn.XLOOKUP(AU107,AQ11:AQ16,AS11:AS16),0)</f>
        <v>0</v>
      </c>
      <c r="BA108" s="141" t="s">
        <v>122</v>
      </c>
      <c r="BB108" s="127"/>
      <c r="BC108" s="102"/>
      <c r="BD108" s="140"/>
      <c r="BE108" s="85"/>
      <c r="BF108" s="42"/>
      <c r="BG108" s="42"/>
      <c r="BH108" s="42"/>
      <c r="BI108" s="42"/>
    </row>
    <row r="109" spans="47:61" x14ac:dyDescent="0.2">
      <c r="AU109" s="129"/>
      <c r="AV109" s="140"/>
      <c r="AW109" s="140"/>
      <c r="AX109" s="141"/>
      <c r="AY109" s="142"/>
      <c r="AZ109" s="143"/>
      <c r="BA109" s="141"/>
      <c r="BB109" s="127"/>
      <c r="BC109" s="102"/>
      <c r="BD109" s="140"/>
      <c r="BE109" s="85"/>
      <c r="BF109" s="42"/>
      <c r="BG109" s="42"/>
      <c r="BH109" s="42"/>
      <c r="BI109" s="42"/>
    </row>
    <row r="110" spans="47:61" x14ac:dyDescent="0.2">
      <c r="AU110" s="129"/>
      <c r="AV110" s="140"/>
      <c r="AW110" s="140"/>
      <c r="AX110" s="141"/>
      <c r="AY110" s="142"/>
      <c r="AZ110" s="143"/>
      <c r="BA110" s="141"/>
      <c r="BB110" s="127"/>
      <c r="BC110" s="102"/>
      <c r="BD110" s="140"/>
      <c r="BE110" s="85"/>
      <c r="BF110" s="42"/>
      <c r="BG110" s="42"/>
      <c r="BH110" s="42"/>
      <c r="BI110" s="42"/>
    </row>
    <row r="111" spans="47:61" x14ac:dyDescent="0.2">
      <c r="AU111" s="130" t="str">
        <f>_xlfn.XLOOKUP(3,EquitiesMaster[Num],EquitiesMaster[Name])</f>
        <v>Additional Paid-in Capital</v>
      </c>
      <c r="AV111" s="140"/>
      <c r="AW111" s="140">
        <f>IFERROR(_xlfn.XLOOKUP(AU111,BegBalSht[Account],BegBalSht[Amount]),0)</f>
        <v>0</v>
      </c>
      <c r="AX111" s="141"/>
      <c r="AY111" s="142"/>
      <c r="AZ111" s="143">
        <f>IFERROR(_xlfn.XLOOKUP(AU111,$AC$3:$AC$8,$AE$3:$AE$8),0)</f>
        <v>0</v>
      </c>
      <c r="BA111" s="141" t="s">
        <v>96</v>
      </c>
      <c r="BB111" s="127"/>
      <c r="BC111" s="102">
        <f>AW111-BG111+BH111</f>
        <v>0</v>
      </c>
      <c r="BD111" s="145">
        <f>-MIN(BC111-AW111-SUM(AZ111:AZ114)+SUM(AY111:AY114),0)</f>
        <v>0</v>
      </c>
      <c r="BE111" s="146">
        <f>MAX(BC111-AW111-SUM(AZ111:AZ114)+SUM(AY111:AY114),0)</f>
        <v>0</v>
      </c>
      <c r="BF111" s="42"/>
      <c r="BG111" s="42">
        <f>SUMIF(Answers[DrAccnt],AU111,Answers[DrAmt])</f>
        <v>0</v>
      </c>
      <c r="BH111" s="42">
        <f>SUMIF(Answers[CrAccnt],AU111,Answers[CrAmt])</f>
        <v>0</v>
      </c>
      <c r="BI111" s="42"/>
    </row>
    <row r="112" spans="47:61" x14ac:dyDescent="0.2">
      <c r="AU112" s="129"/>
      <c r="AV112" s="140"/>
      <c r="AW112" s="140"/>
      <c r="AX112" s="141"/>
      <c r="AY112" s="142"/>
      <c r="AZ112" s="143"/>
      <c r="BA112" s="141"/>
      <c r="BB112" s="127"/>
      <c r="BC112" s="102"/>
      <c r="BD112" s="140"/>
      <c r="BE112" s="85"/>
      <c r="BF112" s="42"/>
      <c r="BG112" s="42"/>
      <c r="BH112" s="42"/>
      <c r="BI112" s="42"/>
    </row>
    <row r="113" spans="47:61" x14ac:dyDescent="0.2">
      <c r="AU113" s="129"/>
      <c r="AV113" s="140"/>
      <c r="AW113" s="140"/>
      <c r="AX113" s="141"/>
      <c r="AY113" s="142"/>
      <c r="AZ113" s="143"/>
      <c r="BA113" s="141"/>
      <c r="BB113" s="127"/>
      <c r="BC113" s="102"/>
      <c r="BD113" s="140"/>
      <c r="BE113" s="85"/>
      <c r="BF113" s="42"/>
      <c r="BG113" s="42"/>
      <c r="BH113" s="42"/>
      <c r="BI113" s="42"/>
    </row>
    <row r="114" spans="47:61" x14ac:dyDescent="0.2">
      <c r="AU114" s="129"/>
      <c r="AV114" s="140"/>
      <c r="AW114" s="140"/>
      <c r="AX114" s="141"/>
      <c r="AY114" s="142"/>
      <c r="AZ114" s="143"/>
      <c r="BA114" s="141"/>
      <c r="BB114" s="127"/>
      <c r="BC114" s="102"/>
      <c r="BD114" s="140"/>
      <c r="BE114" s="85"/>
      <c r="BF114" s="42"/>
      <c r="BG114" s="42"/>
      <c r="BH114" s="42"/>
      <c r="BI114" s="42"/>
    </row>
    <row r="115" spans="47:61" x14ac:dyDescent="0.2">
      <c r="AU115" s="130" t="str">
        <f>_xlfn.XLOOKUP(4,EquitiesMaster[Num],EquitiesMaster[Name])</f>
        <v>Accumulated Other Comprehensive Income</v>
      </c>
      <c r="AV115" s="140"/>
      <c r="AW115" s="140">
        <f>IFERROR(_xlfn.XLOOKUP(AU115,BegBalSht[Account],BegBalSht[Amount]),0)</f>
        <v>0</v>
      </c>
      <c r="AX115" s="141"/>
      <c r="AY115" s="142"/>
      <c r="AZ115" s="143"/>
      <c r="BA115" s="141"/>
      <c r="BB115" s="127"/>
      <c r="BC115" s="102">
        <f>AW115-BG115+BH115</f>
        <v>0</v>
      </c>
      <c r="BD115" s="145">
        <f>-MIN(BC115-AW115-SUM(AZ115:AZ118)+SUM(AY115:AY118),0)</f>
        <v>0</v>
      </c>
      <c r="BE115" s="146">
        <f>MAX(BC115-AW115-SUM(AZ115:AZ118)+SUM(AY115:AY118),0)</f>
        <v>0</v>
      </c>
      <c r="BF115" s="42"/>
      <c r="BG115" s="42">
        <f>SUMIF(Answers[DrAccnt],AU115,Answers[DrAmt])</f>
        <v>0</v>
      </c>
      <c r="BH115" s="42">
        <f>SUMIF(Answers[CrAccnt],AU115,Answers[CrAmt])</f>
        <v>0</v>
      </c>
      <c r="BI115" s="42"/>
    </row>
    <row r="116" spans="47:61" x14ac:dyDescent="0.2">
      <c r="AU116" s="129"/>
      <c r="AV116" s="140"/>
      <c r="AW116" s="140"/>
      <c r="AX116" s="141"/>
      <c r="AY116" s="142"/>
      <c r="AZ116" s="143"/>
      <c r="BA116" s="141"/>
      <c r="BB116" s="127"/>
      <c r="BC116" s="102"/>
      <c r="BD116" s="140"/>
      <c r="BE116" s="85"/>
      <c r="BF116" s="42"/>
      <c r="BG116" s="42"/>
      <c r="BH116" s="42"/>
      <c r="BI116" s="42"/>
    </row>
    <row r="117" spans="47:61" x14ac:dyDescent="0.2">
      <c r="AU117" s="129"/>
      <c r="AV117" s="140"/>
      <c r="AW117" s="140"/>
      <c r="AX117" s="141"/>
      <c r="AY117" s="142"/>
      <c r="AZ117" s="143"/>
      <c r="BA117" s="141"/>
      <c r="BB117" s="127"/>
      <c r="BC117" s="102"/>
      <c r="BD117" s="140"/>
      <c r="BE117" s="85"/>
      <c r="BF117" s="42"/>
      <c r="BG117" s="42"/>
      <c r="BH117" s="42"/>
      <c r="BI117" s="42"/>
    </row>
    <row r="118" spans="47:61" x14ac:dyDescent="0.2">
      <c r="AU118" s="129"/>
      <c r="AV118" s="140"/>
      <c r="AW118" s="140"/>
      <c r="AX118" s="141"/>
      <c r="AY118" s="142"/>
      <c r="AZ118" s="143"/>
      <c r="BA118" s="141"/>
      <c r="BB118" s="127"/>
      <c r="BC118" s="102"/>
      <c r="BD118" s="140"/>
      <c r="BE118" s="85"/>
      <c r="BF118" s="42"/>
      <c r="BG118" s="42"/>
      <c r="BH118" s="42"/>
      <c r="BI118" s="42"/>
    </row>
    <row r="119" spans="47:61" x14ac:dyDescent="0.2">
      <c r="AU119" s="130" t="str">
        <f>_xlfn.XLOOKUP(5,EquitiesMaster[Num],EquitiesMaster[Name])</f>
        <v>Retained Earnings</v>
      </c>
      <c r="AV119" s="140"/>
      <c r="AW119" s="140">
        <f>IFERROR(_xlfn.XLOOKUP(AU119,BegBalSht[Account],BegBalSht[Amount]),0)</f>
        <v>0</v>
      </c>
      <c r="AX119" s="141" t="s">
        <v>106</v>
      </c>
      <c r="AY119" s="142">
        <f>IFERROR(_xlfn.XLOOKUP(AU119,AP27:AP32,AR27:AR32),0)</f>
        <v>0</v>
      </c>
      <c r="AZ119" s="143"/>
      <c r="BA119" s="141"/>
      <c r="BB119" s="127"/>
      <c r="BC119" s="102">
        <f>AW119-BG119+BH119</f>
        <v>0</v>
      </c>
      <c r="BD119" s="147">
        <f>-MIN(BC119-AW119-SUM(AZ119:AZ122)+SUM(AY119:AY122),0)</f>
        <v>0</v>
      </c>
      <c r="BE119" s="148">
        <f>MAX(BC119-AW119-SUM(AZ119:AZ122)+SUM(AY119:AY122),0)</f>
        <v>0</v>
      </c>
      <c r="BF119" s="42"/>
      <c r="BG119" s="42">
        <f>SUMIF(Answers[DrAccnt],AU119,Answers[DrAmt])</f>
        <v>0</v>
      </c>
      <c r="BH119" s="42">
        <f>SUMIF(Answers[CrAccnt],AU119,Answers[CrAmt])</f>
        <v>0</v>
      </c>
      <c r="BI119" s="42"/>
    </row>
    <row r="120" spans="47:61" x14ac:dyDescent="0.2">
      <c r="AU120" s="129"/>
      <c r="AV120" s="140"/>
      <c r="AW120" s="140"/>
      <c r="AX120" s="141"/>
      <c r="AY120" s="142"/>
      <c r="AZ120" s="143"/>
      <c r="BA120" s="141"/>
      <c r="BB120" s="127"/>
      <c r="BC120" s="102"/>
      <c r="BD120" s="140"/>
      <c r="BE120" s="85"/>
      <c r="BF120" s="42"/>
      <c r="BG120" s="42"/>
      <c r="BH120" s="42"/>
      <c r="BI120" s="42"/>
    </row>
    <row r="121" spans="47:61" x14ac:dyDescent="0.2">
      <c r="AU121" s="129"/>
      <c r="AV121" s="140"/>
      <c r="AW121" s="140"/>
      <c r="AX121" s="141"/>
      <c r="AY121" s="142"/>
      <c r="AZ121" s="143"/>
      <c r="BA121" s="141"/>
      <c r="BB121" s="127"/>
      <c r="BC121" s="102"/>
      <c r="BD121" s="140"/>
      <c r="BE121" s="85"/>
      <c r="BF121" s="42"/>
      <c r="BG121" s="42"/>
      <c r="BH121" s="42"/>
      <c r="BI121" s="42"/>
    </row>
    <row r="122" spans="47:61" x14ac:dyDescent="0.2">
      <c r="AU122" s="129"/>
      <c r="AV122" s="140"/>
      <c r="AW122" s="140"/>
      <c r="AX122" s="141"/>
      <c r="AY122" s="142"/>
      <c r="AZ122" s="143"/>
      <c r="BA122" s="141"/>
      <c r="BB122" s="127"/>
      <c r="BC122" s="102"/>
      <c r="BD122" s="140"/>
      <c r="BE122" s="85"/>
      <c r="BF122" s="42"/>
      <c r="BG122" s="42"/>
      <c r="BH122" s="42"/>
      <c r="BI122" s="42"/>
    </row>
    <row r="123" spans="47:61" x14ac:dyDescent="0.2">
      <c r="AU123" s="130" t="str">
        <f>_xlfn.XLOOKUP(6,EquitiesMaster[Num],EquitiesMaster[Name])</f>
        <v>Treasury Stock</v>
      </c>
      <c r="AV123" s="140" cm="1">
        <f t="array" ref="AV123">IFERROR(_xlfn.XLOOKUP(AU123,BegBalSht[Account],-BegBalSht[Amount]),0)</f>
        <v>0</v>
      </c>
      <c r="AW123" s="140"/>
      <c r="AX123" s="141"/>
      <c r="AY123" s="142"/>
      <c r="AZ123" s="143"/>
      <c r="BA123" s="141"/>
      <c r="BB123" s="127">
        <f>AV123+BG123-BH123</f>
        <v>0</v>
      </c>
      <c r="BC123" s="102"/>
      <c r="BD123" s="147">
        <f>-MIN(BC123-AW123-SUM(AZ123:AZ126)+SUM(AY123:AY126),0)</f>
        <v>0</v>
      </c>
      <c r="BE123" s="148">
        <f>MAX(BC123-AW123-SUM(AZ123:AZ126)+SUM(AY123:AY126),0)</f>
        <v>0</v>
      </c>
      <c r="BF123" s="42"/>
      <c r="BG123" s="42">
        <f>SUMIF(Answers[DrAccnt],AU123,Answers[DrAmt])</f>
        <v>0</v>
      </c>
      <c r="BH123" s="42">
        <f>SUMIF(Answers[CrAccnt],AU123,Answers[CrAmt])</f>
        <v>0</v>
      </c>
      <c r="BI123" s="42"/>
    </row>
    <row r="124" spans="47:61" x14ac:dyDescent="0.2">
      <c r="AU124" s="129"/>
      <c r="AV124" s="127"/>
      <c r="AW124" s="127"/>
      <c r="AX124" s="149"/>
      <c r="AY124" s="108"/>
      <c r="AZ124" s="108"/>
      <c r="BA124" s="141"/>
      <c r="BB124" s="127"/>
      <c r="BC124" s="102"/>
      <c r="BD124" s="150"/>
      <c r="BE124" s="151"/>
      <c r="BF124" s="42"/>
      <c r="BG124" s="42"/>
      <c r="BH124" s="42"/>
      <c r="BI124" s="42"/>
    </row>
    <row r="125" spans="47:61" x14ac:dyDescent="0.2">
      <c r="AU125" s="129"/>
      <c r="AV125" s="127"/>
      <c r="AW125" s="127"/>
      <c r="AX125" s="152"/>
      <c r="AY125" s="108"/>
      <c r="AZ125" s="108"/>
      <c r="BA125" s="141"/>
      <c r="BB125" s="127"/>
      <c r="BC125" s="102"/>
      <c r="BD125" s="150"/>
      <c r="BE125" s="151"/>
      <c r="BF125" s="42"/>
      <c r="BG125" s="42"/>
      <c r="BH125" s="42"/>
      <c r="BI125" s="42"/>
    </row>
    <row r="126" spans="47:61" x14ac:dyDescent="0.2">
      <c r="AU126" s="129"/>
      <c r="AV126" s="140"/>
      <c r="AW126" s="140"/>
      <c r="AX126" s="141"/>
      <c r="AY126" s="142"/>
      <c r="AZ126" s="143"/>
      <c r="BA126" s="141"/>
      <c r="BB126" s="127"/>
      <c r="BC126" s="102"/>
      <c r="BD126" s="140"/>
      <c r="BE126" s="85"/>
      <c r="BF126" s="42"/>
      <c r="BG126" s="42"/>
      <c r="BH126" s="42"/>
      <c r="BI126" s="42"/>
    </row>
    <row r="127" spans="47:61" x14ac:dyDescent="0.2">
      <c r="AU127" s="130" t="str">
        <f>_xlfn.XLOOKUP(7,EquitiesMaster[Num],EquitiesMaster[Name])</f>
        <v>Noncontrolling Interests in Subsidiaries</v>
      </c>
      <c r="AV127" s="140" cm="1">
        <f t="array" ref="AV127">IFERROR(_xlfn.XLOOKUP(AU127,BegBalSht[Account],-BegBalSht[Amount]),0)</f>
        <v>0</v>
      </c>
      <c r="AW127" s="140"/>
      <c r="AX127" s="141"/>
      <c r="AY127" s="142"/>
      <c r="AZ127" s="143"/>
      <c r="BA127" s="141"/>
      <c r="BB127" s="127">
        <f>AV127+BG127-BH127</f>
        <v>0</v>
      </c>
      <c r="BC127" s="102"/>
      <c r="BD127" s="147">
        <f>MAX(BB127-AV127-SUM(AY127:AY130)+SUM(AZ127:AZ130),0)</f>
        <v>0</v>
      </c>
      <c r="BE127" s="148">
        <f>-MIN(BB127-AV127-SUM(AY127:AY130)+SUM(AZ127:AZ130),0)</f>
        <v>0</v>
      </c>
      <c r="BF127" s="42"/>
      <c r="BG127" s="42">
        <f>SUMIF(Answers[DrAccnt],AU127,Answers[DrAmt])</f>
        <v>0</v>
      </c>
      <c r="BH127" s="42">
        <f>SUMIF(Answers[CrAccnt],AU127,Answers[CrAmt])</f>
        <v>0</v>
      </c>
      <c r="BI127" s="42"/>
    </row>
    <row r="128" spans="47:61" x14ac:dyDescent="0.2">
      <c r="AU128" s="129"/>
      <c r="AV128" s="140"/>
      <c r="AW128" s="140"/>
      <c r="AX128" s="141"/>
      <c r="AY128" s="142"/>
      <c r="AZ128" s="143"/>
      <c r="BA128" s="141"/>
      <c r="BB128" s="127"/>
      <c r="BC128" s="102"/>
      <c r="BD128" s="140"/>
      <c r="BE128" s="85"/>
      <c r="BF128" s="42"/>
    </row>
    <row r="129" spans="47:61" x14ac:dyDescent="0.2">
      <c r="AU129" s="129"/>
      <c r="AV129" s="140"/>
      <c r="AW129" s="140"/>
      <c r="AX129" s="141"/>
      <c r="AY129" s="142"/>
      <c r="AZ129" s="143"/>
      <c r="BA129" s="141"/>
      <c r="BB129" s="127"/>
      <c r="BC129" s="102"/>
      <c r="BD129" s="140"/>
      <c r="BE129" s="85"/>
      <c r="BF129" s="42"/>
    </row>
    <row r="130" spans="47:61" ht="16" thickBot="1" x14ac:dyDescent="0.25">
      <c r="AU130" s="131"/>
      <c r="AV130" s="132"/>
      <c r="AW130" s="132"/>
      <c r="AX130" s="153"/>
      <c r="AY130" s="109"/>
      <c r="AZ130" s="109"/>
      <c r="BA130" s="154"/>
      <c r="BB130" s="132"/>
      <c r="BC130" s="155"/>
      <c r="BD130" s="150"/>
      <c r="BE130" s="156"/>
      <c r="BF130" s="42"/>
    </row>
    <row r="131" spans="47:61" ht="17" thickTop="1" thickBot="1" x14ac:dyDescent="0.25">
      <c r="AV131" s="140"/>
      <c r="AW131" s="140"/>
      <c r="AX131" s="141"/>
      <c r="AY131" s="157" t="s">
        <v>159</v>
      </c>
      <c r="AZ131" s="157"/>
      <c r="BA131" s="141"/>
      <c r="BB131" s="140"/>
      <c r="BC131" s="140"/>
      <c r="BD131" s="158"/>
      <c r="BE131" s="158"/>
      <c r="BF131" s="42"/>
    </row>
    <row r="132" spans="47:61" x14ac:dyDescent="0.2">
      <c r="AV132" s="42"/>
      <c r="AW132" s="42"/>
      <c r="AX132" s="159" t="s">
        <v>517</v>
      </c>
      <c r="AY132" s="42">
        <f>_xlfn.XLOOKUP("Cash",BegBalSht[Account],BegBalSht[Amount])</f>
        <v>0</v>
      </c>
      <c r="AZ132" s="42"/>
      <c r="BA132" s="160"/>
      <c r="BB132" s="42"/>
      <c r="BC132" s="42"/>
      <c r="BD132" s="42"/>
      <c r="BE132" s="42"/>
      <c r="BF132" s="42"/>
    </row>
    <row r="133" spans="47:61" x14ac:dyDescent="0.2">
      <c r="AV133" s="42"/>
      <c r="AW133" s="42"/>
      <c r="AX133" s="160"/>
      <c r="AY133" s="161" t="s">
        <v>436</v>
      </c>
      <c r="AZ133" s="161"/>
      <c r="BA133" s="160"/>
      <c r="BB133" s="42"/>
      <c r="BC133" s="42"/>
      <c r="BD133" s="42"/>
      <c r="BE133" s="42"/>
      <c r="BF133" s="42"/>
    </row>
    <row r="134" spans="47:61" x14ac:dyDescent="0.2">
      <c r="AV134" s="42"/>
      <c r="AW134" s="42"/>
      <c r="AX134" s="160" t="s">
        <v>518</v>
      </c>
      <c r="AY134" s="162">
        <f>F35</f>
        <v>5</v>
      </c>
      <c r="AZ134" s="42"/>
      <c r="BA134" s="160" t="s">
        <v>519</v>
      </c>
      <c r="BB134" s="42"/>
      <c r="BC134" s="42"/>
      <c r="BD134" s="42"/>
      <c r="BE134" s="42"/>
      <c r="BF134" s="42"/>
      <c r="BG134" s="42"/>
      <c r="BH134" s="159" t="s">
        <v>331</v>
      </c>
      <c r="BI134" s="159" t="s">
        <v>333</v>
      </c>
    </row>
    <row r="135" spans="47:61" x14ac:dyDescent="0.2">
      <c r="AV135" s="42"/>
      <c r="AW135" s="42"/>
      <c r="AX135" s="160" t="s">
        <v>520</v>
      </c>
      <c r="AY135" s="85">
        <f>IFERROR(_xlfn.XLOOKUP("Loss on Sale of PP&amp;E",AI27:AI32,AK27:AK32),0)</f>
        <v>0</v>
      </c>
      <c r="AZ135" s="42">
        <f>IFERROR(_xlfn.XLOOKUP("Gain on Sale of PP&amp;E",AJ27:AJ32,AL27:AL32),0)</f>
        <v>0</v>
      </c>
      <c r="BA135" s="160" t="s">
        <v>521</v>
      </c>
      <c r="BB135" s="42"/>
      <c r="BC135" s="42"/>
      <c r="BD135" s="42"/>
      <c r="BE135" s="42"/>
      <c r="BF135" s="42"/>
      <c r="BG135" s="42" t="s">
        <v>522</v>
      </c>
      <c r="BH135" s="42">
        <f ca="1">SUM(AY3:AY130)</f>
        <v>0</v>
      </c>
      <c r="BI135" s="42" t="e">
        <f ca="1">SUM(AZ3:AZ130)</f>
        <v>#NAME?</v>
      </c>
    </row>
    <row r="136" spans="47:61" x14ac:dyDescent="0.2">
      <c r="AV136" s="42"/>
      <c r="AW136" s="42"/>
      <c r="AX136" s="160" t="s">
        <v>523</v>
      </c>
      <c r="AY136" s="85">
        <f ca="1">IFERROR(_xlfn.XLOOKUP("Loss on Sale of Subsidiary",$AI$67:$AI$80,$AK$67:$AK$80),0)</f>
        <v>0</v>
      </c>
      <c r="AZ136" s="140">
        <f ca="1">IFERROR(_xlfn.XLOOKUP("Gain on Sale of Subsidiary",$AJ$67:$AJ$80,$AL$67:$AL$80),0)</f>
        <v>0</v>
      </c>
      <c r="BA136" s="141" t="s">
        <v>524</v>
      </c>
      <c r="BB136" s="42"/>
      <c r="BC136" s="42"/>
      <c r="BD136" s="42"/>
      <c r="BE136" s="42"/>
      <c r="BF136" s="42"/>
      <c r="BG136" s="42" t="s">
        <v>525</v>
      </c>
      <c r="BH136" s="42" t="e">
        <f ca="1">SUM(BD3:BD130)</f>
        <v>#NAME?</v>
      </c>
      <c r="BI136" s="42" t="e">
        <f ca="1">SUM(BE3:BE130)</f>
        <v>#NAME?</v>
      </c>
    </row>
    <row r="137" spans="47:61" x14ac:dyDescent="0.2">
      <c r="AV137" s="42"/>
      <c r="AW137" s="42"/>
      <c r="AX137" s="160" t="s">
        <v>526</v>
      </c>
      <c r="AY137" s="85">
        <f>IFERROR(_xlfn.XLOOKUP("LOss on Retirement of Debt",AB59:AB64,AD59:AD64),0)</f>
        <v>0</v>
      </c>
      <c r="AZ137" s="42">
        <f>IFERROR(_xlfn.XLOOKUP("Gain on Retirement of Debt",AC59:AC64,AE59:AE64),0)</f>
        <v>0</v>
      </c>
      <c r="BA137" s="160" t="s">
        <v>527</v>
      </c>
      <c r="BB137" s="42"/>
      <c r="BC137" s="42"/>
      <c r="BD137" s="42"/>
      <c r="BE137" s="42"/>
      <c r="BF137" s="42"/>
      <c r="BG137" s="42" t="s">
        <v>436</v>
      </c>
      <c r="BH137" s="42" t="e">
        <f ca="1">SUM(AY134:AY159)</f>
        <v>#NAME?</v>
      </c>
      <c r="BI137" s="42" t="e">
        <f ca="1">SUM(AZ134:AZ159)</f>
        <v>#NAME?</v>
      </c>
    </row>
    <row r="138" spans="47:61" x14ac:dyDescent="0.2">
      <c r="AV138" s="42"/>
      <c r="AW138" s="42"/>
      <c r="AX138" s="160" t="s">
        <v>292</v>
      </c>
      <c r="AY138" s="85">
        <f ca="1">BE11</f>
        <v>0</v>
      </c>
      <c r="AZ138" s="42">
        <f ca="1">BD11</f>
        <v>0</v>
      </c>
      <c r="BA138" s="160" t="s">
        <v>282</v>
      </c>
      <c r="BB138" s="42"/>
      <c r="BC138" s="42"/>
      <c r="BD138" s="42"/>
      <c r="BE138" s="42"/>
      <c r="BF138" s="42"/>
      <c r="BG138" s="42" t="s">
        <v>528</v>
      </c>
      <c r="BH138" s="42">
        <f ca="1">SUM(AY176:AY182)</f>
        <v>0</v>
      </c>
      <c r="BI138" s="42">
        <f>SUM(AZ176:AZ182)</f>
        <v>0</v>
      </c>
    </row>
    <row r="139" spans="47:61" x14ac:dyDescent="0.2">
      <c r="AV139" s="42"/>
      <c r="AW139" s="42"/>
      <c r="AY139" s="85"/>
      <c r="AZ139" s="42"/>
      <c r="BB139" s="42"/>
      <c r="BC139" s="42"/>
      <c r="BD139" s="42"/>
      <c r="BE139" s="42"/>
      <c r="BF139" s="42"/>
      <c r="BG139" s="42" t="s">
        <v>529</v>
      </c>
      <c r="BH139" s="42">
        <f>SUM(AY185:AY191)</f>
        <v>0</v>
      </c>
      <c r="BI139" s="42">
        <f>SUM(AZ185:AZ191)</f>
        <v>0</v>
      </c>
    </row>
    <row r="140" spans="47:61" ht="16" thickBot="1" x14ac:dyDescent="0.25">
      <c r="AV140" s="42"/>
      <c r="AW140" s="42"/>
      <c r="AX140" s="160" t="s">
        <v>530</v>
      </c>
      <c r="AY140" s="85">
        <f ca="1">BE35</f>
        <v>0</v>
      </c>
      <c r="AZ140" s="42"/>
      <c r="BA140" s="160"/>
      <c r="BB140" s="42"/>
      <c r="BC140" s="42"/>
      <c r="BD140" s="42"/>
      <c r="BE140" s="42"/>
      <c r="BF140" s="42"/>
      <c r="BG140" s="42" t="s">
        <v>409</v>
      </c>
      <c r="BH140" s="163" t="e">
        <f ca="1">SUM(BH135:BH139)</f>
        <v>#NAME?</v>
      </c>
      <c r="BI140" s="163" t="e">
        <f ca="1">SUM(BI135:BI139)</f>
        <v>#NAME?</v>
      </c>
    </row>
    <row r="141" spans="47:61" ht="16" thickTop="1" x14ac:dyDescent="0.2">
      <c r="AV141" s="42"/>
      <c r="AW141" s="42"/>
      <c r="AX141" s="160" t="s">
        <v>531</v>
      </c>
      <c r="AY141" s="85">
        <f ca="1">BE39</f>
        <v>0</v>
      </c>
      <c r="AZ141" s="42"/>
      <c r="BA141" s="160"/>
      <c r="BB141" s="42"/>
      <c r="BC141" s="42"/>
      <c r="BD141" s="42"/>
      <c r="BE141" s="42"/>
      <c r="BF141" s="42"/>
      <c r="BG141" s="42"/>
      <c r="BH141" s="42"/>
      <c r="BI141" s="42"/>
    </row>
    <row r="142" spans="47:61" x14ac:dyDescent="0.2">
      <c r="AV142" s="42"/>
      <c r="AW142" s="42"/>
      <c r="AX142" s="160"/>
      <c r="AY142" s="85"/>
      <c r="AZ142" s="42"/>
      <c r="BA142" s="160"/>
      <c r="BB142" s="42"/>
      <c r="BC142" s="42"/>
      <c r="BD142" s="42"/>
      <c r="BE142" s="42"/>
      <c r="BF142" s="42"/>
      <c r="BG142" s="42"/>
      <c r="BH142" s="42"/>
      <c r="BI142" s="42"/>
    </row>
    <row r="143" spans="47:61" x14ac:dyDescent="0.2">
      <c r="AV143" s="42"/>
      <c r="AW143" s="42"/>
      <c r="AX143" s="160" t="s">
        <v>210</v>
      </c>
      <c r="AY143" s="85" t="e">
        <f ca="1">BE3</f>
        <v>#NAME?</v>
      </c>
      <c r="AZ143" s="42" t="e">
        <f ca="1">BD3</f>
        <v>#NAME?</v>
      </c>
      <c r="BA143" s="160" t="s">
        <v>210</v>
      </c>
      <c r="BB143" s="42"/>
      <c r="BC143" s="42"/>
      <c r="BD143" s="42"/>
      <c r="BE143" s="42"/>
      <c r="BF143" s="42"/>
      <c r="BG143" s="42"/>
      <c r="BH143" s="42"/>
      <c r="BI143" s="42"/>
    </row>
    <row r="144" spans="47:61" x14ac:dyDescent="0.2">
      <c r="AV144" s="42"/>
      <c r="AW144" s="42"/>
      <c r="AX144" s="160"/>
      <c r="AY144" s="85"/>
      <c r="AZ144" s="42">
        <f ca="1">BD7</f>
        <v>0</v>
      </c>
      <c r="BA144" s="160" t="s">
        <v>211</v>
      </c>
      <c r="BB144" s="42"/>
      <c r="BC144" s="42"/>
      <c r="BD144" s="42"/>
      <c r="BE144" s="42"/>
      <c r="BF144" s="42"/>
      <c r="BG144" s="42"/>
      <c r="BH144" s="42"/>
      <c r="BI144" s="42"/>
    </row>
    <row r="145" spans="48:61" x14ac:dyDescent="0.2">
      <c r="AV145" s="42"/>
      <c r="AW145" s="42"/>
      <c r="AX145" s="160" t="s">
        <v>532</v>
      </c>
      <c r="AY145" s="85">
        <f ca="1">BE15</f>
        <v>0</v>
      </c>
      <c r="AZ145" s="42">
        <f ca="1">BD15</f>
        <v>0</v>
      </c>
      <c r="BA145" s="160" t="s">
        <v>532</v>
      </c>
      <c r="BB145" s="42"/>
      <c r="BC145" s="42"/>
      <c r="BD145" s="42"/>
      <c r="BE145" s="42"/>
      <c r="BF145" s="42"/>
      <c r="BG145" s="42"/>
      <c r="BH145" s="42"/>
      <c r="BI145" s="42"/>
    </row>
    <row r="146" spans="48:61" x14ac:dyDescent="0.2">
      <c r="AV146" s="42"/>
      <c r="AW146" s="42"/>
      <c r="AX146" s="160" t="s">
        <v>215</v>
      </c>
      <c r="AY146" s="85">
        <f ca="1">BE19</f>
        <v>0</v>
      </c>
      <c r="AZ146" s="42">
        <f ca="1">BD19</f>
        <v>0</v>
      </c>
      <c r="BA146" s="160" t="s">
        <v>215</v>
      </c>
      <c r="BB146" s="42"/>
      <c r="BC146" s="42"/>
      <c r="BD146" s="42"/>
      <c r="BE146" s="42"/>
      <c r="BF146" s="42"/>
      <c r="BG146" s="42"/>
      <c r="BH146" s="42"/>
      <c r="BI146" s="42"/>
    </row>
    <row r="147" spans="48:61" x14ac:dyDescent="0.2">
      <c r="AV147" s="42"/>
      <c r="AW147" s="42"/>
      <c r="AX147" s="160" t="s">
        <v>216</v>
      </c>
      <c r="AY147" s="85">
        <f ca="1">BE23</f>
        <v>0</v>
      </c>
      <c r="AZ147" s="42">
        <f ca="1">BD23</f>
        <v>0</v>
      </c>
      <c r="BA147" s="160" t="s">
        <v>216</v>
      </c>
      <c r="BB147" s="42"/>
      <c r="BC147" s="42"/>
      <c r="BD147" s="42"/>
      <c r="BE147" s="42"/>
      <c r="BF147" s="42"/>
      <c r="BG147" s="42"/>
      <c r="BH147" s="42"/>
      <c r="BI147" s="42"/>
    </row>
    <row r="148" spans="48:61" x14ac:dyDescent="0.2">
      <c r="AV148" s="42"/>
      <c r="AW148" s="42"/>
      <c r="AX148" s="160" t="s">
        <v>217</v>
      </c>
      <c r="AY148" s="85">
        <f ca="1">BE27</f>
        <v>0</v>
      </c>
      <c r="AZ148" s="42">
        <f ca="1">BD27</f>
        <v>0</v>
      </c>
      <c r="BA148" s="160" t="s">
        <v>217</v>
      </c>
      <c r="BB148" s="42"/>
      <c r="BC148" s="42"/>
      <c r="BD148" s="42"/>
      <c r="BE148" s="42"/>
      <c r="BF148" s="42"/>
      <c r="BG148" s="42"/>
      <c r="BH148" s="42"/>
      <c r="BI148" s="42"/>
    </row>
    <row r="149" spans="48:61" x14ac:dyDescent="0.2">
      <c r="AV149" s="42"/>
      <c r="AW149" s="42"/>
      <c r="AX149" s="160" t="s">
        <v>218</v>
      </c>
      <c r="AY149" s="85">
        <f ca="1">BE31</f>
        <v>50</v>
      </c>
      <c r="AZ149" s="42">
        <f ca="1">BD31</f>
        <v>0</v>
      </c>
      <c r="BA149" s="160" t="s">
        <v>218</v>
      </c>
      <c r="BB149" s="42"/>
      <c r="BC149" s="42"/>
      <c r="BD149" s="42"/>
      <c r="BE149" s="42"/>
      <c r="BF149" s="42"/>
      <c r="BG149" s="42"/>
      <c r="BH149" s="42"/>
      <c r="BI149" s="42"/>
    </row>
    <row r="150" spans="48:61" x14ac:dyDescent="0.2">
      <c r="AV150" s="42"/>
      <c r="AW150" s="42"/>
      <c r="AX150" s="160" t="s">
        <v>533</v>
      </c>
      <c r="AY150" s="85">
        <f ca="1">BE43</f>
        <v>0</v>
      </c>
      <c r="AZ150" s="42">
        <f ca="1">BD43</f>
        <v>0</v>
      </c>
      <c r="BA150" s="160" t="s">
        <v>533</v>
      </c>
      <c r="BB150" s="42"/>
      <c r="BC150" s="42"/>
      <c r="BD150" s="42"/>
      <c r="BE150" s="42"/>
      <c r="BF150" s="42"/>
      <c r="BG150" s="42"/>
      <c r="BH150" s="42"/>
      <c r="BI150" s="42"/>
    </row>
    <row r="151" spans="48:61" x14ac:dyDescent="0.2">
      <c r="AV151" s="42"/>
      <c r="AW151" s="42"/>
      <c r="AX151" s="160" t="s">
        <v>534</v>
      </c>
      <c r="AY151" s="85">
        <f ca="1">BE47</f>
        <v>0</v>
      </c>
      <c r="AZ151" s="42">
        <f ca="1">BD47</f>
        <v>0</v>
      </c>
      <c r="BA151" s="160" t="s">
        <v>534</v>
      </c>
      <c r="BB151" s="42"/>
      <c r="BC151" s="42"/>
      <c r="BD151" s="42"/>
      <c r="BE151" s="42"/>
      <c r="BF151" s="42"/>
      <c r="BG151" s="42"/>
      <c r="BH151" s="42"/>
      <c r="BI151" s="42"/>
    </row>
    <row r="152" spans="48:61" x14ac:dyDescent="0.2">
      <c r="AV152" s="42"/>
      <c r="AW152" s="42"/>
      <c r="AX152" s="1" t="s">
        <v>224</v>
      </c>
      <c r="AY152" s="85">
        <f ca="1">BE51</f>
        <v>0</v>
      </c>
      <c r="AZ152" s="42">
        <f ca="1">BD51</f>
        <v>0</v>
      </c>
      <c r="BA152" s="1" t="s">
        <v>224</v>
      </c>
      <c r="BB152" s="42"/>
      <c r="BC152" s="42"/>
      <c r="BD152" s="42"/>
      <c r="BE152" s="42"/>
      <c r="BF152" s="42"/>
      <c r="BG152" s="42"/>
      <c r="BH152" s="42"/>
      <c r="BI152" s="42"/>
    </row>
    <row r="153" spans="48:61" x14ac:dyDescent="0.2">
      <c r="AV153" s="42"/>
      <c r="AW153" s="42"/>
      <c r="AX153" s="160"/>
      <c r="AY153" s="85"/>
      <c r="AZ153" s="42"/>
      <c r="BA153" s="160"/>
      <c r="BB153" s="42"/>
      <c r="BC153" s="42"/>
      <c r="BD153" s="42"/>
      <c r="BE153" s="42"/>
      <c r="BF153" s="42"/>
      <c r="BG153" s="42"/>
      <c r="BH153" s="42"/>
      <c r="BI153" s="42"/>
    </row>
    <row r="154" spans="48:61" x14ac:dyDescent="0.2">
      <c r="AV154" s="42"/>
      <c r="AW154" s="42"/>
      <c r="AX154" s="160" t="s">
        <v>227</v>
      </c>
      <c r="AY154" s="85">
        <f ca="1">BE55</f>
        <v>0</v>
      </c>
      <c r="AZ154" s="42">
        <f ca="1">BD55</f>
        <v>20</v>
      </c>
      <c r="BA154" s="160" t="s">
        <v>227</v>
      </c>
      <c r="BB154" s="42"/>
      <c r="BC154" s="42"/>
      <c r="BD154" s="42"/>
      <c r="BE154" s="42"/>
      <c r="BF154" s="42"/>
      <c r="BG154" s="42"/>
      <c r="BH154" s="42"/>
      <c r="BI154" s="42"/>
    </row>
    <row r="155" spans="48:61" x14ac:dyDescent="0.2">
      <c r="AV155" s="42"/>
      <c r="AW155" s="42"/>
      <c r="AX155" s="160" t="s">
        <v>238</v>
      </c>
      <c r="AY155" s="85">
        <f ca="1">BE59</f>
        <v>0</v>
      </c>
      <c r="AZ155" s="42">
        <f ca="1">BD59</f>
        <v>0</v>
      </c>
      <c r="BA155" s="160" t="s">
        <v>238</v>
      </c>
      <c r="BB155" s="42"/>
      <c r="BC155" s="42"/>
      <c r="BD155" s="42"/>
      <c r="BE155" s="42"/>
      <c r="BF155" s="42"/>
      <c r="BG155" s="42"/>
      <c r="BH155" s="42"/>
      <c r="BI155" s="42"/>
    </row>
    <row r="156" spans="48:61" x14ac:dyDescent="0.2">
      <c r="AV156" s="42"/>
      <c r="AW156" s="42"/>
      <c r="AX156" s="160" t="s">
        <v>535</v>
      </c>
      <c r="AY156" s="85">
        <f ca="1">BE63</f>
        <v>0</v>
      </c>
      <c r="AZ156" s="42">
        <f ca="1">BD63</f>
        <v>0</v>
      </c>
      <c r="BA156" s="160" t="s">
        <v>535</v>
      </c>
      <c r="BB156" s="42"/>
      <c r="BC156" s="42"/>
      <c r="BD156" s="42"/>
      <c r="BE156" s="42"/>
      <c r="BF156" s="42"/>
      <c r="BG156" s="42"/>
      <c r="BH156" s="42"/>
      <c r="BI156" s="42"/>
    </row>
    <row r="157" spans="48:61" x14ac:dyDescent="0.2">
      <c r="AV157" s="42"/>
      <c r="AW157" s="42"/>
      <c r="AX157" s="160" t="s">
        <v>229</v>
      </c>
      <c r="AY157" s="85">
        <f ca="1">BE67</f>
        <v>0</v>
      </c>
      <c r="AZ157" s="42">
        <f ca="1">BD67</f>
        <v>0</v>
      </c>
      <c r="BA157" s="160" t="s">
        <v>229</v>
      </c>
      <c r="BB157" s="42"/>
      <c r="BC157" s="42"/>
      <c r="BD157" s="42"/>
      <c r="BE157" s="42"/>
      <c r="BF157" s="42"/>
      <c r="BG157" s="42"/>
      <c r="BH157" s="42"/>
      <c r="BI157" s="42"/>
    </row>
    <row r="158" spans="48:61" x14ac:dyDescent="0.2">
      <c r="AV158" s="42"/>
      <c r="AW158" s="42"/>
      <c r="AX158" s="160" t="s">
        <v>230</v>
      </c>
      <c r="AY158" s="85">
        <f ca="1">BE71</f>
        <v>0</v>
      </c>
      <c r="AZ158" s="42">
        <f ca="1">BD71</f>
        <v>0</v>
      </c>
      <c r="BA158" s="160" t="s">
        <v>230</v>
      </c>
      <c r="BB158" s="42"/>
      <c r="BC158" s="42"/>
      <c r="BD158" s="42"/>
      <c r="BE158" s="42"/>
      <c r="BF158" s="42"/>
      <c r="BG158" s="42"/>
      <c r="BH158" s="42"/>
      <c r="BI158" s="42"/>
    </row>
    <row r="159" spans="48:61" x14ac:dyDescent="0.2">
      <c r="AV159" s="42"/>
      <c r="AW159" s="42"/>
      <c r="AX159" s="160" t="s">
        <v>536</v>
      </c>
      <c r="AY159" s="85">
        <f ca="1">BE75</f>
        <v>0</v>
      </c>
      <c r="AZ159" s="42">
        <f ca="1">BD75</f>
        <v>0</v>
      </c>
      <c r="BA159" s="160" t="s">
        <v>536</v>
      </c>
      <c r="BB159" s="42"/>
      <c r="BC159" s="42"/>
      <c r="BD159" s="42"/>
      <c r="BE159" s="42"/>
      <c r="BF159" s="42"/>
      <c r="BG159" s="42"/>
      <c r="BH159" s="42"/>
      <c r="BI159" s="42"/>
    </row>
    <row r="160" spans="48:61" x14ac:dyDescent="0.2">
      <c r="AV160" s="42"/>
      <c r="AW160" s="42"/>
      <c r="AX160" s="160" t="s">
        <v>232</v>
      </c>
      <c r="AY160" s="85">
        <f ca="1">BE79</f>
        <v>0</v>
      </c>
      <c r="AZ160" s="42">
        <f ca="1">BD79</f>
        <v>0</v>
      </c>
      <c r="BA160" s="160" t="s">
        <v>232</v>
      </c>
      <c r="BB160" s="42"/>
      <c r="BC160" s="42"/>
      <c r="BD160" s="42"/>
      <c r="BE160" s="42"/>
      <c r="BF160" s="42"/>
      <c r="BG160" s="42"/>
      <c r="BH160" s="42"/>
      <c r="BI160" s="42"/>
    </row>
    <row r="161" spans="48:61" x14ac:dyDescent="0.2">
      <c r="AV161" s="42"/>
      <c r="AW161" s="42"/>
      <c r="AX161" s="160" t="s">
        <v>233</v>
      </c>
      <c r="AY161" s="85">
        <f ca="1">BE83</f>
        <v>0</v>
      </c>
      <c r="AZ161" s="42">
        <f ca="1">BD83</f>
        <v>0</v>
      </c>
      <c r="BA161" s="160" t="s">
        <v>233</v>
      </c>
      <c r="BB161" s="42"/>
      <c r="BC161" s="42"/>
      <c r="BD161" s="42"/>
      <c r="BE161" s="42"/>
      <c r="BF161" s="42"/>
      <c r="BG161" s="42"/>
      <c r="BH161" s="42"/>
      <c r="BI161" s="42"/>
    </row>
    <row r="162" spans="48:61" x14ac:dyDescent="0.2">
      <c r="AV162" s="42"/>
      <c r="AW162" s="42"/>
      <c r="AX162" s="160" t="s">
        <v>234</v>
      </c>
      <c r="AY162" s="85">
        <f ca="1">BE87</f>
        <v>0</v>
      </c>
      <c r="AZ162" s="42">
        <f ca="1">BD87</f>
        <v>0</v>
      </c>
      <c r="BA162" s="160" t="s">
        <v>234</v>
      </c>
      <c r="BB162" s="42"/>
      <c r="BC162" s="42"/>
      <c r="BD162" s="42"/>
      <c r="BE162" s="42"/>
      <c r="BF162" s="42"/>
      <c r="BG162" s="42"/>
      <c r="BH162" s="42"/>
      <c r="BI162" s="42"/>
    </row>
    <row r="163" spans="48:61" x14ac:dyDescent="0.2">
      <c r="AV163" s="42"/>
      <c r="AW163" s="42"/>
      <c r="AX163" s="160" t="s">
        <v>235</v>
      </c>
      <c r="AY163" s="85">
        <f ca="1">BE91</f>
        <v>0</v>
      </c>
      <c r="AZ163" s="42">
        <f ca="1">BD91</f>
        <v>0</v>
      </c>
      <c r="BA163" s="160" t="s">
        <v>235</v>
      </c>
      <c r="BB163" s="42"/>
      <c r="BC163" s="42"/>
      <c r="BD163" s="42"/>
      <c r="BE163" s="42"/>
      <c r="BF163" s="42"/>
      <c r="BG163" s="42"/>
      <c r="BH163" s="42"/>
      <c r="BI163" s="42"/>
    </row>
    <row r="164" spans="48:61" x14ac:dyDescent="0.2">
      <c r="AV164" s="42"/>
      <c r="AW164" s="42"/>
      <c r="AX164" s="160" t="s">
        <v>236</v>
      </c>
      <c r="AY164" s="85">
        <f ca="1">BE95</f>
        <v>0</v>
      </c>
      <c r="AZ164" s="42">
        <f ca="1">BD95</f>
        <v>0</v>
      </c>
      <c r="BA164" s="160" t="s">
        <v>236</v>
      </c>
      <c r="BB164" s="42"/>
      <c r="BC164" s="42"/>
      <c r="BD164" s="42"/>
      <c r="BE164" s="42"/>
      <c r="BF164" s="42"/>
      <c r="BG164" s="42"/>
      <c r="BH164" s="42"/>
      <c r="BI164" s="42"/>
    </row>
    <row r="165" spans="48:61" x14ac:dyDescent="0.2">
      <c r="AV165" s="42"/>
      <c r="AW165" s="42"/>
      <c r="AX165" s="160" t="s">
        <v>237</v>
      </c>
      <c r="AY165" s="85">
        <f ca="1">BE99</f>
        <v>0</v>
      </c>
      <c r="AZ165" s="42">
        <f ca="1">BD99</f>
        <v>0</v>
      </c>
      <c r="BA165" s="160" t="s">
        <v>237</v>
      </c>
      <c r="BB165" s="42"/>
      <c r="BC165" s="42"/>
      <c r="BD165" s="42"/>
      <c r="BE165" s="42"/>
      <c r="BF165" s="42"/>
      <c r="BG165" s="42"/>
      <c r="BH165" s="42"/>
      <c r="BI165" s="42"/>
    </row>
    <row r="166" spans="48:61" x14ac:dyDescent="0.2">
      <c r="AV166" s="42"/>
      <c r="AW166" s="42"/>
      <c r="AX166" s="160"/>
      <c r="AY166" s="85"/>
      <c r="AZ166" s="42"/>
      <c r="BA166" s="160"/>
      <c r="BB166" s="42"/>
      <c r="BC166" s="42"/>
      <c r="BD166" s="42"/>
      <c r="BE166" s="42"/>
      <c r="BF166" s="42"/>
      <c r="BG166" s="42"/>
      <c r="BH166" s="42"/>
      <c r="BI166" s="42"/>
    </row>
    <row r="167" spans="48:61" x14ac:dyDescent="0.2">
      <c r="AV167" s="42"/>
      <c r="AW167" s="42"/>
      <c r="AX167" s="160" t="s">
        <v>537</v>
      </c>
      <c r="AY167" s="85">
        <f>BE103</f>
        <v>0</v>
      </c>
      <c r="AZ167" s="42">
        <f>BD103</f>
        <v>0</v>
      </c>
      <c r="BA167" s="160" t="s">
        <v>537</v>
      </c>
      <c r="BB167" s="42"/>
      <c r="BC167" s="42"/>
      <c r="BD167" s="42"/>
      <c r="BE167" s="42"/>
      <c r="BF167" s="42"/>
      <c r="BG167" s="42"/>
      <c r="BH167" s="42"/>
      <c r="BI167" s="42"/>
    </row>
    <row r="168" spans="48:61" x14ac:dyDescent="0.2">
      <c r="AV168" s="42"/>
      <c r="AW168" s="42"/>
      <c r="AX168" s="160" t="s">
        <v>241</v>
      </c>
      <c r="AY168" s="85">
        <f>BE107</f>
        <v>0</v>
      </c>
      <c r="AZ168" s="42">
        <f>BD107</f>
        <v>0</v>
      </c>
      <c r="BA168" s="160" t="s">
        <v>241</v>
      </c>
      <c r="BB168" s="42"/>
      <c r="BC168" s="42"/>
      <c r="BD168" s="42"/>
      <c r="BE168" s="42"/>
      <c r="BF168" s="42"/>
      <c r="BG168" s="42"/>
      <c r="BH168" s="42"/>
      <c r="BI168" s="42"/>
    </row>
    <row r="169" spans="48:61" x14ac:dyDescent="0.2">
      <c r="AV169" s="42"/>
      <c r="AW169" s="42"/>
      <c r="AX169" s="160" t="s">
        <v>242</v>
      </c>
      <c r="AY169" s="85">
        <f>BE111</f>
        <v>0</v>
      </c>
      <c r="AZ169" s="42">
        <f>BD111</f>
        <v>0</v>
      </c>
      <c r="BA169" s="160" t="s">
        <v>242</v>
      </c>
      <c r="BB169" s="42"/>
      <c r="BC169" s="42"/>
      <c r="BD169" s="42"/>
      <c r="BE169" s="42"/>
      <c r="BF169" s="42"/>
      <c r="BG169" s="42"/>
      <c r="BH169" s="42"/>
      <c r="BI169" s="42"/>
    </row>
    <row r="170" spans="48:61" x14ac:dyDescent="0.2">
      <c r="AV170" s="42"/>
      <c r="AW170" s="42"/>
      <c r="AX170" s="160" t="s">
        <v>243</v>
      </c>
      <c r="AY170" s="85">
        <f>BE115</f>
        <v>0</v>
      </c>
      <c r="AZ170" s="42">
        <f>BD115</f>
        <v>0</v>
      </c>
      <c r="BA170" s="160" t="s">
        <v>243</v>
      </c>
      <c r="BB170" s="42"/>
      <c r="BC170" s="42"/>
      <c r="BD170" s="42"/>
      <c r="BE170" s="42"/>
      <c r="BF170" s="42"/>
      <c r="BG170" s="42"/>
      <c r="BH170" s="42"/>
      <c r="BI170" s="42"/>
    </row>
    <row r="171" spans="48:61" x14ac:dyDescent="0.2">
      <c r="AV171" s="42"/>
      <c r="AW171" s="42"/>
      <c r="AX171" s="1" t="s">
        <v>246</v>
      </c>
      <c r="AY171" s="85">
        <f>BE123</f>
        <v>0</v>
      </c>
      <c r="AZ171" s="42">
        <f>BD123</f>
        <v>0</v>
      </c>
      <c r="BA171" s="1" t="s">
        <v>246</v>
      </c>
      <c r="BB171" s="42"/>
      <c r="BC171" s="42"/>
      <c r="BD171" s="42"/>
      <c r="BE171" s="42"/>
      <c r="BF171" s="42"/>
      <c r="BG171" s="42"/>
      <c r="BH171" s="42"/>
      <c r="BI171" s="42"/>
    </row>
    <row r="172" spans="48:61" x14ac:dyDescent="0.2">
      <c r="AV172" s="42"/>
      <c r="AW172" s="42"/>
      <c r="AX172" s="1" t="s">
        <v>248</v>
      </c>
      <c r="AY172" s="85">
        <f>BE127</f>
        <v>0</v>
      </c>
      <c r="AZ172" s="42">
        <f>BD127</f>
        <v>0</v>
      </c>
      <c r="BA172" s="1" t="s">
        <v>248</v>
      </c>
      <c r="BB172" s="42"/>
      <c r="BC172" s="42"/>
      <c r="BD172" s="42"/>
      <c r="BE172" s="42"/>
      <c r="BF172" s="42"/>
      <c r="BG172" s="42"/>
      <c r="BH172" s="42"/>
      <c r="BI172" s="42"/>
    </row>
    <row r="173" spans="48:61" x14ac:dyDescent="0.2">
      <c r="AV173" s="42"/>
      <c r="AW173" s="42"/>
      <c r="AY173" s="85"/>
      <c r="AZ173" s="42"/>
      <c r="BB173" s="42"/>
      <c r="BC173" s="42"/>
      <c r="BD173" s="42"/>
      <c r="BE173" s="42"/>
      <c r="BF173" s="42"/>
      <c r="BG173" s="42"/>
      <c r="BH173" s="42"/>
      <c r="BI173" s="42"/>
    </row>
    <row r="174" spans="48:61" x14ac:dyDescent="0.2">
      <c r="AV174" s="42"/>
      <c r="AW174" s="42"/>
      <c r="AX174" s="160"/>
      <c r="AY174" s="164" t="e">
        <f ca="1">MAX(SUM(AY134:AY173)-SUM(AZ134:AZ173),0)</f>
        <v>#NAME?</v>
      </c>
      <c r="AZ174" s="165" t="e">
        <f ca="1">-MIN(SUM(AY134:AY173)-SUM(AZ134:AZ173),0)</f>
        <v>#NAME?</v>
      </c>
      <c r="BA174" s="160"/>
      <c r="BB174" s="42"/>
      <c r="BC174" s="42"/>
      <c r="BD174" s="42"/>
      <c r="BE174" s="42"/>
    </row>
    <row r="175" spans="48:61" x14ac:dyDescent="0.2">
      <c r="AV175" s="42"/>
      <c r="AW175" s="42"/>
      <c r="AX175" s="160"/>
      <c r="AY175" s="161" t="s">
        <v>528</v>
      </c>
      <c r="AZ175" s="161"/>
      <c r="BA175" s="160"/>
      <c r="BB175" s="42"/>
      <c r="BC175" s="42"/>
      <c r="BD175" s="42"/>
      <c r="BE175" s="42"/>
    </row>
    <row r="176" spans="48:61" x14ac:dyDescent="0.2">
      <c r="AV176" s="42"/>
      <c r="AW176" s="42"/>
      <c r="AX176" s="160" t="s">
        <v>478</v>
      </c>
      <c r="AY176" s="162">
        <f>IFERROR(_xlfn.XLOOKUP("Cash",AI11:AI16,AK11:AK16),0)</f>
        <v>0</v>
      </c>
      <c r="AZ176" s="42">
        <f>IFERROR(_xlfn.XLOOKUP("Cash",AJ3:AJ8,AL3:AL8),0)</f>
        <v>0</v>
      </c>
      <c r="BA176" s="160" t="s">
        <v>116</v>
      </c>
      <c r="BB176" s="42"/>
      <c r="BC176" s="42"/>
      <c r="BD176" s="42"/>
      <c r="BE176" s="42"/>
    </row>
    <row r="177" spans="48:57" x14ac:dyDescent="0.2">
      <c r="AV177" s="42"/>
      <c r="AW177" s="42"/>
      <c r="AX177" s="160" t="s">
        <v>120</v>
      </c>
      <c r="AY177" s="85">
        <f>IFERROR(_xlfn.XLOOKUP("Cash",AI27:AI32,AK27:AK32),0)</f>
        <v>0</v>
      </c>
      <c r="AZ177" s="42">
        <f>IFERROR(_xlfn.XLOOKUP("Cash",AJ19:AJ24,AL19:AL24),0)</f>
        <v>0</v>
      </c>
      <c r="BA177" s="160" t="s">
        <v>118</v>
      </c>
      <c r="BB177" s="42"/>
      <c r="BC177" s="42"/>
      <c r="BD177" s="42"/>
      <c r="BE177" s="42"/>
    </row>
    <row r="178" spans="48:57" x14ac:dyDescent="0.2">
      <c r="AX178" s="160" t="s">
        <v>126</v>
      </c>
      <c r="AY178" s="85">
        <f>IFERROR(_xlfn.XLOOKUP("Cash",AI43:AI48,AK43:AK48),0)</f>
        <v>0</v>
      </c>
      <c r="AZ178" s="42">
        <f>IFERROR(_xlfn.XLOOKUP("Cash",AJ35:AJ40,AL35:AL40),0)</f>
        <v>0</v>
      </c>
      <c r="BA178" s="160" t="s">
        <v>124</v>
      </c>
    </row>
    <row r="179" spans="48:57" x14ac:dyDescent="0.2">
      <c r="AX179" s="160" t="s">
        <v>94</v>
      </c>
      <c r="AY179" s="85">
        <f ca="1">IFERROR(_xlfn.XLOOKUP("Cash",AI67:AI80,AK67:AK80),0)</f>
        <v>0</v>
      </c>
      <c r="AZ179" s="42">
        <f>IFERROR(_xlfn.XLOOKUP("Cash",AJ51:AJ64,AL51:AL64),0)</f>
        <v>0</v>
      </c>
      <c r="BA179" s="160" t="s">
        <v>128</v>
      </c>
    </row>
    <row r="180" spans="48:57" x14ac:dyDescent="0.2">
      <c r="AX180" s="160" t="s">
        <v>133</v>
      </c>
      <c r="AY180" s="85">
        <f>IFERROR(_xlfn.XLOOKUP("Cash",AI83:AI88,AK83:AK88),0)</f>
        <v>0</v>
      </c>
      <c r="AZ180" s="42">
        <f>IFERROR(_xlfn.XLOOKUP("Cash",AJ83:AJ88,AL83:AL88),0)</f>
        <v>0</v>
      </c>
      <c r="BA180" s="160" t="s">
        <v>131</v>
      </c>
    </row>
    <row r="181" spans="48:57" x14ac:dyDescent="0.2">
      <c r="AX181" s="160"/>
      <c r="AY181" s="85"/>
      <c r="AZ181" s="42"/>
      <c r="BA181" s="160"/>
    </row>
    <row r="182" spans="48:57" x14ac:dyDescent="0.2">
      <c r="AX182" s="160"/>
      <c r="AY182" s="85"/>
      <c r="AZ182" s="42"/>
      <c r="BA182" s="160"/>
    </row>
    <row r="183" spans="48:57" x14ac:dyDescent="0.2">
      <c r="AX183" s="160"/>
      <c r="AY183" s="164">
        <f ca="1">MAX(SUM(AY176:AY182)-SUM(AZ176:AZ182),0)</f>
        <v>0</v>
      </c>
      <c r="AZ183" s="165">
        <f ca="1">-MIN(SUM(AY176:AY182)-SUM(AZ176:AZ182),0)</f>
        <v>0</v>
      </c>
      <c r="BA183" s="160"/>
    </row>
    <row r="184" spans="48:57" x14ac:dyDescent="0.2">
      <c r="AX184" s="160"/>
      <c r="AY184" s="161" t="s">
        <v>529</v>
      </c>
      <c r="AZ184" s="161"/>
      <c r="BA184" s="160"/>
    </row>
    <row r="185" spans="48:57" x14ac:dyDescent="0.2">
      <c r="AX185" s="160" t="s">
        <v>96</v>
      </c>
      <c r="AY185" s="162">
        <f>IFERROR(_xlfn.XLOOKUP("Cash",AB3:AB8,AD3:AD8),0)</f>
        <v>0</v>
      </c>
      <c r="AZ185" s="42">
        <f>IFERROR(_xlfn.XLOOKUP("Cash",AC59:AC64,AE59:AE64),0)</f>
        <v>0</v>
      </c>
      <c r="BA185" s="160" t="s">
        <v>110</v>
      </c>
    </row>
    <row r="186" spans="48:57" x14ac:dyDescent="0.2">
      <c r="AX186" s="160" t="s">
        <v>98</v>
      </c>
      <c r="AY186" s="85">
        <f>IFERROR(_xlfn.XLOOKUP("Cash",AB11:AB16,AD11:AD16),0)</f>
        <v>0</v>
      </c>
      <c r="AZ186" s="42">
        <f>IFERROR(_xlfn.XLOOKUP("Cash",AC51:AC56,AE51:AE56),0)</f>
        <v>0</v>
      </c>
      <c r="BA186" s="160" t="s">
        <v>108</v>
      </c>
    </row>
    <row r="187" spans="48:57" x14ac:dyDescent="0.2">
      <c r="AX187" s="160" t="s">
        <v>100</v>
      </c>
      <c r="AY187" s="85">
        <f>IFERROR(_xlfn.XLOOKUP("Cash",AB19:AB24,AD19:AD24),0)</f>
        <v>0</v>
      </c>
      <c r="AZ187" s="42">
        <f>IFERROR(_xlfn.XLOOKUP("Cash",AC67:AC72,AE67:AE72),0)</f>
        <v>0</v>
      </c>
      <c r="BA187" s="160" t="s">
        <v>112</v>
      </c>
    </row>
    <row r="188" spans="48:57" x14ac:dyDescent="0.2">
      <c r="AX188" s="160" t="s">
        <v>102</v>
      </c>
      <c r="AY188" s="85">
        <f>IFERROR(_xlfn.XLOOKUP("Cash",AB27:AB32,AD27:AD32),0)</f>
        <v>0</v>
      </c>
      <c r="AZ188" s="42"/>
      <c r="BA188" s="160"/>
    </row>
    <row r="189" spans="48:57" x14ac:dyDescent="0.2">
      <c r="AX189" s="160" t="s">
        <v>104</v>
      </c>
      <c r="AY189" s="85">
        <f>IFERROR(_xlfn.XLOOKUP("Cash",AB35:AB40,AD35:AD40),0)</f>
        <v>0</v>
      </c>
      <c r="AZ189" s="42"/>
      <c r="BA189" s="160"/>
    </row>
    <row r="190" spans="48:57" x14ac:dyDescent="0.2">
      <c r="AX190" s="160" t="s">
        <v>114</v>
      </c>
      <c r="AY190" s="85">
        <f>IFERROR(_xlfn.XLOOKUP("Cash",AB75:AB80,AD75:AD80),0)</f>
        <v>0</v>
      </c>
      <c r="AZ190" s="42"/>
      <c r="BA190" s="160"/>
    </row>
    <row r="191" spans="48:57" x14ac:dyDescent="0.2">
      <c r="AX191" s="160"/>
      <c r="AY191" s="85"/>
      <c r="AZ191" s="42"/>
      <c r="BA191" s="160"/>
    </row>
    <row r="192" spans="48:57" x14ac:dyDescent="0.2">
      <c r="AX192" s="160"/>
      <c r="AY192" s="164">
        <f>MAX(SUM(AY185:AY191)-SUM(AZ185:AZ191),0)</f>
        <v>0</v>
      </c>
      <c r="AZ192" s="165">
        <f>-MIN(SUM(AY185:AY191)-SUM(AZ185:AZ191),0)</f>
        <v>0</v>
      </c>
      <c r="BA192" s="160"/>
    </row>
    <row r="193" spans="50:53" x14ac:dyDescent="0.2">
      <c r="AX193" s="160" t="s">
        <v>538</v>
      </c>
      <c r="AY193" s="42" t="e">
        <f ca="1">AY132+AY174+AY183+AY192-AZ174-AZ183-AZ192</f>
        <v>#NAME?</v>
      </c>
      <c r="AZ193" s="42"/>
      <c r="BA193" s="160"/>
    </row>
    <row r="194" spans="50:53" x14ac:dyDescent="0.2">
      <c r="AX194" s="160" t="s">
        <v>539</v>
      </c>
      <c r="AY194" s="42">
        <f>U8</f>
        <v>100</v>
      </c>
      <c r="AZ194" s="42"/>
      <c r="BA194" s="160"/>
    </row>
    <row r="195" spans="50:53" x14ac:dyDescent="0.2">
      <c r="AX195" s="160" t="s">
        <v>303</v>
      </c>
      <c r="AY195" s="42" t="e">
        <f ca="1">AY193-AY194</f>
        <v>#NAME?</v>
      </c>
      <c r="AZ195" s="42"/>
      <c r="BA195" s="160"/>
    </row>
    <row r="196" spans="50:53" x14ac:dyDescent="0.2">
      <c r="AX196" s="160"/>
      <c r="AY196" s="42"/>
      <c r="AZ196" s="42"/>
      <c r="BA196" s="160"/>
    </row>
  </sheetData>
  <conditionalFormatting sqref="Z3:AE8">
    <cfRule type="cellIs" dxfId="57" priority="58" operator="equal">
      <formula>0</formula>
    </cfRule>
  </conditionalFormatting>
  <conditionalFormatting sqref="Z12:AE16 AA11:AE11">
    <cfRule type="cellIs" dxfId="56" priority="57" operator="equal">
      <formula>0</formula>
    </cfRule>
  </conditionalFormatting>
  <conditionalFormatting sqref="Z20:AE24 AA19:AE19">
    <cfRule type="cellIs" dxfId="55" priority="56" operator="equal">
      <formula>0</formula>
    </cfRule>
  </conditionalFormatting>
  <conditionalFormatting sqref="Z28:AE32 AA27:AE27">
    <cfRule type="cellIs" dxfId="54" priority="55" operator="equal">
      <formula>0</formula>
    </cfRule>
  </conditionalFormatting>
  <conditionalFormatting sqref="Z36:AE40 AA35:AE35">
    <cfRule type="cellIs" dxfId="53" priority="54" operator="equal">
      <formula>0</formula>
    </cfRule>
  </conditionalFormatting>
  <conditionalFormatting sqref="Z44:AE48 AA43:AE43">
    <cfRule type="cellIs" dxfId="52" priority="53" operator="equal">
      <formula>0</formula>
    </cfRule>
  </conditionalFormatting>
  <conditionalFormatting sqref="Z52:AE56 AA51:AE51">
    <cfRule type="cellIs" dxfId="51" priority="52" operator="equal">
      <formula>0</formula>
    </cfRule>
  </conditionalFormatting>
  <conditionalFormatting sqref="Z60:AE64 AA59:AE59">
    <cfRule type="cellIs" dxfId="50" priority="51" operator="equal">
      <formula>0</formula>
    </cfRule>
  </conditionalFormatting>
  <conditionalFormatting sqref="AG3:AL8">
    <cfRule type="cellIs" dxfId="49" priority="50" operator="between">
      <formula>-0.00000001</formula>
      <formula>0.00000001</formula>
    </cfRule>
  </conditionalFormatting>
  <conditionalFormatting sqref="Z68:AE72 AA67:AE67">
    <cfRule type="cellIs" dxfId="48" priority="49" operator="equal">
      <formula>0</formula>
    </cfRule>
  </conditionalFormatting>
  <conditionalFormatting sqref="Z76:AE80 AA75:AE75">
    <cfRule type="cellIs" dxfId="47" priority="48" operator="equal">
      <formula>0</formula>
    </cfRule>
  </conditionalFormatting>
  <conditionalFormatting sqref="BJ2">
    <cfRule type="cellIs" dxfId="46" priority="47" operator="notBetween">
      <formula>-0.0000001</formula>
      <formula>0.000001</formula>
    </cfRule>
  </conditionalFormatting>
  <conditionalFormatting sqref="AY195">
    <cfRule type="cellIs" dxfId="45" priority="46" operator="notBetween">
      <formula>-0.0000001</formula>
      <formula>0.000001</formula>
    </cfRule>
  </conditionalFormatting>
  <conditionalFormatting sqref="AG57:AL64">
    <cfRule type="cellIs" dxfId="44" priority="45" operator="between">
      <formula>-0.00000001</formula>
      <formula>0.00000001</formula>
    </cfRule>
  </conditionalFormatting>
  <conditionalFormatting sqref="AG68:AL80 AH67:AL67">
    <cfRule type="cellIs" dxfId="43" priority="44" operator="between">
      <formula>-0.00000001</formula>
      <formula>0.00000001</formula>
    </cfRule>
  </conditionalFormatting>
  <conditionalFormatting sqref="AG84:AL88 AH83:AL83">
    <cfRule type="cellIs" dxfId="42" priority="43" operator="between">
      <formula>-0.00000001</formula>
      <formula>0.00000001</formula>
    </cfRule>
  </conditionalFormatting>
  <conditionalFormatting sqref="AG92:AL96 AH91:AL91">
    <cfRule type="cellIs" dxfId="41" priority="42" operator="between">
      <formula>-0.00000001</formula>
      <formula>0.00000001</formula>
    </cfRule>
  </conditionalFormatting>
  <conditionalFormatting sqref="AG19:AL24">
    <cfRule type="cellIs" dxfId="40" priority="41" operator="between">
      <formula>-0.00000001</formula>
      <formula>0.00000001</formula>
    </cfRule>
  </conditionalFormatting>
  <conditionalFormatting sqref="AG27:AL32">
    <cfRule type="cellIs" dxfId="39" priority="40" operator="between">
      <formula>-0.00000001</formula>
      <formula>0.00000001</formula>
    </cfRule>
  </conditionalFormatting>
  <conditionalFormatting sqref="AG35:AL40">
    <cfRule type="cellIs" dxfId="38" priority="39" operator="between">
      <formula>-0.00000001</formula>
      <formula>0.00000001</formula>
    </cfRule>
  </conditionalFormatting>
  <conditionalFormatting sqref="AG43:AL48">
    <cfRule type="cellIs" dxfId="37" priority="38" operator="between">
      <formula>-0.00000001</formula>
      <formula>0.00000001</formula>
    </cfRule>
  </conditionalFormatting>
  <conditionalFormatting sqref="AG51:AL56">
    <cfRule type="cellIs" dxfId="36" priority="37" operator="between">
      <formula>-0.00000001</formula>
      <formula>0.00000001</formula>
    </cfRule>
  </conditionalFormatting>
  <conditionalFormatting sqref="AG67">
    <cfRule type="cellIs" dxfId="35" priority="36" operator="between">
      <formula>-0.00000001</formula>
      <formula>0.00000001</formula>
    </cfRule>
  </conditionalFormatting>
  <conditionalFormatting sqref="AG83">
    <cfRule type="cellIs" dxfId="34" priority="35" operator="between">
      <formula>-0.00000001</formula>
      <formula>0.00000001</formula>
    </cfRule>
  </conditionalFormatting>
  <conditionalFormatting sqref="AG91">
    <cfRule type="cellIs" dxfId="33" priority="34" operator="between">
      <formula>-0.00000001</formula>
      <formula>0.00000001</formula>
    </cfRule>
  </conditionalFormatting>
  <conditionalFormatting sqref="Z11">
    <cfRule type="cellIs" dxfId="32" priority="33" operator="equal">
      <formula>0</formula>
    </cfRule>
  </conditionalFormatting>
  <conditionalFormatting sqref="Z19">
    <cfRule type="cellIs" dxfId="31" priority="32" operator="equal">
      <formula>0</formula>
    </cfRule>
  </conditionalFormatting>
  <conditionalFormatting sqref="Z27">
    <cfRule type="cellIs" dxfId="30" priority="31" operator="equal">
      <formula>0</formula>
    </cfRule>
  </conditionalFormatting>
  <conditionalFormatting sqref="Z35">
    <cfRule type="cellIs" dxfId="29" priority="30" operator="equal">
      <formula>0</formula>
    </cfRule>
  </conditionalFormatting>
  <conditionalFormatting sqref="Z43">
    <cfRule type="cellIs" dxfId="28" priority="29" operator="equal">
      <formula>0</formula>
    </cfRule>
  </conditionalFormatting>
  <conditionalFormatting sqref="Z51">
    <cfRule type="cellIs" dxfId="27" priority="28" operator="equal">
      <formula>0</formula>
    </cfRule>
  </conditionalFormatting>
  <conditionalFormatting sqref="Z59">
    <cfRule type="cellIs" dxfId="26" priority="27" operator="equal">
      <formula>0</formula>
    </cfRule>
  </conditionalFormatting>
  <conditionalFormatting sqref="Z67">
    <cfRule type="cellIs" dxfId="25" priority="26" operator="equal">
      <formula>0</formula>
    </cfRule>
  </conditionalFormatting>
  <conditionalFormatting sqref="Z75">
    <cfRule type="cellIs" dxfId="24" priority="25" operator="equal">
      <formula>0</formula>
    </cfRule>
  </conditionalFormatting>
  <conditionalFormatting sqref="AG11:AL16">
    <cfRule type="cellIs" dxfId="23" priority="24" operator="between">
      <formula>-0.00000001</formula>
      <formula>0.00000001</formula>
    </cfRule>
  </conditionalFormatting>
  <conditionalFormatting sqref="AN3">
    <cfRule type="cellIs" dxfId="22" priority="23" operator="equal">
      <formula>0</formula>
    </cfRule>
  </conditionalFormatting>
  <conditionalFormatting sqref="AN3:AS8">
    <cfRule type="cellIs" dxfId="21" priority="22" operator="equal">
      <formula>0</formula>
    </cfRule>
  </conditionalFormatting>
  <conditionalFormatting sqref="AN11">
    <cfRule type="cellIs" dxfId="20" priority="21" operator="equal">
      <formula>0</formula>
    </cfRule>
  </conditionalFormatting>
  <conditionalFormatting sqref="AN11:AS16">
    <cfRule type="cellIs" dxfId="19" priority="20" operator="equal">
      <formula>0</formula>
    </cfRule>
  </conditionalFormatting>
  <conditionalFormatting sqref="AN19">
    <cfRule type="cellIs" dxfId="18" priority="19" operator="equal">
      <formula>0</formula>
    </cfRule>
  </conditionalFormatting>
  <conditionalFormatting sqref="AN19:AS24">
    <cfRule type="cellIs" dxfId="17" priority="18" operator="equal">
      <formula>0</formula>
    </cfRule>
  </conditionalFormatting>
  <conditionalFormatting sqref="AN27">
    <cfRule type="cellIs" dxfId="16" priority="17" operator="equal">
      <formula>0</formula>
    </cfRule>
  </conditionalFormatting>
  <conditionalFormatting sqref="AN27:AS32">
    <cfRule type="cellIs" dxfId="15" priority="16" operator="equal">
      <formula>0</formula>
    </cfRule>
  </conditionalFormatting>
  <conditionalFormatting sqref="AN35">
    <cfRule type="cellIs" dxfId="14" priority="15" operator="equal">
      <formula>0</formula>
    </cfRule>
  </conditionalFormatting>
  <conditionalFormatting sqref="AN35:AS40">
    <cfRule type="cellIs" dxfId="13" priority="14" operator="equal">
      <formula>0</formula>
    </cfRule>
  </conditionalFormatting>
  <conditionalFormatting sqref="AN43">
    <cfRule type="cellIs" dxfId="12" priority="13" operator="equal">
      <formula>0</formula>
    </cfRule>
  </conditionalFormatting>
  <conditionalFormatting sqref="AN43:AS48">
    <cfRule type="cellIs" dxfId="11" priority="12" operator="equal">
      <formula>0</formula>
    </cfRule>
  </conditionalFormatting>
  <conditionalFormatting sqref="AN51">
    <cfRule type="cellIs" dxfId="10" priority="11" operator="equal">
      <formula>0</formula>
    </cfRule>
  </conditionalFormatting>
  <conditionalFormatting sqref="AN51:AS56">
    <cfRule type="cellIs" dxfId="9" priority="10" operator="equal">
      <formula>0</formula>
    </cfRule>
  </conditionalFormatting>
  <conditionalFormatting sqref="AN59">
    <cfRule type="cellIs" dxfId="8" priority="9" operator="equal">
      <formula>0</formula>
    </cfRule>
  </conditionalFormatting>
  <conditionalFormatting sqref="AN59:AS64">
    <cfRule type="cellIs" dxfId="7" priority="8" operator="equal">
      <formula>0</formula>
    </cfRule>
  </conditionalFormatting>
  <conditionalFormatting sqref="AN67">
    <cfRule type="cellIs" dxfId="6" priority="7" operator="equal">
      <formula>0</formula>
    </cfRule>
  </conditionalFormatting>
  <conditionalFormatting sqref="AN67:AS72">
    <cfRule type="cellIs" dxfId="5" priority="6" operator="equal">
      <formula>0</formula>
    </cfRule>
  </conditionalFormatting>
  <conditionalFormatting sqref="AN75">
    <cfRule type="cellIs" dxfId="4" priority="5" operator="equal">
      <formula>0</formula>
    </cfRule>
  </conditionalFormatting>
  <conditionalFormatting sqref="AN75:AS80">
    <cfRule type="cellIs" dxfId="3" priority="4" operator="equal">
      <formula>0</formula>
    </cfRule>
  </conditionalFormatting>
  <conditionalFormatting sqref="AN83">
    <cfRule type="cellIs" dxfId="2" priority="3" operator="equal">
      <formula>0</formula>
    </cfRule>
  </conditionalFormatting>
  <conditionalFormatting sqref="AN83:AS88">
    <cfRule type="cellIs" dxfId="1" priority="2" operator="equal">
      <formula>0</formula>
    </cfRule>
  </conditionalFormatting>
  <conditionalFormatting sqref="E2:F5 E35:F35 H2:O5 L18 O18 Q8:R8 Q29:R29 T2:U4 T66:U66 L8 L13 H13 O13 Q2:R5">
    <cfRule type="expression" dxfId="0" priority="1">
      <formula>NOT($F$43)</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1AA5CF09-A7F8-4650-B641-68E822ED0ED8}">
          <x14:formula1>
            <xm:f>INDIRECT(AccountData!$A$18)</xm:f>
          </x14:formula1>
          <xm:sqref>B8:B17 T20:T29 T8:T17 B20:B29</xm:sqref>
        </x14:dataValidation>
        <x14:dataValidation type="list" allowBlank="1" showInputMessage="1" showErrorMessage="1" xr:uid="{5D8EF964-CDF3-4DB8-8D35-94AB9BB42394}">
          <x14:formula1>
            <xm:f>INDIRECT(AccountData!$A$38)</xm:f>
          </x14:formula1>
          <xm:sqref>B34:B43 T46:T55 T34:T43 B46:B55</xm:sqref>
        </x14:dataValidation>
        <x14:dataValidation type="list" allowBlank="1" showInputMessage="1" showErrorMessage="1" xr:uid="{3589C8A1-4D5B-467E-A569-DF6237E27C1F}">
          <x14:formula1>
            <xm:f>INDIRECT(AccountData!$A$56)</xm:f>
          </x14:formula1>
          <xm:sqref>T59:T64 B59:B65</xm:sqref>
        </x14:dataValidation>
        <x14:dataValidation type="list" allowBlank="1" showInputMessage="1" showErrorMessage="1" xr:uid="{8DC49527-680F-4EE7-AD7A-6849976539B8}">
          <x14:formula1>
            <xm:f>INDIRECT(AccountData!$B$56)</xm:f>
          </x14:formula1>
          <xm:sqref>I8:N8</xm:sqref>
        </x14:dataValidation>
        <x14:dataValidation type="list" allowBlank="1" showInputMessage="1" showErrorMessage="1" xr:uid="{F875A3D9-56B9-469E-A616-721F0A5737D6}">
          <x14:formula1>
            <xm:f>INDIRECT(AccountData!$H$23)</xm:f>
          </x14:formula1>
          <xm:sqref>E14:E21</xm:sqref>
        </x14:dataValidation>
        <x14:dataValidation type="list" allowBlank="1" showInputMessage="1" showErrorMessage="1" xr:uid="{5B5E8544-4197-45AC-911C-D86F68BEECF4}">
          <x14:formula1>
            <xm:f>INDIRECT(AccountData!$H$8)</xm:f>
          </x14:formula1>
          <xm:sqref>E8:E11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E98C4-69BF-4F59-8566-29DA59473233}">
  <sheetPr>
    <tabColor theme="0" tint="-0.249977111117893"/>
  </sheetPr>
  <dimension ref="A1"/>
  <sheetViews>
    <sheetView zoomScale="115" zoomScaleNormal="115" workbookViewId="0">
      <selection activeCell="AG46" sqref="AG46"/>
    </sheetView>
  </sheetViews>
  <sheetFormatPr baseColWidth="10" defaultColWidth="8.83203125"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58</vt:i4>
      </vt:variant>
    </vt:vector>
  </HeadingPairs>
  <TitlesOfParts>
    <vt:vector size="80" baseType="lpstr">
      <vt:lpstr>EntityData</vt:lpstr>
      <vt:lpstr>Trans_Events_Data</vt:lpstr>
      <vt:lpstr>AccountData</vt:lpstr>
      <vt:lpstr>BegBalShData</vt:lpstr>
      <vt:lpstr>AnswerData</vt:lpstr>
      <vt:lpstr>InstructorChoices</vt:lpstr>
      <vt:lpstr>Instructions</vt:lpstr>
      <vt:lpstr>Journal</vt:lpstr>
      <vt:lpstr>Financial_Statements_1</vt:lpstr>
      <vt:lpstr>Financial_Statements_2</vt:lpstr>
      <vt:lpstr>Financial_Statements_3</vt:lpstr>
      <vt:lpstr>Financial_Statements_4</vt:lpstr>
      <vt:lpstr>Financial_Statements_5</vt:lpstr>
      <vt:lpstr>Financial_Statements_6</vt:lpstr>
      <vt:lpstr>Journal_Entry_Tool</vt:lpstr>
      <vt:lpstr>T-Account_Viewers</vt:lpstr>
      <vt:lpstr>Closing_Tool</vt:lpstr>
      <vt:lpstr>Indirect_CFO_Worksheet_Tool</vt:lpstr>
      <vt:lpstr>Indirect_CFO_NonOp_Trans_Tool</vt:lpstr>
      <vt:lpstr>FS_All_Auto_Solution (2)</vt:lpstr>
      <vt:lpstr>FS_All_Auto_Solution</vt:lpstr>
      <vt:lpstr>Notice</vt:lpstr>
      <vt:lpstr>BegDate</vt:lpstr>
      <vt:lpstr>EndDate</vt:lpstr>
      <vt:lpstr>Entity</vt:lpstr>
      <vt:lpstr>EntityActivity</vt:lpstr>
      <vt:lpstr>EntityType</vt:lpstr>
      <vt:lpstr>FS1_1_Line1</vt:lpstr>
      <vt:lpstr>FS1_1_Line2</vt:lpstr>
      <vt:lpstr>FS1_1_Line3</vt:lpstr>
      <vt:lpstr>FS1_1_Line4</vt:lpstr>
      <vt:lpstr>FS1_1_Line5</vt:lpstr>
      <vt:lpstr>FS1_2_Line1</vt:lpstr>
      <vt:lpstr>FS1_2_Line2</vt:lpstr>
      <vt:lpstr>FS1_2_Line3</vt:lpstr>
      <vt:lpstr>FS1_2_Line4</vt:lpstr>
      <vt:lpstr>FS1_2_Line5</vt:lpstr>
      <vt:lpstr>FS2_1_Line1</vt:lpstr>
      <vt:lpstr>FS2_1_Line2</vt:lpstr>
      <vt:lpstr>FS2_1_Line3</vt:lpstr>
      <vt:lpstr>FS2_1_Line4</vt:lpstr>
      <vt:lpstr>FS2_1_Line5</vt:lpstr>
      <vt:lpstr>FS2_2_Line1</vt:lpstr>
      <vt:lpstr>FS2_2_Line2</vt:lpstr>
      <vt:lpstr>FS2_2_Line3</vt:lpstr>
      <vt:lpstr>FS2_2_Line4</vt:lpstr>
      <vt:lpstr>FS2_2_Line5</vt:lpstr>
      <vt:lpstr>FS3_1_Line1</vt:lpstr>
      <vt:lpstr>FS3_1_Line2</vt:lpstr>
      <vt:lpstr>FS3_1_Line3</vt:lpstr>
      <vt:lpstr>FS3_1_Line4</vt:lpstr>
      <vt:lpstr>FS3_1_Line5</vt:lpstr>
      <vt:lpstr>FS3_2_Line1</vt:lpstr>
      <vt:lpstr>FS3_2_Line2</vt:lpstr>
      <vt:lpstr>FS3_2_Line3</vt:lpstr>
      <vt:lpstr>FS3_2_Line4</vt:lpstr>
      <vt:lpstr>FS3_2_Line5</vt:lpstr>
      <vt:lpstr>FS4_1_Line1</vt:lpstr>
      <vt:lpstr>FS4_1_Line2</vt:lpstr>
      <vt:lpstr>FS4_1_Line3</vt:lpstr>
      <vt:lpstr>FS4_1_Line4</vt:lpstr>
      <vt:lpstr>FS4_1_Line5</vt:lpstr>
      <vt:lpstr>Issue_CS</vt:lpstr>
      <vt:lpstr>Line1</vt:lpstr>
      <vt:lpstr>Line1J</vt:lpstr>
      <vt:lpstr>Line2</vt:lpstr>
      <vt:lpstr>Line2J</vt:lpstr>
      <vt:lpstr>Line3</vt:lpstr>
      <vt:lpstr>Line3J</vt:lpstr>
      <vt:lpstr>Line4</vt:lpstr>
      <vt:lpstr>Line4J</vt:lpstr>
      <vt:lpstr>Line5</vt:lpstr>
      <vt:lpstr>Line5J</vt:lpstr>
      <vt:lpstr>'FS_All_Auto_Solution (2)'!Net_Income</vt:lpstr>
      <vt:lpstr>Net_Income</vt:lpstr>
      <vt:lpstr>ParValue</vt:lpstr>
      <vt:lpstr>Period</vt:lpstr>
      <vt:lpstr>ShrsOut</vt:lpstr>
      <vt:lpstr>TreasShrs</vt:lpstr>
      <vt:lpstr>Units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Antle, Rick</dc:creator>
  <cp:keywords/>
  <dc:description/>
  <cp:lastModifiedBy>Sasha Yankovskaya</cp:lastModifiedBy>
  <cp:revision/>
  <dcterms:created xsi:type="dcterms:W3CDTF">2022-11-19T00:51:39Z</dcterms:created>
  <dcterms:modified xsi:type="dcterms:W3CDTF">2023-06-02T00:23:47Z</dcterms:modified>
  <cp:category/>
  <cp:contentStatus/>
</cp:coreProperties>
</file>