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Leks\Google Drive\Физтех\7 семестр\Физмех.Лабы\"/>
    </mc:Choice>
  </mc:AlternateContent>
  <bookViews>
    <workbookView xWindow="0" yWindow="0" windowWidth="23040" windowHeight="11040" activeTab="3"/>
  </bookViews>
  <sheets>
    <sheet name="ВАХ" sheetId="2" r:id="rId1"/>
    <sheet name="Т(N)" sheetId="3" r:id="rId2"/>
    <sheet name="Т(G)" sheetId="4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38" i="1" l="1"/>
  <c r="W38" i="1"/>
  <c r="U38" i="1"/>
  <c r="B95" i="1"/>
  <c r="C95" i="1"/>
  <c r="D95" i="1"/>
  <c r="E95" i="1"/>
  <c r="A95" i="1"/>
  <c r="E93" i="1"/>
  <c r="B93" i="1"/>
  <c r="C93" i="1"/>
  <c r="D93" i="1"/>
  <c r="A93" i="1"/>
  <c r="B91" i="1"/>
  <c r="C91" i="1"/>
  <c r="D91" i="1"/>
  <c r="E91" i="1"/>
  <c r="A91" i="1"/>
  <c r="D88" i="1"/>
  <c r="C88" i="1"/>
  <c r="B87" i="1"/>
  <c r="D80" i="1"/>
  <c r="D82" i="1"/>
  <c r="B82" i="1"/>
  <c r="C82" i="1"/>
  <c r="E82" i="1"/>
  <c r="A82" i="1"/>
  <c r="B54" i="1"/>
  <c r="C54" i="1"/>
  <c r="D54" i="1"/>
  <c r="D56" i="1" s="1"/>
  <c r="D58" i="1" s="1"/>
  <c r="E54" i="1"/>
  <c r="A54" i="1"/>
  <c r="B80" i="1"/>
  <c r="C80" i="1"/>
  <c r="E80" i="1"/>
  <c r="A80" i="1"/>
  <c r="B74" i="1"/>
  <c r="B61" i="1"/>
  <c r="B60" i="1"/>
  <c r="D46" i="1"/>
  <c r="C46" i="1"/>
  <c r="B51" i="1"/>
  <c r="C51" i="1"/>
  <c r="D51" i="1"/>
  <c r="E51" i="1"/>
  <c r="A51" i="1"/>
  <c r="B47" i="1"/>
  <c r="P33" i="1"/>
  <c r="P35" i="1" s="1"/>
  <c r="D4" i="1"/>
  <c r="N34" i="1" s="1"/>
  <c r="D20" i="1"/>
  <c r="P34" i="1"/>
  <c r="A56" i="1" l="1"/>
  <c r="A58" i="1" s="1"/>
  <c r="E71" i="1"/>
  <c r="D68" i="1"/>
  <c r="E56" i="1"/>
  <c r="E58" i="1" s="1"/>
  <c r="E68" i="1"/>
  <c r="C56" i="1"/>
  <c r="C58" i="1" s="1"/>
  <c r="C68" i="1"/>
  <c r="C71" i="1"/>
  <c r="B56" i="1"/>
  <c r="B58" i="1" s="1"/>
  <c r="B68" i="1"/>
  <c r="B71" i="1" s="1"/>
  <c r="D71" i="1"/>
  <c r="A68" i="1"/>
  <c r="A71" i="1" s="1"/>
  <c r="W33" i="1"/>
  <c r="V33" i="1"/>
  <c r="N35" i="1"/>
  <c r="B39" i="1"/>
  <c r="N3" i="1"/>
  <c r="N2" i="1"/>
  <c r="B15" i="1"/>
  <c r="B31" i="1"/>
  <c r="N1" i="1"/>
  <c r="B23" i="1"/>
  <c r="D3" i="1"/>
  <c r="F3" i="1" s="1"/>
  <c r="B7" i="1"/>
  <c r="F6" i="1"/>
  <c r="K5" i="1" s="1"/>
  <c r="N31" i="1" s="1"/>
  <c r="N36" i="1"/>
  <c r="D5" i="1"/>
  <c r="F5" i="1" s="1"/>
  <c r="H5" i="1" s="1"/>
  <c r="O33" i="1"/>
  <c r="N33" i="1"/>
  <c r="D29" i="1"/>
  <c r="F29" i="1" s="1"/>
  <c r="H29" i="1" s="1"/>
  <c r="V30" i="1" s="1"/>
  <c r="B22" i="1"/>
  <c r="B14" i="1"/>
  <c r="D14" i="1" s="1"/>
  <c r="F14" i="1" s="1"/>
  <c r="D38" i="1"/>
  <c r="F38" i="1" s="1"/>
  <c r="D30" i="1"/>
  <c r="F30" i="1" s="1"/>
  <c r="D22" i="1"/>
  <c r="F22" i="1" s="1"/>
  <c r="K21" i="1" s="1"/>
  <c r="P31" i="1" s="1"/>
  <c r="D6" i="1"/>
  <c r="D37" i="1"/>
  <c r="F37" i="1" s="1"/>
  <c r="H37" i="1" s="1"/>
  <c r="W30" i="1" s="1"/>
  <c r="D21" i="1"/>
  <c r="F21" i="1" s="1"/>
  <c r="H21" i="1" s="1"/>
  <c r="D13" i="1"/>
  <c r="F13" i="1" s="1"/>
  <c r="H13" i="1" s="1"/>
  <c r="O32" i="1" s="1"/>
  <c r="O30" i="1" l="1"/>
  <c r="N30" i="1"/>
  <c r="N28" i="1" s="1"/>
  <c r="N32" i="1"/>
  <c r="K3" i="1"/>
  <c r="P32" i="1"/>
  <c r="P30" i="1"/>
  <c r="P28" i="1" s="1"/>
  <c r="D36" i="1"/>
  <c r="D28" i="1"/>
  <c r="D12" i="1"/>
  <c r="D35" i="1"/>
  <c r="F35" i="1" s="1"/>
  <c r="K35" i="1" s="1"/>
  <c r="D27" i="1"/>
  <c r="F27" i="1" s="1"/>
  <c r="K27" i="1" s="1"/>
  <c r="D19" i="1"/>
  <c r="F19" i="1" s="1"/>
  <c r="K19" i="1" s="1"/>
  <c r="D11" i="1"/>
  <c r="F11" i="1" s="1"/>
  <c r="K11" i="1" s="1"/>
  <c r="O34" i="1" l="1"/>
  <c r="O35" i="1" s="1"/>
  <c r="K13" i="1"/>
  <c r="O31" i="1" s="1"/>
  <c r="O28" i="1" s="1"/>
  <c r="K37" i="1"/>
  <c r="W31" i="1" s="1"/>
  <c r="W34" i="1"/>
  <c r="W35" i="1" s="1"/>
  <c r="W28" i="1" s="1"/>
  <c r="K29" i="1"/>
  <c r="V31" i="1" s="1"/>
  <c r="V34" i="1"/>
  <c r="V35" i="1" s="1"/>
  <c r="V28" i="1" s="1"/>
</calcChain>
</file>

<file path=xl/sharedStrings.xml><?xml version="1.0" encoding="utf-8"?>
<sst xmlns="http://schemas.openxmlformats.org/spreadsheetml/2006/main" count="138" uniqueCount="54">
  <si>
    <t>Эксперимент 1</t>
  </si>
  <si>
    <t>U, В</t>
  </si>
  <si>
    <t>delta T, мВ</t>
  </si>
  <si>
    <t>Эксперимент 2</t>
  </si>
  <si>
    <t>Эксперимент 3</t>
  </si>
  <si>
    <t>Эксперимент 4</t>
  </si>
  <si>
    <t>Эксперимент 5</t>
  </si>
  <si>
    <t>I, мВ</t>
  </si>
  <si>
    <t>Расход газа</t>
  </si>
  <si>
    <t>Расход воды</t>
  </si>
  <si>
    <t>delta T, C</t>
  </si>
  <si>
    <t>I, А</t>
  </si>
  <si>
    <t>Расход газа, LPM</t>
  </si>
  <si>
    <t>Расход газа, г/c</t>
  </si>
  <si>
    <t>???</t>
  </si>
  <si>
    <t>Расход газа, л/c</t>
  </si>
  <si>
    <t>Расход воды, л/с</t>
  </si>
  <si>
    <t>V</t>
  </si>
  <si>
    <t>Своды</t>
  </si>
  <si>
    <t>Сгелия</t>
  </si>
  <si>
    <t>Расход воды, г/с</t>
  </si>
  <si>
    <t>delta T, воды</t>
  </si>
  <si>
    <t>deltaT плазмы</t>
  </si>
  <si>
    <t>dT/dt</t>
  </si>
  <si>
    <t>q, тепловой поток</t>
  </si>
  <si>
    <t>p</t>
  </si>
  <si>
    <t>с</t>
  </si>
  <si>
    <t>delta</t>
  </si>
  <si>
    <t>Qрт</t>
  </si>
  <si>
    <t>Tплазмы</t>
  </si>
  <si>
    <t>N</t>
  </si>
  <si>
    <t>G</t>
  </si>
  <si>
    <t>КПД</t>
  </si>
  <si>
    <t>I</t>
  </si>
  <si>
    <t>Степень ионизации плазмы</t>
  </si>
  <si>
    <t>Tатм</t>
  </si>
  <si>
    <t>Т</t>
  </si>
  <si>
    <t>gi</t>
  </si>
  <si>
    <t>ga</t>
  </si>
  <si>
    <t>J</t>
  </si>
  <si>
    <t>k</t>
  </si>
  <si>
    <t>Т тыс</t>
  </si>
  <si>
    <t>a</t>
  </si>
  <si>
    <t>alpha (степень ионизации)</t>
  </si>
  <si>
    <t>Теплопроводность</t>
  </si>
  <si>
    <t>Qaa</t>
  </si>
  <si>
    <t>labda (теплопроводность)</t>
  </si>
  <si>
    <t>N (концентрация атомов)</t>
  </si>
  <si>
    <t>Давление</t>
  </si>
  <si>
    <t>Давление (Па)</t>
  </si>
  <si>
    <t>Плотность</t>
  </si>
  <si>
    <t>lR</t>
  </si>
  <si>
    <t>lambdaR</t>
  </si>
  <si>
    <t>I/V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</si>
</sst>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2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Вольтамперная</a:t>
            </a:r>
            <a:r>
              <a:rPr lang="ru-RU" baseline="0"/>
              <a:t> характеристика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Sheet1!$N$33:$P$33</c:f>
              <c:numCache>
                <c:formatCode>General</c:formatCode>
                <c:ptCount val="3"/>
                <c:pt idx="0">
                  <c:v>55</c:v>
                </c:pt>
                <c:pt idx="1">
                  <c:v>60</c:v>
                </c:pt>
                <c:pt idx="2">
                  <c:v>62.5</c:v>
                </c:pt>
              </c:numCache>
            </c:numRef>
          </c:xVal>
          <c:yVal>
            <c:numRef>
              <c:f>Sheet1!$N$34:$P$34</c:f>
              <c:numCache>
                <c:formatCode>General</c:formatCode>
                <c:ptCount val="3"/>
                <c:pt idx="0">
                  <c:v>437.52187499999997</c:v>
                </c:pt>
                <c:pt idx="1">
                  <c:v>525.02625</c:v>
                </c:pt>
                <c:pt idx="2">
                  <c:v>700.03499999999997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C1-4036-8267-C282407C2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778463"/>
        <c:axId val="199776383"/>
      </c:scatterChart>
      <c:valAx>
        <c:axId val="199778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Вольт,</a:t>
                </a:r>
                <a:r>
                  <a:rPr lang="ru-RU" baseline="0"/>
                  <a:t> </a:t>
                </a:r>
                <a:r>
                  <a:rPr lang="en-US" baseline="0"/>
                  <a:t>V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776383"/>
        <c:crosses val="autoZero"/>
        <c:crossBetween val="midCat"/>
      </c:valAx>
      <c:valAx>
        <c:axId val="199776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Ампер,</a:t>
                </a:r>
                <a:r>
                  <a:rPr lang="ru-RU" baseline="0"/>
                  <a:t> А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778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Среднемасс.</a:t>
            </a:r>
            <a:r>
              <a:rPr lang="ru-RU" baseline="0"/>
              <a:t> температура плазмы от мощности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Sheet1!$N$35:$P$35</c:f>
              <c:numCache>
                <c:formatCode>General</c:formatCode>
                <c:ptCount val="3"/>
                <c:pt idx="0">
                  <c:v>24063.703124999996</c:v>
                </c:pt>
                <c:pt idx="1">
                  <c:v>31501.575000000001</c:v>
                </c:pt>
                <c:pt idx="2">
                  <c:v>43752.1875</c:v>
                </c:pt>
              </c:numCache>
            </c:numRef>
          </c:xVal>
          <c:yVal>
            <c:numRef>
              <c:f>Sheet1!$N$31:$P$31</c:f>
              <c:numCache>
                <c:formatCode>General</c:formatCode>
                <c:ptCount val="3"/>
                <c:pt idx="0">
                  <c:v>11156.307393404835</c:v>
                </c:pt>
                <c:pt idx="1">
                  <c:v>14912.590724254162</c:v>
                </c:pt>
                <c:pt idx="2">
                  <c:v>20175.398826815956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17-431B-8FF6-BDF251B83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866431"/>
        <c:axId val="347866015"/>
      </c:scatterChart>
      <c:valAx>
        <c:axId val="347866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Мощность</a:t>
                </a:r>
                <a:r>
                  <a:rPr lang="ru-RU" baseline="0"/>
                  <a:t>, Вт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7866015"/>
        <c:crosses val="autoZero"/>
        <c:crossBetween val="midCat"/>
      </c:valAx>
      <c:valAx>
        <c:axId val="34786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Температура</a:t>
                </a:r>
                <a:r>
                  <a:rPr lang="ru-RU" baseline="0"/>
                  <a:t> плазмы, С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7866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Среднемасс.</a:t>
            </a:r>
            <a:r>
              <a:rPr lang="ru-RU" baseline="0"/>
              <a:t>темп.плазмы от расхода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Sheet1!$U$30:$W$30</c:f>
              <c:numCache>
                <c:formatCode>General</c:formatCode>
                <c:ptCount val="3"/>
                <c:pt idx="0">
                  <c:v>0.31008676740669816</c:v>
                </c:pt>
                <c:pt idx="1">
                  <c:v>0.61693292121352772</c:v>
                </c:pt>
                <c:pt idx="2">
                  <c:v>0.18737690467330712</c:v>
                </c:pt>
              </c:numCache>
            </c:numRef>
          </c:xVal>
          <c:yVal>
            <c:numRef>
              <c:f>Sheet1!$U$31:$W$31</c:f>
              <c:numCache>
                <c:formatCode>General</c:formatCode>
                <c:ptCount val="3"/>
                <c:pt idx="0">
                  <c:v>11156.307393404835</c:v>
                </c:pt>
                <c:pt idx="1">
                  <c:v>6237.4112667853506</c:v>
                </c:pt>
                <c:pt idx="2">
                  <c:v>19198.84685305271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62-460F-A78C-7ADD818B93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509903"/>
        <c:axId val="100511151"/>
      </c:scatterChart>
      <c:valAx>
        <c:axId val="100509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Расход,</a:t>
                </a:r>
                <a:r>
                  <a:rPr lang="ru-RU" baseline="0"/>
                  <a:t> г/с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511151"/>
        <c:crosses val="autoZero"/>
        <c:crossBetween val="midCat"/>
      </c:valAx>
      <c:valAx>
        <c:axId val="100511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Температура</a:t>
                </a:r>
                <a:r>
                  <a:rPr lang="ru-RU" baseline="0"/>
                  <a:t> плазмы, С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509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КПД</a:t>
            </a:r>
            <a:r>
              <a:rPr lang="ru-RU" baseline="0"/>
              <a:t> (</a:t>
            </a:r>
            <a:r>
              <a:rPr lang="en-US" baseline="0"/>
              <a:t>N)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Sheet1!$N$35:$P$35</c:f>
              <c:numCache>
                <c:formatCode>General</c:formatCode>
                <c:ptCount val="3"/>
                <c:pt idx="0">
                  <c:v>24063.703124999996</c:v>
                </c:pt>
                <c:pt idx="1">
                  <c:v>31501.575000000001</c:v>
                </c:pt>
                <c:pt idx="2">
                  <c:v>43752.1875</c:v>
                </c:pt>
              </c:numCache>
            </c:numRef>
          </c:xVal>
          <c:yVal>
            <c:numRef>
              <c:f>Sheet1!$N$28:$P$28</c:f>
              <c:numCache>
                <c:formatCode>General</c:formatCode>
                <c:ptCount val="3"/>
                <c:pt idx="0">
                  <c:v>0.74755747462476374</c:v>
                </c:pt>
                <c:pt idx="1">
                  <c:v>0.77934878090532556</c:v>
                </c:pt>
                <c:pt idx="2">
                  <c:v>0.75916012146412548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33-4E7F-887C-0A84ECC2B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979903"/>
        <c:axId val="209980319"/>
      </c:scatterChart>
      <c:valAx>
        <c:axId val="209979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9980319"/>
        <c:crosses val="autoZero"/>
        <c:crossBetween val="midCat"/>
      </c:valAx>
      <c:valAx>
        <c:axId val="20998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9979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КПД(</a:t>
            </a:r>
            <a:r>
              <a:rPr lang="en-US"/>
              <a:t>G)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Sheet1!$U$30:$W$30</c:f>
              <c:numCache>
                <c:formatCode>General</c:formatCode>
                <c:ptCount val="3"/>
                <c:pt idx="0">
                  <c:v>0.31008676740669816</c:v>
                </c:pt>
                <c:pt idx="1">
                  <c:v>0.61693292121352772</c:v>
                </c:pt>
                <c:pt idx="2">
                  <c:v>0.18737690467330712</c:v>
                </c:pt>
              </c:numCache>
            </c:numRef>
          </c:xVal>
          <c:yVal>
            <c:numRef>
              <c:f>Sheet1!$U$28:$W$28</c:f>
              <c:numCache>
                <c:formatCode>General</c:formatCode>
                <c:ptCount val="3"/>
                <c:pt idx="0">
                  <c:v>0.74755747462476374</c:v>
                </c:pt>
                <c:pt idx="1">
                  <c:v>0.79194297359183818</c:v>
                </c:pt>
                <c:pt idx="2">
                  <c:v>0.80414812059733076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FD-4A89-A30D-36A136796D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287"/>
        <c:axId val="99376447"/>
      </c:scatterChart>
      <c:valAx>
        <c:axId val="99372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76447"/>
        <c:crosses val="autoZero"/>
        <c:crossBetween val="midCat"/>
      </c:valAx>
      <c:valAx>
        <c:axId val="99376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72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V(G)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Sheet1!$U$30:$W$30</c:f>
              <c:numCache>
                <c:formatCode>General</c:formatCode>
                <c:ptCount val="3"/>
                <c:pt idx="0">
                  <c:v>0.31008676740669816</c:v>
                </c:pt>
                <c:pt idx="1">
                  <c:v>0.61693292121352772</c:v>
                </c:pt>
                <c:pt idx="2">
                  <c:v>0.18737690467330712</c:v>
                </c:pt>
              </c:numCache>
            </c:numRef>
          </c:xVal>
          <c:yVal>
            <c:numRef>
              <c:f>Sheet1!$U$33:$W$33</c:f>
              <c:numCache>
                <c:formatCode>General</c:formatCode>
                <c:ptCount val="3"/>
                <c:pt idx="0">
                  <c:v>55</c:v>
                </c:pt>
                <c:pt idx="1">
                  <c:v>61.25</c:v>
                </c:pt>
                <c:pt idx="2">
                  <c:v>54.75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CE-489E-8086-5EF01C8482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274768"/>
        <c:axId val="761279344"/>
      </c:scatterChart>
      <c:valAx>
        <c:axId val="761274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1279344"/>
        <c:crosses val="autoZero"/>
        <c:crossBetween val="midCat"/>
      </c:valAx>
      <c:valAx>
        <c:axId val="76127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1274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I(G)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Sheet1!$U$30:$W$30</c:f>
              <c:numCache>
                <c:formatCode>General</c:formatCode>
                <c:ptCount val="3"/>
                <c:pt idx="0">
                  <c:v>0.31008676740669816</c:v>
                </c:pt>
                <c:pt idx="1">
                  <c:v>0.61693292121352772</c:v>
                </c:pt>
                <c:pt idx="2">
                  <c:v>0.18737690467330712</c:v>
                </c:pt>
              </c:numCache>
            </c:numRef>
          </c:xVal>
          <c:yVal>
            <c:numRef>
              <c:f>Sheet1!$U$34:$W$34</c:f>
              <c:numCache>
                <c:formatCode>General</c:formatCode>
                <c:ptCount val="3"/>
                <c:pt idx="0">
                  <c:v>437.52187499999997</c:v>
                </c:pt>
                <c:pt idx="1">
                  <c:v>412.520625</c:v>
                </c:pt>
                <c:pt idx="2">
                  <c:v>424.88790999999998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3A-47AB-9329-875F04333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273936"/>
        <c:axId val="761274768"/>
      </c:scatterChart>
      <c:valAx>
        <c:axId val="761273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1274768"/>
        <c:crosses val="autoZero"/>
        <c:crossBetween val="midCat"/>
      </c:valAx>
      <c:valAx>
        <c:axId val="76127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1273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I/V (G)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Sheet1!$U$30:$W$30</c:f>
              <c:numCache>
                <c:formatCode>General</c:formatCode>
                <c:ptCount val="3"/>
                <c:pt idx="0">
                  <c:v>0.31008676740669816</c:v>
                </c:pt>
                <c:pt idx="1">
                  <c:v>0.61693292121352772</c:v>
                </c:pt>
                <c:pt idx="2">
                  <c:v>0.18737690467330712</c:v>
                </c:pt>
              </c:numCache>
            </c:numRef>
          </c:xVal>
          <c:yVal>
            <c:numRef>
              <c:f>Sheet1!$U$38:$W$38</c:f>
              <c:numCache>
                <c:formatCode>General</c:formatCode>
                <c:ptCount val="3"/>
                <c:pt idx="0">
                  <c:v>7.9549431818181811</c:v>
                </c:pt>
                <c:pt idx="1">
                  <c:v>6.7350306122448975</c:v>
                </c:pt>
                <c:pt idx="2">
                  <c:v>7.7605097716894971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AC-4AEB-8E1F-714DD2C6A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282256"/>
        <c:axId val="761271024"/>
      </c:scatterChart>
      <c:valAx>
        <c:axId val="761282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1271024"/>
        <c:crosses val="autoZero"/>
        <c:crossBetween val="midCat"/>
      </c:valAx>
      <c:valAx>
        <c:axId val="76127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1282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9473" cy="606136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473" cy="606136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89473" cy="606136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485671</xdr:colOff>
      <xdr:row>8</xdr:row>
      <xdr:rowOff>81225</xdr:rowOff>
    </xdr:from>
    <xdr:to>
      <xdr:col>17</xdr:col>
      <xdr:colOff>661517</xdr:colOff>
      <xdr:row>23</xdr:row>
      <xdr:rowOff>61128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720133</xdr:colOff>
      <xdr:row>8</xdr:row>
      <xdr:rowOff>81224</xdr:rowOff>
    </xdr:from>
    <xdr:to>
      <xdr:col>23</xdr:col>
      <xdr:colOff>167474</xdr:colOff>
      <xdr:row>23</xdr:row>
      <xdr:rowOff>61127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207146</xdr:colOff>
      <xdr:row>38</xdr:row>
      <xdr:rowOff>133905</xdr:rowOff>
    </xdr:from>
    <xdr:to>
      <xdr:col>24</xdr:col>
      <xdr:colOff>273728</xdr:colOff>
      <xdr:row>53</xdr:row>
      <xdr:rowOff>102833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332912</xdr:colOff>
      <xdr:row>38</xdr:row>
      <xdr:rowOff>163497</xdr:rowOff>
    </xdr:from>
    <xdr:to>
      <xdr:col>32</xdr:col>
      <xdr:colOff>51786</xdr:colOff>
      <xdr:row>53</xdr:row>
      <xdr:rowOff>132425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214544</xdr:colOff>
      <xdr:row>53</xdr:row>
      <xdr:rowOff>126506</xdr:rowOff>
    </xdr:from>
    <xdr:to>
      <xdr:col>24</xdr:col>
      <xdr:colOff>281126</xdr:colOff>
      <xdr:row>68</xdr:row>
      <xdr:rowOff>95434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5"/>
  <sheetViews>
    <sheetView tabSelected="1" zoomScale="103" workbookViewId="0">
      <selection activeCell="AA61" sqref="AA61"/>
    </sheetView>
  </sheetViews>
  <sheetFormatPr defaultRowHeight="14.4" x14ac:dyDescent="0.3"/>
  <cols>
    <col min="1" max="1" width="12.21875" customWidth="1"/>
    <col min="2" max="2" width="12.109375" customWidth="1"/>
    <col min="3" max="3" width="16.44140625" customWidth="1"/>
    <col min="4" max="4" width="12" bestFit="1" customWidth="1"/>
    <col min="5" max="5" width="17.44140625" customWidth="1"/>
    <col min="6" max="6" width="12.21875" customWidth="1"/>
    <col min="7" max="7" width="15.109375" customWidth="1"/>
    <col min="8" max="8" width="17.77734375" customWidth="1"/>
    <col min="10" max="10" width="17.77734375" customWidth="1"/>
    <col min="11" max="11" width="12.109375" customWidth="1"/>
    <col min="13" max="13" width="16.33203125" customWidth="1"/>
    <col min="16" max="16" width="12.109375" customWidth="1"/>
    <col min="18" max="18" width="17.6640625" customWidth="1"/>
    <col min="21" max="21" width="12.21875" customWidth="1"/>
    <col min="23" max="23" width="18.109375" customWidth="1"/>
  </cols>
  <sheetData>
    <row r="1" spans="1:14" x14ac:dyDescent="0.3">
      <c r="A1" s="2" t="s">
        <v>0</v>
      </c>
      <c r="B1" s="2"/>
      <c r="C1" s="2"/>
      <c r="D1" s="2"/>
      <c r="E1" s="2"/>
      <c r="G1" t="s">
        <v>14</v>
      </c>
      <c r="H1" t="s">
        <v>14</v>
      </c>
      <c r="M1" t="s">
        <v>25</v>
      </c>
      <c r="N1">
        <f>8.93*1000</f>
        <v>8930</v>
      </c>
    </row>
    <row r="2" spans="1:14" x14ac:dyDescent="0.3">
      <c r="A2" t="s">
        <v>1</v>
      </c>
      <c r="B2">
        <v>55</v>
      </c>
      <c r="M2" t="s">
        <v>26</v>
      </c>
      <c r="N2">
        <f>1300</f>
        <v>1300</v>
      </c>
    </row>
    <row r="3" spans="1:14" x14ac:dyDescent="0.3">
      <c r="A3" t="s">
        <v>2</v>
      </c>
      <c r="B3">
        <v>6.4</v>
      </c>
      <c r="C3" t="s">
        <v>10</v>
      </c>
      <c r="D3">
        <f>B3*14.7</f>
        <v>94.08</v>
      </c>
      <c r="E3" t="s">
        <v>23</v>
      </c>
      <c r="F3">
        <f>D3/2.5</f>
        <v>37.631999999999998</v>
      </c>
      <c r="J3" t="s">
        <v>24</v>
      </c>
      <c r="K3">
        <f>$N$1*$N$2*$N$3*F3</f>
        <v>873739.77599999995</v>
      </c>
      <c r="M3" t="s">
        <v>27</v>
      </c>
      <c r="N3">
        <f>2*10^-3</f>
        <v>2E-3</v>
      </c>
    </row>
    <row r="4" spans="1:14" x14ac:dyDescent="0.3">
      <c r="A4" t="s">
        <v>7</v>
      </c>
      <c r="B4">
        <v>65.625</v>
      </c>
      <c r="C4" t="s">
        <v>11</v>
      </c>
      <c r="D4">
        <f>B4*6.667</f>
        <v>437.52187499999997</v>
      </c>
    </row>
    <row r="5" spans="1:14" x14ac:dyDescent="0.3">
      <c r="A5" t="s">
        <v>8</v>
      </c>
      <c r="B5">
        <v>1.76</v>
      </c>
      <c r="C5" t="s">
        <v>12</v>
      </c>
      <c r="D5">
        <f>B5*(-74.52729693) + EXP(B5)*50.11800066 - 56.2</f>
        <v>103.9396985720776</v>
      </c>
      <c r="E5" t="s">
        <v>15</v>
      </c>
      <c r="F5">
        <f>D5/60</f>
        <v>1.7323283095346267</v>
      </c>
      <c r="G5" t="s">
        <v>13</v>
      </c>
      <c r="H5">
        <f>F5*0.179</f>
        <v>0.31008676740669816</v>
      </c>
      <c r="J5" t="s">
        <v>22</v>
      </c>
      <c r="K5">
        <f>(B2*D4 - F6*B7*$N$36)/(H5*$N$37)</f>
        <v>11156.307393404835</v>
      </c>
    </row>
    <row r="6" spans="1:14" x14ac:dyDescent="0.3">
      <c r="A6" t="s">
        <v>9</v>
      </c>
      <c r="B6">
        <v>8</v>
      </c>
      <c r="C6" t="s">
        <v>16</v>
      </c>
      <c r="D6">
        <f>B6/105.7</f>
        <v>7.5685903500473037E-2</v>
      </c>
      <c r="E6" t="s">
        <v>20</v>
      </c>
      <c r="F6">
        <f>D6*1000</f>
        <v>75.685903500473032</v>
      </c>
    </row>
    <row r="7" spans="1:14" x14ac:dyDescent="0.3">
      <c r="A7" t="s">
        <v>21</v>
      </c>
      <c r="B7">
        <f>0.0013*14.7*1000</f>
        <v>19.11</v>
      </c>
    </row>
    <row r="9" spans="1:14" x14ac:dyDescent="0.3">
      <c r="A9" s="2" t="s">
        <v>3</v>
      </c>
      <c r="B9" s="2"/>
      <c r="C9" s="2"/>
      <c r="D9" s="2"/>
      <c r="E9" s="2"/>
    </row>
    <row r="10" spans="1:14" x14ac:dyDescent="0.3">
      <c r="A10" t="s">
        <v>1</v>
      </c>
      <c r="B10">
        <v>60</v>
      </c>
    </row>
    <row r="11" spans="1:14" x14ac:dyDescent="0.3">
      <c r="A11" t="s">
        <v>2</v>
      </c>
      <c r="B11">
        <v>8</v>
      </c>
      <c r="C11" t="s">
        <v>10</v>
      </c>
      <c r="D11">
        <f>B11*14.7</f>
        <v>117.6</v>
      </c>
      <c r="E11" t="s">
        <v>23</v>
      </c>
      <c r="F11">
        <f>D11/2.5</f>
        <v>47.04</v>
      </c>
      <c r="J11" t="s">
        <v>24</v>
      </c>
      <c r="K11">
        <f>$N$1*$N$2*$N$3*F11</f>
        <v>1092174.72</v>
      </c>
    </row>
    <row r="12" spans="1:14" x14ac:dyDescent="0.3">
      <c r="A12" t="s">
        <v>7</v>
      </c>
      <c r="B12">
        <v>78.75</v>
      </c>
      <c r="C12" t="s">
        <v>11</v>
      </c>
      <c r="D12">
        <f>B12*6.667</f>
        <v>525.02625</v>
      </c>
    </row>
    <row r="13" spans="1:14" x14ac:dyDescent="0.3">
      <c r="A13" t="s">
        <v>8</v>
      </c>
      <c r="B13">
        <v>1.77</v>
      </c>
      <c r="C13" t="s">
        <v>12</v>
      </c>
      <c r="D13">
        <f>B13*(-74.52729693) + EXP(B13)*50.11800066 - 56.2</f>
        <v>106.12211707443642</v>
      </c>
      <c r="E13" t="s">
        <v>15</v>
      </c>
      <c r="F13">
        <f>D13/60</f>
        <v>1.768701951240607</v>
      </c>
      <c r="G13" t="s">
        <v>13</v>
      </c>
      <c r="H13">
        <f>F13*0.179</f>
        <v>0.31659764927206863</v>
      </c>
      <c r="J13" t="s">
        <v>22</v>
      </c>
      <c r="K13">
        <f>(B10*D12 - F14*B15*$N$36)/(H13*$N$37)</f>
        <v>14912.590724254162</v>
      </c>
    </row>
    <row r="14" spans="1:14" x14ac:dyDescent="0.3">
      <c r="A14" t="s">
        <v>9</v>
      </c>
      <c r="B14">
        <f>7</f>
        <v>7</v>
      </c>
      <c r="C14" t="s">
        <v>16</v>
      </c>
      <c r="D14">
        <f>B14/105.7</f>
        <v>6.6225165562913912E-2</v>
      </c>
      <c r="E14" t="s">
        <v>20</v>
      </c>
      <c r="F14">
        <f>D14*1000</f>
        <v>66.225165562913915</v>
      </c>
    </row>
    <row r="15" spans="1:14" x14ac:dyDescent="0.3">
      <c r="A15" t="s">
        <v>21</v>
      </c>
      <c r="B15">
        <f>0.0017*14.7*1000</f>
        <v>24.99</v>
      </c>
    </row>
    <row r="17" spans="1:23" x14ac:dyDescent="0.3">
      <c r="A17" s="2" t="s">
        <v>4</v>
      </c>
      <c r="B17" s="2"/>
      <c r="C17" s="2"/>
      <c r="D17" s="2"/>
      <c r="E17" s="2"/>
    </row>
    <row r="18" spans="1:23" x14ac:dyDescent="0.3">
      <c r="A18" t="s">
        <v>1</v>
      </c>
      <c r="B18">
        <v>62.5</v>
      </c>
    </row>
    <row r="19" spans="1:23" x14ac:dyDescent="0.3">
      <c r="A19" t="s">
        <v>2</v>
      </c>
      <c r="B19">
        <v>11.2</v>
      </c>
      <c r="C19" t="s">
        <v>10</v>
      </c>
      <c r="D19">
        <f>B19*14.7</f>
        <v>164.64</v>
      </c>
      <c r="E19" t="s">
        <v>23</v>
      </c>
      <c r="F19">
        <f>D19/2.5</f>
        <v>65.855999999999995</v>
      </c>
      <c r="J19" t="s">
        <v>24</v>
      </c>
      <c r="K19">
        <f>$N$1*$N$2*$N$3*F19</f>
        <v>1529044.6079999998</v>
      </c>
    </row>
    <row r="20" spans="1:23" x14ac:dyDescent="0.3">
      <c r="A20" t="s">
        <v>7</v>
      </c>
      <c r="B20">
        <v>105</v>
      </c>
      <c r="C20" t="s">
        <v>11</v>
      </c>
      <c r="D20">
        <f>B20*6.667</f>
        <v>700.03499999999997</v>
      </c>
    </row>
    <row r="21" spans="1:23" x14ac:dyDescent="0.3">
      <c r="A21" t="s">
        <v>8</v>
      </c>
      <c r="B21">
        <v>1.77</v>
      </c>
      <c r="C21" t="s">
        <v>12</v>
      </c>
      <c r="D21">
        <f>B21*(-74.52729693) + EXP(B21)*50.11800066 - 56.2</f>
        <v>106.12211707443642</v>
      </c>
      <c r="E21" t="s">
        <v>15</v>
      </c>
      <c r="F21">
        <f>D21/60</f>
        <v>1.768701951240607</v>
      </c>
      <c r="G21" t="s">
        <v>13</v>
      </c>
      <c r="H21">
        <f>F21*0.179</f>
        <v>0.31659764927206863</v>
      </c>
      <c r="J21" t="s">
        <v>22</v>
      </c>
      <c r="K21">
        <f>(B18*D20 - F22*B23*$N$36)/(H21*$N$37)</f>
        <v>20175.398826815956</v>
      </c>
    </row>
    <row r="22" spans="1:23" x14ac:dyDescent="0.3">
      <c r="A22" t="s">
        <v>9</v>
      </c>
      <c r="B22" s="1">
        <f>8.2</f>
        <v>8.1999999999999993</v>
      </c>
      <c r="C22" t="s">
        <v>16</v>
      </c>
      <c r="D22">
        <f>B22/105.7</f>
        <v>7.7578051087984851E-2</v>
      </c>
      <c r="E22" t="s">
        <v>20</v>
      </c>
      <c r="F22">
        <f>D22*1000</f>
        <v>77.578051087984846</v>
      </c>
    </row>
    <row r="23" spans="1:23" x14ac:dyDescent="0.3">
      <c r="A23" t="s">
        <v>21</v>
      </c>
      <c r="B23">
        <f>0.0022*14.7*1000</f>
        <v>32.340000000000003</v>
      </c>
    </row>
    <row r="25" spans="1:23" x14ac:dyDescent="0.3">
      <c r="A25" s="2" t="s">
        <v>5</v>
      </c>
      <c r="B25" s="2"/>
      <c r="C25" s="2"/>
      <c r="D25" s="2"/>
      <c r="E25" s="2"/>
    </row>
    <row r="26" spans="1:23" x14ac:dyDescent="0.3">
      <c r="A26" t="s">
        <v>1</v>
      </c>
      <c r="B26">
        <v>61.25</v>
      </c>
    </row>
    <row r="27" spans="1:23" x14ac:dyDescent="0.3">
      <c r="A27" t="s">
        <v>2</v>
      </c>
      <c r="B27">
        <v>17.8</v>
      </c>
      <c r="C27" t="s">
        <v>10</v>
      </c>
      <c r="D27">
        <f>B27*14.7</f>
        <v>261.66000000000003</v>
      </c>
      <c r="E27" t="s">
        <v>23</v>
      </c>
      <c r="F27">
        <f>D27/2.5</f>
        <v>104.66400000000002</v>
      </c>
      <c r="J27" t="s">
        <v>24</v>
      </c>
      <c r="K27">
        <f>$N$1*$N$2*$N$3*F27</f>
        <v>2430088.7520000003</v>
      </c>
    </row>
    <row r="28" spans="1:23" x14ac:dyDescent="0.3">
      <c r="A28" t="s">
        <v>7</v>
      </c>
      <c r="B28">
        <v>61.875</v>
      </c>
      <c r="C28" t="s">
        <v>11</v>
      </c>
      <c r="D28">
        <f>B28*6.667</f>
        <v>412.520625</v>
      </c>
      <c r="M28" t="s">
        <v>32</v>
      </c>
      <c r="N28">
        <f>N30*$N$37*N31/N35</f>
        <v>0.74755747462476374</v>
      </c>
      <c r="O28">
        <f>O30*$N$37*O31/O35</f>
        <v>0.77934878090532556</v>
      </c>
      <c r="P28">
        <f>P30*$N$37*P31/P35</f>
        <v>0.75916012146412548</v>
      </c>
      <c r="T28" t="s">
        <v>32</v>
      </c>
      <c r="U28">
        <v>0.74755747462476374</v>
      </c>
      <c r="V28">
        <f>V30*$N$37*V31/V35</f>
        <v>0.79194297359183818</v>
      </c>
      <c r="W28">
        <f>W30*$N$37*W31/W35</f>
        <v>0.80414812059733076</v>
      </c>
    </row>
    <row r="29" spans="1:23" x14ac:dyDescent="0.3">
      <c r="A29" t="s">
        <v>8</v>
      </c>
      <c r="B29">
        <v>2.13</v>
      </c>
      <c r="C29" t="s">
        <v>12</v>
      </c>
      <c r="D29">
        <f>B29*(-74.52729693) + EXP(B29)*50.11800066 - 56.2</f>
        <v>206.79315794866852</v>
      </c>
      <c r="E29" t="s">
        <v>15</v>
      </c>
      <c r="F29">
        <f>D29/60</f>
        <v>3.4465526324778089</v>
      </c>
      <c r="G29" t="s">
        <v>13</v>
      </c>
      <c r="H29">
        <f>F29*0.179</f>
        <v>0.61693292121352772</v>
      </c>
      <c r="J29" t="s">
        <v>22</v>
      </c>
      <c r="K29">
        <f>(B26*D28 - F30*B31*$N$36)/(H29*$N$37)</f>
        <v>6237.4112667853506</v>
      </c>
    </row>
    <row r="30" spans="1:23" x14ac:dyDescent="0.3">
      <c r="A30" t="s">
        <v>9</v>
      </c>
      <c r="B30">
        <v>9</v>
      </c>
      <c r="C30" t="s">
        <v>16</v>
      </c>
      <c r="D30">
        <f>B30/105.7</f>
        <v>8.5146641438032161E-2</v>
      </c>
      <c r="E30" t="s">
        <v>20</v>
      </c>
      <c r="F30">
        <f>D30*1000</f>
        <v>85.146641438032162</v>
      </c>
      <c r="M30" t="s">
        <v>31</v>
      </c>
      <c r="N30">
        <f>H5</f>
        <v>0.31008676740669816</v>
      </c>
      <c r="O30">
        <f>H13</f>
        <v>0.31659764927206863</v>
      </c>
      <c r="P30">
        <f>H21</f>
        <v>0.31659764927206863</v>
      </c>
      <c r="T30" t="s">
        <v>31</v>
      </c>
      <c r="U30">
        <v>0.31008676740669816</v>
      </c>
      <c r="V30">
        <f>H29</f>
        <v>0.61693292121352772</v>
      </c>
      <c r="W30">
        <f>H37</f>
        <v>0.18737690467330712</v>
      </c>
    </row>
    <row r="31" spans="1:23" x14ac:dyDescent="0.3">
      <c r="A31" t="s">
        <v>21</v>
      </c>
      <c r="B31">
        <f>0.001*14.7*1000</f>
        <v>14.7</v>
      </c>
      <c r="M31" t="s">
        <v>29</v>
      </c>
      <c r="N31">
        <f>K5</f>
        <v>11156.307393404835</v>
      </c>
      <c r="O31">
        <f>K13</f>
        <v>14912.590724254162</v>
      </c>
      <c r="P31">
        <f>K21</f>
        <v>20175.398826815956</v>
      </c>
      <c r="T31" t="s">
        <v>29</v>
      </c>
      <c r="U31">
        <v>11156.307393404835</v>
      </c>
      <c r="V31">
        <f>K29</f>
        <v>6237.4112667853506</v>
      </c>
      <c r="W31">
        <f>K37</f>
        <v>19198.84685305271</v>
      </c>
    </row>
    <row r="32" spans="1:23" x14ac:dyDescent="0.3">
      <c r="M32" t="s">
        <v>28</v>
      </c>
      <c r="N32">
        <f>H5</f>
        <v>0.31008676740669816</v>
      </c>
      <c r="O32">
        <f>H13</f>
        <v>0.31659764927206863</v>
      </c>
      <c r="P32">
        <f>H21</f>
        <v>0.31659764927206863</v>
      </c>
      <c r="T32" t="s">
        <v>28</v>
      </c>
      <c r="U32">
        <v>0.31008676740669816</v>
      </c>
    </row>
    <row r="33" spans="1:23" x14ac:dyDescent="0.3">
      <c r="A33" s="2" t="s">
        <v>6</v>
      </c>
      <c r="B33" s="2"/>
      <c r="C33" s="2"/>
      <c r="D33" s="2"/>
      <c r="E33" s="2"/>
      <c r="M33" t="s">
        <v>17</v>
      </c>
      <c r="N33">
        <f>B2</f>
        <v>55</v>
      </c>
      <c r="O33">
        <f>B10</f>
        <v>60</v>
      </c>
      <c r="P33">
        <f>B18</f>
        <v>62.5</v>
      </c>
      <c r="T33" t="s">
        <v>17</v>
      </c>
      <c r="U33">
        <v>55</v>
      </c>
      <c r="V33">
        <f>B26</f>
        <v>61.25</v>
      </c>
      <c r="W33">
        <f>B34</f>
        <v>54.75</v>
      </c>
    </row>
    <row r="34" spans="1:23" x14ac:dyDescent="0.3">
      <c r="A34" t="s">
        <v>1</v>
      </c>
      <c r="B34">
        <v>54.75</v>
      </c>
      <c r="M34" t="s">
        <v>33</v>
      </c>
      <c r="N34">
        <f>D4</f>
        <v>437.52187499999997</v>
      </c>
      <c r="O34">
        <f>D12</f>
        <v>525.02625</v>
      </c>
      <c r="P34">
        <f>D20</f>
        <v>700.03499999999997</v>
      </c>
      <c r="T34" t="s">
        <v>33</v>
      </c>
      <c r="U34">
        <v>437.52187499999997</v>
      </c>
      <c r="V34">
        <f>D28</f>
        <v>412.520625</v>
      </c>
      <c r="W34">
        <f>D36</f>
        <v>424.88790999999998</v>
      </c>
    </row>
    <row r="35" spans="1:23" x14ac:dyDescent="0.3">
      <c r="A35" t="s">
        <v>2</v>
      </c>
      <c r="B35">
        <v>2.8</v>
      </c>
      <c r="C35" t="s">
        <v>10</v>
      </c>
      <c r="D35">
        <f>B35*14.7</f>
        <v>41.16</v>
      </c>
      <c r="E35" t="s">
        <v>23</v>
      </c>
      <c r="F35">
        <f>D35/2.5</f>
        <v>16.463999999999999</v>
      </c>
      <c r="J35" t="s">
        <v>24</v>
      </c>
      <c r="K35">
        <f>$N$1*$N$2*$N$3*F35</f>
        <v>382261.15199999994</v>
      </c>
      <c r="M35" t="s">
        <v>30</v>
      </c>
      <c r="N35">
        <f>N33*N34</f>
        <v>24063.703124999996</v>
      </c>
      <c r="O35">
        <f t="shared" ref="O35" si="0">O33*O34</f>
        <v>31501.575000000001</v>
      </c>
      <c r="P35">
        <f>P33*P34</f>
        <v>43752.1875</v>
      </c>
      <c r="T35" t="s">
        <v>30</v>
      </c>
      <c r="U35">
        <v>24063.703124999996</v>
      </c>
      <c r="V35">
        <f>V33*V34</f>
        <v>25266.888281250001</v>
      </c>
      <c r="W35">
        <f t="shared" ref="W35" si="1">W33*W34</f>
        <v>23262.6130725</v>
      </c>
    </row>
    <row r="36" spans="1:23" x14ac:dyDescent="0.3">
      <c r="A36" t="s">
        <v>7</v>
      </c>
      <c r="B36">
        <v>63.73</v>
      </c>
      <c r="C36" t="s">
        <v>11</v>
      </c>
      <c r="D36">
        <f>B36*6.667</f>
        <v>424.88790999999998</v>
      </c>
      <c r="M36" t="s">
        <v>18</v>
      </c>
      <c r="N36">
        <f>4200/1000</f>
        <v>4.2</v>
      </c>
      <c r="T36" t="s">
        <v>18</v>
      </c>
      <c r="U36">
        <v>4.2</v>
      </c>
    </row>
    <row r="37" spans="1:23" x14ac:dyDescent="0.3">
      <c r="A37" t="s">
        <v>8</v>
      </c>
      <c r="B37">
        <v>1.54</v>
      </c>
      <c r="C37" t="s">
        <v>12</v>
      </c>
      <c r="D37">
        <f>B37*(-74.52729693) + EXP(B37)*50.11800066 - 56.2</f>
        <v>62.807901007812447</v>
      </c>
      <c r="E37" t="s">
        <v>15</v>
      </c>
      <c r="F37">
        <f>D37/60</f>
        <v>1.0467983501302074</v>
      </c>
      <c r="G37" t="s">
        <v>13</v>
      </c>
      <c r="H37">
        <f>F37*0.179</f>
        <v>0.18737690467330712</v>
      </c>
      <c r="J37" t="s">
        <v>22</v>
      </c>
      <c r="K37">
        <f>(B34*D36 - F38*B39*$N$36)/(H37*$N$37)</f>
        <v>19198.84685305271</v>
      </c>
      <c r="M37" t="s">
        <v>19</v>
      </c>
      <c r="N37">
        <v>5.2</v>
      </c>
      <c r="T37" t="s">
        <v>19</v>
      </c>
      <c r="U37">
        <v>5.2</v>
      </c>
    </row>
    <row r="38" spans="1:23" x14ac:dyDescent="0.3">
      <c r="A38" t="s">
        <v>9</v>
      </c>
      <c r="B38">
        <v>6</v>
      </c>
      <c r="C38" t="s">
        <v>16</v>
      </c>
      <c r="D38">
        <f>B38/105.7</f>
        <v>5.6764427625354774E-2</v>
      </c>
      <c r="E38" t="s">
        <v>20</v>
      </c>
      <c r="F38">
        <f>D38*1000</f>
        <v>56.764427625354777</v>
      </c>
      <c r="T38" t="s">
        <v>53</v>
      </c>
      <c r="U38">
        <f>U34/U33</f>
        <v>7.9549431818181811</v>
      </c>
      <c r="V38">
        <f t="shared" ref="V38:W38" si="2">V34/V33</f>
        <v>6.7350306122448975</v>
      </c>
      <c r="W38">
        <f t="shared" si="2"/>
        <v>7.7605097716894971</v>
      </c>
    </row>
    <row r="39" spans="1:23" x14ac:dyDescent="0.3">
      <c r="A39" t="s">
        <v>21</v>
      </c>
      <c r="B39">
        <f>0.0013*14.7*1000</f>
        <v>19.11</v>
      </c>
    </row>
    <row r="42" spans="1:23" x14ac:dyDescent="0.3">
      <c r="A42" s="2" t="s">
        <v>34</v>
      </c>
      <c r="B42" s="2"/>
      <c r="C42" s="2"/>
    </row>
    <row r="43" spans="1:23" x14ac:dyDescent="0.3">
      <c r="A43" t="s">
        <v>35</v>
      </c>
      <c r="B43">
        <v>300</v>
      </c>
    </row>
    <row r="44" spans="1:23" x14ac:dyDescent="0.3">
      <c r="A44" t="s">
        <v>37</v>
      </c>
      <c r="B44">
        <v>2</v>
      </c>
    </row>
    <row r="45" spans="1:23" x14ac:dyDescent="0.3">
      <c r="A45" t="s">
        <v>38</v>
      </c>
      <c r="B45">
        <v>1</v>
      </c>
    </row>
    <row r="46" spans="1:23" x14ac:dyDescent="0.3">
      <c r="A46" t="s">
        <v>39</v>
      </c>
      <c r="B46">
        <v>24.6</v>
      </c>
      <c r="C46">
        <f>1.6*10^-19</f>
        <v>1.6000000000000002E-19</v>
      </c>
      <c r="D46">
        <f>11604.5 * B46</f>
        <v>285470.7</v>
      </c>
    </row>
    <row r="47" spans="1:23" x14ac:dyDescent="0.3">
      <c r="A47" t="s">
        <v>40</v>
      </c>
      <c r="B47" s="3">
        <f>1.38*10^-23</f>
        <v>1.3800000000000001E-23</v>
      </c>
    </row>
    <row r="48" spans="1:23" x14ac:dyDescent="0.3">
      <c r="A48" t="s">
        <v>36</v>
      </c>
    </row>
    <row r="49" spans="1:5" x14ac:dyDescent="0.3">
      <c r="A49">
        <v>11156.307393404835</v>
      </c>
      <c r="B49">
        <v>14912.590724254162</v>
      </c>
      <c r="C49">
        <v>20175.398826815956</v>
      </c>
      <c r="D49">
        <v>6237.4112667853506</v>
      </c>
      <c r="E49">
        <v>19198.84685305271</v>
      </c>
    </row>
    <row r="50" spans="1:5" x14ac:dyDescent="0.3">
      <c r="A50" t="s">
        <v>41</v>
      </c>
    </row>
    <row r="51" spans="1:5" x14ac:dyDescent="0.3">
      <c r="A51">
        <f>A49/1000</f>
        <v>11.156307393404836</v>
      </c>
      <c r="B51">
        <f t="shared" ref="B51:E51" si="3">B49/1000</f>
        <v>14.912590724254162</v>
      </c>
      <c r="C51">
        <f t="shared" si="3"/>
        <v>20.175398826815954</v>
      </c>
      <c r="D51">
        <f t="shared" si="3"/>
        <v>6.237411266785351</v>
      </c>
      <c r="E51">
        <f t="shared" si="3"/>
        <v>19.198846853052711</v>
      </c>
    </row>
    <row r="53" spans="1:5" x14ac:dyDescent="0.3">
      <c r="A53" t="s">
        <v>42</v>
      </c>
    </row>
    <row r="54" spans="1:5" x14ac:dyDescent="0.3">
      <c r="A54">
        <f>21.1 * ($B$44/$B$45) * ((A49/1000)^(3/2) / $B$43) * EXP(-$D$46/A49)</f>
        <v>4.0422556265475349E-11</v>
      </c>
      <c r="B54">
        <f t="shared" ref="B54:E54" si="4">21.1 * ($B$44/$B$45) * ((B49/1000)^(3/2) / $B$43) * EXP(-$D$46/B49)</f>
        <v>3.9341544505491974E-8</v>
      </c>
      <c r="C54">
        <f t="shared" si="4"/>
        <v>9.1284789555584411E-6</v>
      </c>
      <c r="D54">
        <f t="shared" si="4"/>
        <v>2.9115648622780065E-20</v>
      </c>
      <c r="E54">
        <f t="shared" si="4"/>
        <v>4.1258207423335663E-6</v>
      </c>
    </row>
    <row r="55" spans="1:5" x14ac:dyDescent="0.3">
      <c r="A55" s="5" t="s">
        <v>43</v>
      </c>
      <c r="B55" s="5"/>
    </row>
    <row r="56" spans="1:5" x14ac:dyDescent="0.3">
      <c r="A56">
        <f>SQRT(A54/(1+A54))</f>
        <v>6.3578735646316028E-6</v>
      </c>
      <c r="B56">
        <f>SQRT(B54/(1+B54))</f>
        <v>1.9834702659161523E-4</v>
      </c>
      <c r="C56">
        <f>SQRT(C54/(1+C54))</f>
        <v>3.0213234893322928E-3</v>
      </c>
      <c r="D56">
        <f>SQRT(D54/(1+D54))</f>
        <v>1.7063308185337352E-10</v>
      </c>
      <c r="E56">
        <f>SQRT(E54/(1+E54))</f>
        <v>2.0312074537099847E-3</v>
      </c>
    </row>
    <row r="57" spans="1:5" x14ac:dyDescent="0.3">
      <c r="A57" s="5" t="s">
        <v>47</v>
      </c>
      <c r="B57" s="5"/>
    </row>
    <row r="58" spans="1:5" x14ac:dyDescent="0.3">
      <c r="A58">
        <f>10^15/A56</f>
        <v>1.5728529198235848E+20</v>
      </c>
      <c r="B58">
        <f t="shared" ref="B58:E58" si="5">10^15/B56</f>
        <v>5.0416687216538962E+18</v>
      </c>
      <c r="C58">
        <f t="shared" si="5"/>
        <v>3.3098077830156422E+17</v>
      </c>
      <c r="D58">
        <f>10^15/D56</f>
        <v>5.8605282700063327E+24</v>
      </c>
      <c r="E58">
        <f t="shared" si="5"/>
        <v>4.9231800433456845E+17</v>
      </c>
    </row>
    <row r="59" spans="1:5" x14ac:dyDescent="0.3">
      <c r="A59" t="s">
        <v>44</v>
      </c>
    </row>
    <row r="60" spans="1:5" x14ac:dyDescent="0.3">
      <c r="A60" t="s">
        <v>45</v>
      </c>
      <c r="B60">
        <f>3.14 * 2.9^2 * 10^-20</f>
        <v>2.6407400000000003E-19</v>
      </c>
    </row>
    <row r="61" spans="1:5" x14ac:dyDescent="0.3">
      <c r="A61" t="s">
        <v>40</v>
      </c>
      <c r="B61" s="3">
        <f>1.38*10^-23</f>
        <v>1.3800000000000001E-23</v>
      </c>
    </row>
    <row r="64" spans="1:5" x14ac:dyDescent="0.3">
      <c r="A64" t="s">
        <v>36</v>
      </c>
    </row>
    <row r="65" spans="1:5" x14ac:dyDescent="0.3">
      <c r="A65">
        <v>11156.307393404835</v>
      </c>
      <c r="B65">
        <v>14912.590724254162</v>
      </c>
      <c r="C65">
        <v>20175.398826815956</v>
      </c>
      <c r="D65">
        <v>6237.4112667853506</v>
      </c>
      <c r="E65">
        <v>19198.84685305271</v>
      </c>
    </row>
    <row r="67" spans="1:5" x14ac:dyDescent="0.3">
      <c r="A67" t="s">
        <v>17</v>
      </c>
    </row>
    <row r="68" spans="1:5" x14ac:dyDescent="0.3">
      <c r="A68">
        <f>SQRT($B$61*A65*8/(3.14*6.64*10^-27))</f>
        <v>7685.9208715875184</v>
      </c>
      <c r="B68">
        <f t="shared" ref="B68:E68" si="6">SQRT($B$61*B65*8/(3.14*6.64*10^-27))</f>
        <v>8886.1209951983183</v>
      </c>
      <c r="C68">
        <f t="shared" si="6"/>
        <v>10335.862835379749</v>
      </c>
      <c r="D68">
        <f t="shared" si="6"/>
        <v>5746.9558821567844</v>
      </c>
      <c r="E68">
        <f t="shared" si="6"/>
        <v>10082.616415218239</v>
      </c>
    </row>
    <row r="70" spans="1:5" x14ac:dyDescent="0.3">
      <c r="A70" s="4" t="s">
        <v>46</v>
      </c>
    </row>
    <row r="71" spans="1:5" x14ac:dyDescent="0.3">
      <c r="A71">
        <f>(75*3.14)/(64*SQRT(2))*($B$61*A68)/$B$60</f>
        <v>1.0450697838959291</v>
      </c>
      <c r="B71">
        <f t="shared" ref="B71:E71" si="7">(75*3.14)/(64*SQRT(2))*($B$61*B68)/$B$60</f>
        <v>1.2082633562433287</v>
      </c>
      <c r="C71">
        <f t="shared" si="7"/>
        <v>1.4053876067965816</v>
      </c>
      <c r="D71">
        <f t="shared" si="7"/>
        <v>0.78142489913306945</v>
      </c>
      <c r="E71">
        <f t="shared" si="7"/>
        <v>1.3709531927540206</v>
      </c>
    </row>
    <row r="73" spans="1:5" x14ac:dyDescent="0.3">
      <c r="A73" s="2" t="s">
        <v>48</v>
      </c>
      <c r="B73" s="2"/>
    </row>
    <row r="74" spans="1:5" x14ac:dyDescent="0.3">
      <c r="A74" t="s">
        <v>40</v>
      </c>
      <c r="B74" s="3">
        <f>1.38*10^-23</f>
        <v>1.3800000000000001E-23</v>
      </c>
    </row>
    <row r="75" spans="1:5" x14ac:dyDescent="0.3">
      <c r="A75" t="s">
        <v>47</v>
      </c>
    </row>
    <row r="76" spans="1:5" x14ac:dyDescent="0.3">
      <c r="A76">
        <v>1.5728529198235848E+20</v>
      </c>
      <c r="B76">
        <v>5.0416687216538962E+18</v>
      </c>
      <c r="C76">
        <v>3.3098077830156422E+17</v>
      </c>
      <c r="D76">
        <v>5.8605282700063327E+24</v>
      </c>
      <c r="E76">
        <v>4.9231800433456845E+17</v>
      </c>
    </row>
    <row r="77" spans="1:5" x14ac:dyDescent="0.3">
      <c r="A77" t="s">
        <v>36</v>
      </c>
    </row>
    <row r="78" spans="1:5" x14ac:dyDescent="0.3">
      <c r="A78">
        <v>11156.307393404835</v>
      </c>
      <c r="B78">
        <v>14912.590724254162</v>
      </c>
      <c r="C78">
        <v>20175.398826815956</v>
      </c>
      <c r="D78">
        <v>6237.4112667853506</v>
      </c>
      <c r="E78">
        <v>19198.84685305271</v>
      </c>
    </row>
    <row r="79" spans="1:5" x14ac:dyDescent="0.3">
      <c r="A79" s="4" t="s">
        <v>49</v>
      </c>
    </row>
    <row r="80" spans="1:5" x14ac:dyDescent="0.3">
      <c r="A80">
        <f>A78*A76*$B$74</f>
        <v>24.215178308269415</v>
      </c>
      <c r="B80">
        <f t="shared" ref="B80:E80" si="8">B78*B76*$B$74</f>
        <v>1.0375439225435157</v>
      </c>
      <c r="C80">
        <f t="shared" si="8"/>
        <v>9.2151835046167349E-2</v>
      </c>
      <c r="D80">
        <f>D78*D76*$B$74</f>
        <v>504452.44583699154</v>
      </c>
      <c r="E80">
        <f t="shared" si="8"/>
        <v>0.1304367439614349</v>
      </c>
    </row>
    <row r="81" spans="1:5" x14ac:dyDescent="0.3">
      <c r="A81" s="4" t="s">
        <v>50</v>
      </c>
    </row>
    <row r="82" spans="1:5" x14ac:dyDescent="0.3">
      <c r="A82">
        <f>4*A80/(8.31 * A78)</f>
        <v>1.0447831669586267E-3</v>
      </c>
      <c r="B82">
        <f t="shared" ref="B82:E82" si="9">4*B80/(8.31 * B78)</f>
        <v>3.3489785010264154E-5</v>
      </c>
      <c r="C82">
        <f t="shared" si="9"/>
        <v>2.1985726789706792E-6</v>
      </c>
      <c r="D82">
        <f>4*D80/(8.31 * D78)</f>
        <v>38.929140854915708</v>
      </c>
      <c r="E82">
        <f t="shared" si="9"/>
        <v>3.2702712201285411E-6</v>
      </c>
    </row>
    <row r="85" spans="1:5" x14ac:dyDescent="0.3">
      <c r="A85" t="s">
        <v>36</v>
      </c>
    </row>
    <row r="86" spans="1:5" x14ac:dyDescent="0.3">
      <c r="A86">
        <v>11156.307393404835</v>
      </c>
      <c r="B86">
        <v>14912.590724254162</v>
      </c>
      <c r="C86">
        <v>20175.398826815956</v>
      </c>
      <c r="D86">
        <v>6237.4112667853506</v>
      </c>
      <c r="E86">
        <v>19198.84685305271</v>
      </c>
    </row>
    <row r="87" spans="1:5" x14ac:dyDescent="0.3">
      <c r="A87" t="s">
        <v>40</v>
      </c>
      <c r="B87" s="3">
        <f>1.38*10^-23</f>
        <v>1.3800000000000001E-23</v>
      </c>
    </row>
    <row r="88" spans="1:5" x14ac:dyDescent="0.3">
      <c r="A88" t="s">
        <v>39</v>
      </c>
      <c r="B88">
        <v>24.6</v>
      </c>
      <c r="C88">
        <f>1.6*10^-19</f>
        <v>1.6000000000000002E-19</v>
      </c>
      <c r="D88">
        <f>11604.5 * B88</f>
        <v>285470.7</v>
      </c>
    </row>
    <row r="89" spans="1:5" x14ac:dyDescent="0.3">
      <c r="A89" t="s">
        <v>47</v>
      </c>
    </row>
    <row r="90" spans="1:5" x14ac:dyDescent="0.3">
      <c r="A90">
        <v>1.5728529198235848E+20</v>
      </c>
      <c r="B90">
        <v>5.0416687216538962E+18</v>
      </c>
      <c r="C90">
        <v>3.3098077830156422E+17</v>
      </c>
      <c r="D90">
        <v>5.8605282700063327E+24</v>
      </c>
      <c r="E90">
        <v>4.9231800433456845E+17</v>
      </c>
    </row>
    <row r="91" spans="1:5" x14ac:dyDescent="0.3">
      <c r="A91">
        <f>A90/1000000</f>
        <v>157285291982358.47</v>
      </c>
      <c r="B91">
        <f t="shared" ref="B91:E91" si="10">B90/1000000</f>
        <v>5041668721653.8965</v>
      </c>
      <c r="C91">
        <f t="shared" si="10"/>
        <v>330980778301.56421</v>
      </c>
      <c r="D91">
        <f t="shared" si="10"/>
        <v>5.8605282700063324E+18</v>
      </c>
      <c r="E91">
        <f t="shared" si="10"/>
        <v>492318004334.56842</v>
      </c>
    </row>
    <row r="92" spans="1:5" x14ac:dyDescent="0.3">
      <c r="A92" t="s">
        <v>51</v>
      </c>
    </row>
    <row r="93" spans="1:5" x14ac:dyDescent="0.3">
      <c r="A93" s="6">
        <f>0.9*10^7 * (A86^2/A91) * EXP($C$88/(A86*$B$87)) * 10^(-2)</f>
        <v>0.20134288503077519</v>
      </c>
      <c r="B93" s="6">
        <f t="shared" ref="B93:E93" si="11">0.9*10^7 * (B86^2/B91) * EXP($C$88/(B86*$B$87)) * 10^(-2)</f>
        <v>8.6383056083164451</v>
      </c>
      <c r="C93" s="6">
        <f t="shared" si="11"/>
        <v>196.6346921693023</v>
      </c>
      <c r="D93" s="6">
        <f t="shared" si="11"/>
        <v>3.8334362751298264E-6</v>
      </c>
      <c r="E93" s="6">
        <f>0.9*10^7 * (E86^2/E91) * EXP($C$88/(E86*$B$87)) * 10^(-2)</f>
        <v>123.25880515368789</v>
      </c>
    </row>
    <row r="94" spans="1:5" x14ac:dyDescent="0.3">
      <c r="A94" t="s">
        <v>52</v>
      </c>
    </row>
    <row r="95" spans="1:5" x14ac:dyDescent="0.3">
      <c r="A95" s="6">
        <f>4 * (5.67 * 10^8) * A86^3 * A93</f>
        <v>6.3407517987475122E+20</v>
      </c>
      <c r="B95" s="6">
        <f t="shared" ref="B95:E95" si="12">4 * (5.67 * 10^8) * B86^3 * B93</f>
        <v>6.4972699491989046E+22</v>
      </c>
      <c r="C95" s="6">
        <f t="shared" si="12"/>
        <v>3.6624320735843559E+24</v>
      </c>
      <c r="D95" s="6">
        <f t="shared" si="12"/>
        <v>2109815310814523.5</v>
      </c>
      <c r="E95" s="6">
        <f t="shared" si="12"/>
        <v>1.9782739699159938E+24</v>
      </c>
    </row>
  </sheetData>
  <mergeCells count="9">
    <mergeCell ref="A42:C42"/>
    <mergeCell ref="A55:B55"/>
    <mergeCell ref="A57:B57"/>
    <mergeCell ref="A73:B73"/>
    <mergeCell ref="A1:E1"/>
    <mergeCell ref="A9:E9"/>
    <mergeCell ref="A17:E17"/>
    <mergeCell ref="A25:E25"/>
    <mergeCell ref="A33:E33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Sheet1</vt:lpstr>
      <vt:lpstr>ВАХ</vt:lpstr>
      <vt:lpstr>Т(N)</vt:lpstr>
      <vt:lpstr>Т(G)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Алексеев</dc:creator>
  <cp:lastModifiedBy>Андрей Алексеев</cp:lastModifiedBy>
  <dcterms:created xsi:type="dcterms:W3CDTF">2018-09-12T07:46:36Z</dcterms:created>
  <dcterms:modified xsi:type="dcterms:W3CDTF">2018-10-07T20:57:17Z</dcterms:modified>
</cp:coreProperties>
</file>