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자료 폴더\MapleStory\MapleStory\Project\Project1(공식분석)\"/>
    </mc:Choice>
  </mc:AlternateContent>
  <xr:revisionPtr revIDLastSave="0" documentId="13_ncr:1_{EE409CBB-5887-453C-9FFA-A5557F9A017A}" xr6:coauthVersionLast="45" xr6:coauthVersionMax="45" xr10:uidLastSave="{00000000-0000-0000-0000-000000000000}"/>
  <bookViews>
    <workbookView xWindow="-24120" yWindow="-120" windowWidth="24240" windowHeight="13140" activeTab="2" xr2:uid="{A70D4F0B-AC37-4257-A510-E4063F27CAB4}"/>
  </bookViews>
  <sheets>
    <sheet name="Npm" sheetId="1" r:id="rId1"/>
    <sheet name="Dpm" sheetId="2" r:id="rId2"/>
    <sheet name="DPM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3" l="1"/>
  <c r="G31" i="3"/>
  <c r="G32" i="3"/>
  <c r="G33" i="3"/>
  <c r="G30" i="3"/>
  <c r="G26" i="3"/>
  <c r="G25" i="3"/>
  <c r="G23" i="3"/>
  <c r="G24" i="3"/>
  <c r="G22" i="3"/>
  <c r="F31" i="3"/>
  <c r="F32" i="3"/>
  <c r="F33" i="3"/>
  <c r="F30" i="3"/>
  <c r="F23" i="3"/>
  <c r="F24" i="3"/>
  <c r="F25" i="3"/>
  <c r="F26" i="3"/>
  <c r="F22" i="3"/>
  <c r="E26" i="3"/>
  <c r="F28" i="3"/>
  <c r="F29" i="3"/>
  <c r="F27" i="3"/>
  <c r="E27" i="3"/>
  <c r="E28" i="3"/>
  <c r="K24" i="3" l="1"/>
  <c r="I24" i="3"/>
  <c r="E24" i="3"/>
  <c r="M23" i="3"/>
  <c r="L23" i="3"/>
  <c r="K23" i="3"/>
  <c r="I23" i="3"/>
  <c r="E32" i="3"/>
  <c r="E30" i="3"/>
  <c r="E23" i="3"/>
  <c r="K31" i="3"/>
  <c r="K22" i="3"/>
  <c r="L22" i="3"/>
  <c r="E29" i="3" l="1"/>
  <c r="E31" i="3"/>
  <c r="L25" i="3"/>
  <c r="L26" i="3"/>
  <c r="L27" i="3"/>
  <c r="L28" i="3"/>
  <c r="L29" i="3"/>
  <c r="L30" i="3"/>
  <c r="L31" i="3"/>
  <c r="L32" i="3"/>
  <c r="L33" i="3"/>
  <c r="M33" i="3"/>
  <c r="M32" i="3"/>
  <c r="M31" i="3"/>
  <c r="M30" i="3"/>
  <c r="M29" i="3"/>
  <c r="M28" i="3"/>
  <c r="M27" i="3"/>
  <c r="M26" i="3"/>
  <c r="M25" i="3"/>
  <c r="M22" i="3"/>
  <c r="E25" i="3"/>
  <c r="E33" i="3"/>
  <c r="I33" i="3"/>
  <c r="K33" i="3" s="1"/>
  <c r="I32" i="3"/>
  <c r="K32" i="3" s="1"/>
  <c r="I31" i="3"/>
  <c r="I30" i="3"/>
  <c r="K30" i="3" s="1"/>
  <c r="I29" i="3"/>
  <c r="K29" i="3" s="1"/>
  <c r="I28" i="3"/>
  <c r="K28" i="3" s="1"/>
  <c r="I27" i="3"/>
  <c r="K27" i="3" s="1"/>
  <c r="I26" i="3"/>
  <c r="K26" i="3" s="1"/>
  <c r="I25" i="3"/>
  <c r="I22" i="3"/>
  <c r="K25" i="3" l="1"/>
  <c r="N25" i="2"/>
  <c r="J4" i="3"/>
  <c r="V19" i="2" l="1"/>
  <c r="V18" i="2"/>
  <c r="N28" i="3" l="1"/>
  <c r="O28" i="3"/>
  <c r="Q18" i="3"/>
  <c r="O24" i="3"/>
  <c r="N24" i="3"/>
  <c r="O26" i="3"/>
  <c r="N26" i="3"/>
  <c r="O22" i="3"/>
  <c r="N22" i="3"/>
  <c r="O30" i="3"/>
  <c r="N30" i="3"/>
  <c r="N23" i="3"/>
  <c r="O23" i="3"/>
  <c r="O31" i="3"/>
  <c r="N31" i="3"/>
  <c r="O33" i="3"/>
  <c r="N33" i="3"/>
  <c r="O29" i="3"/>
  <c r="N29" i="3"/>
  <c r="N32" i="3"/>
  <c r="O32" i="3"/>
  <c r="O25" i="3"/>
  <c r="N25" i="3"/>
  <c r="N27" i="3"/>
  <c r="O27" i="3"/>
  <c r="E18" i="2"/>
  <c r="S18" i="2" s="1"/>
  <c r="E35" i="2"/>
  <c r="E36" i="2"/>
  <c r="E37" i="2"/>
  <c r="E38" i="2"/>
  <c r="J36" i="2"/>
  <c r="J37" i="2"/>
  <c r="J38" i="2"/>
  <c r="J35" i="2"/>
  <c r="H36" i="2"/>
  <c r="I36" i="2"/>
  <c r="H37" i="2"/>
  <c r="I37" i="2"/>
  <c r="H38" i="2"/>
  <c r="I38" i="2"/>
  <c r="I35" i="2"/>
  <c r="H35" i="2"/>
  <c r="H39" i="2"/>
  <c r="I39" i="2"/>
  <c r="J39" i="2" s="1"/>
  <c r="F39" i="2" s="1"/>
  <c r="H40" i="2"/>
  <c r="J40" i="2" s="1"/>
  <c r="F40" i="2" s="1"/>
  <c r="I40" i="2"/>
  <c r="K3" i="2"/>
  <c r="F28" i="2" s="1"/>
  <c r="Q26" i="3" l="1"/>
  <c r="Q23" i="3"/>
  <c r="P33" i="3"/>
  <c r="Q27" i="3"/>
  <c r="P25" i="3"/>
  <c r="Q25" i="3"/>
  <c r="Q24" i="3"/>
  <c r="Q32" i="3"/>
  <c r="P32" i="3"/>
  <c r="P31" i="3"/>
  <c r="Q31" i="3"/>
  <c r="P30" i="3"/>
  <c r="Q30" i="3"/>
  <c r="Q33" i="3"/>
  <c r="Q22" i="3"/>
  <c r="Q28" i="3"/>
  <c r="Q29" i="3"/>
  <c r="P27" i="3"/>
  <c r="P23" i="3"/>
  <c r="P29" i="3"/>
  <c r="P26" i="3"/>
  <c r="P24" i="3"/>
  <c r="P22" i="3"/>
  <c r="P28" i="3"/>
  <c r="J8" i="2"/>
  <c r="F8" i="2"/>
  <c r="K10" i="2"/>
  <c r="G10" i="2"/>
  <c r="K11" i="2"/>
  <c r="G11" i="2"/>
  <c r="J12" i="2"/>
  <c r="F12" i="2"/>
  <c r="H13" i="2"/>
  <c r="E14" i="2"/>
  <c r="E19" i="2"/>
  <c r="S19" i="2" s="1"/>
  <c r="G21" i="2"/>
  <c r="H22" i="2"/>
  <c r="G23" i="2"/>
  <c r="E25" i="2"/>
  <c r="F25" i="2"/>
  <c r="E27" i="2"/>
  <c r="I28" i="2"/>
  <c r="I8" i="2"/>
  <c r="E9" i="2"/>
  <c r="J10" i="2"/>
  <c r="F10" i="2"/>
  <c r="J11" i="2"/>
  <c r="F11" i="2"/>
  <c r="I12" i="2"/>
  <c r="E13" i="2"/>
  <c r="G13" i="2"/>
  <c r="E16" i="2"/>
  <c r="E21" i="2"/>
  <c r="F21" i="2"/>
  <c r="G22" i="2"/>
  <c r="H23" i="2"/>
  <c r="I25" i="2"/>
  <c r="F26" i="2"/>
  <c r="F27" i="2"/>
  <c r="H28" i="2"/>
  <c r="E8" i="2"/>
  <c r="H8" i="2"/>
  <c r="E10" i="2"/>
  <c r="I10" i="2"/>
  <c r="E11" i="2"/>
  <c r="I11" i="2"/>
  <c r="E12" i="2"/>
  <c r="H12" i="2"/>
  <c r="J13" i="2"/>
  <c r="F13" i="2"/>
  <c r="E17" i="2"/>
  <c r="I21" i="2"/>
  <c r="E22" i="2"/>
  <c r="F22" i="2"/>
  <c r="I23" i="2"/>
  <c r="H25" i="2"/>
  <c r="H26" i="2"/>
  <c r="H27" i="2"/>
  <c r="G28" i="2"/>
  <c r="K8" i="2"/>
  <c r="G8" i="2"/>
  <c r="L10" i="2"/>
  <c r="H10" i="2"/>
  <c r="L11" i="2"/>
  <c r="H11" i="2"/>
  <c r="K12" i="2"/>
  <c r="G12" i="2"/>
  <c r="I13" i="2"/>
  <c r="K13" i="2"/>
  <c r="H21" i="2"/>
  <c r="I22" i="2"/>
  <c r="F23" i="2"/>
  <c r="E23" i="2"/>
  <c r="G25" i="2"/>
  <c r="E26" i="2"/>
  <c r="E28" i="2"/>
  <c r="S33" i="3" l="1"/>
  <c r="R26" i="3"/>
  <c r="R31" i="3"/>
  <c r="R27" i="3"/>
  <c r="S24" i="3"/>
  <c r="S30" i="3"/>
  <c r="R23" i="3"/>
  <c r="R24" i="3"/>
  <c r="R29" i="3"/>
  <c r="S23" i="3"/>
  <c r="R32" i="3"/>
  <c r="S28" i="3"/>
  <c r="R25" i="3"/>
  <c r="R28" i="3"/>
  <c r="S29" i="3"/>
  <c r="S32" i="3"/>
  <c r="S22" i="3"/>
  <c r="R30" i="3"/>
  <c r="R22" i="3"/>
  <c r="S26" i="3"/>
  <c r="S31" i="3"/>
  <c r="S25" i="3"/>
  <c r="S27" i="3"/>
  <c r="R33" i="3"/>
</calcChain>
</file>

<file path=xl/sharedStrings.xml><?xml version="1.0" encoding="utf-8"?>
<sst xmlns="http://schemas.openxmlformats.org/spreadsheetml/2006/main" count="313" uniqueCount="173">
  <si>
    <t>전사</t>
    <phoneticPr fontId="1" type="noConversion"/>
  </si>
  <si>
    <t>히어로</t>
    <phoneticPr fontId="1" type="noConversion"/>
  </si>
  <si>
    <t>다크나이트</t>
    <phoneticPr fontId="1" type="noConversion"/>
  </si>
  <si>
    <t>팔라딘</t>
    <phoneticPr fontId="1" type="noConversion"/>
  </si>
  <si>
    <t>브랜디쉬</t>
    <phoneticPr fontId="1" type="noConversion"/>
  </si>
  <si>
    <t>블래스트</t>
    <phoneticPr fontId="1" type="noConversion"/>
  </si>
  <si>
    <t>쓰레셔</t>
    <phoneticPr fontId="1" type="noConversion"/>
  </si>
  <si>
    <t>버스터</t>
    <phoneticPr fontId="1" type="noConversion"/>
  </si>
  <si>
    <t>로어</t>
    <phoneticPr fontId="1" type="noConversion"/>
  </si>
  <si>
    <t>생츄어리</t>
    <phoneticPr fontId="1" type="noConversion"/>
  </si>
  <si>
    <t>부스터 스킬은 공속 2단계 향상</t>
    <phoneticPr fontId="1" type="noConversion"/>
  </si>
  <si>
    <t>윈드 부스터는 중첩이 되면서 공속 2단계 향상</t>
    <phoneticPr fontId="1" type="noConversion"/>
  </si>
  <si>
    <t>마법사는 매직 부스터의 영향만 받는다</t>
    <phoneticPr fontId="1" type="noConversion"/>
  </si>
  <si>
    <t>풀공속</t>
    <phoneticPr fontId="1" type="noConversion"/>
  </si>
  <si>
    <t>매우빠름</t>
    <phoneticPr fontId="1" type="noConversion"/>
  </si>
  <si>
    <t>빠름</t>
    <phoneticPr fontId="1" type="noConversion"/>
  </si>
  <si>
    <t>보통</t>
    <phoneticPr fontId="1" type="noConversion"/>
  </si>
  <si>
    <t>느림</t>
    <phoneticPr fontId="1" type="noConversion"/>
  </si>
  <si>
    <t>매우 느림</t>
    <phoneticPr fontId="1" type="noConversion"/>
  </si>
  <si>
    <t>차지 블로우(어차)</t>
    <phoneticPr fontId="1" type="noConversion"/>
  </si>
  <si>
    <t>도적</t>
    <phoneticPr fontId="1" type="noConversion"/>
  </si>
  <si>
    <t>섀도어</t>
    <phoneticPr fontId="1" type="noConversion"/>
  </si>
  <si>
    <t>나이트 로드</t>
    <phoneticPr fontId="1" type="noConversion"/>
  </si>
  <si>
    <t>바이퍼</t>
    <phoneticPr fontId="1" type="noConversion"/>
  </si>
  <si>
    <t>부스 + 시브 + 시브</t>
    <phoneticPr fontId="1" type="noConversion"/>
  </si>
  <si>
    <t>트스</t>
    <phoneticPr fontId="1" type="noConversion"/>
  </si>
  <si>
    <t>어벤져</t>
    <phoneticPr fontId="1" type="noConversion"/>
  </si>
  <si>
    <t>궁수</t>
    <phoneticPr fontId="1" type="noConversion"/>
  </si>
  <si>
    <t>해적</t>
    <phoneticPr fontId="1" type="noConversion"/>
  </si>
  <si>
    <t>마법사</t>
    <phoneticPr fontId="1" type="noConversion"/>
  </si>
  <si>
    <t>블리자드</t>
    <phoneticPr fontId="1" type="noConversion"/>
  </si>
  <si>
    <t>메테오</t>
    <phoneticPr fontId="1" type="noConversion"/>
  </si>
  <si>
    <t>제네시스</t>
    <phoneticPr fontId="1" type="noConversion"/>
  </si>
  <si>
    <t>썬콜</t>
    <phoneticPr fontId="1" type="noConversion"/>
  </si>
  <si>
    <t>불독</t>
    <phoneticPr fontId="1" type="noConversion"/>
  </si>
  <si>
    <t>체라</t>
    <phoneticPr fontId="1" type="noConversion"/>
  </si>
  <si>
    <t>패럴</t>
    <phoneticPr fontId="1" type="noConversion"/>
  </si>
  <si>
    <t>엔레</t>
    <phoneticPr fontId="1" type="noConversion"/>
  </si>
  <si>
    <t>신궁</t>
    <phoneticPr fontId="1" type="noConversion"/>
  </si>
  <si>
    <t>보마</t>
    <phoneticPr fontId="1" type="noConversion"/>
  </si>
  <si>
    <t>피어싱</t>
    <phoneticPr fontId="1" type="noConversion"/>
  </si>
  <si>
    <t>스트레이트</t>
    <phoneticPr fontId="1" type="noConversion"/>
  </si>
  <si>
    <t>?</t>
    <phoneticPr fontId="1" type="noConversion"/>
  </si>
  <si>
    <t>공속</t>
    <phoneticPr fontId="1" type="noConversion"/>
  </si>
  <si>
    <t>스킬</t>
    <phoneticPr fontId="1" type="noConversion"/>
  </si>
  <si>
    <t>폭풍의 시</t>
    <phoneticPr fontId="1" type="noConversion"/>
  </si>
  <si>
    <t>드스 + 샤크 웨이브</t>
    <phoneticPr fontId="1" type="noConversion"/>
  </si>
  <si>
    <t>캡틴</t>
    <phoneticPr fontId="1" type="noConversion"/>
  </si>
  <si>
    <t>배틀쉽 캐논</t>
    <phoneticPr fontId="1" type="noConversion"/>
  </si>
  <si>
    <t>배틀쉽 토르페도</t>
    <phoneticPr fontId="1" type="noConversion"/>
  </si>
  <si>
    <t>래피드 파이어</t>
    <phoneticPr fontId="1" type="noConversion"/>
  </si>
  <si>
    <t>비숍</t>
    <phoneticPr fontId="1" type="noConversion"/>
  </si>
  <si>
    <t>X</t>
    <phoneticPr fontId="1" type="noConversion"/>
  </si>
  <si>
    <t>마법사는 매직 부스터의 영향만 받는다</t>
    <phoneticPr fontId="1" type="noConversion"/>
  </si>
  <si>
    <t>O</t>
    <phoneticPr fontId="1" type="noConversion"/>
  </si>
  <si>
    <t>매직 부스터 유무</t>
    <phoneticPr fontId="1" type="noConversion"/>
  </si>
  <si>
    <t>새비지</t>
    <phoneticPr fontId="1" type="noConversion"/>
  </si>
  <si>
    <t>(부스 + 새비 + 새비)와 동일</t>
    <phoneticPr fontId="1" type="noConversion"/>
  </si>
  <si>
    <t>// 일반적으로 부스터를 사용할 경우 풀 공속 달성 //</t>
    <phoneticPr fontId="1" type="noConversion"/>
  </si>
  <si>
    <t>퍼센트</t>
    <phoneticPr fontId="1" type="noConversion"/>
  </si>
  <si>
    <t>타수</t>
    <phoneticPr fontId="1" type="noConversion"/>
  </si>
  <si>
    <t>인레이지</t>
    <phoneticPr fontId="1" type="noConversion"/>
  </si>
  <si>
    <t>분노</t>
    <phoneticPr fontId="1" type="noConversion"/>
  </si>
  <si>
    <t>?</t>
    <phoneticPr fontId="1" type="noConversion"/>
  </si>
  <si>
    <t>드래곤 블러드</t>
    <phoneticPr fontId="1" type="noConversion"/>
  </si>
  <si>
    <t>집중</t>
    <phoneticPr fontId="1" type="noConversion"/>
  </si>
  <si>
    <t>크리</t>
    <phoneticPr fontId="1" type="noConversion"/>
  </si>
  <si>
    <t>스공 입력칸</t>
    <phoneticPr fontId="1" type="noConversion"/>
  </si>
  <si>
    <t>최소</t>
    <phoneticPr fontId="1" type="noConversion"/>
  </si>
  <si>
    <t>~</t>
    <phoneticPr fontId="1" type="noConversion"/>
  </si>
  <si>
    <t>최대</t>
    <phoneticPr fontId="1" type="noConversion"/>
  </si>
  <si>
    <t>계산에 사용되는 평균 스공</t>
    <phoneticPr fontId="1" type="noConversion"/>
  </si>
  <si>
    <t>X</t>
    <phoneticPr fontId="1" type="noConversion"/>
  </si>
  <si>
    <t>마력</t>
    <phoneticPr fontId="1" type="noConversion"/>
  </si>
  <si>
    <t>인트</t>
    <phoneticPr fontId="1" type="noConversion"/>
  </si>
  <si>
    <t>마법사 입력칸</t>
    <phoneticPr fontId="1" type="noConversion"/>
  </si>
  <si>
    <t>민뎀</t>
    <phoneticPr fontId="1" type="noConversion"/>
  </si>
  <si>
    <t>맥뎀</t>
    <phoneticPr fontId="1" type="noConversion"/>
  </si>
  <si>
    <t>입력되는 평균값</t>
    <phoneticPr fontId="1" type="noConversion"/>
  </si>
  <si>
    <t>쉐도운 파스터(60%)</t>
    <phoneticPr fontId="1" type="noConversion"/>
  </si>
  <si>
    <t>크리(60%/200%)</t>
    <phoneticPr fontId="1" type="noConversion"/>
  </si>
  <si>
    <t>크리(60%/201%)</t>
  </si>
  <si>
    <t>기준 레벨 : 정복자 300</t>
    <phoneticPr fontId="1" type="noConversion"/>
  </si>
  <si>
    <t>아이템 기준 : 졸업 컷</t>
    <phoneticPr fontId="1" type="noConversion"/>
  </si>
  <si>
    <t xml:space="preserve">스텟작은 하지 않음 </t>
    <phoneticPr fontId="1" type="noConversion"/>
  </si>
  <si>
    <t>정렙 전</t>
    <phoneticPr fontId="1" type="noConversion"/>
  </si>
  <si>
    <t>0~99</t>
    <phoneticPr fontId="1" type="noConversion"/>
  </si>
  <si>
    <t>100~199</t>
    <phoneticPr fontId="1" type="noConversion"/>
  </si>
  <si>
    <t>200~299</t>
    <phoneticPr fontId="1" type="noConversion"/>
  </si>
  <si>
    <t>AP 계산</t>
    <phoneticPr fontId="1" type="noConversion"/>
  </si>
  <si>
    <t>기타</t>
    <phoneticPr fontId="1" type="noConversion"/>
  </si>
  <si>
    <t>Total</t>
    <phoneticPr fontId="1" type="noConversion"/>
  </si>
  <si>
    <t>상의</t>
    <phoneticPr fontId="1" type="noConversion"/>
  </si>
  <si>
    <t>하의</t>
    <phoneticPr fontId="1" type="noConversion"/>
  </si>
  <si>
    <t>모자</t>
    <phoneticPr fontId="1" type="noConversion"/>
  </si>
  <si>
    <t>신발</t>
    <phoneticPr fontId="1" type="noConversion"/>
  </si>
  <si>
    <t>망토</t>
    <phoneticPr fontId="1" type="noConversion"/>
  </si>
  <si>
    <t>장갑</t>
    <phoneticPr fontId="1" type="noConversion"/>
  </si>
  <si>
    <t>무기</t>
    <phoneticPr fontId="1" type="noConversion"/>
  </si>
  <si>
    <t>보조무기</t>
    <phoneticPr fontId="1" type="noConversion"/>
  </si>
  <si>
    <t>공격력</t>
    <phoneticPr fontId="1" type="noConversion"/>
  </si>
  <si>
    <t>주/부스텟</t>
    <phoneticPr fontId="1" type="noConversion"/>
  </si>
  <si>
    <t>종류</t>
    <phoneticPr fontId="1" type="noConversion"/>
  </si>
  <si>
    <t>격수 기준</t>
    <phoneticPr fontId="1" type="noConversion"/>
  </si>
  <si>
    <t>법사 기준</t>
    <phoneticPr fontId="1" type="noConversion"/>
  </si>
  <si>
    <t>5작</t>
    <phoneticPr fontId="1" type="noConversion"/>
  </si>
  <si>
    <t>아이템 기준</t>
    <phoneticPr fontId="1" type="noConversion"/>
  </si>
  <si>
    <t>3단공/3단지 잠재</t>
    <phoneticPr fontId="1" type="noConversion"/>
  </si>
  <si>
    <t>앱솔 방어구</t>
    <phoneticPr fontId="1" type="noConversion"/>
  </si>
  <si>
    <t>앱솔 모자</t>
    <phoneticPr fontId="1" type="noConversion"/>
  </si>
  <si>
    <t>파프 상의</t>
    <phoneticPr fontId="1" type="noConversion"/>
  </si>
  <si>
    <t>파프 하의</t>
    <phoneticPr fontId="1" type="noConversion"/>
  </si>
  <si>
    <t>닼나</t>
    <phoneticPr fontId="1" type="noConversion"/>
  </si>
  <si>
    <t>나로</t>
    <phoneticPr fontId="1" type="noConversion"/>
  </si>
  <si>
    <t>섀도</t>
    <phoneticPr fontId="1" type="noConversion"/>
  </si>
  <si>
    <t>두손검</t>
    <phoneticPr fontId="1" type="noConversion"/>
  </si>
  <si>
    <t>창</t>
    <phoneticPr fontId="1" type="noConversion"/>
  </si>
  <si>
    <t>한손검</t>
    <phoneticPr fontId="1" type="noConversion"/>
  </si>
  <si>
    <t>아대</t>
    <phoneticPr fontId="1" type="noConversion"/>
  </si>
  <si>
    <t>단검</t>
    <phoneticPr fontId="1" type="noConversion"/>
  </si>
  <si>
    <t>직업</t>
    <phoneticPr fontId="1" type="noConversion"/>
  </si>
  <si>
    <t>스태프</t>
    <phoneticPr fontId="1" type="noConversion"/>
  </si>
  <si>
    <t>활</t>
    <phoneticPr fontId="1" type="noConversion"/>
  </si>
  <si>
    <t>석궁</t>
    <phoneticPr fontId="1" type="noConversion"/>
  </si>
  <si>
    <t>너클</t>
    <phoneticPr fontId="1" type="noConversion"/>
  </si>
  <si>
    <t>총</t>
    <phoneticPr fontId="1" type="noConversion"/>
  </si>
  <si>
    <t>호밍 고려 필요 ( + 20%)</t>
    <phoneticPr fontId="1" type="noConversion"/>
  </si>
  <si>
    <t>주력기 NPM (자벞)</t>
    <phoneticPr fontId="1" type="noConversion"/>
  </si>
  <si>
    <t>폭시</t>
    <phoneticPr fontId="1" type="noConversion"/>
  </si>
  <si>
    <t>드스+샤크</t>
    <phoneticPr fontId="1" type="noConversion"/>
  </si>
  <si>
    <t>화골표(+42)</t>
    <phoneticPr fontId="1" type="noConversion"/>
  </si>
  <si>
    <t>화골불(+28)</t>
    <phoneticPr fontId="1" type="noConversion"/>
  </si>
  <si>
    <t>파프 +20 10강</t>
    <phoneticPr fontId="1" type="noConversion"/>
  </si>
  <si>
    <t>나로</t>
    <phoneticPr fontId="1" type="noConversion"/>
  </si>
  <si>
    <t>궁수</t>
    <phoneticPr fontId="1" type="noConversion"/>
  </si>
  <si>
    <t>격수</t>
    <phoneticPr fontId="1" type="noConversion"/>
  </si>
  <si>
    <t>캡틴</t>
    <phoneticPr fontId="1" type="noConversion"/>
  </si>
  <si>
    <t>공20</t>
    <phoneticPr fontId="1" type="noConversion"/>
  </si>
  <si>
    <t>소울(+0)</t>
    <phoneticPr fontId="1" type="noConversion"/>
  </si>
  <si>
    <t>무기 공/마</t>
    <phoneticPr fontId="1" type="noConversion"/>
  </si>
  <si>
    <t>주스탯</t>
    <phoneticPr fontId="1" type="noConversion"/>
  </si>
  <si>
    <t>보조스탯</t>
    <phoneticPr fontId="1" type="noConversion"/>
  </si>
  <si>
    <t>부스탯</t>
    <phoneticPr fontId="1" type="noConversion"/>
  </si>
  <si>
    <t>주스탯</t>
    <phoneticPr fontId="1" type="noConversion"/>
  </si>
  <si>
    <t>법사 방패는 오직 마력으로 편입하여 계산</t>
    <phoneticPr fontId="1" type="noConversion"/>
  </si>
  <si>
    <t>맥스공</t>
    <phoneticPr fontId="1" type="noConversion"/>
  </si>
  <si>
    <t>퍼뎀</t>
    <phoneticPr fontId="1" type="noConversion"/>
  </si>
  <si>
    <t>타수</t>
    <phoneticPr fontId="1" type="noConversion"/>
  </si>
  <si>
    <t>방어구 공/마+스킬</t>
    <phoneticPr fontId="1" type="noConversion"/>
  </si>
  <si>
    <t>평균 딜량</t>
    <phoneticPr fontId="1" type="noConversion"/>
  </si>
  <si>
    <t>민스공</t>
    <phoneticPr fontId="1" type="noConversion"/>
  </si>
  <si>
    <t>자벞 기준</t>
    <phoneticPr fontId="1" type="noConversion"/>
  </si>
  <si>
    <t>풀벞 기준</t>
    <phoneticPr fontId="1" type="noConversion"/>
  </si>
  <si>
    <t>주력기 NPM (풀벞)</t>
    <phoneticPr fontId="1" type="noConversion"/>
  </si>
  <si>
    <t>평균 딜량</t>
    <phoneticPr fontId="1" type="noConversion"/>
  </si>
  <si>
    <t>솔플 랭킹</t>
    <phoneticPr fontId="1" type="noConversion"/>
  </si>
  <si>
    <t>파티 랭킹</t>
    <phoneticPr fontId="1" type="noConversion"/>
  </si>
  <si>
    <t>14s</t>
    <phoneticPr fontId="1" type="noConversion"/>
  </si>
  <si>
    <t>블래스트</t>
    <phoneticPr fontId="1" type="noConversion"/>
  </si>
  <si>
    <t>생츄</t>
    <phoneticPr fontId="1" type="noConversion"/>
  </si>
  <si>
    <t>60s</t>
    <phoneticPr fontId="1" type="noConversion"/>
  </si>
  <si>
    <t>블래+생츄</t>
    <phoneticPr fontId="1" type="noConversion"/>
  </si>
  <si>
    <t>전직업 메용 고려/앜메 엠플, 메딛 적용/히어로 어차,분노.인레이지 고려/나로 쉐파/캡틴 호밍 고려/신궁 모탈 고려/바이퍼 스턴마스터리/속성 고려 X</t>
    <phoneticPr fontId="1" type="noConversion"/>
  </si>
  <si>
    <t>생츄어리(1타)</t>
    <phoneticPr fontId="1" type="noConversion"/>
  </si>
  <si>
    <t>시전 및 후딜</t>
    <phoneticPr fontId="1" type="noConversion"/>
  </si>
  <si>
    <t>2s</t>
    <phoneticPr fontId="1" type="noConversion"/>
  </si>
  <si>
    <t>/샤프아이즈/윈드부스터/</t>
    <phoneticPr fontId="1" type="noConversion"/>
  </si>
  <si>
    <t>팔라딘 특수</t>
    <phoneticPr fontId="1" type="noConversion"/>
  </si>
  <si>
    <t>샤프아이즈</t>
    <phoneticPr fontId="1" type="noConversion"/>
  </si>
  <si>
    <t>확률</t>
    <phoneticPr fontId="1" type="noConversion"/>
  </si>
  <si>
    <t>데미지</t>
    <phoneticPr fontId="1" type="noConversion"/>
  </si>
  <si>
    <t>8작</t>
    <phoneticPr fontId="1" type="noConversion"/>
  </si>
  <si>
    <t>방패(+0)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</si>
</sst>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_);[Red]\(#,##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5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/>
      <top style="medium">
        <color indexed="64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2" borderId="2" applyNumberFormat="0" applyAlignment="0" applyProtection="0">
      <alignment vertical="center"/>
    </xf>
    <xf numFmtId="0" fontId="3" fillId="2" borderId="1" applyNumberFormat="0" applyAlignment="0" applyProtection="0">
      <alignment vertical="center"/>
    </xf>
  </cellStyleXfs>
  <cellXfs count="14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15" xfId="0" applyBorder="1">
      <alignment vertical="center"/>
    </xf>
    <xf numFmtId="0" fontId="0" fillId="0" borderId="8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8" xfId="0" applyBorder="1" applyAlignment="1">
      <alignment vertical="center"/>
    </xf>
    <xf numFmtId="0" fontId="2" fillId="2" borderId="40" xfId="1" applyBorder="1">
      <alignment vertical="center"/>
    </xf>
    <xf numFmtId="0" fontId="3" fillId="2" borderId="43" xfId="2" applyBorder="1">
      <alignment vertical="center"/>
    </xf>
    <xf numFmtId="0" fontId="3" fillId="2" borderId="1" xfId="2" applyBorder="1">
      <alignment vertical="center"/>
    </xf>
    <xf numFmtId="0" fontId="3" fillId="2" borderId="44" xfId="2" applyBorder="1">
      <alignment vertical="center"/>
    </xf>
    <xf numFmtId="0" fontId="3" fillId="2" borderId="45" xfId="2" applyBorder="1">
      <alignment vertical="center"/>
    </xf>
    <xf numFmtId="0" fontId="2" fillId="2" borderId="46" xfId="1" applyBorder="1">
      <alignment vertical="center"/>
    </xf>
    <xf numFmtId="176" fontId="2" fillId="2" borderId="41" xfId="1" applyNumberFormat="1" applyBorder="1">
      <alignment vertical="center"/>
    </xf>
    <xf numFmtId="176" fontId="2" fillId="2" borderId="47" xfId="1" applyNumberFormat="1" applyBorder="1">
      <alignment vertical="center"/>
    </xf>
    <xf numFmtId="176" fontId="2" fillId="2" borderId="42" xfId="1" applyNumberFormat="1" applyBorder="1">
      <alignment vertical="center"/>
    </xf>
    <xf numFmtId="176" fontId="2" fillId="2" borderId="48" xfId="1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23" xfId="0" applyNumberFormat="1" applyBorder="1">
      <alignment vertical="center"/>
    </xf>
    <xf numFmtId="177" fontId="0" fillId="0" borderId="24" xfId="0" applyNumberFormat="1" applyBorder="1">
      <alignment vertical="center"/>
    </xf>
    <xf numFmtId="177" fontId="0" fillId="0" borderId="22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4" fillId="0" borderId="52" xfId="0" applyFont="1" applyBorder="1">
      <alignment vertical="center"/>
    </xf>
    <xf numFmtId="0" fontId="4" fillId="0" borderId="53" xfId="0" applyFont="1" applyBorder="1">
      <alignment vertical="center"/>
    </xf>
    <xf numFmtId="0" fontId="4" fillId="0" borderId="53" xfId="0" applyFont="1" applyFill="1" applyBorder="1">
      <alignment vertical="center"/>
    </xf>
    <xf numFmtId="0" fontId="0" fillId="0" borderId="32" xfId="0" applyBorder="1">
      <alignment vertical="center"/>
    </xf>
    <xf numFmtId="0" fontId="0" fillId="0" borderId="29" xfId="0" applyBorder="1">
      <alignment vertical="center"/>
    </xf>
    <xf numFmtId="0" fontId="0" fillId="0" borderId="19" xfId="0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4" borderId="3" xfId="0" applyFill="1" applyBorder="1">
      <alignment vertical="center"/>
    </xf>
    <xf numFmtId="176" fontId="0" fillId="3" borderId="3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0" fillId="0" borderId="55" xfId="0" applyFill="1" applyBorder="1">
      <alignment vertical="center"/>
    </xf>
    <xf numFmtId="176" fontId="6" fillId="0" borderId="3" xfId="0" applyNumberFormat="1" applyFont="1" applyBorder="1">
      <alignment vertical="center"/>
    </xf>
    <xf numFmtId="176" fontId="5" fillId="0" borderId="3" xfId="0" applyNumberFormat="1" applyFont="1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1" xfId="2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0" fillId="0" borderId="29" xfId="0" applyNumberFormat="1" applyBorder="1" applyAlignment="1">
      <alignment horizontal="center" vertical="center"/>
    </xf>
    <xf numFmtId="176" fontId="0" fillId="0" borderId="30" xfId="0" applyNumberFormat="1" applyBorder="1" applyAlignment="1">
      <alignment horizontal="center" vertical="center"/>
    </xf>
    <xf numFmtId="176" fontId="0" fillId="0" borderId="31" xfId="0" applyNumberFormat="1" applyBorder="1" applyAlignment="1">
      <alignment horizontal="center" vertical="center"/>
    </xf>
    <xf numFmtId="176" fontId="0" fillId="0" borderId="32" xfId="0" applyNumberForma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176" fontId="0" fillId="0" borderId="3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76" fontId="0" fillId="0" borderId="50" xfId="0" applyNumberFormat="1" applyBorder="1" applyAlignment="1">
      <alignment horizontal="center" vertical="center"/>
    </xf>
    <xf numFmtId="0" fontId="3" fillId="2" borderId="38" xfId="2" applyBorder="1" applyAlignment="1">
      <alignment horizontal="center" vertical="center"/>
    </xf>
    <xf numFmtId="176" fontId="0" fillId="0" borderId="37" xfId="0" applyNumberForma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3">
    <cellStyle name="계산" xfId="2" builtinId="22"/>
    <cellStyle name="출력" xfId="1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AC6D-2172-432F-8390-824E0FEFAB61}">
  <dimension ref="B1:Q40"/>
  <sheetViews>
    <sheetView topLeftCell="A4" workbookViewId="0">
      <selection activeCell="L19" sqref="L19"/>
    </sheetView>
  </sheetViews>
  <sheetFormatPr defaultRowHeight="17.399999999999999" x14ac:dyDescent="0.4"/>
  <cols>
    <col min="2" max="2" width="10.59765625" customWidth="1"/>
    <col min="3" max="3" width="13.3984375" customWidth="1"/>
    <col min="4" max="4" width="17.5" customWidth="1"/>
    <col min="5" max="5" width="10.09765625" customWidth="1"/>
    <col min="17" max="17" width="8.796875" style="28"/>
  </cols>
  <sheetData>
    <row r="1" spans="2:17" x14ac:dyDescent="0.4">
      <c r="B1" t="s">
        <v>10</v>
      </c>
      <c r="Q1" s="27"/>
    </row>
    <row r="2" spans="2:17" x14ac:dyDescent="0.4">
      <c r="B2" t="s">
        <v>11</v>
      </c>
    </row>
    <row r="3" spans="2:17" x14ac:dyDescent="0.4">
      <c r="B3" t="s">
        <v>12</v>
      </c>
    </row>
    <row r="4" spans="2:17" ht="18" thickBot="1" x14ac:dyDescent="0.45"/>
    <row r="5" spans="2:17" x14ac:dyDescent="0.4">
      <c r="D5" s="10" t="s">
        <v>43</v>
      </c>
      <c r="E5" s="5" t="s">
        <v>13</v>
      </c>
      <c r="F5" s="5" t="s">
        <v>14</v>
      </c>
      <c r="G5" s="5" t="s">
        <v>15</v>
      </c>
      <c r="H5" s="5" t="s">
        <v>15</v>
      </c>
      <c r="I5" s="5" t="s">
        <v>16</v>
      </c>
      <c r="J5" s="5" t="s">
        <v>17</v>
      </c>
      <c r="K5" s="5" t="s">
        <v>17</v>
      </c>
      <c r="L5" s="6" t="s">
        <v>18</v>
      </c>
    </row>
    <row r="6" spans="2:17" ht="17.399999999999999" customHeight="1" thickBot="1" x14ac:dyDescent="0.45">
      <c r="D6" s="11" t="s">
        <v>44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9">
        <v>9</v>
      </c>
    </row>
    <row r="7" spans="2:17" ht="18" thickBot="1" x14ac:dyDescent="0.45">
      <c r="E7">
        <v>96</v>
      </c>
      <c r="G7">
        <v>82</v>
      </c>
    </row>
    <row r="8" spans="2:17" x14ac:dyDescent="0.4">
      <c r="B8" s="97" t="s">
        <v>0</v>
      </c>
      <c r="C8" s="14" t="s">
        <v>1</v>
      </c>
      <c r="D8" s="5" t="s">
        <v>4</v>
      </c>
      <c r="E8" s="5">
        <v>95</v>
      </c>
      <c r="F8" s="5">
        <v>87</v>
      </c>
      <c r="G8" s="5">
        <v>80</v>
      </c>
      <c r="H8" s="5">
        <v>74</v>
      </c>
      <c r="I8" s="5">
        <v>72</v>
      </c>
      <c r="J8" s="5">
        <v>67</v>
      </c>
      <c r="K8" s="5">
        <v>63</v>
      </c>
      <c r="L8" s="6"/>
    </row>
    <row r="9" spans="2:17" x14ac:dyDescent="0.4">
      <c r="B9" s="98"/>
      <c r="C9" s="100" t="s">
        <v>2</v>
      </c>
      <c r="D9" s="3" t="s">
        <v>8</v>
      </c>
      <c r="E9" s="91">
        <v>30</v>
      </c>
      <c r="F9" s="92"/>
      <c r="G9" s="92"/>
      <c r="H9" s="92"/>
      <c r="I9" s="92"/>
      <c r="J9" s="92"/>
      <c r="K9" s="92"/>
      <c r="L9" s="93"/>
    </row>
    <row r="10" spans="2:17" x14ac:dyDescent="0.4">
      <c r="B10" s="98"/>
      <c r="C10" s="100"/>
      <c r="D10" s="3" t="s">
        <v>6</v>
      </c>
      <c r="E10" s="3">
        <v>100</v>
      </c>
      <c r="F10" s="3">
        <v>90</v>
      </c>
      <c r="G10" s="3">
        <v>83</v>
      </c>
      <c r="H10" s="3">
        <v>80</v>
      </c>
      <c r="I10" s="3">
        <v>74</v>
      </c>
      <c r="J10" s="3">
        <v>69</v>
      </c>
      <c r="K10" s="3">
        <v>67</v>
      </c>
      <c r="L10" s="15">
        <v>63</v>
      </c>
      <c r="N10">
        <v>64</v>
      </c>
    </row>
    <row r="11" spans="2:17" x14ac:dyDescent="0.4">
      <c r="B11" s="98"/>
      <c r="C11" s="100"/>
      <c r="D11" s="13" t="s">
        <v>7</v>
      </c>
      <c r="E11" s="3">
        <v>74</v>
      </c>
      <c r="F11" s="3">
        <v>69</v>
      </c>
      <c r="G11" s="3">
        <v>66</v>
      </c>
      <c r="H11" s="3">
        <v>61</v>
      </c>
      <c r="I11" s="3">
        <v>59</v>
      </c>
      <c r="J11" s="3">
        <v>53</v>
      </c>
      <c r="K11" s="3">
        <v>50</v>
      </c>
      <c r="L11" s="15">
        <v>48</v>
      </c>
    </row>
    <row r="12" spans="2:17" x14ac:dyDescent="0.4">
      <c r="B12" s="98"/>
      <c r="C12" s="100" t="s">
        <v>3</v>
      </c>
      <c r="D12" s="3" t="s">
        <v>5</v>
      </c>
      <c r="E12" s="3">
        <v>95</v>
      </c>
      <c r="F12" s="3">
        <v>87</v>
      </c>
      <c r="G12" s="3">
        <v>80</v>
      </c>
      <c r="H12" s="3">
        <v>74</v>
      </c>
      <c r="I12" s="3">
        <v>72</v>
      </c>
      <c r="J12" s="3">
        <v>67</v>
      </c>
      <c r="K12" s="3">
        <v>63</v>
      </c>
      <c r="L12" s="15"/>
    </row>
    <row r="13" spans="2:17" x14ac:dyDescent="0.4">
      <c r="B13" s="98"/>
      <c r="C13" s="100"/>
      <c r="D13" s="13" t="s">
        <v>19</v>
      </c>
      <c r="E13" s="3">
        <v>100</v>
      </c>
      <c r="F13" s="3">
        <v>90</v>
      </c>
      <c r="G13" s="3">
        <v>83</v>
      </c>
      <c r="H13" s="3">
        <v>80</v>
      </c>
      <c r="I13" s="3">
        <v>74</v>
      </c>
      <c r="J13" s="3">
        <v>69</v>
      </c>
      <c r="K13" s="3">
        <v>67</v>
      </c>
      <c r="L13" s="15"/>
    </row>
    <row r="14" spans="2:17" ht="18" thickBot="1" x14ac:dyDescent="0.45">
      <c r="B14" s="99"/>
      <c r="C14" s="101"/>
      <c r="D14" s="16" t="s">
        <v>9</v>
      </c>
      <c r="E14" s="8" t="s">
        <v>42</v>
      </c>
      <c r="F14" s="8"/>
      <c r="G14" s="8"/>
      <c r="H14" s="8"/>
      <c r="I14" s="8"/>
      <c r="J14" s="8"/>
      <c r="K14" s="8"/>
      <c r="L14" s="9"/>
    </row>
    <row r="15" spans="2:17" ht="18" thickBot="1" x14ac:dyDescent="0.45"/>
    <row r="16" spans="2:17" x14ac:dyDescent="0.4">
      <c r="B16" s="102" t="s">
        <v>20</v>
      </c>
      <c r="C16" s="105" t="s">
        <v>21</v>
      </c>
      <c r="D16" s="5" t="s">
        <v>24</v>
      </c>
      <c r="E16" s="5">
        <v>31</v>
      </c>
      <c r="F16" s="94" t="s">
        <v>57</v>
      </c>
      <c r="G16" s="95"/>
      <c r="H16" s="95"/>
      <c r="I16" s="96"/>
      <c r="K16" t="s">
        <v>58</v>
      </c>
    </row>
    <row r="17" spans="2:9" x14ac:dyDescent="0.4">
      <c r="B17" s="103"/>
      <c r="C17" s="106"/>
      <c r="D17" s="3" t="s">
        <v>56</v>
      </c>
      <c r="E17" s="3">
        <v>83</v>
      </c>
      <c r="F17" s="3"/>
      <c r="G17" s="3"/>
      <c r="H17" s="3"/>
      <c r="I17" s="15"/>
    </row>
    <row r="18" spans="2:9" x14ac:dyDescent="0.4">
      <c r="B18" s="103"/>
      <c r="C18" s="107" t="s">
        <v>22</v>
      </c>
      <c r="D18" s="3" t="s">
        <v>25</v>
      </c>
      <c r="E18" s="3">
        <v>100</v>
      </c>
      <c r="F18" s="3"/>
      <c r="G18" s="3"/>
      <c r="H18" s="3"/>
      <c r="I18" s="15"/>
    </row>
    <row r="19" spans="2:9" ht="18" thickBot="1" x14ac:dyDescent="0.45">
      <c r="B19" s="104"/>
      <c r="C19" s="108"/>
      <c r="D19" s="8" t="s">
        <v>26</v>
      </c>
      <c r="E19" s="8">
        <v>95</v>
      </c>
      <c r="F19" s="8"/>
      <c r="G19" s="8"/>
      <c r="H19" s="8"/>
      <c r="I19" s="9"/>
    </row>
    <row r="20" spans="2:9" ht="18" thickBot="1" x14ac:dyDescent="0.45">
      <c r="B20" s="2"/>
    </row>
    <row r="21" spans="2:9" x14ac:dyDescent="0.4">
      <c r="B21" s="97" t="s">
        <v>27</v>
      </c>
      <c r="C21" s="112" t="s">
        <v>38</v>
      </c>
      <c r="D21" s="5" t="s">
        <v>40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</row>
    <row r="22" spans="2:9" x14ac:dyDescent="0.4">
      <c r="B22" s="98"/>
      <c r="C22" s="100"/>
      <c r="D22" s="3" t="s">
        <v>41</v>
      </c>
      <c r="E22" s="3">
        <v>94</v>
      </c>
      <c r="F22" s="3">
        <v>86</v>
      </c>
      <c r="G22" s="3">
        <v>82</v>
      </c>
      <c r="H22" s="3">
        <v>76</v>
      </c>
      <c r="I22" s="15">
        <v>70</v>
      </c>
    </row>
    <row r="23" spans="2:9" ht="18" thickBot="1" x14ac:dyDescent="0.45">
      <c r="B23" s="99"/>
      <c r="C23" s="18" t="s">
        <v>39</v>
      </c>
      <c r="D23" s="8" t="s">
        <v>45</v>
      </c>
      <c r="E23" s="109">
        <v>500</v>
      </c>
      <c r="F23" s="110"/>
      <c r="G23" s="110"/>
      <c r="H23" s="110"/>
      <c r="I23" s="111"/>
    </row>
    <row r="24" spans="2:9" ht="18" thickBot="1" x14ac:dyDescent="0.45"/>
    <row r="25" spans="2:9" x14ac:dyDescent="0.4">
      <c r="B25" s="97" t="s">
        <v>28</v>
      </c>
      <c r="C25" s="19" t="s">
        <v>23</v>
      </c>
      <c r="D25" s="5" t="s">
        <v>46</v>
      </c>
      <c r="E25" s="5">
        <v>40</v>
      </c>
      <c r="F25" s="5"/>
      <c r="G25" s="5"/>
      <c r="H25" s="5"/>
      <c r="I25" s="6"/>
    </row>
    <row r="26" spans="2:9" x14ac:dyDescent="0.4">
      <c r="B26" s="98"/>
      <c r="C26" s="100" t="s">
        <v>47</v>
      </c>
      <c r="D26" s="3" t="s">
        <v>48</v>
      </c>
      <c r="E26" s="3">
        <v>100</v>
      </c>
      <c r="F26" s="3">
        <v>96</v>
      </c>
      <c r="G26" s="3"/>
      <c r="H26" s="3">
        <v>80</v>
      </c>
      <c r="I26" s="15"/>
    </row>
    <row r="27" spans="2:9" x14ac:dyDescent="0.4">
      <c r="B27" s="98"/>
      <c r="C27" s="100"/>
      <c r="D27" s="3" t="s">
        <v>49</v>
      </c>
      <c r="E27" s="3">
        <v>83</v>
      </c>
      <c r="F27" s="3">
        <v>77</v>
      </c>
      <c r="G27" s="3"/>
      <c r="H27" s="3">
        <v>74</v>
      </c>
      <c r="I27" s="15"/>
    </row>
    <row r="28" spans="2:9" ht="18" thickBot="1" x14ac:dyDescent="0.45">
      <c r="B28" s="99"/>
      <c r="C28" s="101"/>
      <c r="D28" s="8" t="s">
        <v>50</v>
      </c>
      <c r="E28" s="8" t="s">
        <v>42</v>
      </c>
      <c r="F28" s="8" t="s">
        <v>42</v>
      </c>
      <c r="G28" s="8" t="s">
        <v>42</v>
      </c>
      <c r="H28" s="8" t="s">
        <v>42</v>
      </c>
      <c r="I28" s="9" t="s">
        <v>42</v>
      </c>
    </row>
    <row r="33" spans="2:6" ht="18" thickBot="1" x14ac:dyDescent="0.45">
      <c r="C33" s="113" t="s">
        <v>53</v>
      </c>
      <c r="D33" s="113"/>
      <c r="E33" s="113"/>
    </row>
    <row r="34" spans="2:6" ht="18" thickBot="1" x14ac:dyDescent="0.45">
      <c r="D34" s="23" t="s">
        <v>55</v>
      </c>
      <c r="E34" s="24" t="s">
        <v>54</v>
      </c>
      <c r="F34" s="25" t="s">
        <v>52</v>
      </c>
    </row>
    <row r="35" spans="2:6" x14ac:dyDescent="0.4">
      <c r="B35" s="102" t="s">
        <v>29</v>
      </c>
      <c r="C35" s="105" t="s">
        <v>33</v>
      </c>
      <c r="D35" s="21" t="s">
        <v>30</v>
      </c>
      <c r="E35" s="21">
        <v>19</v>
      </c>
      <c r="F35" s="22"/>
    </row>
    <row r="36" spans="2:6" x14ac:dyDescent="0.4">
      <c r="B36" s="103"/>
      <c r="C36" s="106"/>
      <c r="D36" s="3" t="s">
        <v>35</v>
      </c>
      <c r="E36" s="3">
        <v>87</v>
      </c>
      <c r="F36" s="15"/>
    </row>
    <row r="37" spans="2:6" x14ac:dyDescent="0.4">
      <c r="B37" s="103"/>
      <c r="C37" s="107" t="s">
        <v>34</v>
      </c>
      <c r="D37" s="3" t="s">
        <v>31</v>
      </c>
      <c r="E37" s="3">
        <v>19</v>
      </c>
      <c r="F37" s="15"/>
    </row>
    <row r="38" spans="2:6" x14ac:dyDescent="0.4">
      <c r="B38" s="103"/>
      <c r="C38" s="106"/>
      <c r="D38" s="3" t="s">
        <v>36</v>
      </c>
      <c r="E38" s="3">
        <v>83</v>
      </c>
      <c r="F38" s="15"/>
    </row>
    <row r="39" spans="2:6" x14ac:dyDescent="0.4">
      <c r="B39" s="103"/>
      <c r="C39" s="107" t="s">
        <v>51</v>
      </c>
      <c r="D39" s="3" t="s">
        <v>32</v>
      </c>
      <c r="E39" s="3" t="s">
        <v>52</v>
      </c>
      <c r="F39" s="15">
        <v>22</v>
      </c>
    </row>
    <row r="40" spans="2:6" ht="18" thickBot="1" x14ac:dyDescent="0.45">
      <c r="B40" s="104"/>
      <c r="C40" s="108"/>
      <c r="D40" s="8" t="s">
        <v>37</v>
      </c>
      <c r="E40" s="8" t="s">
        <v>52</v>
      </c>
      <c r="F40" s="9">
        <v>74</v>
      </c>
    </row>
  </sheetData>
  <mergeCells count="18">
    <mergeCell ref="E23:I23"/>
    <mergeCell ref="C26:C28"/>
    <mergeCell ref="B25:B28"/>
    <mergeCell ref="B35:B40"/>
    <mergeCell ref="C35:C36"/>
    <mergeCell ref="B21:B23"/>
    <mergeCell ref="C21:C22"/>
    <mergeCell ref="C37:C38"/>
    <mergeCell ref="C39:C40"/>
    <mergeCell ref="C33:E33"/>
    <mergeCell ref="E9:L9"/>
    <mergeCell ref="F16:I16"/>
    <mergeCell ref="B8:B14"/>
    <mergeCell ref="C9:C11"/>
    <mergeCell ref="C12:C14"/>
    <mergeCell ref="B16:B19"/>
    <mergeCell ref="C16:C17"/>
    <mergeCell ref="C18:C19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16EE-57B7-447E-A325-C8BE2E9445FA}">
  <dimension ref="B1:V41"/>
  <sheetViews>
    <sheetView topLeftCell="A19" zoomScale="85" zoomScaleNormal="85" workbookViewId="0">
      <selection activeCell="N12" sqref="N12"/>
    </sheetView>
  </sheetViews>
  <sheetFormatPr defaultRowHeight="17.399999999999999" x14ac:dyDescent="0.4"/>
  <cols>
    <col min="3" max="3" width="17.69921875" customWidth="1"/>
    <col min="4" max="4" width="18.3984375" customWidth="1"/>
    <col min="5" max="6" width="12.09765625" bestFit="1" customWidth="1"/>
    <col min="7" max="7" width="11.09765625" bestFit="1" customWidth="1"/>
    <col min="8" max="8" width="12.09765625" bestFit="1" customWidth="1"/>
    <col min="9" max="9" width="11.09765625" bestFit="1" customWidth="1"/>
    <col min="10" max="11" width="11" bestFit="1" customWidth="1"/>
    <col min="12" max="12" width="8.8984375" bestFit="1" customWidth="1"/>
    <col min="17" max="17" width="8.796875" style="28"/>
    <col min="18" max="18" width="19.8984375" customWidth="1"/>
    <col min="19" max="19" width="14" bestFit="1" customWidth="1"/>
    <col min="21" max="21" width="18.69921875" customWidth="1"/>
    <col min="22" max="22" width="15.09765625" customWidth="1"/>
  </cols>
  <sheetData>
    <row r="1" spans="2:22" ht="18" thickBot="1" x14ac:dyDescent="0.45">
      <c r="B1" t="s">
        <v>10</v>
      </c>
      <c r="G1" s="97" t="s">
        <v>67</v>
      </c>
      <c r="H1" s="112"/>
      <c r="I1" s="114"/>
      <c r="Q1" s="27"/>
    </row>
    <row r="2" spans="2:22" x14ac:dyDescent="0.4">
      <c r="B2" t="s">
        <v>11</v>
      </c>
      <c r="G2" s="20" t="s">
        <v>68</v>
      </c>
      <c r="H2" s="17" t="s">
        <v>69</v>
      </c>
      <c r="I2" s="26" t="s">
        <v>70</v>
      </c>
      <c r="K2" s="124" t="s">
        <v>71</v>
      </c>
      <c r="L2" s="125"/>
      <c r="M2" s="126"/>
    </row>
    <row r="3" spans="2:22" ht="18" thickBot="1" x14ac:dyDescent="0.45">
      <c r="B3" t="s">
        <v>12</v>
      </c>
      <c r="G3" s="7">
        <v>57374</v>
      </c>
      <c r="H3" s="8"/>
      <c r="I3" s="9">
        <v>104613</v>
      </c>
      <c r="K3" s="127">
        <f>(G3+I3)/2</f>
        <v>80993.5</v>
      </c>
      <c r="L3" s="110"/>
      <c r="M3" s="111"/>
    </row>
    <row r="4" spans="2:22" ht="18" thickBot="1" x14ac:dyDescent="0.45"/>
    <row r="5" spans="2:22" ht="18" thickBot="1" x14ac:dyDescent="0.45">
      <c r="D5" s="10" t="s">
        <v>43</v>
      </c>
      <c r="E5" s="5" t="s">
        <v>13</v>
      </c>
      <c r="F5" s="5" t="s">
        <v>14</v>
      </c>
      <c r="G5" s="5" t="s">
        <v>15</v>
      </c>
      <c r="H5" s="5" t="s">
        <v>15</v>
      </c>
      <c r="I5" s="5" t="s">
        <v>16</v>
      </c>
      <c r="J5" s="5" t="s">
        <v>17</v>
      </c>
      <c r="K5" s="5" t="s">
        <v>17</v>
      </c>
      <c r="L5" s="6" t="s">
        <v>18</v>
      </c>
      <c r="N5" s="23" t="s">
        <v>59</v>
      </c>
      <c r="O5" s="25" t="s">
        <v>60</v>
      </c>
      <c r="P5" s="1"/>
    </row>
    <row r="6" spans="2:22" ht="18" thickBot="1" x14ac:dyDescent="0.45">
      <c r="D6" s="11" t="s">
        <v>44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9">
        <v>9</v>
      </c>
    </row>
    <row r="7" spans="2:22" ht="18" thickBot="1" x14ac:dyDescent="0.45">
      <c r="R7" s="57"/>
      <c r="S7" s="57"/>
      <c r="T7" s="57"/>
      <c r="U7" s="57"/>
      <c r="V7" s="57"/>
    </row>
    <row r="8" spans="2:22" ht="18" thickBot="1" x14ac:dyDescent="0.45">
      <c r="B8" s="97" t="s">
        <v>0</v>
      </c>
      <c r="C8" s="14" t="s">
        <v>1</v>
      </c>
      <c r="D8" s="5" t="s">
        <v>4</v>
      </c>
      <c r="E8" s="30">
        <f>$K$3*$N$8*$O$8*Npm!E8</f>
        <v>69249442.5</v>
      </c>
      <c r="F8" s="30">
        <f>$K$3*$N$8*$O$8*Npm!F8</f>
        <v>63417910.5</v>
      </c>
      <c r="G8" s="30">
        <f>$K$3*$N$8*$O$8*Npm!G8</f>
        <v>58315320</v>
      </c>
      <c r="H8" s="30">
        <f>$K$3*$N$8*$O$8*Npm!H8</f>
        <v>53941671</v>
      </c>
      <c r="I8" s="30">
        <f>$K$3*$N$8*$O$8*Npm!I8</f>
        <v>52483788</v>
      </c>
      <c r="J8" s="30">
        <f>$K$3*$N$8*$O$8*Npm!J8</f>
        <v>48839080.5</v>
      </c>
      <c r="K8" s="30">
        <f>$K$3*$N$8*$O$8*Npm!K8</f>
        <v>45923314.5</v>
      </c>
      <c r="L8" s="31" t="s">
        <v>72</v>
      </c>
      <c r="N8" s="4">
        <v>4.5</v>
      </c>
      <c r="O8" s="6">
        <v>2</v>
      </c>
      <c r="P8" s="1"/>
      <c r="R8" s="58" t="s">
        <v>61</v>
      </c>
      <c r="S8" s="58">
        <v>50</v>
      </c>
      <c r="T8" s="58" t="s">
        <v>62</v>
      </c>
      <c r="U8" s="59">
        <v>40</v>
      </c>
      <c r="V8" s="57"/>
    </row>
    <row r="9" spans="2:22" ht="18" thickBot="1" x14ac:dyDescent="0.45">
      <c r="B9" s="98"/>
      <c r="C9" s="100" t="s">
        <v>2</v>
      </c>
      <c r="D9" s="3" t="s">
        <v>8</v>
      </c>
      <c r="E9" s="118">
        <f>$K$3*$N$9*Npm!E9</f>
        <v>7289415</v>
      </c>
      <c r="F9" s="119"/>
      <c r="G9" s="119"/>
      <c r="H9" s="119"/>
      <c r="I9" s="119"/>
      <c r="J9" s="119"/>
      <c r="K9" s="119"/>
      <c r="L9" s="120"/>
      <c r="N9" s="29">
        <v>3</v>
      </c>
      <c r="O9" s="15">
        <v>1</v>
      </c>
      <c r="P9" s="1"/>
      <c r="R9" s="58" t="s">
        <v>64</v>
      </c>
      <c r="S9" s="59">
        <v>40</v>
      </c>
      <c r="T9" s="57"/>
      <c r="U9" s="57"/>
      <c r="V9" s="57"/>
    </row>
    <row r="10" spans="2:22" ht="18" thickBot="1" x14ac:dyDescent="0.45">
      <c r="B10" s="98"/>
      <c r="C10" s="100"/>
      <c r="D10" s="3" t="s">
        <v>6</v>
      </c>
      <c r="E10" s="30" t="e">
        <f>$K$3*$N$10*$O$10*Npm!E10</f>
        <v>#VALUE!</v>
      </c>
      <c r="F10" s="30" t="e">
        <f>$K$3*$N$10*$O$10*Npm!F10</f>
        <v>#VALUE!</v>
      </c>
      <c r="G10" s="30" t="e">
        <f>$K$3*$N$10*$O$10*Npm!G10</f>
        <v>#VALUE!</v>
      </c>
      <c r="H10" s="30" t="e">
        <f>$K$3*$N$10*$O$10*Npm!H10</f>
        <v>#VALUE!</v>
      </c>
      <c r="I10" s="30" t="e">
        <f>$K$3*$N$10*$O$10*Npm!I10</f>
        <v>#VALUE!</v>
      </c>
      <c r="J10" s="30" t="e">
        <f>$K$3*$N$10*$O$10*Npm!J10</f>
        <v>#VALUE!</v>
      </c>
      <c r="K10" s="30" t="e">
        <f>$K$3*$N$10*$O$10*Npm!K10</f>
        <v>#VALUE!</v>
      </c>
      <c r="L10" s="31" t="e">
        <f>$K$3*$N$10*$O$10*Npm!L10</f>
        <v>#VALUE!</v>
      </c>
      <c r="N10" s="29" t="s">
        <v>63</v>
      </c>
      <c r="O10" s="15" t="s">
        <v>63</v>
      </c>
      <c r="P10" s="1"/>
      <c r="R10" s="57"/>
      <c r="S10" s="57"/>
      <c r="T10" s="57"/>
      <c r="U10" s="57"/>
      <c r="V10" s="57"/>
    </row>
    <row r="11" spans="2:22" ht="18" thickBot="1" x14ac:dyDescent="0.45">
      <c r="B11" s="98"/>
      <c r="C11" s="100"/>
      <c r="D11" s="13" t="s">
        <v>7</v>
      </c>
      <c r="E11" s="30">
        <f>$K$3*$N$11*$O$11*Npm!E11</f>
        <v>59935190</v>
      </c>
      <c r="F11" s="30">
        <f>$K$3*$N$11*$O$11*Npm!F11</f>
        <v>55885515</v>
      </c>
      <c r="G11" s="30">
        <f>$K$3*$N$11*$O$11*Npm!G11</f>
        <v>53455710</v>
      </c>
      <c r="H11" s="30">
        <f>$K$3*$N$11*$O$11*Npm!H11</f>
        <v>49406035</v>
      </c>
      <c r="I11" s="30">
        <f>$K$3*$N$11*$O$11*Npm!I11</f>
        <v>47786165</v>
      </c>
      <c r="J11" s="30">
        <f>$K$3*$N$11*$O$11*Npm!J11</f>
        <v>42926555</v>
      </c>
      <c r="K11" s="30">
        <f>$K$3*$N$11*$O$11*Npm!K11</f>
        <v>40496750</v>
      </c>
      <c r="L11" s="31">
        <f>$K$3*$N$11*$O$11*Npm!L11</f>
        <v>38876880</v>
      </c>
      <c r="N11" s="29">
        <v>2.5</v>
      </c>
      <c r="O11" s="15">
        <v>4</v>
      </c>
      <c r="P11" s="1"/>
      <c r="R11" s="57"/>
      <c r="S11" s="57"/>
      <c r="T11" s="57"/>
      <c r="U11" s="57"/>
      <c r="V11" s="57"/>
    </row>
    <row r="12" spans="2:22" ht="18" thickBot="1" x14ac:dyDescent="0.45">
      <c r="B12" s="98"/>
      <c r="C12" s="100" t="s">
        <v>3</v>
      </c>
      <c r="D12" s="3" t="s">
        <v>5</v>
      </c>
      <c r="E12" s="30">
        <f>$K$3*$N$12*$O$12*Npm!E12</f>
        <v>53860677.5</v>
      </c>
      <c r="F12" s="30">
        <f>$K$3*$N$12*$O$12*Npm!F12</f>
        <v>49325041.5</v>
      </c>
      <c r="G12" s="30">
        <f>$K$3*$N$12*$O$12*Npm!G12</f>
        <v>45356360</v>
      </c>
      <c r="H12" s="30">
        <f>$K$3*$N$12*$O$12*Npm!H12</f>
        <v>41954633</v>
      </c>
      <c r="I12" s="30">
        <f>$K$3*$N$12*$O$12*Npm!I12</f>
        <v>40820724</v>
      </c>
      <c r="J12" s="30">
        <f>$K$3*$N$12*$O$12*Npm!J12</f>
        <v>37985951.5</v>
      </c>
      <c r="K12" s="30">
        <f>$K$3*$N$12*$O$12*Npm!K12</f>
        <v>35718133.5</v>
      </c>
      <c r="L12" s="32"/>
      <c r="N12" s="29">
        <v>7</v>
      </c>
      <c r="O12" s="15">
        <v>1</v>
      </c>
      <c r="P12" s="1"/>
      <c r="R12" s="57"/>
      <c r="S12" s="57"/>
      <c r="T12" s="57"/>
      <c r="U12" s="57"/>
      <c r="V12" s="57"/>
    </row>
    <row r="13" spans="2:22" ht="18" thickBot="1" x14ac:dyDescent="0.45">
      <c r="B13" s="98"/>
      <c r="C13" s="100"/>
      <c r="D13" s="13" t="s">
        <v>19</v>
      </c>
      <c r="E13" s="30" t="e">
        <f>$K$3*$N$13*$O$13*Npm!E13</f>
        <v>#VALUE!</v>
      </c>
      <c r="F13" s="30" t="e">
        <f>$K$3*$N$13*$O$13*Npm!F13</f>
        <v>#VALUE!</v>
      </c>
      <c r="G13" s="30" t="e">
        <f>$K$3*$N$13*$O$13*Npm!G13</f>
        <v>#VALUE!</v>
      </c>
      <c r="H13" s="30" t="e">
        <f>$K$3*$N$13*$O$13*Npm!H13</f>
        <v>#VALUE!</v>
      </c>
      <c r="I13" s="30" t="e">
        <f>$K$3*$N$13*$O$13*Npm!I13</f>
        <v>#VALUE!</v>
      </c>
      <c r="J13" s="30" t="e">
        <f>$K$3*$N$13*$O$13*Npm!J13</f>
        <v>#VALUE!</v>
      </c>
      <c r="K13" s="30" t="e">
        <f>$K$3*$N$13*$O$13*Npm!K13</f>
        <v>#VALUE!</v>
      </c>
      <c r="L13" s="32"/>
      <c r="N13" s="29" t="s">
        <v>63</v>
      </c>
      <c r="O13" s="15" t="s">
        <v>63</v>
      </c>
      <c r="P13" s="1"/>
      <c r="R13" s="57"/>
      <c r="S13" s="57"/>
      <c r="T13" s="57"/>
      <c r="U13" s="57"/>
      <c r="V13" s="57"/>
    </row>
    <row r="14" spans="2:22" ht="18" thickBot="1" x14ac:dyDescent="0.45">
      <c r="B14" s="99"/>
      <c r="C14" s="101"/>
      <c r="D14" s="16" t="s">
        <v>9</v>
      </c>
      <c r="E14" s="33" t="e">
        <f>$K$3*$N$14*$O$14*Npm!E14</f>
        <v>#VALUE!</v>
      </c>
      <c r="F14" s="34"/>
      <c r="G14" s="34"/>
      <c r="H14" s="34"/>
      <c r="I14" s="34"/>
      <c r="J14" s="34"/>
      <c r="K14" s="34"/>
      <c r="L14" s="35"/>
      <c r="N14" s="7" t="s">
        <v>63</v>
      </c>
      <c r="O14" s="9" t="s">
        <v>63</v>
      </c>
      <c r="P14" s="1"/>
      <c r="R14" s="57"/>
      <c r="S14" s="57"/>
      <c r="T14" s="57"/>
      <c r="U14" s="57"/>
      <c r="V14" s="57"/>
    </row>
    <row r="15" spans="2:22" ht="18" thickBot="1" x14ac:dyDescent="0.45">
      <c r="R15" s="57"/>
      <c r="S15" s="57"/>
      <c r="T15" s="57"/>
      <c r="U15" s="57"/>
      <c r="V15" s="57"/>
    </row>
    <row r="16" spans="2:22" x14ac:dyDescent="0.4">
      <c r="B16" s="102" t="s">
        <v>20</v>
      </c>
      <c r="C16" s="105" t="s">
        <v>21</v>
      </c>
      <c r="D16" s="5" t="s">
        <v>24</v>
      </c>
      <c r="E16" s="36">
        <f>$K$3*$N$16*$O$16*Npm!E16</f>
        <v>82856350.5</v>
      </c>
      <c r="F16" s="121" t="s">
        <v>57</v>
      </c>
      <c r="G16" s="122"/>
      <c r="H16" s="122"/>
      <c r="I16" s="123"/>
      <c r="N16" s="4">
        <v>33</v>
      </c>
      <c r="O16" s="6">
        <v>1</v>
      </c>
      <c r="P16" s="1"/>
      <c r="R16" s="57"/>
      <c r="S16" s="57"/>
      <c r="T16" s="57"/>
      <c r="U16" s="57"/>
      <c r="V16" s="57"/>
    </row>
    <row r="17" spans="2:22" ht="18" thickBot="1" x14ac:dyDescent="0.45">
      <c r="B17" s="103"/>
      <c r="C17" s="106"/>
      <c r="D17" s="3" t="s">
        <v>56</v>
      </c>
      <c r="E17" s="37">
        <f>$K$3*$N$17*$O$17*Npm!E17</f>
        <v>94786693.050000012</v>
      </c>
      <c r="F17" s="38"/>
      <c r="G17" s="38"/>
      <c r="H17" s="38"/>
      <c r="I17" s="39"/>
      <c r="N17" s="29">
        <v>2.35</v>
      </c>
      <c r="O17" s="15">
        <v>6</v>
      </c>
      <c r="P17" s="1"/>
      <c r="R17" s="57"/>
      <c r="S17" s="57"/>
      <c r="T17" s="57"/>
      <c r="U17" s="57"/>
      <c r="V17" s="57"/>
    </row>
    <row r="18" spans="2:22" ht="18" thickBot="1" x14ac:dyDescent="0.45">
      <c r="B18" s="103"/>
      <c r="C18" s="107" t="s">
        <v>22</v>
      </c>
      <c r="D18" s="3" t="s">
        <v>25</v>
      </c>
      <c r="E18" s="37">
        <f>$K$3*$N$18*$O$18*Npm!E18</f>
        <v>64794800</v>
      </c>
      <c r="F18" s="38"/>
      <c r="G18" s="38"/>
      <c r="H18" s="38"/>
      <c r="I18" s="39"/>
      <c r="N18" s="29">
        <v>2</v>
      </c>
      <c r="O18" s="15">
        <v>4</v>
      </c>
      <c r="P18" s="1"/>
      <c r="R18" s="58" t="s">
        <v>79</v>
      </c>
      <c r="S18" s="59">
        <f>E18*1.6</f>
        <v>103671680</v>
      </c>
      <c r="T18" s="57"/>
      <c r="U18" s="60" t="s">
        <v>80</v>
      </c>
      <c r="V18" s="59">
        <f>$K$3*$N$18*$O$18*1.6*(Npm!E18*0.6*2 + Npm!E18*0.4)</f>
        <v>165874688</v>
      </c>
    </row>
    <row r="19" spans="2:22" ht="18" thickBot="1" x14ac:dyDescent="0.45">
      <c r="B19" s="104"/>
      <c r="C19" s="108"/>
      <c r="D19" s="8" t="s">
        <v>26</v>
      </c>
      <c r="E19" s="34">
        <f>$K$3*$N$19*$O$19*Npm!E19</f>
        <v>15388765</v>
      </c>
      <c r="F19" s="40"/>
      <c r="G19" s="40"/>
      <c r="H19" s="40"/>
      <c r="I19" s="41"/>
      <c r="N19" s="7">
        <v>2</v>
      </c>
      <c r="O19" s="9">
        <v>1</v>
      </c>
      <c r="P19" s="1"/>
      <c r="R19" s="58" t="s">
        <v>79</v>
      </c>
      <c r="S19" s="59">
        <f>E19*1.6</f>
        <v>24622024</v>
      </c>
      <c r="T19" s="57"/>
      <c r="U19" s="60" t="s">
        <v>81</v>
      </c>
      <c r="V19" s="59">
        <f>$K$3*$N$19*$O$19*1.6*(Npm!E19*0.6*2 + Npm!E19*0.4)</f>
        <v>39395238.399999999</v>
      </c>
    </row>
    <row r="20" spans="2:22" ht="18" thickBot="1" x14ac:dyDescent="0.45">
      <c r="B20" s="2"/>
      <c r="R20" s="57"/>
      <c r="S20" s="57"/>
      <c r="T20" s="57"/>
      <c r="U20" s="57"/>
      <c r="V20" s="57"/>
    </row>
    <row r="21" spans="2:22" ht="18" thickBot="1" x14ac:dyDescent="0.45">
      <c r="B21" s="97" t="s">
        <v>27</v>
      </c>
      <c r="C21" s="112" t="s">
        <v>38</v>
      </c>
      <c r="D21" s="5" t="s">
        <v>40</v>
      </c>
      <c r="E21" s="30" t="e">
        <f>$K$3*$N$21*$O$21*Npm!E21</f>
        <v>#VALUE!</v>
      </c>
      <c r="F21" s="30" t="e">
        <f>$K$3*$N$21*$O$21*Npm!F21</f>
        <v>#VALUE!</v>
      </c>
      <c r="G21" s="30" t="e">
        <f>$K$3*$N$21*$O$21*Npm!G21</f>
        <v>#VALUE!</v>
      </c>
      <c r="H21" s="30" t="e">
        <f>$K$3*$N$21*$O$21*Npm!H21</f>
        <v>#VALUE!</v>
      </c>
      <c r="I21" s="31" t="e">
        <f>$K$3*$N$21*$O$21*Npm!I21</f>
        <v>#VALUE!</v>
      </c>
      <c r="N21" s="4" t="s">
        <v>63</v>
      </c>
      <c r="O21" s="6" t="s">
        <v>63</v>
      </c>
      <c r="P21" s="1"/>
      <c r="R21" s="57"/>
      <c r="S21" s="57"/>
      <c r="T21" s="57"/>
      <c r="U21" s="60" t="s">
        <v>66</v>
      </c>
      <c r="V21" s="59">
        <v>0.6</v>
      </c>
    </row>
    <row r="22" spans="2:22" ht="18" thickBot="1" x14ac:dyDescent="0.45">
      <c r="B22" s="98"/>
      <c r="C22" s="100"/>
      <c r="D22" s="3" t="s">
        <v>41</v>
      </c>
      <c r="E22" s="37">
        <f>$K$3*$N$22*$O$22*Npm!E22</f>
        <v>91360668</v>
      </c>
      <c r="F22" s="37">
        <f>$K$3*$N$22*$O$22*Npm!F22</f>
        <v>83585292</v>
      </c>
      <c r="G22" s="37">
        <f>$K$3*$N$22*$O$22*Npm!G22</f>
        <v>79697604</v>
      </c>
      <c r="H22" s="37">
        <f>$K$3*$N$22*$O$22*Npm!H22</f>
        <v>73866072</v>
      </c>
      <c r="I22" s="32">
        <f>$K$3*$N$22*$O$22*Npm!I22</f>
        <v>68034540</v>
      </c>
      <c r="N22" s="29">
        <v>2</v>
      </c>
      <c r="O22" s="15">
        <v>6</v>
      </c>
      <c r="P22" s="1"/>
      <c r="R22" s="57"/>
      <c r="S22" s="57"/>
      <c r="T22" s="57"/>
      <c r="U22" s="57"/>
      <c r="V22" s="57"/>
    </row>
    <row r="23" spans="2:22" ht="18" thickBot="1" x14ac:dyDescent="0.45">
      <c r="B23" s="99"/>
      <c r="C23" s="18" t="s">
        <v>39</v>
      </c>
      <c r="D23" s="8" t="s">
        <v>45</v>
      </c>
      <c r="E23" s="115">
        <f>$K$3*$N$23*$O$23*Npm!E23</f>
        <v>93142525</v>
      </c>
      <c r="F23" s="116">
        <f>$K$3*$N$19*$O$19*Npm!F23</f>
        <v>0</v>
      </c>
      <c r="G23" s="116">
        <f>$K$3*$N$19*$O$19*Npm!G23</f>
        <v>0</v>
      </c>
      <c r="H23" s="116">
        <f>$K$3*$N$19*$O$19*Npm!H23</f>
        <v>0</v>
      </c>
      <c r="I23" s="117">
        <f>$K$3*$N$19*$O$19*Npm!I23</f>
        <v>0</v>
      </c>
      <c r="N23" s="7">
        <v>2.2999999999999998</v>
      </c>
      <c r="O23" s="9">
        <v>1</v>
      </c>
      <c r="P23" s="1"/>
      <c r="R23" s="58" t="s">
        <v>65</v>
      </c>
      <c r="S23" s="59">
        <v>30</v>
      </c>
      <c r="T23" s="57"/>
      <c r="U23" s="60" t="s">
        <v>66</v>
      </c>
      <c r="V23" s="59">
        <v>0.6</v>
      </c>
    </row>
    <row r="24" spans="2:22" ht="18" thickBot="1" x14ac:dyDescent="0.45">
      <c r="R24" s="57"/>
      <c r="S24" s="57"/>
      <c r="T24" s="57"/>
      <c r="U24" s="57"/>
      <c r="V24" s="57"/>
    </row>
    <row r="25" spans="2:22" x14ac:dyDescent="0.4">
      <c r="B25" s="97" t="s">
        <v>28</v>
      </c>
      <c r="C25" s="19" t="s">
        <v>23</v>
      </c>
      <c r="D25" s="5" t="s">
        <v>46</v>
      </c>
      <c r="E25" s="30">
        <f>$K$3*$N$25*$O$25*Npm!E25</f>
        <v>102051810</v>
      </c>
      <c r="F25" s="30">
        <f>$K$3*$N$25*$O$25*Npm!F25</f>
        <v>0</v>
      </c>
      <c r="G25" s="30">
        <f>$K$3*$N$25*$O$25*Npm!G25</f>
        <v>0</v>
      </c>
      <c r="H25" s="30">
        <f>$K$3*$N$25*$O$25*Npm!H25</f>
        <v>0</v>
      </c>
      <c r="I25" s="31">
        <f>$K$3*$N$25*$O$25*Npm!I25</f>
        <v>0</v>
      </c>
      <c r="N25" s="4">
        <f>(450*3+900*2)/100</f>
        <v>31.5</v>
      </c>
      <c r="O25" s="6">
        <v>1</v>
      </c>
      <c r="P25" s="1"/>
      <c r="R25" s="57"/>
      <c r="S25" s="57"/>
      <c r="T25" s="57"/>
      <c r="U25" s="57"/>
      <c r="V25" s="57"/>
    </row>
    <row r="26" spans="2:22" x14ac:dyDescent="0.4">
      <c r="B26" s="98"/>
      <c r="C26" s="100" t="s">
        <v>47</v>
      </c>
      <c r="D26" s="3" t="s">
        <v>48</v>
      </c>
      <c r="E26" s="37">
        <f>$K$3*$N$26*$O$26*Npm!E26</f>
        <v>194384400</v>
      </c>
      <c r="F26" s="37">
        <f>$K$3*$N$26*$O$26*Npm!F26</f>
        <v>186609024</v>
      </c>
      <c r="G26" s="38"/>
      <c r="H26" s="37">
        <f>$K$3*$N$26*$O$26*Npm!H26</f>
        <v>155507520</v>
      </c>
      <c r="I26" s="39"/>
      <c r="K26" t="s">
        <v>126</v>
      </c>
      <c r="N26" s="29">
        <v>4.8</v>
      </c>
      <c r="O26" s="15">
        <v>5</v>
      </c>
      <c r="P26" s="1"/>
      <c r="R26" s="57"/>
      <c r="S26" s="57"/>
      <c r="T26" s="57"/>
      <c r="U26" s="57"/>
      <c r="V26" s="57"/>
    </row>
    <row r="27" spans="2:22" x14ac:dyDescent="0.4">
      <c r="B27" s="98"/>
      <c r="C27" s="100"/>
      <c r="D27" s="3" t="s">
        <v>49</v>
      </c>
      <c r="E27" s="37">
        <f>$K$3*$N$27*$O$27*Npm!E27</f>
        <v>78652787.849999994</v>
      </c>
      <c r="F27" s="37">
        <f>$K$3*$N$27*$O$27*Npm!F27</f>
        <v>72967044.149999991</v>
      </c>
      <c r="G27" s="38"/>
      <c r="H27" s="37">
        <f>$K$3*$N$27*$O$27*Npm!H27</f>
        <v>70124172.299999997</v>
      </c>
      <c r="I27" s="39"/>
      <c r="N27" s="29">
        <v>11.7</v>
      </c>
      <c r="O27" s="15">
        <v>1</v>
      </c>
      <c r="P27" s="1"/>
    </row>
    <row r="28" spans="2:22" ht="18" thickBot="1" x14ac:dyDescent="0.45">
      <c r="B28" s="99"/>
      <c r="C28" s="101"/>
      <c r="D28" s="8" t="s">
        <v>50</v>
      </c>
      <c r="E28" s="34" t="e">
        <f>$K$3*$N$28*$O$28*Npm!E28</f>
        <v>#VALUE!</v>
      </c>
      <c r="F28" s="34" t="e">
        <f>$K$3*$N$28*$O$28*Npm!F28</f>
        <v>#VALUE!</v>
      </c>
      <c r="G28" s="34" t="e">
        <f>$K$3*$N$28*$O$28*Npm!G28</f>
        <v>#VALUE!</v>
      </c>
      <c r="H28" s="34" t="e">
        <f>$K$3*$N$28*$O$28*Npm!H28</f>
        <v>#VALUE!</v>
      </c>
      <c r="I28" s="35" t="e">
        <f>$K$3*$N$28*$O$28*Npm!I28</f>
        <v>#VALUE!</v>
      </c>
      <c r="N28" s="7" t="s">
        <v>63</v>
      </c>
      <c r="O28" s="9" t="s">
        <v>63</v>
      </c>
      <c r="P28" s="1"/>
    </row>
    <row r="29" spans="2:22" ht="18" thickBot="1" x14ac:dyDescent="0.45">
      <c r="B29" s="12"/>
      <c r="C29" s="12"/>
      <c r="D29" s="1"/>
      <c r="E29" s="42"/>
      <c r="F29" s="42"/>
      <c r="G29" s="42"/>
      <c r="H29" s="42"/>
      <c r="I29" s="42"/>
      <c r="N29" s="1"/>
      <c r="O29" s="1"/>
      <c r="P29" s="1"/>
    </row>
    <row r="30" spans="2:22" ht="18" thickBot="1" x14ac:dyDescent="0.45">
      <c r="B30" s="128" t="s">
        <v>75</v>
      </c>
      <c r="C30" s="129"/>
      <c r="D30" s="1"/>
      <c r="E30" s="42"/>
      <c r="F30" s="42"/>
      <c r="G30" s="42"/>
      <c r="H30" s="42"/>
      <c r="I30" s="42"/>
      <c r="N30" s="1"/>
      <c r="O30" s="1"/>
      <c r="P30" s="1"/>
    </row>
    <row r="31" spans="2:22" ht="18" thickBot="1" x14ac:dyDescent="0.45">
      <c r="B31" s="45" t="s">
        <v>74</v>
      </c>
      <c r="C31" s="46" t="s">
        <v>73</v>
      </c>
    </row>
    <row r="32" spans="2:22" ht="18" thickBot="1" x14ac:dyDescent="0.45">
      <c r="B32" s="43">
        <v>100</v>
      </c>
      <c r="C32" s="44">
        <v>1000</v>
      </c>
    </row>
    <row r="33" spans="2:16" ht="18" thickBot="1" x14ac:dyDescent="0.45">
      <c r="C33" s="132" t="s">
        <v>53</v>
      </c>
      <c r="D33" s="113"/>
      <c r="E33" s="113"/>
    </row>
    <row r="34" spans="2:16" ht="18" thickBot="1" x14ac:dyDescent="0.45">
      <c r="D34" s="23" t="s">
        <v>55</v>
      </c>
      <c r="E34" s="24" t="s">
        <v>54</v>
      </c>
      <c r="F34" s="25" t="s">
        <v>52</v>
      </c>
      <c r="H34" s="47" t="s">
        <v>76</v>
      </c>
      <c r="I34" s="52" t="s">
        <v>77</v>
      </c>
      <c r="J34" s="130" t="s">
        <v>78</v>
      </c>
      <c r="K34" s="96"/>
    </row>
    <row r="35" spans="2:16" x14ac:dyDescent="0.4">
      <c r="B35" s="102" t="s">
        <v>29</v>
      </c>
      <c r="C35" s="105" t="s">
        <v>33</v>
      </c>
      <c r="D35" s="5" t="s">
        <v>30</v>
      </c>
      <c r="E35" s="30">
        <f>Npm!E35*$J35*O35</f>
        <v>1052690.25</v>
      </c>
      <c r="F35" s="48"/>
      <c r="H35" s="53">
        <f>(0.0033665*$C$32^2+3.3*$C$32*0.9*0.6+0.5*$B$32)*$N35/100*1.5</f>
        <v>48346.05</v>
      </c>
      <c r="I35" s="54">
        <f>(0.0033665*$C$32^2+3.3*$C$32+0.5*$B$32)*$N35/100*1.5</f>
        <v>62463.450000000004</v>
      </c>
      <c r="J35" s="131">
        <f>AVERAGE(H35:I35)</f>
        <v>55404.75</v>
      </c>
      <c r="K35" s="120"/>
      <c r="N35" s="4">
        <v>620</v>
      </c>
      <c r="O35" s="6">
        <v>1</v>
      </c>
      <c r="P35" s="1"/>
    </row>
    <row r="36" spans="2:16" x14ac:dyDescent="0.4">
      <c r="B36" s="103"/>
      <c r="C36" s="106"/>
      <c r="D36" s="3" t="s">
        <v>35</v>
      </c>
      <c r="E36" s="37">
        <f>Npm!E36*$J36*O36</f>
        <v>8551991.25</v>
      </c>
      <c r="F36" s="50"/>
      <c r="H36" s="53">
        <f t="shared" ref="H36:H38" si="0">(0.0033665*$C$32^2+3.3*$C$32*0.9*0.6+0.5*$B$32)*$N36/100*1.5</f>
        <v>42887.625</v>
      </c>
      <c r="I36" s="54">
        <f t="shared" ref="I36:I38" si="1">(0.0033665*$C$32^2+3.3*$C$32+0.5*$B$32)*$N36/100*1.5</f>
        <v>55411.125</v>
      </c>
      <c r="J36" s="131">
        <f t="shared" ref="J36:J40" si="2">AVERAGE(H36:I36)</f>
        <v>49149.375</v>
      </c>
      <c r="K36" s="120"/>
      <c r="N36" s="29">
        <v>550</v>
      </c>
      <c r="O36" s="15">
        <v>2</v>
      </c>
      <c r="P36" s="1"/>
    </row>
    <row r="37" spans="2:16" x14ac:dyDescent="0.4">
      <c r="B37" s="103"/>
      <c r="C37" s="107" t="s">
        <v>34</v>
      </c>
      <c r="D37" s="3" t="s">
        <v>31</v>
      </c>
      <c r="E37" s="37">
        <f>Npm!E37*$J37*O37</f>
        <v>1052690.25</v>
      </c>
      <c r="F37" s="50"/>
      <c r="H37" s="53">
        <f t="shared" si="0"/>
        <v>48346.05</v>
      </c>
      <c r="I37" s="54">
        <f t="shared" si="1"/>
        <v>62463.450000000004</v>
      </c>
      <c r="J37" s="131">
        <f t="shared" si="2"/>
        <v>55404.75</v>
      </c>
      <c r="K37" s="120"/>
      <c r="N37" s="29">
        <v>620</v>
      </c>
      <c r="O37" s="15">
        <v>1</v>
      </c>
      <c r="P37" s="1"/>
    </row>
    <row r="38" spans="2:16" x14ac:dyDescent="0.4">
      <c r="B38" s="103"/>
      <c r="C38" s="106"/>
      <c r="D38" s="3" t="s">
        <v>36</v>
      </c>
      <c r="E38" s="37">
        <f>Npm!E38*$J38*O38</f>
        <v>7120404</v>
      </c>
      <c r="F38" s="50"/>
      <c r="H38" s="53">
        <f t="shared" si="0"/>
        <v>18714.599999999999</v>
      </c>
      <c r="I38" s="54">
        <f t="shared" si="1"/>
        <v>24179.4</v>
      </c>
      <c r="J38" s="131">
        <f t="shared" si="2"/>
        <v>21447</v>
      </c>
      <c r="K38" s="120"/>
      <c r="N38" s="29">
        <v>240</v>
      </c>
      <c r="O38" s="15">
        <v>4</v>
      </c>
      <c r="P38" s="1"/>
    </row>
    <row r="39" spans="2:16" x14ac:dyDescent="0.4">
      <c r="B39" s="103"/>
      <c r="C39" s="107" t="s">
        <v>51</v>
      </c>
      <c r="D39" s="3" t="s">
        <v>32</v>
      </c>
      <c r="E39" s="49" t="s">
        <v>52</v>
      </c>
      <c r="F39" s="32">
        <f>Npm!F39*$J39*O39</f>
        <v>1009200.5</v>
      </c>
      <c r="H39" s="53">
        <f t="shared" ref="H39:H40" si="3">(0.0033665*$C$32^2+3.3*$C$32*0.9*0.6+0.5*$B$32)*$N39/100</f>
        <v>40028.449999999997</v>
      </c>
      <c r="I39" s="54">
        <f t="shared" ref="I39:I40" si="4">(0.0033665*$C$32^2+3.3*$C$32+0.5*$B$32)*$N39/100</f>
        <v>51717.05</v>
      </c>
      <c r="J39" s="131">
        <f t="shared" si="2"/>
        <v>45872.75</v>
      </c>
      <c r="K39" s="120"/>
      <c r="N39" s="29">
        <v>770</v>
      </c>
      <c r="O39" s="15">
        <v>1</v>
      </c>
      <c r="P39" s="1"/>
    </row>
    <row r="40" spans="2:16" ht="18" thickBot="1" x14ac:dyDescent="0.45">
      <c r="B40" s="104"/>
      <c r="C40" s="108"/>
      <c r="D40" s="8" t="s">
        <v>37</v>
      </c>
      <c r="E40" s="51" t="s">
        <v>52</v>
      </c>
      <c r="F40" s="35">
        <f>Npm!F40*$J40*O40</f>
        <v>2116104</v>
      </c>
      <c r="H40" s="55">
        <f t="shared" si="3"/>
        <v>12476.4</v>
      </c>
      <c r="I40" s="56">
        <f t="shared" si="4"/>
        <v>16119.6</v>
      </c>
      <c r="J40" s="133">
        <f t="shared" si="2"/>
        <v>14298</v>
      </c>
      <c r="K40" s="117"/>
      <c r="N40" s="7">
        <v>240</v>
      </c>
      <c r="O40" s="9">
        <v>2</v>
      </c>
      <c r="P40" s="1"/>
    </row>
    <row r="41" spans="2:16" x14ac:dyDescent="0.4">
      <c r="N41" s="1"/>
      <c r="O41" s="1"/>
      <c r="P41" s="1"/>
    </row>
  </sheetData>
  <mergeCells count="29">
    <mergeCell ref="B30:C30"/>
    <mergeCell ref="J34:K34"/>
    <mergeCell ref="J35:K35"/>
    <mergeCell ref="J36:K36"/>
    <mergeCell ref="J37:K37"/>
    <mergeCell ref="B35:B40"/>
    <mergeCell ref="C35:C36"/>
    <mergeCell ref="C37:C38"/>
    <mergeCell ref="C39:C40"/>
    <mergeCell ref="C33:E33"/>
    <mergeCell ref="J38:K38"/>
    <mergeCell ref="J39:K39"/>
    <mergeCell ref="J40:K40"/>
    <mergeCell ref="G1:I1"/>
    <mergeCell ref="B21:B23"/>
    <mergeCell ref="C21:C22"/>
    <mergeCell ref="E23:I23"/>
    <mergeCell ref="B25:B28"/>
    <mergeCell ref="C26:C28"/>
    <mergeCell ref="B8:B14"/>
    <mergeCell ref="C9:C11"/>
    <mergeCell ref="E9:L9"/>
    <mergeCell ref="C12:C14"/>
    <mergeCell ref="B16:B19"/>
    <mergeCell ref="C16:C17"/>
    <mergeCell ref="F16:I16"/>
    <mergeCell ref="C18:C19"/>
    <mergeCell ref="K2:M2"/>
    <mergeCell ref="K3:M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9F59-3EE7-4C00-8DB6-E096F44C6ABD}">
  <dimension ref="A1:U33"/>
  <sheetViews>
    <sheetView tabSelected="1" topLeftCell="A10" workbookViewId="0">
      <selection activeCell="O27" sqref="O27"/>
    </sheetView>
  </sheetViews>
  <sheetFormatPr defaultRowHeight="17.399999999999999" x14ac:dyDescent="0.4"/>
  <cols>
    <col min="2" max="2" width="10.19921875" customWidth="1"/>
    <col min="4" max="4" width="9.8984375" customWidth="1"/>
    <col min="5" max="5" width="15.796875" customWidth="1"/>
    <col min="6" max="6" width="8.8984375" customWidth="1"/>
    <col min="7" max="7" width="10.3984375" customWidth="1"/>
    <col min="8" max="8" width="12.3984375" customWidth="1"/>
    <col min="11" max="11" width="17" customWidth="1"/>
    <col min="15" max="15" width="12.3984375" customWidth="1"/>
    <col min="16" max="16" width="11.296875" customWidth="1"/>
    <col min="17" max="17" width="13.09765625" customWidth="1"/>
    <col min="18" max="18" width="12.09765625" customWidth="1"/>
    <col min="19" max="19" width="9.296875" customWidth="1"/>
  </cols>
  <sheetData>
    <row r="1" spans="1:21" ht="18" thickBot="1" x14ac:dyDescent="0.45">
      <c r="A1" t="s">
        <v>82</v>
      </c>
    </row>
    <row r="2" spans="1:21" x14ac:dyDescent="0.4">
      <c r="A2" t="s">
        <v>83</v>
      </c>
      <c r="E2" s="97" t="s">
        <v>89</v>
      </c>
      <c r="F2" s="112"/>
      <c r="G2" s="112"/>
      <c r="H2" s="112"/>
      <c r="I2" s="112"/>
      <c r="J2" s="114"/>
    </row>
    <row r="3" spans="1:21" x14ac:dyDescent="0.4">
      <c r="A3" t="s">
        <v>84</v>
      </c>
      <c r="E3" s="29" t="s">
        <v>90</v>
      </c>
      <c r="F3" s="3" t="s">
        <v>85</v>
      </c>
      <c r="G3" s="3" t="s">
        <v>86</v>
      </c>
      <c r="H3" s="3" t="s">
        <v>87</v>
      </c>
      <c r="I3" s="3" t="s">
        <v>88</v>
      </c>
      <c r="J3" s="15" t="s">
        <v>91</v>
      </c>
      <c r="N3" t="s">
        <v>158</v>
      </c>
      <c r="O3" t="s">
        <v>159</v>
      </c>
    </row>
    <row r="4" spans="1:21" ht="18" thickBot="1" x14ac:dyDescent="0.45">
      <c r="A4" t="s">
        <v>144</v>
      </c>
      <c r="E4" s="7">
        <v>18</v>
      </c>
      <c r="F4" s="8">
        <v>5</v>
      </c>
      <c r="G4" s="8">
        <v>5</v>
      </c>
      <c r="H4" s="8">
        <v>6</v>
      </c>
      <c r="I4" s="8">
        <v>7</v>
      </c>
      <c r="J4" s="9">
        <f>E4+F4*249+G4*100+H4*100+I4*100</f>
        <v>3063</v>
      </c>
      <c r="M4" t="s">
        <v>157</v>
      </c>
      <c r="N4">
        <v>12</v>
      </c>
      <c r="O4">
        <v>1</v>
      </c>
    </row>
    <row r="5" spans="1:21" ht="18" thickBot="1" x14ac:dyDescent="0.45">
      <c r="M5" t="s">
        <v>160</v>
      </c>
      <c r="N5">
        <v>48</v>
      </c>
      <c r="O5">
        <v>4</v>
      </c>
    </row>
    <row r="6" spans="1:21" ht="18" thickBot="1" x14ac:dyDescent="0.45">
      <c r="B6" s="137" t="s">
        <v>106</v>
      </c>
      <c r="C6" s="138"/>
      <c r="D6" s="138"/>
      <c r="E6" s="138"/>
      <c r="F6" s="138"/>
      <c r="G6" s="138"/>
      <c r="H6" s="138"/>
      <c r="I6" s="138"/>
      <c r="J6" s="138"/>
      <c r="K6" s="139"/>
      <c r="L6" s="1"/>
      <c r="M6" s="1"/>
      <c r="N6" s="1"/>
      <c r="O6" s="1"/>
      <c r="P6" s="1"/>
      <c r="Q6" s="69"/>
      <c r="R6" s="69"/>
    </row>
    <row r="7" spans="1:21" x14ac:dyDescent="0.4">
      <c r="B7" s="97" t="s">
        <v>107</v>
      </c>
      <c r="C7" s="112"/>
      <c r="D7" s="112"/>
      <c r="E7" s="112"/>
      <c r="F7" s="114"/>
      <c r="G7" s="61"/>
      <c r="H7" s="66" t="s">
        <v>133</v>
      </c>
      <c r="I7" s="66" t="s">
        <v>134</v>
      </c>
      <c r="J7" s="66" t="s">
        <v>135</v>
      </c>
      <c r="K7" s="67" t="s">
        <v>136</v>
      </c>
      <c r="L7" s="1"/>
      <c r="M7" s="1"/>
      <c r="N7" s="1"/>
      <c r="O7" s="1"/>
      <c r="P7" s="1"/>
      <c r="Q7" s="69"/>
      <c r="R7" s="69"/>
    </row>
    <row r="8" spans="1:21" x14ac:dyDescent="0.4">
      <c r="B8" s="62" t="s">
        <v>108</v>
      </c>
      <c r="C8" s="64" t="s">
        <v>105</v>
      </c>
      <c r="D8" s="64"/>
      <c r="E8" s="64" t="s">
        <v>110</v>
      </c>
      <c r="F8" s="26" t="s">
        <v>137</v>
      </c>
      <c r="G8" s="71" t="s">
        <v>98</v>
      </c>
      <c r="H8" s="135" t="s">
        <v>132</v>
      </c>
      <c r="I8" s="135"/>
      <c r="J8" s="135"/>
      <c r="K8" s="136"/>
      <c r="L8" s="1"/>
      <c r="M8" s="1"/>
      <c r="N8" s="1"/>
      <c r="O8" s="1"/>
      <c r="P8" s="1"/>
      <c r="Q8" s="69"/>
      <c r="R8" s="69"/>
    </row>
    <row r="9" spans="1:21" ht="18" thickBot="1" x14ac:dyDescent="0.45">
      <c r="B9" s="63" t="s">
        <v>109</v>
      </c>
      <c r="C9" s="65" t="s">
        <v>171</v>
      </c>
      <c r="D9" s="65"/>
      <c r="E9" s="65" t="s">
        <v>111</v>
      </c>
      <c r="F9" s="70" t="s">
        <v>137</v>
      </c>
      <c r="G9" s="72" t="s">
        <v>99</v>
      </c>
      <c r="H9" s="73" t="s">
        <v>130</v>
      </c>
      <c r="I9" s="65" t="s">
        <v>138</v>
      </c>
      <c r="J9" s="65" t="s">
        <v>172</v>
      </c>
      <c r="K9" s="70" t="s">
        <v>131</v>
      </c>
      <c r="L9" s="1"/>
      <c r="M9" s="1"/>
      <c r="N9" s="1"/>
      <c r="O9" s="1"/>
      <c r="P9" s="1"/>
      <c r="Q9" s="69"/>
      <c r="R9" s="69"/>
    </row>
    <row r="10" spans="1:21" ht="18" thickBot="1" x14ac:dyDescent="0.45"/>
    <row r="11" spans="1:21" ht="18" thickBot="1" x14ac:dyDescent="0.45">
      <c r="B11" s="140" t="s">
        <v>103</v>
      </c>
      <c r="C11" s="141"/>
      <c r="D11" s="141"/>
      <c r="E11" s="141"/>
      <c r="F11" s="141"/>
      <c r="G11" s="141"/>
      <c r="H11" s="142"/>
      <c r="I11" s="128" t="s">
        <v>104</v>
      </c>
      <c r="J11" s="143"/>
      <c r="K11" s="143"/>
      <c r="L11" s="143"/>
      <c r="M11" s="143"/>
      <c r="N11" s="143"/>
      <c r="O11" s="129"/>
    </row>
    <row r="12" spans="1:21" ht="18" thickBot="1" x14ac:dyDescent="0.45">
      <c r="B12" s="74" t="s">
        <v>102</v>
      </c>
      <c r="C12" s="75" t="s">
        <v>100</v>
      </c>
      <c r="D12" s="75" t="s">
        <v>101</v>
      </c>
      <c r="E12" s="75" t="s">
        <v>102</v>
      </c>
      <c r="F12" s="75" t="s">
        <v>100</v>
      </c>
      <c r="G12" s="75" t="s">
        <v>143</v>
      </c>
      <c r="H12" s="76" t="s">
        <v>142</v>
      </c>
      <c r="I12" s="80" t="s">
        <v>102</v>
      </c>
      <c r="J12" s="81" t="s">
        <v>73</v>
      </c>
      <c r="K12" s="81" t="s">
        <v>101</v>
      </c>
      <c r="L12" s="81" t="s">
        <v>102</v>
      </c>
      <c r="M12" s="81" t="s">
        <v>73</v>
      </c>
      <c r="N12" s="81" t="s">
        <v>143</v>
      </c>
      <c r="O12" s="82" t="s">
        <v>142</v>
      </c>
    </row>
    <row r="13" spans="1:21" x14ac:dyDescent="0.4">
      <c r="B13" s="4" t="s">
        <v>98</v>
      </c>
      <c r="C13" s="5" t="s">
        <v>42</v>
      </c>
      <c r="D13" s="5">
        <v>40</v>
      </c>
      <c r="E13" s="5" t="s">
        <v>94</v>
      </c>
      <c r="F13" s="5">
        <v>41</v>
      </c>
      <c r="G13" s="5">
        <v>50</v>
      </c>
      <c r="H13" s="77">
        <v>50</v>
      </c>
      <c r="I13" s="29" t="s">
        <v>98</v>
      </c>
      <c r="J13" s="3">
        <v>280</v>
      </c>
      <c r="K13" s="3">
        <v>40</v>
      </c>
      <c r="L13" s="3" t="s">
        <v>94</v>
      </c>
      <c r="M13" s="3">
        <v>26</v>
      </c>
      <c r="N13" s="3">
        <v>88</v>
      </c>
      <c r="O13" s="15">
        <v>60</v>
      </c>
    </row>
    <row r="14" spans="1:21" x14ac:dyDescent="0.4">
      <c r="B14" s="29"/>
      <c r="C14" s="3"/>
      <c r="D14" s="3"/>
      <c r="E14" s="3" t="s">
        <v>92</v>
      </c>
      <c r="F14" s="3">
        <v>30</v>
      </c>
      <c r="G14" s="3">
        <v>30</v>
      </c>
      <c r="H14" s="78">
        <v>30</v>
      </c>
      <c r="I14" s="29" t="s">
        <v>99</v>
      </c>
      <c r="J14" s="91">
        <v>0</v>
      </c>
      <c r="K14" s="134"/>
      <c r="L14" s="3" t="s">
        <v>92</v>
      </c>
      <c r="M14" s="3">
        <v>20</v>
      </c>
      <c r="N14" s="3">
        <v>50</v>
      </c>
      <c r="O14" s="15">
        <v>30</v>
      </c>
    </row>
    <row r="15" spans="1:21" x14ac:dyDescent="0.4">
      <c r="B15" s="29"/>
      <c r="C15" s="3"/>
      <c r="D15" s="3"/>
      <c r="E15" s="3" t="s">
        <v>93</v>
      </c>
      <c r="F15" s="3">
        <v>30</v>
      </c>
      <c r="G15" s="3">
        <v>30</v>
      </c>
      <c r="H15" s="78">
        <v>30</v>
      </c>
      <c r="I15" s="29"/>
      <c r="J15" s="3"/>
      <c r="K15" s="3"/>
      <c r="L15" s="3" t="s">
        <v>93</v>
      </c>
      <c r="M15" s="3">
        <v>20</v>
      </c>
      <c r="N15" s="3">
        <v>50</v>
      </c>
      <c r="O15" s="15">
        <v>30</v>
      </c>
    </row>
    <row r="16" spans="1:21" x14ac:dyDescent="0.4">
      <c r="B16" s="29"/>
      <c r="C16" s="3"/>
      <c r="D16" s="3"/>
      <c r="E16" s="3" t="s">
        <v>96</v>
      </c>
      <c r="F16" s="3">
        <v>35</v>
      </c>
      <c r="G16" s="3">
        <v>30</v>
      </c>
      <c r="H16" s="78">
        <v>30</v>
      </c>
      <c r="I16" s="29"/>
      <c r="J16" s="3"/>
      <c r="K16" s="3"/>
      <c r="L16" s="3" t="s">
        <v>96</v>
      </c>
      <c r="M16" s="3">
        <v>20</v>
      </c>
      <c r="N16" s="3">
        <v>65</v>
      </c>
      <c r="O16" s="15">
        <v>40</v>
      </c>
      <c r="Q16" s="100" t="s">
        <v>167</v>
      </c>
      <c r="R16" s="100"/>
      <c r="T16" s="100" t="s">
        <v>168</v>
      </c>
      <c r="U16" s="100"/>
    </row>
    <row r="17" spans="2:21" x14ac:dyDescent="0.4">
      <c r="B17" s="29"/>
      <c r="C17" s="3"/>
      <c r="D17" s="3"/>
      <c r="E17" s="3" t="s">
        <v>95</v>
      </c>
      <c r="F17" s="3">
        <v>35</v>
      </c>
      <c r="G17" s="3">
        <v>30</v>
      </c>
      <c r="H17" s="78">
        <v>30</v>
      </c>
      <c r="I17" s="29"/>
      <c r="J17" s="3"/>
      <c r="K17" s="3"/>
      <c r="L17" s="3" t="s">
        <v>95</v>
      </c>
      <c r="M17" s="3">
        <v>20</v>
      </c>
      <c r="N17" s="3">
        <v>65</v>
      </c>
      <c r="O17" s="15">
        <v>40</v>
      </c>
      <c r="Q17" s="3" t="s">
        <v>163</v>
      </c>
      <c r="R17" s="3" t="s">
        <v>164</v>
      </c>
      <c r="T17" s="3" t="s">
        <v>169</v>
      </c>
      <c r="U17" s="3" t="s">
        <v>170</v>
      </c>
    </row>
    <row r="18" spans="2:21" ht="18" thickBot="1" x14ac:dyDescent="0.45">
      <c r="B18" s="7"/>
      <c r="C18" s="8"/>
      <c r="D18" s="8"/>
      <c r="E18" s="8" t="s">
        <v>97</v>
      </c>
      <c r="F18" s="8">
        <v>35</v>
      </c>
      <c r="G18" s="8">
        <v>30</v>
      </c>
      <c r="H18" s="79">
        <v>30</v>
      </c>
      <c r="I18" s="7"/>
      <c r="J18" s="8"/>
      <c r="K18" s="8"/>
      <c r="L18" s="8" t="s">
        <v>97</v>
      </c>
      <c r="M18" s="8">
        <v>20</v>
      </c>
      <c r="N18" s="8">
        <v>65</v>
      </c>
      <c r="O18" s="9">
        <v>40</v>
      </c>
      <c r="Q18" s="68">
        <f>(F24*400 + 1200*(D24+E24))*550/250</f>
        <v>4406160</v>
      </c>
      <c r="R18" s="68" t="s">
        <v>165</v>
      </c>
      <c r="T18" s="3">
        <v>0.3</v>
      </c>
      <c r="U18" s="3">
        <v>0.5</v>
      </c>
    </row>
    <row r="19" spans="2:21" x14ac:dyDescent="0.4">
      <c r="Q19" t="s">
        <v>166</v>
      </c>
    </row>
    <row r="20" spans="2:21" x14ac:dyDescent="0.4">
      <c r="B20" t="s">
        <v>162</v>
      </c>
      <c r="P20" s="86" t="s">
        <v>151</v>
      </c>
      <c r="Q20" s="87" t="s">
        <v>152</v>
      </c>
    </row>
    <row r="21" spans="2:21" x14ac:dyDescent="0.4">
      <c r="B21" s="3" t="s">
        <v>120</v>
      </c>
      <c r="C21" s="3" t="s">
        <v>98</v>
      </c>
      <c r="D21" s="3" t="s">
        <v>139</v>
      </c>
      <c r="E21" s="3" t="s">
        <v>148</v>
      </c>
      <c r="F21" s="13" t="s">
        <v>140</v>
      </c>
      <c r="G21" s="13" t="s">
        <v>141</v>
      </c>
      <c r="H21" s="3" t="s">
        <v>44</v>
      </c>
      <c r="I21" s="91" t="s">
        <v>127</v>
      </c>
      <c r="J21" s="134"/>
      <c r="K21" s="3" t="s">
        <v>153</v>
      </c>
      <c r="L21" s="13" t="s">
        <v>146</v>
      </c>
      <c r="M21" s="13" t="s">
        <v>147</v>
      </c>
      <c r="N21" s="13" t="s">
        <v>145</v>
      </c>
      <c r="O21" s="13" t="s">
        <v>150</v>
      </c>
      <c r="P21" s="13" t="s">
        <v>149</v>
      </c>
      <c r="Q21" s="88" t="s">
        <v>154</v>
      </c>
      <c r="R21" s="3" t="s">
        <v>155</v>
      </c>
      <c r="S21" s="3" t="s">
        <v>156</v>
      </c>
    </row>
    <row r="22" spans="2:21" x14ac:dyDescent="0.4">
      <c r="B22" s="3" t="s">
        <v>1</v>
      </c>
      <c r="C22" s="3" t="s">
        <v>115</v>
      </c>
      <c r="D22" s="3">
        <v>216</v>
      </c>
      <c r="E22" s="3">
        <f>SUM($C$14,$F$13,$F$14,$F$15,$F$16,$F$17,$F$18)+90</f>
        <v>296</v>
      </c>
      <c r="F22" s="3">
        <f>INT($J$4*1.15)+SUM($G$13:$G$18) +$D$13</f>
        <v>3762</v>
      </c>
      <c r="G22" s="3">
        <f>4+SUM($H$13:$H$18) + $D$13</f>
        <v>244</v>
      </c>
      <c r="H22" s="3" t="s">
        <v>4</v>
      </c>
      <c r="I22" s="91">
        <f>Npm!$G$8</f>
        <v>80</v>
      </c>
      <c r="J22" s="134"/>
      <c r="K22" s="68">
        <f>Npm!$E$8</f>
        <v>95</v>
      </c>
      <c r="L22" s="3">
        <f>Dpm!N8</f>
        <v>4.5</v>
      </c>
      <c r="M22" s="3">
        <f>Dpm!O8</f>
        <v>2</v>
      </c>
      <c r="N22" s="3">
        <f>INT((F22*4.6+G22)/100*(D22+E22))</f>
        <v>89851</v>
      </c>
      <c r="O22" s="3">
        <f>INT((F22*0.9*0.6*4.6+G22)/100*(D22+E22))</f>
        <v>49094</v>
      </c>
      <c r="P22" s="38">
        <f>AVERAGE(N22:O22)*I22*L22*M22*1.9</f>
        <v>95038380</v>
      </c>
      <c r="Q22" s="38">
        <f>AVERAGE(N22:O22)*K22*(0.7*L22+0.3*(L22+1+$U$18))*M22*1.9</f>
        <v>124143883.87499999</v>
      </c>
      <c r="R22" s="3">
        <f t="shared" ref="R22:R33" si="0">RANK(P22,$P$22:$P$33,0)</f>
        <v>6</v>
      </c>
      <c r="S22" s="3">
        <f t="shared" ref="S22:S33" si="1">RANK(Q22,$Q$22:$Q$33,0)</f>
        <v>5</v>
      </c>
      <c r="T22" s="3" t="s">
        <v>1</v>
      </c>
    </row>
    <row r="23" spans="2:21" x14ac:dyDescent="0.4">
      <c r="B23" s="3" t="s">
        <v>112</v>
      </c>
      <c r="C23" s="3" t="s">
        <v>116</v>
      </c>
      <c r="D23" s="3">
        <v>216</v>
      </c>
      <c r="E23" s="3">
        <f>SUM($C$14,$F$13,$F$14,$F$15,$F$16,$F$17,$F$18)+43</f>
        <v>249</v>
      </c>
      <c r="F23" s="3">
        <f t="shared" ref="F23:F26" si="2">INT($J$4*1.15)+SUM($G$13:$G$18) +$D$13</f>
        <v>3762</v>
      </c>
      <c r="G23" s="3">
        <f t="shared" ref="G23:G24" si="3">4+SUM($H$13:$H$18) + $D$13</f>
        <v>244</v>
      </c>
      <c r="H23" s="3" t="s">
        <v>7</v>
      </c>
      <c r="I23" s="91">
        <f>Npm!G11</f>
        <v>66</v>
      </c>
      <c r="J23" s="134"/>
      <c r="K23" s="68">
        <f>Npm!E11</f>
        <v>74</v>
      </c>
      <c r="L23" s="3">
        <f>Dpm!N11</f>
        <v>2.5</v>
      </c>
      <c r="M23" s="3">
        <f>Dpm!O11</f>
        <v>4</v>
      </c>
      <c r="N23" s="3">
        <f>INT((F23*5+G23)/100*(D23+E23))</f>
        <v>88601</v>
      </c>
      <c r="O23" s="3">
        <f>INT((F23*3*0.9*0.8+G23)/100*(D23+E23))</f>
        <v>38920</v>
      </c>
      <c r="P23" s="38">
        <f>AVERAGE(N23:O23)*I23*L23*M23*2.1</f>
        <v>88372053</v>
      </c>
      <c r="Q23" s="38">
        <f>AVERAGE(N23:O23)*K23*(0.7*L23+0.3*(L23+1+$U$18))*M23*2.1</f>
        <v>116918904.06</v>
      </c>
      <c r="R23" s="3">
        <f t="shared" si="0"/>
        <v>8</v>
      </c>
      <c r="S23" s="3">
        <f t="shared" si="1"/>
        <v>6</v>
      </c>
      <c r="T23" s="3" t="s">
        <v>112</v>
      </c>
    </row>
    <row r="24" spans="2:21" x14ac:dyDescent="0.4">
      <c r="B24" s="3" t="s">
        <v>3</v>
      </c>
      <c r="C24" s="3" t="s">
        <v>117</v>
      </c>
      <c r="D24" s="3">
        <v>209</v>
      </c>
      <c r="E24" s="3">
        <f>SUM($C$14,$F$13,$F$14,$F$15,$F$16,$F$17,$F$18)</f>
        <v>206</v>
      </c>
      <c r="F24" s="3">
        <f t="shared" si="2"/>
        <v>3762</v>
      </c>
      <c r="G24" s="3">
        <f t="shared" si="3"/>
        <v>244</v>
      </c>
      <c r="H24" s="3" t="s">
        <v>161</v>
      </c>
      <c r="I24" s="91">
        <f>INT(Npm!G12/60*50)</f>
        <v>66</v>
      </c>
      <c r="J24" s="134"/>
      <c r="K24" s="68">
        <f>INT(Npm!E12/60*50)</f>
        <v>79</v>
      </c>
      <c r="L24" s="3">
        <v>7</v>
      </c>
      <c r="M24" s="3">
        <v>1</v>
      </c>
      <c r="N24" s="3">
        <f>INT((F24*4+G24)/100*(D24+E24))</f>
        <v>63461</v>
      </c>
      <c r="O24" s="3">
        <f>INT((F24*4*0.9*0.6+G24)/100*(D24+E24))</f>
        <v>34735</v>
      </c>
      <c r="P24" s="89">
        <f>( AVERAGE(N24:O24)*(I24-5)*L24*M24+$Q$18*5 )</f>
        <v>42995646</v>
      </c>
      <c r="Q24" s="89">
        <f>AVERAGE(N24:O24)*(K24-5)*(0.3*( L24+1+$U$18) + 0.7*L24 )*M24 + $Q$18*5*(0.3*(1+$U$18)+0.7)</f>
        <v>52403147.399999991</v>
      </c>
      <c r="R24" s="3">
        <f t="shared" si="0"/>
        <v>11</v>
      </c>
      <c r="S24" s="3">
        <f t="shared" si="1"/>
        <v>11</v>
      </c>
      <c r="T24" s="3" t="s">
        <v>3</v>
      </c>
    </row>
    <row r="25" spans="2:21" x14ac:dyDescent="0.4">
      <c r="B25" s="3" t="s">
        <v>113</v>
      </c>
      <c r="C25" s="3" t="s">
        <v>118</v>
      </c>
      <c r="D25" s="3">
        <v>131</v>
      </c>
      <c r="E25" s="3">
        <f>SUM($C$14,$F$13,$F$14,$F$15,$F$16,$F$17,$F$18)+42</f>
        <v>248</v>
      </c>
      <c r="F25" s="3">
        <f t="shared" si="2"/>
        <v>3762</v>
      </c>
      <c r="G25" s="3">
        <f>4+SUM($H$13:$H$18) +4 +$D$13</f>
        <v>248</v>
      </c>
      <c r="H25" s="3" t="s">
        <v>25</v>
      </c>
      <c r="I25" s="91">
        <f>Npm!$E$18</f>
        <v>100</v>
      </c>
      <c r="J25" s="134"/>
      <c r="K25" s="68">
        <f>I25</f>
        <v>100</v>
      </c>
      <c r="L25" s="3">
        <f>Dpm!N18</f>
        <v>2</v>
      </c>
      <c r="M25" s="3">
        <f>Dpm!O18</f>
        <v>4</v>
      </c>
      <c r="N25" s="84">
        <f>INT( (5*F25)/100*(D25+E25)*L25 )</f>
        <v>142579</v>
      </c>
      <c r="O25" s="84">
        <f>INT( (2.5*F25)/100*(D25+E25)*L25 )</f>
        <v>71289</v>
      </c>
      <c r="P25" s="90">
        <f>( $I$25*0.6*( INT( (3.75*$F$25)/100*($D$25+$E$25)*($L$25+2) )*$M$25 ) + $I$25*0.4*(AVERAGE($N$25:$O$25) * $M$25) ) *1.6</f>
        <v>109500800</v>
      </c>
      <c r="Q25" s="90">
        <f>( $K$25*0.9*( INT( (3.75*$F$25)/100*($D$25+$E$25)*($L$25+2+$U$18) )*$M$25 ) + $K$25*0.1*(AVERAGE($N$25:$O$25) * $M$25) ) *1.6</f>
        <v>145431104</v>
      </c>
      <c r="R25" s="3">
        <f t="shared" si="0"/>
        <v>4</v>
      </c>
      <c r="S25" s="3">
        <f t="shared" si="1"/>
        <v>2</v>
      </c>
      <c r="T25" s="3" t="s">
        <v>113</v>
      </c>
    </row>
    <row r="26" spans="2:21" x14ac:dyDescent="0.4">
      <c r="B26" s="3" t="s">
        <v>114</v>
      </c>
      <c r="C26" s="3" t="s">
        <v>119</v>
      </c>
      <c r="D26" s="3">
        <v>205</v>
      </c>
      <c r="E26" s="3">
        <f>SUM($C$14,$F$13,$F$14,$F$15,$F$16,$F$17,$F$18)</f>
        <v>206</v>
      </c>
      <c r="F26" s="3">
        <f t="shared" si="2"/>
        <v>3762</v>
      </c>
      <c r="G26" s="3">
        <f>4+SUM($H$13:$H$18)+4 +$D$13</f>
        <v>248</v>
      </c>
      <c r="H26" s="3" t="s">
        <v>56</v>
      </c>
      <c r="I26" s="91">
        <f>Npm!$E$17</f>
        <v>83</v>
      </c>
      <c r="J26" s="134"/>
      <c r="K26" s="68">
        <f>I26</f>
        <v>83</v>
      </c>
      <c r="L26" s="3">
        <f>Dpm!N17</f>
        <v>2.35</v>
      </c>
      <c r="M26" s="3">
        <f>Dpm!O17</f>
        <v>6</v>
      </c>
      <c r="N26" s="3">
        <f>INT((F26*3.6+G26)/100*(D26+E26))</f>
        <v>56681</v>
      </c>
      <c r="O26" s="3">
        <f>INT((F26*3.6*0.9*0.6+G26)/100*(D26+E26))</f>
        <v>31077</v>
      </c>
      <c r="P26" s="38">
        <f>AVERAGE(N26:O26)*I26*L26*M26</f>
        <v>51351593.700000003</v>
      </c>
      <c r="Q26" s="38">
        <f>AVERAGE(N26:O26)*K26*(0.3*(L26+1+$U$18)+0.7*L26)*M26</f>
        <v>61184877.599999994</v>
      </c>
      <c r="R26" s="3">
        <f t="shared" si="0"/>
        <v>10</v>
      </c>
      <c r="S26" s="3">
        <f t="shared" si="1"/>
        <v>10</v>
      </c>
      <c r="T26" s="3" t="s">
        <v>114</v>
      </c>
    </row>
    <row r="27" spans="2:21" x14ac:dyDescent="0.4">
      <c r="B27" s="3" t="s">
        <v>33</v>
      </c>
      <c r="C27" s="3" t="s">
        <v>121</v>
      </c>
      <c r="D27" s="3">
        <v>280</v>
      </c>
      <c r="E27" s="3">
        <f>SUM($J$14,$M$13,$M$14,$M$15,$M$16,$M$17,$M$18) +20</f>
        <v>146</v>
      </c>
      <c r="F27" s="3">
        <f>INT($J$4*1.15)+SUM($N$13:$N$18)+$K$13</f>
        <v>3945</v>
      </c>
      <c r="G27" s="3"/>
      <c r="H27" s="3" t="s">
        <v>35</v>
      </c>
      <c r="I27" s="91">
        <f>Npm!$E$36</f>
        <v>87</v>
      </c>
      <c r="J27" s="134"/>
      <c r="K27" s="68">
        <f>I27</f>
        <v>87</v>
      </c>
      <c r="L27" s="83">
        <f>Dpm!N36</f>
        <v>550</v>
      </c>
      <c r="M27" s="3">
        <f>Dpm!O36</f>
        <v>2</v>
      </c>
      <c r="N27" s="83">
        <f xml:space="preserve"> INT((0.0033665*(D27+E27+F27)^2+3.3*(D27+E27+F27)+0.5*F27)*L27/100*1.5)</f>
        <v>665906</v>
      </c>
      <c r="O27" s="83">
        <f>INT((0.0033665*(D27+E27+F27)^2+3.3*0.9*0.6*(D27+E27+F27)+0.5*F27)*L27/100*1.5)</f>
        <v>611166</v>
      </c>
      <c r="P27" s="85">
        <f>AVERAGE(N27:O27)*I27*M27</f>
        <v>111105264</v>
      </c>
      <c r="Q27" s="85">
        <f>AVERAGE(N27:O27)*K27*(0.3*(1+$U$18)+0.7)*M27</f>
        <v>127771053.59999999</v>
      </c>
      <c r="R27" s="3">
        <f t="shared" si="0"/>
        <v>3</v>
      </c>
      <c r="S27" s="3">
        <f t="shared" si="1"/>
        <v>4</v>
      </c>
      <c r="T27" s="3" t="s">
        <v>33</v>
      </c>
    </row>
    <row r="28" spans="2:21" x14ac:dyDescent="0.4">
      <c r="B28" s="3" t="s">
        <v>34</v>
      </c>
      <c r="C28" s="3" t="s">
        <v>121</v>
      </c>
      <c r="D28" s="3">
        <v>280</v>
      </c>
      <c r="E28" s="3">
        <f>SUM($J$14,$M$13,$M$14,$M$15,$M$16,$M$17,$M$18)+20</f>
        <v>146</v>
      </c>
      <c r="F28" s="3">
        <f t="shared" ref="F28:F29" si="4">INT($J$4*1.15)+SUM($N$13:$N$18)+$K$13</f>
        <v>3945</v>
      </c>
      <c r="G28" s="3"/>
      <c r="H28" s="3" t="s">
        <v>36</v>
      </c>
      <c r="I28" s="91">
        <f>Npm!$E$38</f>
        <v>83</v>
      </c>
      <c r="J28" s="134"/>
      <c r="K28" s="68">
        <f t="shared" ref="K28:K29" si="5">I28</f>
        <v>83</v>
      </c>
      <c r="L28" s="83">
        <f>Dpm!N38</f>
        <v>240</v>
      </c>
      <c r="M28" s="3">
        <f>Dpm!O38</f>
        <v>4</v>
      </c>
      <c r="N28" s="83">
        <f xml:space="preserve"> INT((0.0033665*(D28+E28+F28)^2+3.3*(D28+E28+F28)+0.5*F28)*L28/100*1.5)</f>
        <v>290577</v>
      </c>
      <c r="O28" s="83">
        <f>INT((0.0033665*(D28+E28+F28)^2+3.3*0.9*0.6*(D28+E28+F28)+0.5*F28)*L28/100*1.5)</f>
        <v>266690</v>
      </c>
      <c r="P28" s="85">
        <f>AVERAGE(N28:O28)*I28*M28</f>
        <v>92506322</v>
      </c>
      <c r="Q28" s="85">
        <f t="shared" ref="Q28:Q29" si="6">AVERAGE(N28:O28)*K28*(0.3*(1+$U$18)+0.7)*M28</f>
        <v>106382270.3</v>
      </c>
      <c r="R28" s="3">
        <f t="shared" si="0"/>
        <v>7</v>
      </c>
      <c r="S28" s="3">
        <f t="shared" si="1"/>
        <v>8</v>
      </c>
      <c r="T28" s="3" t="s">
        <v>34</v>
      </c>
    </row>
    <row r="29" spans="2:21" x14ac:dyDescent="0.4">
      <c r="B29" s="3" t="s">
        <v>51</v>
      </c>
      <c r="C29" s="3" t="s">
        <v>121</v>
      </c>
      <c r="D29" s="3">
        <v>280</v>
      </c>
      <c r="E29" s="3">
        <f t="shared" ref="E29" si="7">SUM($J$14,$M$13,$M$14,$M$15,$M$16,$M$17,$M$18)</f>
        <v>126</v>
      </c>
      <c r="F29" s="3">
        <f t="shared" si="4"/>
        <v>3945</v>
      </c>
      <c r="G29" s="3"/>
      <c r="H29" s="3" t="s">
        <v>37</v>
      </c>
      <c r="I29" s="91">
        <f>Npm!$F$40</f>
        <v>74</v>
      </c>
      <c r="J29" s="134"/>
      <c r="K29" s="68">
        <f t="shared" si="5"/>
        <v>74</v>
      </c>
      <c r="L29" s="83">
        <f>Dpm!N40</f>
        <v>240</v>
      </c>
      <c r="M29" s="3">
        <f>Dpm!O40</f>
        <v>2</v>
      </c>
      <c r="N29" s="83">
        <f xml:space="preserve"> INT((0.0033665*(D29+E29+F29)^2+3.3*(D29+E29+F29)+0.5*F29)*L29/100)</f>
        <v>192150</v>
      </c>
      <c r="O29" s="83">
        <f>INT((0.0033665*(D29+E29+F29)^2+3.3*0.9*0.6*(D29+E29+F29)+0.5*F29)*L29/100)</f>
        <v>176298</v>
      </c>
      <c r="P29" s="85">
        <f>AVERAGE(N29:O29)*I29*M29</f>
        <v>27265152</v>
      </c>
      <c r="Q29" s="85">
        <f t="shared" si="6"/>
        <v>31354924.799999997</v>
      </c>
      <c r="R29" s="3">
        <f t="shared" si="0"/>
        <v>12</v>
      </c>
      <c r="S29" s="3">
        <f t="shared" si="1"/>
        <v>12</v>
      </c>
      <c r="T29" s="3" t="s">
        <v>51</v>
      </c>
    </row>
    <row r="30" spans="2:21" x14ac:dyDescent="0.4">
      <c r="B30" s="3" t="s">
        <v>39</v>
      </c>
      <c r="C30" s="3" t="s">
        <v>122</v>
      </c>
      <c r="D30" s="3">
        <v>205</v>
      </c>
      <c r="E30" s="3">
        <f>SUM($C$14,$F$13,$F$14,$F$15,$F$16,$F$17,$F$18)+40</f>
        <v>246</v>
      </c>
      <c r="F30" s="3">
        <f t="shared" ref="F30:F33" si="8">INT($J$4*1.15)+SUM($G$13:$G$18) +$D$13</f>
        <v>3762</v>
      </c>
      <c r="G30" s="3">
        <f t="shared" ref="G30:G33" si="9">4+SUM($H$13:$H$18) + $D$13</f>
        <v>244</v>
      </c>
      <c r="H30" s="3" t="s">
        <v>128</v>
      </c>
      <c r="I30" s="91">
        <f>Npm!$E$23</f>
        <v>500</v>
      </c>
      <c r="J30" s="134"/>
      <c r="K30" s="68">
        <f>I30</f>
        <v>500</v>
      </c>
      <c r="L30" s="3">
        <f>Dpm!N23</f>
        <v>2.2999999999999998</v>
      </c>
      <c r="M30" s="3">
        <f>Dpm!O23</f>
        <v>1</v>
      </c>
      <c r="N30" s="3">
        <f>INT((F30*3.4+G30)/100*(D30+E30))</f>
        <v>58786</v>
      </c>
      <c r="O30" s="3">
        <f>INT((F30*3.4*0.9*0.9+G30)/100*(D30+E30))</f>
        <v>47826</v>
      </c>
      <c r="P30" s="90">
        <f>AVERAGE(N30:O30)*I30*(0.7*(L30+2+$U$18)+0.3*L30)*M30</f>
        <v>107944650</v>
      </c>
      <c r="Q30" s="90">
        <f>AVERAGE(N30:O30)*K30*(0.7*(L30+2+$U$18)+0.3*L30)*M30</f>
        <v>107944650</v>
      </c>
      <c r="R30" s="3">
        <f t="shared" si="0"/>
        <v>5</v>
      </c>
      <c r="S30" s="3">
        <f t="shared" si="1"/>
        <v>7</v>
      </c>
      <c r="T30" s="3" t="s">
        <v>39</v>
      </c>
    </row>
    <row r="31" spans="2:21" x14ac:dyDescent="0.4">
      <c r="B31" s="3" t="s">
        <v>38</v>
      </c>
      <c r="C31" s="3" t="s">
        <v>123</v>
      </c>
      <c r="D31" s="3">
        <v>209</v>
      </c>
      <c r="E31" s="3">
        <f>SUM($C$14,$F$13,$F$14,$F$15,$F$16,$F$17,$F$18)+10</f>
        <v>216</v>
      </c>
      <c r="F31" s="3">
        <f t="shared" si="8"/>
        <v>3762</v>
      </c>
      <c r="G31" s="3">
        <f t="shared" si="9"/>
        <v>244</v>
      </c>
      <c r="H31" s="3" t="s">
        <v>41</v>
      </c>
      <c r="I31" s="91">
        <f>Npm!$G$22</f>
        <v>82</v>
      </c>
      <c r="J31" s="134"/>
      <c r="K31" s="68">
        <f>Npm!E22</f>
        <v>94</v>
      </c>
      <c r="L31" s="3">
        <f>Dpm!N22</f>
        <v>2</v>
      </c>
      <c r="M31" s="3">
        <f>Dpm!O22</f>
        <v>6</v>
      </c>
      <c r="N31" s="3">
        <f>INT((F31*3.6+G31)/100*(D31+E31))</f>
        <v>58595</v>
      </c>
      <c r="O31" s="3">
        <f>INT((F31*3.6*0.9*0.9+G31)/100*(D31+E31))</f>
        <v>47659</v>
      </c>
      <c r="P31" s="90">
        <f>AVERAGE(N31:O31)*I31*(0.7*(L31+2+$U$18)+0.3*L31)*M31*2</f>
        <v>196038630</v>
      </c>
      <c r="Q31" s="90">
        <f>AVERAGE(N31:O31)*K31*(0.7*(L31+2+$U$18)+0.3*L31)*M31*2</f>
        <v>224727210</v>
      </c>
      <c r="R31" s="3">
        <f t="shared" si="0"/>
        <v>1</v>
      </c>
      <c r="S31" s="3">
        <f t="shared" si="1"/>
        <v>1</v>
      </c>
      <c r="T31" s="3" t="s">
        <v>38</v>
      </c>
    </row>
    <row r="32" spans="2:21" x14ac:dyDescent="0.4">
      <c r="B32" s="3" t="s">
        <v>23</v>
      </c>
      <c r="C32" s="3" t="s">
        <v>124</v>
      </c>
      <c r="D32" s="3">
        <v>173</v>
      </c>
      <c r="E32" s="3">
        <f>SUM($C$14,$F$13,$F$14,$F$15,$F$16,$F$17,$F$18)+30</f>
        <v>236</v>
      </c>
      <c r="F32" s="3">
        <f t="shared" si="8"/>
        <v>3762</v>
      </c>
      <c r="G32" s="3">
        <f t="shared" si="9"/>
        <v>244</v>
      </c>
      <c r="H32" s="3" t="s">
        <v>129</v>
      </c>
      <c r="I32" s="91">
        <f>Npm!$E$25</f>
        <v>40</v>
      </c>
      <c r="J32" s="134"/>
      <c r="K32" s="68">
        <f>I32</f>
        <v>40</v>
      </c>
      <c r="L32" s="3">
        <f>Dpm!N25</f>
        <v>31.5</v>
      </c>
      <c r="M32" s="3">
        <f>Dpm!O25</f>
        <v>1</v>
      </c>
      <c r="N32" s="3">
        <f>INT((F32*4.8+G32)/100*(D32+E32))</f>
        <v>74853</v>
      </c>
      <c r="O32" s="3">
        <f>INT((F32*4.8*0.9*0.6+G32)/100*(D32+E32))</f>
        <v>40879</v>
      </c>
      <c r="P32" s="38">
        <f>AVERAGE(N32:O32)*I32*(0.6*(1.6+L32)+0.4*L32)*M32</f>
        <v>75133214.400000006</v>
      </c>
      <c r="Q32" s="38">
        <f>AVERAGE(N32:O32)*K32*(0.9*(1.6+$U$18+L32)+0.1*L32)*M32</f>
        <v>77285829.599999994</v>
      </c>
      <c r="R32" s="3">
        <f t="shared" si="0"/>
        <v>9</v>
      </c>
      <c r="S32" s="3">
        <f t="shared" si="1"/>
        <v>9</v>
      </c>
      <c r="T32" s="3" t="s">
        <v>23</v>
      </c>
    </row>
    <row r="33" spans="2:20" x14ac:dyDescent="0.4">
      <c r="B33" s="3" t="s">
        <v>47</v>
      </c>
      <c r="C33" s="3" t="s">
        <v>125</v>
      </c>
      <c r="D33" s="3">
        <v>170</v>
      </c>
      <c r="E33" s="3">
        <f>SUM($C$14,$F$13,$F$14,$F$15,$F$16,$F$17,$F$18)+28</f>
        <v>234</v>
      </c>
      <c r="F33" s="3">
        <f t="shared" si="8"/>
        <v>3762</v>
      </c>
      <c r="G33" s="3">
        <f t="shared" si="9"/>
        <v>244</v>
      </c>
      <c r="H33" s="3" t="s">
        <v>48</v>
      </c>
      <c r="I33" s="91">
        <f>Npm!$E$26</f>
        <v>100</v>
      </c>
      <c r="J33" s="134"/>
      <c r="K33" s="68">
        <f>I33</f>
        <v>100</v>
      </c>
      <c r="L33" s="3">
        <f>Dpm!N26</f>
        <v>4.8</v>
      </c>
      <c r="M33" s="3">
        <f>Dpm!O26</f>
        <v>5</v>
      </c>
      <c r="N33" s="3">
        <f>INT( (F33*3.6+G33)/100*(D33+E33) )</f>
        <v>55700</v>
      </c>
      <c r="O33" s="3">
        <f>INT( (F33*3.6*0.9*0.6+G33)/100*(D33+E33) )</f>
        <v>30531</v>
      </c>
      <c r="P33" s="38">
        <f>AVERAGE(N33:O33)*I33*L33*M33*1.2</f>
        <v>124172640</v>
      </c>
      <c r="Q33" s="38">
        <f>AVERAGE(N33:O33)*K33*(0.3*(L33+1+$U$18)+0.7*L33)*M33*1.2</f>
        <v>135813825</v>
      </c>
      <c r="R33" s="3">
        <f t="shared" si="0"/>
        <v>2</v>
      </c>
      <c r="S33" s="3">
        <f t="shared" si="1"/>
        <v>3</v>
      </c>
      <c r="T33" s="3" t="s">
        <v>47</v>
      </c>
    </row>
  </sheetData>
  <mergeCells count="22">
    <mergeCell ref="T16:U16"/>
    <mergeCell ref="Q16:R16"/>
    <mergeCell ref="E2:J2"/>
    <mergeCell ref="H8:K8"/>
    <mergeCell ref="B7:F7"/>
    <mergeCell ref="B6:K6"/>
    <mergeCell ref="B11:H11"/>
    <mergeCell ref="I11:O11"/>
    <mergeCell ref="J14:K14"/>
    <mergeCell ref="I21:J21"/>
    <mergeCell ref="I22:J22"/>
    <mergeCell ref="I23:J23"/>
    <mergeCell ref="I24:J24"/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Npm</vt:lpstr>
      <vt:lpstr>Dpm</vt:lpstr>
      <vt:lpstr>DPM표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jsh</dc:creator>
  <cp:lastModifiedBy>jsh</cp:lastModifiedBy>
  <dcterms:created xsi:type="dcterms:W3CDTF">2020-05-26T02:31:13Z</dcterms:created>
  <dcterms:modified xsi:type="dcterms:W3CDTF">2020-06-07T10:15:06Z</dcterms:modified>
</cp:coreProperties>
</file>