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\MapleStory\MapleStory\Project\Project1(공식 및 DPM 분석)\"/>
    </mc:Choice>
  </mc:AlternateContent>
  <xr:revisionPtr revIDLastSave="0" documentId="13_ncr:1_{A03A17EC-8C2E-41C1-BADF-3E5545E50882}" xr6:coauthVersionLast="45" xr6:coauthVersionMax="45" xr10:uidLastSave="{00000000-0000-0000-0000-000000000000}"/>
  <bookViews>
    <workbookView xWindow="-108" yWindow="-108" windowWidth="23256" windowHeight="12576" activeTab="2" xr2:uid="{A70D4F0B-AC37-4257-A510-E4063F27CAB4}"/>
  </bookViews>
  <sheets>
    <sheet name="Npm" sheetId="1" r:id="rId1"/>
    <sheet name="DPM표" sheetId="3" r:id="rId2"/>
    <sheet name="SKIL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5" i="3" l="1"/>
  <c r="T25" i="3"/>
  <c r="S25" i="3"/>
  <c r="R25" i="3"/>
  <c r="Y47" i="3" l="1"/>
  <c r="X47" i="3"/>
  <c r="Q22" i="3"/>
  <c r="N4" i="3" l="1"/>
  <c r="M4" i="3"/>
  <c r="L4" i="3"/>
  <c r="J4" i="3"/>
  <c r="H28" i="3" l="1"/>
  <c r="H29" i="3"/>
  <c r="H27" i="3"/>
  <c r="S42" i="3" l="1"/>
  <c r="R29" i="3"/>
  <c r="S29" i="3"/>
  <c r="Y44" i="3" s="1"/>
  <c r="S28" i="3"/>
  <c r="Y43" i="3" s="1"/>
  <c r="R28" i="3"/>
  <c r="S27" i="3"/>
  <c r="Y42" i="3" s="1"/>
  <c r="R27" i="3"/>
  <c r="X42" i="3" s="1"/>
  <c r="U38" i="3"/>
  <c r="U39" i="3"/>
  <c r="U40" i="3"/>
  <c r="U41" i="3"/>
  <c r="U42" i="3"/>
  <c r="U43" i="3"/>
  <c r="U44" i="3"/>
  <c r="U47" i="3"/>
  <c r="U48" i="3"/>
  <c r="U37" i="3"/>
  <c r="S47" i="3"/>
  <c r="S48" i="3"/>
  <c r="S38" i="3"/>
  <c r="S39" i="3"/>
  <c r="S40" i="3"/>
  <c r="S41" i="3"/>
  <c r="S37" i="3"/>
  <c r="F31" i="3"/>
  <c r="F32" i="3"/>
  <c r="F30" i="3"/>
  <c r="F28" i="3"/>
  <c r="F27" i="3"/>
  <c r="F23" i="3"/>
  <c r="F22" i="3"/>
  <c r="X44" i="3" l="1"/>
  <c r="X43" i="3"/>
  <c r="E33" i="3"/>
  <c r="E32" i="3"/>
  <c r="E31" i="3"/>
  <c r="E30" i="3"/>
  <c r="E28" i="3"/>
  <c r="E27" i="3"/>
  <c r="E25" i="3"/>
  <c r="E24" i="3"/>
  <c r="E23" i="3"/>
  <c r="E22" i="3"/>
  <c r="I31" i="3" l="1"/>
  <c r="I32" i="3"/>
  <c r="I33" i="3"/>
  <c r="I30" i="3"/>
  <c r="I26" i="3"/>
  <c r="I25" i="3"/>
  <c r="I23" i="3"/>
  <c r="I24" i="3"/>
  <c r="I22" i="3"/>
  <c r="E26" i="3"/>
  <c r="L24" i="3" l="1"/>
  <c r="K24" i="3"/>
  <c r="L23" i="3"/>
  <c r="K23" i="3"/>
  <c r="L31" i="3"/>
  <c r="L22" i="3"/>
  <c r="E29" i="3" l="1"/>
  <c r="K33" i="3"/>
  <c r="K32" i="3"/>
  <c r="K31" i="3"/>
  <c r="K30" i="3"/>
  <c r="K29" i="3"/>
  <c r="K28" i="3"/>
  <c r="K27" i="3"/>
  <c r="K26" i="3"/>
  <c r="K25" i="3"/>
  <c r="K22" i="3"/>
  <c r="L27" i="3" l="1"/>
  <c r="U27" i="3" s="1"/>
  <c r="T27" i="3"/>
  <c r="L32" i="3"/>
  <c r="L28" i="3"/>
  <c r="U28" i="3" s="1"/>
  <c r="T28" i="3"/>
  <c r="L29" i="3"/>
  <c r="U29" i="3" s="1"/>
  <c r="T29" i="3"/>
  <c r="L33" i="3"/>
  <c r="L26" i="3"/>
  <c r="L30" i="3"/>
  <c r="L25" i="3"/>
  <c r="H33" i="3" l="1"/>
  <c r="H25" i="3"/>
  <c r="H30" i="3"/>
  <c r="H26" i="3"/>
  <c r="H31" i="3"/>
  <c r="H23" i="3"/>
  <c r="H22" i="3"/>
  <c r="H32" i="3"/>
  <c r="H24" i="3"/>
  <c r="P22" i="3" l="1"/>
  <c r="Q30" i="3"/>
  <c r="P30" i="3"/>
  <c r="P23" i="3"/>
  <c r="Q23" i="3"/>
  <c r="Q25" i="3"/>
  <c r="W40" i="3"/>
  <c r="P25" i="3"/>
  <c r="Y40" i="3"/>
  <c r="V40" i="3"/>
  <c r="X40" i="3"/>
  <c r="Q24" i="3"/>
  <c r="P24" i="3"/>
  <c r="Q31" i="3"/>
  <c r="P31" i="3"/>
  <c r="Q33" i="3"/>
  <c r="P33" i="3"/>
  <c r="Q32" i="3"/>
  <c r="P32" i="3"/>
  <c r="P26" i="3"/>
  <c r="Q26" i="3"/>
  <c r="R18" i="3"/>
  <c r="R24" i="3" l="1"/>
  <c r="X39" i="3"/>
  <c r="V45" i="3"/>
  <c r="X45" i="3"/>
  <c r="R30" i="3"/>
  <c r="X41" i="3"/>
  <c r="R26" i="3"/>
  <c r="Y48" i="3"/>
  <c r="S33" i="3"/>
  <c r="S24" i="3"/>
  <c r="Y39" i="3"/>
  <c r="S30" i="3"/>
  <c r="Y45" i="3"/>
  <c r="W45" i="3"/>
  <c r="Y41" i="3"/>
  <c r="S26" i="3"/>
  <c r="V47" i="3"/>
  <c r="R32" i="3"/>
  <c r="V46" i="3"/>
  <c r="X46" i="3"/>
  <c r="R31" i="3"/>
  <c r="Y38" i="3"/>
  <c r="S23" i="3"/>
  <c r="X37" i="3"/>
  <c r="R22" i="3"/>
  <c r="R33" i="3"/>
  <c r="X48" i="3"/>
  <c r="U24" i="3"/>
  <c r="T24" i="3"/>
  <c r="W47" i="3"/>
  <c r="S32" i="3"/>
  <c r="Y46" i="3"/>
  <c r="W46" i="3"/>
  <c r="S31" i="3"/>
  <c r="X38" i="3"/>
  <c r="R23" i="3"/>
  <c r="Y37" i="3"/>
  <c r="S22" i="3"/>
  <c r="T23" i="3" l="1"/>
  <c r="U23" i="3"/>
  <c r="U22" i="3"/>
  <c r="T22" i="3"/>
  <c r="U31" i="3"/>
  <c r="T31" i="3"/>
  <c r="T26" i="3"/>
  <c r="U26" i="3"/>
  <c r="T33" i="3"/>
  <c r="U33" i="3"/>
  <c r="T32" i="3"/>
  <c r="U32" i="3"/>
  <c r="W32" i="3" s="1"/>
  <c r="T30" i="3"/>
  <c r="U30" i="3"/>
  <c r="W26" i="3" l="1"/>
  <c r="V32" i="3"/>
  <c r="W29" i="3"/>
  <c r="W28" i="3"/>
  <c r="W24" i="3"/>
  <c r="W22" i="3"/>
  <c r="W25" i="3"/>
  <c r="W27" i="3"/>
  <c r="W30" i="3"/>
  <c r="W33" i="3"/>
  <c r="V31" i="3"/>
  <c r="W23" i="3"/>
  <c r="V27" i="3"/>
  <c r="V24" i="3"/>
  <c r="V29" i="3"/>
  <c r="V25" i="3"/>
  <c r="V28" i="3"/>
  <c r="V22" i="3"/>
  <c r="V26" i="3"/>
  <c r="V30" i="3"/>
  <c r="V33" i="3"/>
  <c r="W31" i="3"/>
  <c r="V23" i="3"/>
</calcChain>
</file>

<file path=xl/sharedStrings.xml><?xml version="1.0" encoding="utf-8"?>
<sst xmlns="http://schemas.openxmlformats.org/spreadsheetml/2006/main" count="332" uniqueCount="178">
  <si>
    <t>전사</t>
    <phoneticPr fontId="1" type="noConversion"/>
  </si>
  <si>
    <t>히어로</t>
    <phoneticPr fontId="1" type="noConversion"/>
  </si>
  <si>
    <t>다크나이트</t>
    <phoneticPr fontId="1" type="noConversion"/>
  </si>
  <si>
    <t>팔라딘</t>
    <phoneticPr fontId="1" type="noConversion"/>
  </si>
  <si>
    <t>브랜디쉬</t>
    <phoneticPr fontId="1" type="noConversion"/>
  </si>
  <si>
    <t>블래스트</t>
    <phoneticPr fontId="1" type="noConversion"/>
  </si>
  <si>
    <t>쓰레셔</t>
    <phoneticPr fontId="1" type="noConversion"/>
  </si>
  <si>
    <t>버스터</t>
    <phoneticPr fontId="1" type="noConversion"/>
  </si>
  <si>
    <t>로어</t>
    <phoneticPr fontId="1" type="noConversion"/>
  </si>
  <si>
    <t>생츄어리</t>
    <phoneticPr fontId="1" type="noConversion"/>
  </si>
  <si>
    <t>부스터 스킬은 공속 2단계 향상</t>
    <phoneticPr fontId="1" type="noConversion"/>
  </si>
  <si>
    <t>윈드 부스터는 중첩이 되면서 공속 2단계 향상</t>
    <phoneticPr fontId="1" type="noConversion"/>
  </si>
  <si>
    <t>마법사는 매직 부스터의 영향만 받는다</t>
    <phoneticPr fontId="1" type="noConversion"/>
  </si>
  <si>
    <t>풀공속</t>
    <phoneticPr fontId="1" type="noConversion"/>
  </si>
  <si>
    <t>매우빠름</t>
    <phoneticPr fontId="1" type="noConversion"/>
  </si>
  <si>
    <t>빠름</t>
    <phoneticPr fontId="1" type="noConversion"/>
  </si>
  <si>
    <t>보통</t>
    <phoneticPr fontId="1" type="noConversion"/>
  </si>
  <si>
    <t>느림</t>
    <phoneticPr fontId="1" type="noConversion"/>
  </si>
  <si>
    <t>매우 느림</t>
    <phoneticPr fontId="1" type="noConversion"/>
  </si>
  <si>
    <t>차지 블로우(어차)</t>
    <phoneticPr fontId="1" type="noConversion"/>
  </si>
  <si>
    <t>도적</t>
    <phoneticPr fontId="1" type="noConversion"/>
  </si>
  <si>
    <t>섀도어</t>
    <phoneticPr fontId="1" type="noConversion"/>
  </si>
  <si>
    <t>나이트 로드</t>
    <phoneticPr fontId="1" type="noConversion"/>
  </si>
  <si>
    <t>바이퍼</t>
    <phoneticPr fontId="1" type="noConversion"/>
  </si>
  <si>
    <t>부스 + 시브 + 시브</t>
    <phoneticPr fontId="1" type="noConversion"/>
  </si>
  <si>
    <t>트스</t>
    <phoneticPr fontId="1" type="noConversion"/>
  </si>
  <si>
    <t>어벤져</t>
    <phoneticPr fontId="1" type="noConversion"/>
  </si>
  <si>
    <t>궁수</t>
    <phoneticPr fontId="1" type="noConversion"/>
  </si>
  <si>
    <t>해적</t>
    <phoneticPr fontId="1" type="noConversion"/>
  </si>
  <si>
    <t>마법사</t>
    <phoneticPr fontId="1" type="noConversion"/>
  </si>
  <si>
    <t>블리자드</t>
    <phoneticPr fontId="1" type="noConversion"/>
  </si>
  <si>
    <t>메테오</t>
    <phoneticPr fontId="1" type="noConversion"/>
  </si>
  <si>
    <t>제네시스</t>
    <phoneticPr fontId="1" type="noConversion"/>
  </si>
  <si>
    <t>썬콜</t>
    <phoneticPr fontId="1" type="noConversion"/>
  </si>
  <si>
    <t>불독</t>
    <phoneticPr fontId="1" type="noConversion"/>
  </si>
  <si>
    <t>체라</t>
    <phoneticPr fontId="1" type="noConversion"/>
  </si>
  <si>
    <t>패럴</t>
    <phoneticPr fontId="1" type="noConversion"/>
  </si>
  <si>
    <t>엔레</t>
    <phoneticPr fontId="1" type="noConversion"/>
  </si>
  <si>
    <t>신궁</t>
    <phoneticPr fontId="1" type="noConversion"/>
  </si>
  <si>
    <t>보마</t>
    <phoneticPr fontId="1" type="noConversion"/>
  </si>
  <si>
    <t>피어싱</t>
    <phoneticPr fontId="1" type="noConversion"/>
  </si>
  <si>
    <t>스트레이트</t>
    <phoneticPr fontId="1" type="noConversion"/>
  </si>
  <si>
    <t>?</t>
    <phoneticPr fontId="1" type="noConversion"/>
  </si>
  <si>
    <t>공속</t>
    <phoneticPr fontId="1" type="noConversion"/>
  </si>
  <si>
    <t>스킬</t>
    <phoneticPr fontId="1" type="noConversion"/>
  </si>
  <si>
    <t>폭풍의 시</t>
    <phoneticPr fontId="1" type="noConversion"/>
  </si>
  <si>
    <t>드스 + 샤크 웨이브</t>
    <phoneticPr fontId="1" type="noConversion"/>
  </si>
  <si>
    <t>캡틴</t>
    <phoneticPr fontId="1" type="noConversion"/>
  </si>
  <si>
    <t>배틀쉽 캐논</t>
    <phoneticPr fontId="1" type="noConversion"/>
  </si>
  <si>
    <t>배틀쉽 토르페도</t>
    <phoneticPr fontId="1" type="noConversion"/>
  </si>
  <si>
    <t>래피드 파이어</t>
    <phoneticPr fontId="1" type="noConversion"/>
  </si>
  <si>
    <t>비숍</t>
    <phoneticPr fontId="1" type="noConversion"/>
  </si>
  <si>
    <t>X</t>
    <phoneticPr fontId="1" type="noConversion"/>
  </si>
  <si>
    <t>마법사는 매직 부스터의 영향만 받는다</t>
    <phoneticPr fontId="1" type="noConversion"/>
  </si>
  <si>
    <t>O</t>
    <phoneticPr fontId="1" type="noConversion"/>
  </si>
  <si>
    <t>매직 부스터 유무</t>
    <phoneticPr fontId="1" type="noConversion"/>
  </si>
  <si>
    <t>새비지</t>
    <phoneticPr fontId="1" type="noConversion"/>
  </si>
  <si>
    <t>(부스 + 새비 + 새비)와 동일</t>
    <phoneticPr fontId="1" type="noConversion"/>
  </si>
  <si>
    <t>// 일반적으로 부스터를 사용할 경우 풀 공속 달성 //</t>
    <phoneticPr fontId="1" type="noConversion"/>
  </si>
  <si>
    <t>마력</t>
    <phoneticPr fontId="1" type="noConversion"/>
  </si>
  <si>
    <t>기준 레벨 : 정복자 300</t>
    <phoneticPr fontId="1" type="noConversion"/>
  </si>
  <si>
    <t xml:space="preserve">스텟작은 하지 않음 </t>
    <phoneticPr fontId="1" type="noConversion"/>
  </si>
  <si>
    <t>정렙 전</t>
    <phoneticPr fontId="1" type="noConversion"/>
  </si>
  <si>
    <t>0~99</t>
    <phoneticPr fontId="1" type="noConversion"/>
  </si>
  <si>
    <t>100~199</t>
    <phoneticPr fontId="1" type="noConversion"/>
  </si>
  <si>
    <t>200~299</t>
    <phoneticPr fontId="1" type="noConversion"/>
  </si>
  <si>
    <t>기타</t>
    <phoneticPr fontId="1" type="noConversion"/>
  </si>
  <si>
    <t>Total</t>
    <phoneticPr fontId="1" type="noConversion"/>
  </si>
  <si>
    <t>상의</t>
    <phoneticPr fontId="1" type="noConversion"/>
  </si>
  <si>
    <t>하의</t>
    <phoneticPr fontId="1" type="noConversion"/>
  </si>
  <si>
    <t>모자</t>
    <phoneticPr fontId="1" type="noConversion"/>
  </si>
  <si>
    <t>신발</t>
    <phoneticPr fontId="1" type="noConversion"/>
  </si>
  <si>
    <t>망토</t>
    <phoneticPr fontId="1" type="noConversion"/>
  </si>
  <si>
    <t>장갑</t>
    <phoneticPr fontId="1" type="noConversion"/>
  </si>
  <si>
    <t>무기</t>
    <phoneticPr fontId="1" type="noConversion"/>
  </si>
  <si>
    <t>보조무기</t>
    <phoneticPr fontId="1" type="noConversion"/>
  </si>
  <si>
    <t>공격력</t>
    <phoneticPr fontId="1" type="noConversion"/>
  </si>
  <si>
    <t>주/부스텟</t>
    <phoneticPr fontId="1" type="noConversion"/>
  </si>
  <si>
    <t>종류</t>
    <phoneticPr fontId="1" type="noConversion"/>
  </si>
  <si>
    <t>격수 기준</t>
    <phoneticPr fontId="1" type="noConversion"/>
  </si>
  <si>
    <t>법사 기준</t>
    <phoneticPr fontId="1" type="noConversion"/>
  </si>
  <si>
    <t>5작</t>
    <phoneticPr fontId="1" type="noConversion"/>
  </si>
  <si>
    <t>아이템 기준</t>
    <phoneticPr fontId="1" type="noConversion"/>
  </si>
  <si>
    <t>3단공/3단지 잠재</t>
    <phoneticPr fontId="1" type="noConversion"/>
  </si>
  <si>
    <t>앱솔 방어구</t>
    <phoneticPr fontId="1" type="noConversion"/>
  </si>
  <si>
    <t>앱솔 모자</t>
    <phoneticPr fontId="1" type="noConversion"/>
  </si>
  <si>
    <t>파프 상의</t>
    <phoneticPr fontId="1" type="noConversion"/>
  </si>
  <si>
    <t>파프 하의</t>
    <phoneticPr fontId="1" type="noConversion"/>
  </si>
  <si>
    <t>닼나</t>
    <phoneticPr fontId="1" type="noConversion"/>
  </si>
  <si>
    <t>나로</t>
    <phoneticPr fontId="1" type="noConversion"/>
  </si>
  <si>
    <t>섀도</t>
    <phoneticPr fontId="1" type="noConversion"/>
  </si>
  <si>
    <t>두손검</t>
    <phoneticPr fontId="1" type="noConversion"/>
  </si>
  <si>
    <t>창</t>
    <phoneticPr fontId="1" type="noConversion"/>
  </si>
  <si>
    <t>한손검</t>
    <phoneticPr fontId="1" type="noConversion"/>
  </si>
  <si>
    <t>아대</t>
    <phoneticPr fontId="1" type="noConversion"/>
  </si>
  <si>
    <t>단검</t>
    <phoneticPr fontId="1" type="noConversion"/>
  </si>
  <si>
    <t>직업</t>
    <phoneticPr fontId="1" type="noConversion"/>
  </si>
  <si>
    <t>스태프</t>
    <phoneticPr fontId="1" type="noConversion"/>
  </si>
  <si>
    <t>활</t>
    <phoneticPr fontId="1" type="noConversion"/>
  </si>
  <si>
    <t>석궁</t>
    <phoneticPr fontId="1" type="noConversion"/>
  </si>
  <si>
    <t>너클</t>
    <phoneticPr fontId="1" type="noConversion"/>
  </si>
  <si>
    <t>총</t>
    <phoneticPr fontId="1" type="noConversion"/>
  </si>
  <si>
    <t>주력기 NPM (자벞)</t>
    <phoneticPr fontId="1" type="noConversion"/>
  </si>
  <si>
    <t>폭시</t>
    <phoneticPr fontId="1" type="noConversion"/>
  </si>
  <si>
    <t>드스+샤크</t>
    <phoneticPr fontId="1" type="noConversion"/>
  </si>
  <si>
    <t>파프 +20 10강</t>
    <phoneticPr fontId="1" type="noConversion"/>
  </si>
  <si>
    <t>나로</t>
    <phoneticPr fontId="1" type="noConversion"/>
  </si>
  <si>
    <t>궁수</t>
    <phoneticPr fontId="1" type="noConversion"/>
  </si>
  <si>
    <t>격수</t>
    <phoneticPr fontId="1" type="noConversion"/>
  </si>
  <si>
    <t>캡틴</t>
    <phoneticPr fontId="1" type="noConversion"/>
  </si>
  <si>
    <t>공20</t>
    <phoneticPr fontId="1" type="noConversion"/>
  </si>
  <si>
    <t>무기 공/마</t>
    <phoneticPr fontId="1" type="noConversion"/>
  </si>
  <si>
    <t>주스탯</t>
    <phoneticPr fontId="1" type="noConversion"/>
  </si>
  <si>
    <t>보조스탯</t>
    <phoneticPr fontId="1" type="noConversion"/>
  </si>
  <si>
    <t>부스탯</t>
    <phoneticPr fontId="1" type="noConversion"/>
  </si>
  <si>
    <t>주스탯</t>
    <phoneticPr fontId="1" type="noConversion"/>
  </si>
  <si>
    <t>평균 딜량</t>
    <phoneticPr fontId="1" type="noConversion"/>
  </si>
  <si>
    <t>자벞 기준</t>
    <phoneticPr fontId="1" type="noConversion"/>
  </si>
  <si>
    <t>풀벞 기준</t>
    <phoneticPr fontId="1" type="noConversion"/>
  </si>
  <si>
    <t>주력기 NPM (풀벞)</t>
    <phoneticPr fontId="1" type="noConversion"/>
  </si>
  <si>
    <t>솔플 랭킹</t>
    <phoneticPr fontId="1" type="noConversion"/>
  </si>
  <si>
    <t>파티 랭킹</t>
    <phoneticPr fontId="1" type="noConversion"/>
  </si>
  <si>
    <t>블래+생츄</t>
    <phoneticPr fontId="1" type="noConversion"/>
  </si>
  <si>
    <t>생츄어리(1타)</t>
    <phoneticPr fontId="1" type="noConversion"/>
  </si>
  <si>
    <t>시전 및 후딜</t>
    <phoneticPr fontId="1" type="noConversion"/>
  </si>
  <si>
    <t>2s</t>
    <phoneticPr fontId="1" type="noConversion"/>
  </si>
  <si>
    <t>/샤프아이즈/윈드부스터/</t>
    <phoneticPr fontId="1" type="noConversion"/>
  </si>
  <si>
    <t>샤프아이즈</t>
    <phoneticPr fontId="1" type="noConversion"/>
  </si>
  <si>
    <t>8작</t>
    <phoneticPr fontId="1" type="noConversion"/>
  </si>
  <si>
    <t>스킬 공/마</t>
    <phoneticPr fontId="1" type="noConversion"/>
  </si>
  <si>
    <t>방어구(+보조무기) 공/마</t>
    <phoneticPr fontId="1" type="noConversion"/>
  </si>
  <si>
    <t>스킬 뎀지 증폭율</t>
    <phoneticPr fontId="1" type="noConversion"/>
  </si>
  <si>
    <t>히어로</t>
    <phoneticPr fontId="1" type="noConversion"/>
  </si>
  <si>
    <t>분노</t>
    <phoneticPr fontId="1" type="noConversion"/>
  </si>
  <si>
    <t>인레이지</t>
    <phoneticPr fontId="1" type="noConversion"/>
  </si>
  <si>
    <t>다크나이트</t>
    <phoneticPr fontId="1" type="noConversion"/>
  </si>
  <si>
    <t>비홀더</t>
    <phoneticPr fontId="1" type="noConversion"/>
  </si>
  <si>
    <t>드래곤 블러드</t>
    <phoneticPr fontId="1" type="noConversion"/>
  </si>
  <si>
    <t>아크메이지</t>
    <phoneticPr fontId="1" type="noConversion"/>
  </si>
  <si>
    <t>메디테이션</t>
    <phoneticPr fontId="1" type="noConversion"/>
  </si>
  <si>
    <t>보우마스터</t>
    <phoneticPr fontId="1" type="noConversion"/>
  </si>
  <si>
    <t>집중</t>
    <phoneticPr fontId="1" type="noConversion"/>
  </si>
  <si>
    <t>신궁</t>
    <phoneticPr fontId="1" type="noConversion"/>
  </si>
  <si>
    <t>크로스보우 엑스퍼트</t>
    <phoneticPr fontId="1" type="noConversion"/>
  </si>
  <si>
    <t>보우 엑스퍼트</t>
    <phoneticPr fontId="1" type="noConversion"/>
  </si>
  <si>
    <t>바이퍼</t>
    <phoneticPr fontId="1" type="noConversion"/>
  </si>
  <si>
    <t>에너지 차지</t>
    <phoneticPr fontId="1" type="noConversion"/>
  </si>
  <si>
    <t>MAX S.DM</t>
    <phoneticPr fontId="1" type="noConversion"/>
  </si>
  <si>
    <t>MIN S.DM</t>
    <phoneticPr fontId="1" type="noConversion"/>
  </si>
  <si>
    <t>MAX Phy.AP</t>
    <phoneticPr fontId="1" type="noConversion"/>
  </si>
  <si>
    <t>MIN Phy.AP</t>
    <phoneticPr fontId="1" type="noConversion"/>
  </si>
  <si>
    <t>.=&gt;&gt;</t>
    <phoneticPr fontId="1" type="noConversion"/>
  </si>
  <si>
    <t>스킬 데미지 %</t>
    <phoneticPr fontId="1" type="noConversion"/>
  </si>
  <si>
    <t>샤프아이즈 고려.=&gt;</t>
    <phoneticPr fontId="1" type="noConversion"/>
  </si>
  <si>
    <t>추가 크리티컬 확률[%}</t>
    <phoneticPr fontId="1" type="noConversion"/>
  </si>
  <si>
    <t>추가 크리티컬 데미지[%]</t>
    <phoneticPr fontId="1" type="noConversion"/>
  </si>
  <si>
    <t>스탯 공격력</t>
    <phoneticPr fontId="1" type="noConversion"/>
  </si>
  <si>
    <t>스킬 공격 타수</t>
    <phoneticPr fontId="1" type="noConversion"/>
  </si>
  <si>
    <t>[%]</t>
    <phoneticPr fontId="1" type="noConversion"/>
  </si>
  <si>
    <t>(전) 크리 확률</t>
    <phoneticPr fontId="1" type="noConversion"/>
  </si>
  <si>
    <t>(후) 크리 확률</t>
    <phoneticPr fontId="1" type="noConversion"/>
  </si>
  <si>
    <t xml:space="preserve">(전) 크리 데미지 % </t>
    <phoneticPr fontId="1" type="noConversion"/>
  </si>
  <si>
    <t>(후) 크리 데미지</t>
    <phoneticPr fontId="1" type="noConversion"/>
  </si>
  <si>
    <t>최종 데미지에서 증폭율[%]</t>
    <phoneticPr fontId="1" type="noConversion"/>
  </si>
  <si>
    <t>1 HIT ( 노크리 )</t>
    <phoneticPr fontId="1" type="noConversion"/>
  </si>
  <si>
    <t>(전) Cri. 1 HIT</t>
    <phoneticPr fontId="1" type="noConversion"/>
  </si>
  <si>
    <t>(후) Cri. 1 HIT</t>
    <phoneticPr fontId="1" type="noConversion"/>
  </si>
  <si>
    <t>.=&gt; 쉐파 160% 따로 고려하여 증폭율로 계산</t>
    <phoneticPr fontId="1" type="noConversion"/>
  </si>
  <si>
    <t>.=&gt; 생츄어리 따로 고려하여 딜량에 추가</t>
    <phoneticPr fontId="1" type="noConversion"/>
  </si>
  <si>
    <t>샤프아이즈 고려 ( 자벞 기준이 아닌 파티 벞 받을 경우 )</t>
    <phoneticPr fontId="1" type="noConversion"/>
  </si>
  <si>
    <t>원래 자기 버프이기때문</t>
    <phoneticPr fontId="1" type="noConversion"/>
  </si>
  <si>
    <t>None</t>
    <phoneticPr fontId="1" type="noConversion"/>
  </si>
  <si>
    <t>None</t>
    <phoneticPr fontId="1" type="noConversion"/>
  </si>
  <si>
    <t>전직업 메용 고려/앜메 엠플, 메디 적용/히어로 어차,분노.인레이지 고려/나로 쉐파/캡틴 호밍 고려/신궁 모탈 고려/바이퍼 스턴마스터리/속성 고려 X</t>
    <phoneticPr fontId="1" type="noConversion"/>
  </si>
  <si>
    <t>아이템 기준 : 표 참고</t>
    <phoneticPr fontId="1" type="noConversion"/>
  </si>
  <si>
    <t>버프 공격력/마력 표</t>
    <phoneticPr fontId="1" type="noConversion"/>
  </si>
  <si>
    <t>팔라딘 특수 스킬 계산</t>
    <phoneticPr fontId="1" type="noConversion"/>
  </si>
  <si>
    <t>순수 AP 계산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</si>
</sst>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5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16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>
      <alignment vertical="center"/>
    </xf>
    <xf numFmtId="0" fontId="0" fillId="0" borderId="7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1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3" fillId="0" borderId="37" xfId="0" applyFont="1" applyBorder="1">
      <alignment vertical="center"/>
    </xf>
    <xf numFmtId="0" fontId="3" fillId="0" borderId="38" xfId="0" applyFont="1" applyBorder="1">
      <alignment vertical="center"/>
    </xf>
    <xf numFmtId="0" fontId="3" fillId="0" borderId="38" xfId="0" applyFont="1" applyFill="1" applyBorder="1">
      <alignment vertical="center"/>
    </xf>
    <xf numFmtId="0" fontId="0" fillId="0" borderId="31" xfId="0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Fill="1" applyBorder="1">
      <alignment vertical="center"/>
    </xf>
    <xf numFmtId="0" fontId="4" fillId="0" borderId="2" xfId="0" applyFont="1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76" fontId="6" fillId="0" borderId="2" xfId="0" applyNumberFormat="1" applyFont="1" applyBorder="1">
      <alignment vertical="center"/>
    </xf>
    <xf numFmtId="0" fontId="6" fillId="0" borderId="2" xfId="0" applyFont="1" applyBorder="1">
      <alignment vertical="center"/>
    </xf>
    <xf numFmtId="0" fontId="7" fillId="0" borderId="2" xfId="0" applyFont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0" xfId="0" applyFill="1">
      <alignment vertical="center"/>
    </xf>
    <xf numFmtId="0" fontId="5" fillId="0" borderId="2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2" xfId="0" applyFill="1" applyBorder="1">
      <alignment vertical="center"/>
    </xf>
    <xf numFmtId="0" fontId="0" fillId="5" borderId="2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ont="1" applyFill="1">
      <alignment vertical="center"/>
    </xf>
    <xf numFmtId="176" fontId="6" fillId="5" borderId="2" xfId="0" applyNumberFormat="1" applyFont="1" applyFill="1" applyBorder="1">
      <alignment vertical="center"/>
    </xf>
    <xf numFmtId="176" fontId="6" fillId="0" borderId="28" xfId="0" applyNumberFormat="1" applyFont="1" applyBorder="1">
      <alignment vertical="center"/>
    </xf>
    <xf numFmtId="176" fontId="6" fillId="5" borderId="28" xfId="0" applyNumberFormat="1" applyFont="1" applyFill="1" applyBorder="1">
      <alignment vertical="center"/>
    </xf>
    <xf numFmtId="0" fontId="0" fillId="0" borderId="36" xfId="0" applyBorder="1">
      <alignment vertical="center"/>
    </xf>
    <xf numFmtId="0" fontId="6" fillId="0" borderId="3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14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8" xfId="0" applyFont="1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8" fillId="0" borderId="0" xfId="0" applyFont="1">
      <alignment vertical="center"/>
    </xf>
    <xf numFmtId="0" fontId="6" fillId="0" borderId="0" xfId="0" applyFont="1">
      <alignment vertical="center"/>
    </xf>
    <xf numFmtId="0" fontId="7" fillId="4" borderId="38" xfId="0" applyFont="1" applyFill="1" applyBorder="1" applyAlignment="1">
      <alignment vertical="center"/>
    </xf>
    <xf numFmtId="0" fontId="7" fillId="4" borderId="50" xfId="0" applyFont="1" applyFill="1" applyBorder="1" applyAlignment="1">
      <alignment vertical="center"/>
    </xf>
    <xf numFmtId="0" fontId="0" fillId="0" borderId="14" xfId="0" applyFill="1" applyBorder="1">
      <alignment vertical="center"/>
    </xf>
    <xf numFmtId="0" fontId="4" fillId="0" borderId="14" xfId="0" applyFont="1" applyBorder="1">
      <alignment vertical="center"/>
    </xf>
    <xf numFmtId="0" fontId="5" fillId="0" borderId="14" xfId="0" applyFont="1" applyBorder="1">
      <alignment vertical="center"/>
    </xf>
    <xf numFmtId="0" fontId="6" fillId="0" borderId="2" xfId="0" applyFont="1" applyFill="1" applyBorder="1">
      <alignment vertical="center"/>
    </xf>
    <xf numFmtId="0" fontId="6" fillId="0" borderId="28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0" fillId="6" borderId="4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14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1" xfId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1" xfId="1" applyAlignment="1">
      <alignment vertical="center"/>
    </xf>
    <xf numFmtId="0" fontId="0" fillId="0" borderId="16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6" borderId="14" xfId="0" applyFill="1" applyBorder="1" applyAlignment="1">
      <alignment vertical="center"/>
    </xf>
  </cellXfs>
  <cellStyles count="2">
    <cellStyle name="계산" xfId="1" builtinId="2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AAC6D-2172-432F-8390-824E0FEFAB61}">
  <dimension ref="B1:Q41"/>
  <sheetViews>
    <sheetView topLeftCell="A22" workbookViewId="0">
      <selection activeCell="B2" sqref="B2:L41"/>
    </sheetView>
  </sheetViews>
  <sheetFormatPr defaultRowHeight="17.399999999999999" x14ac:dyDescent="0.4"/>
  <cols>
    <col min="2" max="2" width="10.59765625" customWidth="1"/>
    <col min="3" max="3" width="13.3984375" customWidth="1"/>
    <col min="4" max="4" width="17.5" customWidth="1"/>
    <col min="5" max="5" width="10.09765625" customWidth="1"/>
    <col min="17" max="17" width="8.796875" style="25"/>
  </cols>
  <sheetData>
    <row r="1" spans="2:17" ht="18" thickBot="1" x14ac:dyDescent="0.45"/>
    <row r="2" spans="2:17" x14ac:dyDescent="0.4">
      <c r="B2" s="74" t="s">
        <v>10</v>
      </c>
      <c r="C2" s="75"/>
      <c r="D2" s="76"/>
      <c r="Q2" s="24"/>
    </row>
    <row r="3" spans="2:17" x14ac:dyDescent="0.4">
      <c r="B3" s="77" t="s">
        <v>11</v>
      </c>
      <c r="C3" s="1"/>
      <c r="D3" s="78"/>
    </row>
    <row r="4" spans="2:17" ht="18" thickBot="1" x14ac:dyDescent="0.45">
      <c r="B4" s="79" t="s">
        <v>12</v>
      </c>
      <c r="C4" s="80"/>
      <c r="D4" s="81"/>
    </row>
    <row r="5" spans="2:17" ht="18" thickBot="1" x14ac:dyDescent="0.45"/>
    <row r="6" spans="2:17" x14ac:dyDescent="0.4">
      <c r="D6" s="10" t="s">
        <v>43</v>
      </c>
      <c r="E6" s="5" t="s">
        <v>13</v>
      </c>
      <c r="F6" s="5" t="s">
        <v>14</v>
      </c>
      <c r="G6" s="5" t="s">
        <v>15</v>
      </c>
      <c r="H6" s="5" t="s">
        <v>15</v>
      </c>
      <c r="I6" s="5" t="s">
        <v>16</v>
      </c>
      <c r="J6" s="5" t="s">
        <v>17</v>
      </c>
      <c r="K6" s="5" t="s">
        <v>17</v>
      </c>
      <c r="L6" s="6" t="s">
        <v>18</v>
      </c>
    </row>
    <row r="7" spans="2:17" ht="17.399999999999999" customHeight="1" thickBot="1" x14ac:dyDescent="0.45">
      <c r="D7" s="11" t="s">
        <v>44</v>
      </c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8">
        <v>8</v>
      </c>
    </row>
    <row r="8" spans="2:17" ht="18" thickBot="1" x14ac:dyDescent="0.45">
      <c r="E8">
        <v>96</v>
      </c>
      <c r="G8">
        <v>82</v>
      </c>
    </row>
    <row r="9" spans="2:17" x14ac:dyDescent="0.4">
      <c r="B9" s="106" t="s">
        <v>0</v>
      </c>
      <c r="C9" s="13" t="s">
        <v>1</v>
      </c>
      <c r="D9" s="5" t="s">
        <v>4</v>
      </c>
      <c r="E9" s="92">
        <v>95</v>
      </c>
      <c r="F9" s="92">
        <v>87</v>
      </c>
      <c r="G9" s="92">
        <v>80</v>
      </c>
      <c r="H9" s="92">
        <v>74</v>
      </c>
      <c r="I9" s="92">
        <v>72</v>
      </c>
      <c r="J9" s="92">
        <v>67</v>
      </c>
      <c r="K9" s="92">
        <v>63</v>
      </c>
      <c r="L9" s="93"/>
    </row>
    <row r="10" spans="2:17" x14ac:dyDescent="0.4">
      <c r="B10" s="107"/>
      <c r="C10" s="109" t="s">
        <v>2</v>
      </c>
      <c r="D10" s="3" t="s">
        <v>8</v>
      </c>
      <c r="E10" s="100">
        <v>30</v>
      </c>
      <c r="F10" s="101"/>
      <c r="G10" s="101"/>
      <c r="H10" s="101"/>
      <c r="I10" s="101"/>
      <c r="J10" s="101"/>
      <c r="K10" s="101"/>
      <c r="L10" s="102"/>
    </row>
    <row r="11" spans="2:17" x14ac:dyDescent="0.4">
      <c r="B11" s="107"/>
      <c r="C11" s="109"/>
      <c r="D11" s="3" t="s">
        <v>6</v>
      </c>
      <c r="E11" s="94">
        <v>100</v>
      </c>
      <c r="F11" s="94">
        <v>90</v>
      </c>
      <c r="G11" s="94">
        <v>83</v>
      </c>
      <c r="H11" s="94">
        <v>80</v>
      </c>
      <c r="I11" s="94">
        <v>74</v>
      </c>
      <c r="J11" s="94">
        <v>69</v>
      </c>
      <c r="K11" s="94">
        <v>67</v>
      </c>
      <c r="L11" s="95">
        <v>63</v>
      </c>
    </row>
    <row r="12" spans="2:17" x14ac:dyDescent="0.4">
      <c r="B12" s="107"/>
      <c r="C12" s="109"/>
      <c r="D12" s="12" t="s">
        <v>7</v>
      </c>
      <c r="E12" s="94">
        <v>74</v>
      </c>
      <c r="F12" s="94">
        <v>69</v>
      </c>
      <c r="G12" s="94">
        <v>66</v>
      </c>
      <c r="H12" s="94">
        <v>61</v>
      </c>
      <c r="I12" s="94">
        <v>59</v>
      </c>
      <c r="J12" s="94">
        <v>53</v>
      </c>
      <c r="K12" s="94">
        <v>50</v>
      </c>
      <c r="L12" s="95">
        <v>48</v>
      </c>
    </row>
    <row r="13" spans="2:17" x14ac:dyDescent="0.4">
      <c r="B13" s="107"/>
      <c r="C13" s="109" t="s">
        <v>3</v>
      </c>
      <c r="D13" s="3" t="s">
        <v>5</v>
      </c>
      <c r="E13" s="94">
        <v>95</v>
      </c>
      <c r="F13" s="94">
        <v>87</v>
      </c>
      <c r="G13" s="94">
        <v>80</v>
      </c>
      <c r="H13" s="94">
        <v>74</v>
      </c>
      <c r="I13" s="94">
        <v>72</v>
      </c>
      <c r="J13" s="94">
        <v>67</v>
      </c>
      <c r="K13" s="94">
        <v>63</v>
      </c>
      <c r="L13" s="95"/>
    </row>
    <row r="14" spans="2:17" x14ac:dyDescent="0.4">
      <c r="B14" s="107"/>
      <c r="C14" s="109"/>
      <c r="D14" s="12" t="s">
        <v>19</v>
      </c>
      <c r="E14" s="94">
        <v>100</v>
      </c>
      <c r="F14" s="94">
        <v>90</v>
      </c>
      <c r="G14" s="94">
        <v>83</v>
      </c>
      <c r="H14" s="94">
        <v>80</v>
      </c>
      <c r="I14" s="94">
        <v>74</v>
      </c>
      <c r="J14" s="94">
        <v>69</v>
      </c>
      <c r="K14" s="94">
        <v>67</v>
      </c>
      <c r="L14" s="95"/>
    </row>
    <row r="15" spans="2:17" ht="18" thickBot="1" x14ac:dyDescent="0.45">
      <c r="B15" s="108"/>
      <c r="C15" s="110"/>
      <c r="D15" s="15" t="s">
        <v>9</v>
      </c>
      <c r="E15" s="8" t="s">
        <v>42</v>
      </c>
      <c r="F15" s="8"/>
      <c r="G15" s="8"/>
      <c r="H15" s="8"/>
      <c r="I15" s="8"/>
      <c r="J15" s="8"/>
      <c r="K15" s="8"/>
      <c r="L15" s="9"/>
    </row>
    <row r="16" spans="2:17" ht="18" thickBot="1" x14ac:dyDescent="0.45"/>
    <row r="17" spans="2:11" x14ac:dyDescent="0.4">
      <c r="B17" s="111" t="s">
        <v>20</v>
      </c>
      <c r="C17" s="114" t="s">
        <v>21</v>
      </c>
      <c r="D17" s="5" t="s">
        <v>24</v>
      </c>
      <c r="E17" s="5">
        <v>31</v>
      </c>
      <c r="F17" s="103" t="s">
        <v>57</v>
      </c>
      <c r="G17" s="104"/>
      <c r="H17" s="104"/>
      <c r="I17" s="105"/>
      <c r="K17" t="s">
        <v>58</v>
      </c>
    </row>
    <row r="18" spans="2:11" x14ac:dyDescent="0.4">
      <c r="B18" s="112"/>
      <c r="C18" s="115"/>
      <c r="D18" s="3" t="s">
        <v>56</v>
      </c>
      <c r="E18" s="3">
        <v>83</v>
      </c>
      <c r="F18" s="3"/>
      <c r="G18" s="3"/>
      <c r="H18" s="3"/>
      <c r="I18" s="14"/>
    </row>
    <row r="19" spans="2:11" x14ac:dyDescent="0.4">
      <c r="B19" s="112"/>
      <c r="C19" s="116" t="s">
        <v>22</v>
      </c>
      <c r="D19" s="3" t="s">
        <v>25</v>
      </c>
      <c r="E19" s="3">
        <v>100</v>
      </c>
      <c r="F19" s="3"/>
      <c r="G19" s="3"/>
      <c r="H19" s="3"/>
      <c r="I19" s="14"/>
    </row>
    <row r="20" spans="2:11" ht="18" thickBot="1" x14ac:dyDescent="0.45">
      <c r="B20" s="113"/>
      <c r="C20" s="117"/>
      <c r="D20" s="8" t="s">
        <v>26</v>
      </c>
      <c r="E20" s="8">
        <v>95</v>
      </c>
      <c r="F20" s="8"/>
      <c r="G20" s="8"/>
      <c r="H20" s="8"/>
      <c r="I20" s="9"/>
    </row>
    <row r="21" spans="2:11" ht="18" thickBot="1" x14ac:dyDescent="0.45">
      <c r="B21" s="2"/>
    </row>
    <row r="22" spans="2:11" x14ac:dyDescent="0.4">
      <c r="B22" s="106" t="s">
        <v>27</v>
      </c>
      <c r="C22" s="121" t="s">
        <v>38</v>
      </c>
      <c r="D22" s="5" t="s">
        <v>40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</row>
    <row r="23" spans="2:11" x14ac:dyDescent="0.4">
      <c r="B23" s="107"/>
      <c r="C23" s="109"/>
      <c r="D23" s="3" t="s">
        <v>41</v>
      </c>
      <c r="E23" s="3">
        <v>94</v>
      </c>
      <c r="F23" s="3">
        <v>86</v>
      </c>
      <c r="G23" s="3">
        <v>82</v>
      </c>
      <c r="H23" s="3">
        <v>76</v>
      </c>
      <c r="I23" s="14">
        <v>70</v>
      </c>
    </row>
    <row r="24" spans="2:11" ht="18" thickBot="1" x14ac:dyDescent="0.45">
      <c r="B24" s="108"/>
      <c r="C24" s="16" t="s">
        <v>39</v>
      </c>
      <c r="D24" s="8" t="s">
        <v>45</v>
      </c>
      <c r="E24" s="118">
        <v>500</v>
      </c>
      <c r="F24" s="119"/>
      <c r="G24" s="119"/>
      <c r="H24" s="119"/>
      <c r="I24" s="120"/>
    </row>
    <row r="25" spans="2:11" ht="18" thickBot="1" x14ac:dyDescent="0.45"/>
    <row r="26" spans="2:11" x14ac:dyDescent="0.4">
      <c r="B26" s="106" t="s">
        <v>28</v>
      </c>
      <c r="C26" s="17" t="s">
        <v>23</v>
      </c>
      <c r="D26" s="5" t="s">
        <v>46</v>
      </c>
      <c r="E26" s="5">
        <v>40</v>
      </c>
      <c r="F26" s="5"/>
      <c r="G26" s="5"/>
      <c r="H26" s="5"/>
      <c r="I26" s="6"/>
    </row>
    <row r="27" spans="2:11" x14ac:dyDescent="0.4">
      <c r="B27" s="107"/>
      <c r="C27" s="109" t="s">
        <v>47</v>
      </c>
      <c r="D27" s="3" t="s">
        <v>48</v>
      </c>
      <c r="E27" s="3">
        <v>100</v>
      </c>
      <c r="F27" s="3">
        <v>96</v>
      </c>
      <c r="G27" s="3"/>
      <c r="H27" s="3">
        <v>80</v>
      </c>
      <c r="I27" s="14"/>
    </row>
    <row r="28" spans="2:11" x14ac:dyDescent="0.4">
      <c r="B28" s="107"/>
      <c r="C28" s="109"/>
      <c r="D28" s="3" t="s">
        <v>49</v>
      </c>
      <c r="E28" s="3">
        <v>83</v>
      </c>
      <c r="F28" s="3">
        <v>77</v>
      </c>
      <c r="G28" s="3"/>
      <c r="H28" s="3">
        <v>74</v>
      </c>
      <c r="I28" s="14"/>
    </row>
    <row r="29" spans="2:11" ht="18" thickBot="1" x14ac:dyDescent="0.45">
      <c r="B29" s="108"/>
      <c r="C29" s="110"/>
      <c r="D29" s="8" t="s">
        <v>50</v>
      </c>
      <c r="E29" s="8" t="s">
        <v>42</v>
      </c>
      <c r="F29" s="8" t="s">
        <v>42</v>
      </c>
      <c r="G29" s="8" t="s">
        <v>42</v>
      </c>
      <c r="H29" s="8" t="s">
        <v>42</v>
      </c>
      <c r="I29" s="9" t="s">
        <v>42</v>
      </c>
    </row>
    <row r="34" spans="2:6" ht="18" thickBot="1" x14ac:dyDescent="0.45">
      <c r="C34" s="122" t="s">
        <v>53</v>
      </c>
      <c r="D34" s="122"/>
      <c r="E34" s="122"/>
    </row>
    <row r="35" spans="2:6" ht="18" thickBot="1" x14ac:dyDescent="0.45">
      <c r="D35" s="20" t="s">
        <v>55</v>
      </c>
      <c r="E35" s="21" t="s">
        <v>54</v>
      </c>
      <c r="F35" s="22" t="s">
        <v>52</v>
      </c>
    </row>
    <row r="36" spans="2:6" x14ac:dyDescent="0.4">
      <c r="B36" s="111" t="s">
        <v>29</v>
      </c>
      <c r="C36" s="114" t="s">
        <v>33</v>
      </c>
      <c r="D36" s="18" t="s">
        <v>30</v>
      </c>
      <c r="E36" s="18">
        <v>19</v>
      </c>
      <c r="F36" s="19"/>
    </row>
    <row r="37" spans="2:6" x14ac:dyDescent="0.4">
      <c r="B37" s="112"/>
      <c r="C37" s="115"/>
      <c r="D37" s="3" t="s">
        <v>35</v>
      </c>
      <c r="E37" s="3">
        <v>87</v>
      </c>
      <c r="F37" s="14"/>
    </row>
    <row r="38" spans="2:6" x14ac:dyDescent="0.4">
      <c r="B38" s="112"/>
      <c r="C38" s="116" t="s">
        <v>34</v>
      </c>
      <c r="D38" s="3" t="s">
        <v>31</v>
      </c>
      <c r="E38" s="3">
        <v>19</v>
      </c>
      <c r="F38" s="14"/>
    </row>
    <row r="39" spans="2:6" x14ac:dyDescent="0.4">
      <c r="B39" s="112"/>
      <c r="C39" s="115"/>
      <c r="D39" s="3" t="s">
        <v>36</v>
      </c>
      <c r="E39" s="3">
        <v>83</v>
      </c>
      <c r="F39" s="14"/>
    </row>
    <row r="40" spans="2:6" x14ac:dyDescent="0.4">
      <c r="B40" s="112"/>
      <c r="C40" s="116" t="s">
        <v>51</v>
      </c>
      <c r="D40" s="3" t="s">
        <v>32</v>
      </c>
      <c r="E40" s="3" t="s">
        <v>52</v>
      </c>
      <c r="F40" s="14">
        <v>22</v>
      </c>
    </row>
    <row r="41" spans="2:6" ht="18" thickBot="1" x14ac:dyDescent="0.45">
      <c r="B41" s="113"/>
      <c r="C41" s="117"/>
      <c r="D41" s="8" t="s">
        <v>37</v>
      </c>
      <c r="E41" s="8" t="s">
        <v>52</v>
      </c>
      <c r="F41" s="9">
        <v>74</v>
      </c>
    </row>
  </sheetData>
  <mergeCells count="18">
    <mergeCell ref="E24:I24"/>
    <mergeCell ref="C27:C29"/>
    <mergeCell ref="B26:B29"/>
    <mergeCell ref="B36:B41"/>
    <mergeCell ref="C36:C37"/>
    <mergeCell ref="B22:B24"/>
    <mergeCell ref="C22:C23"/>
    <mergeCell ref="C38:C39"/>
    <mergeCell ref="C40:C41"/>
    <mergeCell ref="C34:E34"/>
    <mergeCell ref="E10:L10"/>
    <mergeCell ref="F17:I17"/>
    <mergeCell ref="B9:B15"/>
    <mergeCell ref="C10:C12"/>
    <mergeCell ref="C13:C15"/>
    <mergeCell ref="B17:B20"/>
    <mergeCell ref="C17:C18"/>
    <mergeCell ref="C19:C20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9F59-3EE7-4C00-8DB6-E096F44C6ABD}">
  <dimension ref="A1:Y49"/>
  <sheetViews>
    <sheetView topLeftCell="K19" zoomScale="85" zoomScaleNormal="85" workbookViewId="0">
      <selection activeCell="R34" sqref="R34"/>
    </sheetView>
  </sheetViews>
  <sheetFormatPr defaultRowHeight="17.399999999999999" x14ac:dyDescent="0.4"/>
  <cols>
    <col min="2" max="2" width="11" customWidth="1"/>
    <col min="4" max="4" width="13" customWidth="1"/>
    <col min="5" max="5" width="21.8984375" customWidth="1"/>
    <col min="6" max="6" width="12.69921875" customWidth="1"/>
    <col min="7" max="7" width="15.5" customWidth="1"/>
    <col min="8" max="8" width="12.3984375" customWidth="1"/>
    <col min="9" max="9" width="12.69921875" customWidth="1"/>
    <col min="10" max="10" width="19.09765625" customWidth="1"/>
    <col min="11" max="11" width="17.09765625" customWidth="1"/>
    <col min="12" max="12" width="18.296875" customWidth="1"/>
    <col min="13" max="13" width="17.69921875" customWidth="1"/>
    <col min="14" max="14" width="13.5" customWidth="1"/>
    <col min="15" max="15" width="14.8984375" customWidth="1"/>
    <col min="16" max="17" width="11.296875" customWidth="1"/>
    <col min="18" max="18" width="16.69921875" customWidth="1"/>
    <col min="19" max="19" width="19.296875" customWidth="1"/>
    <col min="20" max="20" width="21.19921875" customWidth="1"/>
    <col min="21" max="21" width="22.8984375" customWidth="1"/>
    <col min="22" max="22" width="10.69921875" customWidth="1"/>
    <col min="23" max="23" width="9.5" customWidth="1"/>
    <col min="24" max="24" width="10.09765625" customWidth="1"/>
    <col min="25" max="25" width="10" customWidth="1"/>
  </cols>
  <sheetData>
    <row r="1" spans="1:24" ht="18" thickBot="1" x14ac:dyDescent="0.45">
      <c r="A1" s="83" t="s">
        <v>60</v>
      </c>
    </row>
    <row r="2" spans="1:24" x14ac:dyDescent="0.4">
      <c r="A2" s="83" t="s">
        <v>174</v>
      </c>
      <c r="E2" s="129" t="s">
        <v>177</v>
      </c>
      <c r="F2" s="130"/>
      <c r="G2" s="130"/>
      <c r="H2" s="130"/>
      <c r="I2" s="130"/>
      <c r="J2" s="131"/>
    </row>
    <row r="3" spans="1:24" x14ac:dyDescent="0.4">
      <c r="A3" s="83" t="s">
        <v>61</v>
      </c>
      <c r="E3" s="26" t="s">
        <v>66</v>
      </c>
      <c r="F3" s="3" t="s">
        <v>62</v>
      </c>
      <c r="G3" s="3" t="s">
        <v>63</v>
      </c>
      <c r="H3" s="3" t="s">
        <v>64</v>
      </c>
      <c r="I3" s="3" t="s">
        <v>65</v>
      </c>
      <c r="J3" s="14" t="s">
        <v>67</v>
      </c>
      <c r="L3">
        <v>400</v>
      </c>
      <c r="M3">
        <v>500</v>
      </c>
      <c r="N3">
        <v>600</v>
      </c>
    </row>
    <row r="4" spans="1:24" ht="18" thickBot="1" x14ac:dyDescent="0.45">
      <c r="A4" s="83"/>
      <c r="E4" s="7">
        <v>18</v>
      </c>
      <c r="F4" s="8">
        <v>5</v>
      </c>
      <c r="G4" s="8">
        <v>5</v>
      </c>
      <c r="H4" s="8">
        <v>6</v>
      </c>
      <c r="I4" s="8">
        <v>7</v>
      </c>
      <c r="J4" s="9">
        <f>E4+F4*249+G4*100+H4*100+I4*100+8</f>
        <v>3071</v>
      </c>
      <c r="L4">
        <f>J4+99*8+9</f>
        <v>3872</v>
      </c>
      <c r="M4">
        <f>L4+99*9+11</f>
        <v>4774</v>
      </c>
      <c r="N4">
        <f>M4+99*11+12</f>
        <v>5875</v>
      </c>
    </row>
    <row r="5" spans="1:24" ht="18" thickBot="1" x14ac:dyDescent="0.45"/>
    <row r="6" spans="1:24" ht="18" thickBot="1" x14ac:dyDescent="0.45">
      <c r="B6" s="135" t="s">
        <v>82</v>
      </c>
      <c r="C6" s="136"/>
      <c r="D6" s="136"/>
      <c r="E6" s="136"/>
      <c r="F6" s="136"/>
      <c r="G6" s="136"/>
      <c r="H6" s="136"/>
      <c r="I6" s="136"/>
      <c r="J6" s="136"/>
      <c r="K6" s="137"/>
      <c r="L6" s="1"/>
      <c r="M6" s="1"/>
      <c r="N6" s="1"/>
      <c r="O6" s="1"/>
      <c r="P6" s="1"/>
      <c r="Q6" s="1"/>
      <c r="R6" s="31"/>
      <c r="S6" s="31"/>
    </row>
    <row r="7" spans="1:24" x14ac:dyDescent="0.4">
      <c r="B7" s="106" t="s">
        <v>83</v>
      </c>
      <c r="C7" s="121"/>
      <c r="D7" s="121"/>
      <c r="E7" s="121"/>
      <c r="F7" s="134"/>
      <c r="G7" s="27"/>
      <c r="H7" s="29" t="s">
        <v>106</v>
      </c>
      <c r="I7" s="29" t="s">
        <v>107</v>
      </c>
      <c r="J7" s="29" t="s">
        <v>108</v>
      </c>
      <c r="K7" s="30" t="s">
        <v>109</v>
      </c>
      <c r="L7" s="1"/>
      <c r="M7" s="1"/>
      <c r="N7" s="1"/>
      <c r="O7" s="1"/>
      <c r="P7" s="1"/>
      <c r="Q7" s="1"/>
      <c r="R7" s="31"/>
      <c r="S7" s="31"/>
    </row>
    <row r="8" spans="1:24" x14ac:dyDescent="0.4">
      <c r="B8" s="57" t="s">
        <v>84</v>
      </c>
      <c r="C8" s="55" t="s">
        <v>81</v>
      </c>
      <c r="D8" s="55"/>
      <c r="E8" s="55" t="s">
        <v>86</v>
      </c>
      <c r="F8" s="23" t="s">
        <v>110</v>
      </c>
      <c r="G8" s="33" t="s">
        <v>74</v>
      </c>
      <c r="H8" s="132" t="s">
        <v>105</v>
      </c>
      <c r="I8" s="132"/>
      <c r="J8" s="132"/>
      <c r="K8" s="133"/>
      <c r="L8" s="1"/>
      <c r="M8" s="1"/>
      <c r="N8" s="1"/>
      <c r="O8" s="1"/>
      <c r="P8" s="1"/>
      <c r="Q8" s="1"/>
      <c r="R8" s="31"/>
      <c r="S8" s="31"/>
    </row>
    <row r="9" spans="1:24" ht="18" thickBot="1" x14ac:dyDescent="0.45">
      <c r="B9" s="58" t="s">
        <v>85</v>
      </c>
      <c r="C9" s="56" t="s">
        <v>128</v>
      </c>
      <c r="D9" s="56"/>
      <c r="E9" s="56" t="s">
        <v>87</v>
      </c>
      <c r="F9" s="32" t="s">
        <v>110</v>
      </c>
      <c r="G9" s="34" t="s">
        <v>75</v>
      </c>
      <c r="H9" s="35">
        <v>42</v>
      </c>
      <c r="I9" s="28">
        <v>0</v>
      </c>
      <c r="J9" s="28">
        <v>0</v>
      </c>
      <c r="K9" s="32">
        <v>28</v>
      </c>
      <c r="L9" s="1"/>
      <c r="M9" s="1"/>
      <c r="N9" s="1"/>
      <c r="O9" s="1"/>
      <c r="P9" s="1"/>
      <c r="Q9" s="1"/>
      <c r="R9" s="31"/>
      <c r="S9" s="31"/>
    </row>
    <row r="10" spans="1:24" ht="18" thickBot="1" x14ac:dyDescent="0.45"/>
    <row r="11" spans="1:24" ht="18" thickBot="1" x14ac:dyDescent="0.45">
      <c r="B11" s="138" t="s">
        <v>79</v>
      </c>
      <c r="C11" s="139"/>
      <c r="D11" s="139"/>
      <c r="E11" s="139"/>
      <c r="F11" s="139"/>
      <c r="G11" s="139"/>
      <c r="H11" s="140"/>
      <c r="I11" s="127" t="s">
        <v>80</v>
      </c>
      <c r="J11" s="128"/>
      <c r="K11" s="128"/>
      <c r="L11" s="128"/>
      <c r="M11" s="128"/>
      <c r="N11" s="128"/>
      <c r="O11" s="141"/>
    </row>
    <row r="12" spans="1:24" ht="18" thickBot="1" x14ac:dyDescent="0.45">
      <c r="B12" s="36" t="s">
        <v>78</v>
      </c>
      <c r="C12" s="37" t="s">
        <v>76</v>
      </c>
      <c r="D12" s="37" t="s">
        <v>77</v>
      </c>
      <c r="E12" s="37" t="s">
        <v>78</v>
      </c>
      <c r="F12" s="37" t="s">
        <v>76</v>
      </c>
      <c r="G12" s="37" t="s">
        <v>115</v>
      </c>
      <c r="H12" s="38" t="s">
        <v>114</v>
      </c>
      <c r="I12" s="42" t="s">
        <v>78</v>
      </c>
      <c r="J12" s="43" t="s">
        <v>59</v>
      </c>
      <c r="K12" s="43" t="s">
        <v>77</v>
      </c>
      <c r="L12" s="43" t="s">
        <v>78</v>
      </c>
      <c r="M12" s="43" t="s">
        <v>59</v>
      </c>
      <c r="N12" s="43" t="s">
        <v>115</v>
      </c>
      <c r="O12" s="44" t="s">
        <v>114</v>
      </c>
    </row>
    <row r="13" spans="1:24" x14ac:dyDescent="0.4">
      <c r="B13" s="4" t="s">
        <v>74</v>
      </c>
      <c r="C13" s="5" t="s">
        <v>171</v>
      </c>
      <c r="D13" s="5">
        <v>40</v>
      </c>
      <c r="E13" s="5" t="s">
        <v>70</v>
      </c>
      <c r="F13" s="5">
        <v>41</v>
      </c>
      <c r="G13" s="5">
        <v>50</v>
      </c>
      <c r="H13" s="39">
        <v>50</v>
      </c>
      <c r="I13" s="26" t="s">
        <v>74</v>
      </c>
      <c r="J13" s="3" t="s">
        <v>172</v>
      </c>
      <c r="K13" s="3">
        <v>40</v>
      </c>
      <c r="L13" s="3" t="s">
        <v>70</v>
      </c>
      <c r="M13" s="3">
        <v>26</v>
      </c>
      <c r="N13" s="3">
        <v>88</v>
      </c>
      <c r="O13" s="14">
        <v>60</v>
      </c>
    </row>
    <row r="14" spans="1:24" x14ac:dyDescent="0.4">
      <c r="B14" s="26"/>
      <c r="C14" s="3"/>
      <c r="D14" s="3"/>
      <c r="E14" s="3" t="s">
        <v>68</v>
      </c>
      <c r="F14" s="3">
        <v>30</v>
      </c>
      <c r="G14" s="3">
        <v>30</v>
      </c>
      <c r="H14" s="40">
        <v>30</v>
      </c>
      <c r="I14" s="26" t="s">
        <v>75</v>
      </c>
      <c r="J14" s="48">
        <v>0</v>
      </c>
      <c r="K14" s="48">
        <v>0</v>
      </c>
      <c r="L14" s="3" t="s">
        <v>68</v>
      </c>
      <c r="M14" s="3">
        <v>20</v>
      </c>
      <c r="N14" s="3">
        <v>50</v>
      </c>
      <c r="O14" s="14">
        <v>30</v>
      </c>
    </row>
    <row r="15" spans="1:24" ht="18" thickBot="1" x14ac:dyDescent="0.45">
      <c r="B15" s="26"/>
      <c r="C15" s="3"/>
      <c r="D15" s="3"/>
      <c r="E15" s="3" t="s">
        <v>69</v>
      </c>
      <c r="F15" s="3">
        <v>30</v>
      </c>
      <c r="G15" s="3">
        <v>30</v>
      </c>
      <c r="H15" s="40">
        <v>30</v>
      </c>
      <c r="I15" s="26"/>
      <c r="J15" s="3"/>
      <c r="K15" s="3"/>
      <c r="L15" s="3" t="s">
        <v>69</v>
      </c>
      <c r="M15" s="3">
        <v>20</v>
      </c>
      <c r="N15" s="3">
        <v>50</v>
      </c>
      <c r="O15" s="14">
        <v>30</v>
      </c>
      <c r="R15" s="116"/>
      <c r="S15" s="116"/>
    </row>
    <row r="16" spans="1:24" x14ac:dyDescent="0.4">
      <c r="B16" s="26"/>
      <c r="C16" s="3"/>
      <c r="D16" s="3"/>
      <c r="E16" s="3" t="s">
        <v>72</v>
      </c>
      <c r="F16" s="3">
        <v>35</v>
      </c>
      <c r="G16" s="3">
        <v>30</v>
      </c>
      <c r="H16" s="40">
        <v>30</v>
      </c>
      <c r="I16" s="26"/>
      <c r="J16" s="3"/>
      <c r="K16" s="3"/>
      <c r="L16" s="3" t="s">
        <v>72</v>
      </c>
      <c r="M16" s="3">
        <v>20</v>
      </c>
      <c r="N16" s="3">
        <v>65</v>
      </c>
      <c r="O16" s="14">
        <v>40</v>
      </c>
      <c r="R16" s="106" t="s">
        <v>176</v>
      </c>
      <c r="S16" s="134"/>
      <c r="U16" s="106" t="s">
        <v>127</v>
      </c>
      <c r="V16" s="121"/>
      <c r="W16" s="121"/>
      <c r="X16" s="134"/>
    </row>
    <row r="17" spans="2:25" x14ac:dyDescent="0.4">
      <c r="B17" s="26"/>
      <c r="C17" s="3"/>
      <c r="D17" s="3"/>
      <c r="E17" s="3" t="s">
        <v>71</v>
      </c>
      <c r="F17" s="3">
        <v>35</v>
      </c>
      <c r="G17" s="3">
        <v>30</v>
      </c>
      <c r="H17" s="40">
        <v>30</v>
      </c>
      <c r="I17" s="26"/>
      <c r="J17" s="3"/>
      <c r="K17" s="3"/>
      <c r="L17" s="3" t="s">
        <v>71</v>
      </c>
      <c r="M17" s="3">
        <v>20</v>
      </c>
      <c r="N17" s="3">
        <v>65</v>
      </c>
      <c r="O17" s="14">
        <v>40</v>
      </c>
      <c r="R17" s="26" t="s">
        <v>123</v>
      </c>
      <c r="S17" s="14" t="s">
        <v>124</v>
      </c>
      <c r="U17" s="26" t="s">
        <v>154</v>
      </c>
      <c r="V17" s="48" t="s">
        <v>155</v>
      </c>
      <c r="W17" s="48"/>
      <c r="X17" s="14"/>
    </row>
    <row r="18" spans="2:25" ht="18" thickBot="1" x14ac:dyDescent="0.45">
      <c r="B18" s="7"/>
      <c r="C18" s="8"/>
      <c r="D18" s="8"/>
      <c r="E18" s="8" t="s">
        <v>73</v>
      </c>
      <c r="F18" s="8">
        <v>35</v>
      </c>
      <c r="G18" s="8">
        <v>30</v>
      </c>
      <c r="H18" s="41">
        <v>30</v>
      </c>
      <c r="I18" s="7"/>
      <c r="J18" s="8"/>
      <c r="K18" s="8"/>
      <c r="L18" s="8" t="s">
        <v>73</v>
      </c>
      <c r="M18" s="8">
        <v>20</v>
      </c>
      <c r="N18" s="8">
        <v>65</v>
      </c>
      <c r="O18" s="9">
        <v>40</v>
      </c>
      <c r="R18" s="58">
        <f>(H24*400 + 1200*(D24+E24))*550/250</f>
        <v>4414080</v>
      </c>
      <c r="S18" s="32" t="s">
        <v>125</v>
      </c>
      <c r="U18" s="7">
        <v>30</v>
      </c>
      <c r="V18" s="110">
        <v>50</v>
      </c>
      <c r="W18" s="110"/>
      <c r="X18" s="154"/>
    </row>
    <row r="20" spans="2:25" ht="18" thickBot="1" x14ac:dyDescent="0.45">
      <c r="B20" s="82" t="s">
        <v>173</v>
      </c>
      <c r="P20" s="109" t="s">
        <v>156</v>
      </c>
      <c r="Q20" s="109"/>
      <c r="R20" s="148" t="s">
        <v>164</v>
      </c>
      <c r="S20" s="148"/>
      <c r="T20" s="51" t="s">
        <v>117</v>
      </c>
      <c r="U20" s="51" t="s">
        <v>118</v>
      </c>
      <c r="V20" t="s">
        <v>151</v>
      </c>
      <c r="W20" t="s">
        <v>126</v>
      </c>
    </row>
    <row r="21" spans="2:25" x14ac:dyDescent="0.4">
      <c r="B21" s="50" t="s">
        <v>96</v>
      </c>
      <c r="C21" s="50" t="s">
        <v>74</v>
      </c>
      <c r="D21" s="50" t="s">
        <v>111</v>
      </c>
      <c r="E21" s="50" t="s">
        <v>130</v>
      </c>
      <c r="F21" s="89" t="s">
        <v>129</v>
      </c>
      <c r="G21" s="89" t="s">
        <v>131</v>
      </c>
      <c r="H21" s="89" t="s">
        <v>112</v>
      </c>
      <c r="I21" s="89" t="s">
        <v>113</v>
      </c>
      <c r="J21" s="50" t="s">
        <v>44</v>
      </c>
      <c r="K21" s="90" t="s">
        <v>102</v>
      </c>
      <c r="L21" s="50" t="s">
        <v>119</v>
      </c>
      <c r="M21" s="91"/>
      <c r="N21" s="89" t="s">
        <v>152</v>
      </c>
      <c r="O21" s="89" t="s">
        <v>157</v>
      </c>
      <c r="P21" s="89" t="s">
        <v>149</v>
      </c>
      <c r="Q21" s="89" t="s">
        <v>150</v>
      </c>
      <c r="R21" s="89" t="s">
        <v>147</v>
      </c>
      <c r="S21" s="89" t="s">
        <v>148</v>
      </c>
      <c r="T21" s="146" t="s">
        <v>116</v>
      </c>
      <c r="U21" s="147"/>
      <c r="V21" s="68" t="s">
        <v>120</v>
      </c>
      <c r="W21" s="69" t="s">
        <v>121</v>
      </c>
    </row>
    <row r="22" spans="2:25" x14ac:dyDescent="0.4">
      <c r="B22" s="3" t="s">
        <v>1</v>
      </c>
      <c r="C22" s="3" t="s">
        <v>91</v>
      </c>
      <c r="D22" s="3">
        <v>216</v>
      </c>
      <c r="E22" s="3">
        <f>SUM($C$14,$F$13,$F$14,$F$15,$F$16,$F$17,$F$18)</f>
        <v>206</v>
      </c>
      <c r="F22" s="3">
        <f>SUM(C37:C38)</f>
        <v>90</v>
      </c>
      <c r="G22" s="3">
        <v>1.9</v>
      </c>
      <c r="H22" s="3">
        <f>INT($J$4*1.15)+SUM($G$13:$G$18) +$D$13</f>
        <v>3771</v>
      </c>
      <c r="I22" s="3">
        <f>4+SUM($H$13:$H$18) + $D$13</f>
        <v>244</v>
      </c>
      <c r="J22" s="3" t="s">
        <v>4</v>
      </c>
      <c r="K22" s="46">
        <f>Npm!$G$9</f>
        <v>80</v>
      </c>
      <c r="L22" s="47">
        <f>Npm!$E$9</f>
        <v>95</v>
      </c>
      <c r="M22" s="53"/>
      <c r="N22" s="3">
        <v>450</v>
      </c>
      <c r="O22" s="3">
        <v>2</v>
      </c>
      <c r="P22" s="3">
        <f>INT((H22*4.6+I22)/100*(D22+E22+F22))</f>
        <v>90063</v>
      </c>
      <c r="Q22" s="3">
        <f>INT((H22*0.9*0.6*4.6+I22)/100*(D22+E22+F22))</f>
        <v>49209</v>
      </c>
      <c r="R22" s="3">
        <f>INT(P22*$N22/100*$G22)</f>
        <v>770038</v>
      </c>
      <c r="S22" s="3">
        <f>INT(Q22*$N22/100*$G22)</f>
        <v>420736</v>
      </c>
      <c r="T22" s="49">
        <f>K22*$O22*( (1-T37/100)*AVERAGE($R22:$S22) + T37/100*AVERAGE($X37:$Y37) )</f>
        <v>95261920</v>
      </c>
      <c r="U22" s="65">
        <f>L22*$O22*( (1-U37/100)*AVERAGE($R22:$S22) + U37/100*AVERAGE($X37:$Y37) )</f>
        <v>124435920.99999999</v>
      </c>
      <c r="V22" s="70">
        <f t="shared" ref="V22:V33" si="0">RANK(T22,$T$22:$T$33,0)</f>
        <v>6</v>
      </c>
      <c r="W22" s="71">
        <f t="shared" ref="W22:W33" si="1">RANK(U22,$U$22:$U$33,0)</f>
        <v>5</v>
      </c>
      <c r="X22" s="67" t="s">
        <v>1</v>
      </c>
    </row>
    <row r="23" spans="2:25" x14ac:dyDescent="0.4">
      <c r="B23" s="3" t="s">
        <v>88</v>
      </c>
      <c r="C23" s="3" t="s">
        <v>92</v>
      </c>
      <c r="D23" s="3">
        <v>216</v>
      </c>
      <c r="E23" s="3">
        <f>SUM($C$14,$F$13,$F$14,$F$15,$F$16,$F$17,$F$18)</f>
        <v>206</v>
      </c>
      <c r="F23" s="3">
        <f>SUM(E37:E38)</f>
        <v>43</v>
      </c>
      <c r="G23" s="3">
        <v>2.1</v>
      </c>
      <c r="H23" s="3">
        <f t="shared" ref="H23:H26" si="2">INT($J$4*1.15)+SUM($G$13:$G$18) +$D$13</f>
        <v>3771</v>
      </c>
      <c r="I23" s="3">
        <f t="shared" ref="I23:I24" si="3">4+SUM($H$13:$H$18) + $D$13</f>
        <v>244</v>
      </c>
      <c r="J23" s="3" t="s">
        <v>7</v>
      </c>
      <c r="K23" s="46">
        <f>Npm!G12</f>
        <v>66</v>
      </c>
      <c r="L23" s="47">
        <f>Npm!E12</f>
        <v>74</v>
      </c>
      <c r="M23" s="53"/>
      <c r="N23" s="3">
        <v>250</v>
      </c>
      <c r="O23" s="3">
        <v>4</v>
      </c>
      <c r="P23" s="3">
        <f>INT((H23*5+I23)/100*(D23+E23+F23))</f>
        <v>88810</v>
      </c>
      <c r="Q23" s="3">
        <f>INT((H23*3*0.9*0.8+I23)/100*(D23+E23+F23))</f>
        <v>39010</v>
      </c>
      <c r="R23" s="3">
        <f t="shared" ref="R23:R24" si="4">INT(P23*$N23/100*$G23)</f>
        <v>466252</v>
      </c>
      <c r="S23" s="3">
        <f t="shared" ref="S23:S24" si="5">INT(Q23*$N23/100*$G23)</f>
        <v>204802</v>
      </c>
      <c r="T23" s="49">
        <f t="shared" ref="T23:U23" si="6">K23*$O23*( (1-T38/100)*AVERAGE($R23:$S23) + T38/100*AVERAGE($X38:$Y38) )</f>
        <v>88579128</v>
      </c>
      <c r="U23" s="65">
        <f t="shared" si="6"/>
        <v>117192941.59999999</v>
      </c>
      <c r="V23" s="70">
        <f t="shared" si="0"/>
        <v>8</v>
      </c>
      <c r="W23" s="71">
        <f t="shared" si="1"/>
        <v>6</v>
      </c>
      <c r="X23" s="67" t="s">
        <v>88</v>
      </c>
    </row>
    <row r="24" spans="2:25" x14ac:dyDescent="0.4">
      <c r="B24" s="3" t="s">
        <v>3</v>
      </c>
      <c r="C24" s="3" t="s">
        <v>93</v>
      </c>
      <c r="D24" s="3">
        <v>209</v>
      </c>
      <c r="E24" s="3">
        <f>SUM($C$14,$F$13,$F$14,$F$15,$F$16,$F$17,$F$18)</f>
        <v>206</v>
      </c>
      <c r="F24" s="3"/>
      <c r="G24" s="3">
        <v>1</v>
      </c>
      <c r="H24" s="3">
        <f t="shared" si="2"/>
        <v>3771</v>
      </c>
      <c r="I24" s="3">
        <f t="shared" si="3"/>
        <v>244</v>
      </c>
      <c r="J24" s="3" t="s">
        <v>122</v>
      </c>
      <c r="K24" s="46">
        <f>INT(Npm!G13/60*50)</f>
        <v>66</v>
      </c>
      <c r="L24" s="47">
        <f>INT(Npm!E13/60*50)</f>
        <v>79</v>
      </c>
      <c r="M24" s="53"/>
      <c r="N24" s="3">
        <v>700</v>
      </c>
      <c r="O24" s="3">
        <v>1</v>
      </c>
      <c r="P24" s="3">
        <f>INT((H24*4+I24)/100*(D24+E24+F24))</f>
        <v>63611</v>
      </c>
      <c r="Q24" s="3">
        <f>INT((H24*4*0.9*0.6+I24)/100*(D24+E24+F24))</f>
        <v>34815</v>
      </c>
      <c r="R24" s="3">
        <f t="shared" si="4"/>
        <v>445277</v>
      </c>
      <c r="S24" s="3">
        <f t="shared" si="5"/>
        <v>243705</v>
      </c>
      <c r="T24" s="49">
        <f>K24*$O24*( (1-T39/100)*AVERAGE($R24:$S24) + T39/100*AVERAGE($X39:$Y39) ) + R18*5</f>
        <v>44806806</v>
      </c>
      <c r="U24" s="65">
        <f>L24*$O24*( (1-U39/100)*AVERAGE($R24:$S24) + U39/100*AVERAGE($X39:$Y39) )+ R18*5</f>
        <v>51034699.299999997</v>
      </c>
      <c r="V24" s="70">
        <f t="shared" si="0"/>
        <v>11</v>
      </c>
      <c r="W24" s="71">
        <f t="shared" si="1"/>
        <v>11</v>
      </c>
      <c r="X24" s="67" t="s">
        <v>3</v>
      </c>
      <c r="Y24" t="s">
        <v>168</v>
      </c>
    </row>
    <row r="25" spans="2:25" x14ac:dyDescent="0.4">
      <c r="B25" s="3" t="s">
        <v>89</v>
      </c>
      <c r="C25" s="3" t="s">
        <v>94</v>
      </c>
      <c r="D25" s="3">
        <v>131</v>
      </c>
      <c r="E25" s="3">
        <f>SUM($C$14,$F$13,$F$14,$F$15,$F$16,$F$17,$F$18)+$H$9</f>
        <v>248</v>
      </c>
      <c r="F25" s="3"/>
      <c r="G25" s="3">
        <v>1.6</v>
      </c>
      <c r="H25" s="3">
        <f t="shared" si="2"/>
        <v>3771</v>
      </c>
      <c r="I25" s="3">
        <f>4+SUM($H$13:$H$18) +4 +$D$13</f>
        <v>248</v>
      </c>
      <c r="J25" s="3" t="s">
        <v>25</v>
      </c>
      <c r="K25" s="46">
        <f>Npm!$E$19</f>
        <v>100</v>
      </c>
      <c r="L25" s="47">
        <f t="shared" ref="L25:L30" si="7">K25</f>
        <v>100</v>
      </c>
      <c r="M25" s="53"/>
      <c r="N25" s="3">
        <v>200</v>
      </c>
      <c r="O25" s="3">
        <v>4</v>
      </c>
      <c r="P25" s="3">
        <f>INT((H25*4+I25)/100*(D25+E25+F25))</f>
        <v>58108</v>
      </c>
      <c r="Q25" s="3">
        <f>INT((H25*4*0.9*0.6+I25)/100*(D25+E25+F25))</f>
        <v>31810</v>
      </c>
      <c r="R25" s="45">
        <f>INT( 5*$H$25*(SUM($D$25:$E$25))/100 *$N$25/100 )</f>
        <v>142920</v>
      </c>
      <c r="S25" s="45">
        <f>INT( 2.5*$H$25*(SUM($D$25:$E$25))/100 *$N$25/100 )</f>
        <v>71460</v>
      </c>
      <c r="T25" s="49">
        <f>K25*$O25*( (1-T40/100)*AVERAGE($R25:$S25) + T40/100*AVERAGE($X40:$Y40) )*G25</f>
        <v>111478080</v>
      </c>
      <c r="U25" s="65">
        <f>L25*$O25*( (1-U40/100)*AVERAGE($R25:$S25) + U40/100*AVERAGE($X40:$Y40) )*G25</f>
        <v>137203968</v>
      </c>
      <c r="V25" s="70">
        <f t="shared" si="0"/>
        <v>4</v>
      </c>
      <c r="W25" s="71">
        <f t="shared" si="1"/>
        <v>2</v>
      </c>
      <c r="X25" s="67" t="s">
        <v>89</v>
      </c>
      <c r="Y25" t="s">
        <v>167</v>
      </c>
    </row>
    <row r="26" spans="2:25" x14ac:dyDescent="0.4">
      <c r="B26" s="3" t="s">
        <v>90</v>
      </c>
      <c r="C26" s="3" t="s">
        <v>95</v>
      </c>
      <c r="D26" s="3">
        <v>205</v>
      </c>
      <c r="E26" s="3">
        <f>SUM($C$14,$F$13,$F$14,$F$15,$F$16,$F$17,$F$18)</f>
        <v>206</v>
      </c>
      <c r="F26" s="3"/>
      <c r="G26" s="3">
        <v>1</v>
      </c>
      <c r="H26" s="3">
        <f t="shared" si="2"/>
        <v>3771</v>
      </c>
      <c r="I26" s="3">
        <f>4+SUM($H$13:$H$18)+4 +$D$13</f>
        <v>248</v>
      </c>
      <c r="J26" s="3" t="s">
        <v>56</v>
      </c>
      <c r="K26" s="46">
        <f>Npm!$E$18</f>
        <v>83</v>
      </c>
      <c r="L26" s="47">
        <f t="shared" si="7"/>
        <v>83</v>
      </c>
      <c r="M26" s="53"/>
      <c r="N26" s="3">
        <v>235</v>
      </c>
      <c r="O26" s="3">
        <v>6</v>
      </c>
      <c r="P26" s="3">
        <f>INT((H26*3.6+I26)/100*(D26+E26+F26))</f>
        <v>56814</v>
      </c>
      <c r="Q26" s="3">
        <f>INT((H26*3.6*0.9*0.6+I26)/100*(D26+E26+F26))</f>
        <v>31148</v>
      </c>
      <c r="R26" s="3">
        <f t="shared" ref="R26" si="8">INT(P26*$N26/100*$G26)</f>
        <v>133512</v>
      </c>
      <c r="S26" s="3">
        <f t="shared" ref="S26" si="9">INT(Q26*$N26/100*$G26)</f>
        <v>73197</v>
      </c>
      <c r="T26" s="49">
        <f t="shared" ref="T26" si="10">K26*$O26*( (1-T41/100)*AVERAGE($R26:$S26) + T41/100*AVERAGE($X41:$Y41) )</f>
        <v>51470541</v>
      </c>
      <c r="U26" s="65">
        <f t="shared" ref="U26" si="11">L26*$O26*( (1-U41/100)*AVERAGE($R26:$S26) + U41/100*AVERAGE($X41:$Y41) )</f>
        <v>61326683.099999994</v>
      </c>
      <c r="V26" s="70">
        <f t="shared" si="0"/>
        <v>10</v>
      </c>
      <c r="W26" s="71">
        <f t="shared" si="1"/>
        <v>10</v>
      </c>
      <c r="X26" s="67" t="s">
        <v>90</v>
      </c>
    </row>
    <row r="27" spans="2:25" x14ac:dyDescent="0.4">
      <c r="B27" s="59" t="s">
        <v>33</v>
      </c>
      <c r="C27" s="59" t="s">
        <v>97</v>
      </c>
      <c r="D27" s="59">
        <v>280</v>
      </c>
      <c r="E27" s="59">
        <f>SUM($J$14,$M$13,$M$14,$M$15,$M$16,$M$17,$M$18)</f>
        <v>126</v>
      </c>
      <c r="F27" s="59">
        <f>SUM($G$37)</f>
        <v>20</v>
      </c>
      <c r="G27" s="59">
        <v>1.5</v>
      </c>
      <c r="H27" s="59">
        <f>INT($J$4*1.15)+SUM($N$13:$N$18)+$K$13+$K$14</f>
        <v>3954</v>
      </c>
      <c r="I27" s="59"/>
      <c r="J27" s="59" t="s">
        <v>35</v>
      </c>
      <c r="K27" s="60">
        <f>Npm!$E$37</f>
        <v>87</v>
      </c>
      <c r="L27" s="61">
        <f t="shared" si="7"/>
        <v>87</v>
      </c>
      <c r="M27" s="62"/>
      <c r="N27" s="59">
        <v>550</v>
      </c>
      <c r="O27" s="59">
        <v>2</v>
      </c>
      <c r="P27" s="63"/>
      <c r="Q27" s="63"/>
      <c r="R27" s="59">
        <f xml:space="preserve"> INT((0.0033665*(D27+E27+F27+H27)^2+3.3*(D27+E27+F27+H27)+0.5*H27)*N27/100*$G$27)</f>
        <v>668376</v>
      </c>
      <c r="S27" s="59">
        <f>INT((0.0033665*(D27+E27+F27+H27)^2+3.3*0.9*0.6*(D27+E27+F27+H27)+0.5*H27)*N27/100*$G$27)</f>
        <v>613523</v>
      </c>
      <c r="T27" s="64">
        <f t="shared" ref="T27:T33" si="12">K27*$O27*( (1-T42/100)*AVERAGE($R27:$S27) + T42/100*AVERAGE($X42:$Y42) )</f>
        <v>111525213</v>
      </c>
      <c r="U27" s="66">
        <f t="shared" ref="U27:U33" si="13">L27*$O27*( (1-U42/100)*AVERAGE($R27:$S27) + U42/100*AVERAGE($X42:$Y42) )</f>
        <v>128253994.94999999</v>
      </c>
      <c r="V27" s="70">
        <f t="shared" si="0"/>
        <v>3</v>
      </c>
      <c r="W27" s="71">
        <f t="shared" si="1"/>
        <v>4</v>
      </c>
      <c r="X27" s="67" t="s">
        <v>33</v>
      </c>
    </row>
    <row r="28" spans="2:25" x14ac:dyDescent="0.4">
      <c r="B28" s="59" t="s">
        <v>34</v>
      </c>
      <c r="C28" s="59" t="s">
        <v>97</v>
      </c>
      <c r="D28" s="59">
        <v>280</v>
      </c>
      <c r="E28" s="59">
        <f>SUM($J$14,$M$13,$M$14,$M$15,$M$16,$M$17,$M$18)</f>
        <v>126</v>
      </c>
      <c r="F28" s="59">
        <f>SUM($G$37)</f>
        <v>20</v>
      </c>
      <c r="G28" s="59">
        <v>1.5</v>
      </c>
      <c r="H28" s="59">
        <f t="shared" ref="H28:H29" si="14">INT($J$4*1.15)+SUM($N$13:$N$18)+$K$13+$K$14</f>
        <v>3954</v>
      </c>
      <c r="I28" s="59"/>
      <c r="J28" s="59" t="s">
        <v>36</v>
      </c>
      <c r="K28" s="60">
        <f>Npm!$E$39</f>
        <v>83</v>
      </c>
      <c r="L28" s="61">
        <f t="shared" si="7"/>
        <v>83</v>
      </c>
      <c r="M28" s="62"/>
      <c r="N28" s="59">
        <v>240</v>
      </c>
      <c r="O28" s="59">
        <v>4</v>
      </c>
      <c r="P28" s="63"/>
      <c r="Q28" s="63"/>
      <c r="R28" s="59">
        <f xml:space="preserve"> INT((0.0033665*(D28+E28+F28+H28)^2+3.3*(D28+E28+F28+H28)+0.5*H28)*N28/100*$G$28)</f>
        <v>291655</v>
      </c>
      <c r="S28" s="59">
        <f>INT((0.0033665*(D28+E28+F28+H28)^2+3.3*0.9*0.6*(D28+E28+F28+H28)+0.5*H28)*N28/100*$G$28)</f>
        <v>267719</v>
      </c>
      <c r="T28" s="64">
        <f t="shared" si="12"/>
        <v>92856084</v>
      </c>
      <c r="U28" s="66">
        <f t="shared" si="13"/>
        <v>106784496.59999999</v>
      </c>
      <c r="V28" s="70">
        <f t="shared" si="0"/>
        <v>7</v>
      </c>
      <c r="W28" s="71">
        <f t="shared" si="1"/>
        <v>8</v>
      </c>
      <c r="X28" s="67" t="s">
        <v>34</v>
      </c>
    </row>
    <row r="29" spans="2:25" x14ac:dyDescent="0.4">
      <c r="B29" s="59" t="s">
        <v>51</v>
      </c>
      <c r="C29" s="59" t="s">
        <v>97</v>
      </c>
      <c r="D29" s="59">
        <v>280</v>
      </c>
      <c r="E29" s="59">
        <f t="shared" ref="E29" si="15">SUM($J$14,$M$13,$M$14,$M$15,$M$16,$M$17,$M$18)</f>
        <v>126</v>
      </c>
      <c r="F29" s="59"/>
      <c r="G29" s="59">
        <v>1</v>
      </c>
      <c r="H29" s="59">
        <f t="shared" si="14"/>
        <v>3954</v>
      </c>
      <c r="I29" s="59"/>
      <c r="J29" s="59" t="s">
        <v>37</v>
      </c>
      <c r="K29" s="60">
        <f>Npm!$F$41</f>
        <v>74</v>
      </c>
      <c r="L29" s="61">
        <f t="shared" si="7"/>
        <v>74</v>
      </c>
      <c r="M29" s="62"/>
      <c r="N29" s="59">
        <v>240</v>
      </c>
      <c r="O29" s="59">
        <v>2</v>
      </c>
      <c r="P29" s="63"/>
      <c r="Q29" s="63"/>
      <c r="R29" s="59">
        <f xml:space="preserve"> INT((0.0033665*(D29+E29+F29+H29)^2+3.3*(D29+E29+H29)+0.5*H29)*N29/100*$G$29)</f>
        <v>192865</v>
      </c>
      <c r="S29" s="59">
        <f>INT((0.0033665*(D29+E29+F29+H29)^2+3.3*0.9*0.6*(D29+E29+F29+H29)+0.5*H29)*N29/100*$G$29)</f>
        <v>176981</v>
      </c>
      <c r="T29" s="64">
        <f t="shared" si="12"/>
        <v>27368604</v>
      </c>
      <c r="U29" s="66">
        <f t="shared" si="13"/>
        <v>31473894.599999998</v>
      </c>
      <c r="V29" s="70">
        <f t="shared" si="0"/>
        <v>12</v>
      </c>
      <c r="W29" s="71">
        <f t="shared" si="1"/>
        <v>12</v>
      </c>
      <c r="X29" s="67" t="s">
        <v>51</v>
      </c>
    </row>
    <row r="30" spans="2:25" x14ac:dyDescent="0.4">
      <c r="B30" s="3" t="s">
        <v>39</v>
      </c>
      <c r="C30" s="3" t="s">
        <v>98</v>
      </c>
      <c r="D30" s="3">
        <v>205</v>
      </c>
      <c r="E30" s="3">
        <f>SUM($C$14,$F$13,$F$14,$F$15,$F$16,$F$17,$F$18)</f>
        <v>206</v>
      </c>
      <c r="F30" s="3">
        <f>SUM(I37:I38)</f>
        <v>40</v>
      </c>
      <c r="G30" s="3">
        <v>1</v>
      </c>
      <c r="H30" s="3">
        <f t="shared" ref="H30:H33" si="16">INT($J$4*1.15)+SUM($G$13:$G$18) +$D$13</f>
        <v>3771</v>
      </c>
      <c r="I30" s="3">
        <f t="shared" ref="I30:I33" si="17">4+SUM($H$13:$H$18) + $D$13</f>
        <v>244</v>
      </c>
      <c r="J30" s="3" t="s">
        <v>103</v>
      </c>
      <c r="K30" s="46">
        <f>Npm!$E$24</f>
        <v>500</v>
      </c>
      <c r="L30" s="47">
        <f t="shared" si="7"/>
        <v>500</v>
      </c>
      <c r="M30" s="53"/>
      <c r="N30" s="3">
        <v>230</v>
      </c>
      <c r="O30" s="3">
        <v>1</v>
      </c>
      <c r="P30" s="3">
        <f>INT((H30*3.4+I30)/100*(D30+E30+F30))</f>
        <v>58924</v>
      </c>
      <c r="Q30" s="3">
        <f>INT((H30*3.4*0.9*0.9+I30)/100*(D30+E30+F30))</f>
        <v>47938</v>
      </c>
      <c r="R30" s="3">
        <f t="shared" ref="R30" si="18">INT(P30*$N30/100*$G30)</f>
        <v>135525</v>
      </c>
      <c r="S30" s="3">
        <f t="shared" ref="S30" si="19">INT(Q30*$N30/100*$G30)</f>
        <v>110257</v>
      </c>
      <c r="T30" s="49">
        <f t="shared" si="12"/>
        <v>108197625</v>
      </c>
      <c r="U30" s="65">
        <f t="shared" si="13"/>
        <v>108197625</v>
      </c>
      <c r="V30" s="70">
        <f t="shared" si="0"/>
        <v>5</v>
      </c>
      <c r="W30" s="71">
        <f t="shared" si="1"/>
        <v>7</v>
      </c>
      <c r="X30" s="67" t="s">
        <v>39</v>
      </c>
    </row>
    <row r="31" spans="2:25" x14ac:dyDescent="0.4">
      <c r="B31" s="3" t="s">
        <v>38</v>
      </c>
      <c r="C31" s="3" t="s">
        <v>99</v>
      </c>
      <c r="D31" s="3">
        <v>209</v>
      </c>
      <c r="E31" s="3">
        <f>SUM($C$14,$F$13,$F$14,$F$15,$F$16,$F$17,$F$18)</f>
        <v>206</v>
      </c>
      <c r="F31" s="3">
        <f>SUM(K37)</f>
        <v>10</v>
      </c>
      <c r="G31" s="3">
        <v>2</v>
      </c>
      <c r="H31" s="3">
        <f t="shared" si="16"/>
        <v>3771</v>
      </c>
      <c r="I31" s="3">
        <f t="shared" si="17"/>
        <v>244</v>
      </c>
      <c r="J31" s="3" t="s">
        <v>41</v>
      </c>
      <c r="K31" s="46">
        <f>Npm!$G$23</f>
        <v>82</v>
      </c>
      <c r="L31" s="47">
        <f>Npm!E23</f>
        <v>94</v>
      </c>
      <c r="M31" s="53"/>
      <c r="N31" s="3">
        <v>200</v>
      </c>
      <c r="O31" s="3">
        <v>6</v>
      </c>
      <c r="P31" s="3">
        <f>INT((H31*3.6+I31)/100*(D31+E31+F31))</f>
        <v>58733</v>
      </c>
      <c r="Q31" s="3">
        <f>INT((H31*3.6*0.9*0.9+I31)/100*(D31+E31+F31))</f>
        <v>47771</v>
      </c>
      <c r="R31" s="3">
        <f t="shared" ref="R31:R33" si="20">INT(P31*$N31/100*$G31)</f>
        <v>234932</v>
      </c>
      <c r="S31" s="3">
        <f t="shared" ref="S31:S33" si="21">INT(Q31*$N31/100*$G31)</f>
        <v>191084</v>
      </c>
      <c r="T31" s="49">
        <f t="shared" si="12"/>
        <v>196499880</v>
      </c>
      <c r="U31" s="65">
        <f t="shared" si="13"/>
        <v>225255960</v>
      </c>
      <c r="V31" s="70">
        <f t="shared" si="0"/>
        <v>1</v>
      </c>
      <c r="W31" s="71">
        <f t="shared" si="1"/>
        <v>1</v>
      </c>
      <c r="X31" s="67" t="s">
        <v>38</v>
      </c>
    </row>
    <row r="32" spans="2:25" x14ac:dyDescent="0.4">
      <c r="B32" s="3" t="s">
        <v>23</v>
      </c>
      <c r="C32" s="3" t="s">
        <v>100</v>
      </c>
      <c r="D32" s="3">
        <v>173</v>
      </c>
      <c r="E32" s="3">
        <f>SUM($C$14,$F$13,$F$14,$F$15,$F$16,$F$17,$F$18)</f>
        <v>206</v>
      </c>
      <c r="F32" s="3">
        <f>SUM(M37)</f>
        <v>30</v>
      </c>
      <c r="G32" s="3">
        <v>1</v>
      </c>
      <c r="H32" s="3">
        <f t="shared" si="16"/>
        <v>3771</v>
      </c>
      <c r="I32" s="3">
        <f t="shared" si="17"/>
        <v>244</v>
      </c>
      <c r="J32" s="3" t="s">
        <v>104</v>
      </c>
      <c r="K32" s="46">
        <f>Npm!$E$26</f>
        <v>40</v>
      </c>
      <c r="L32" s="47">
        <f>K32</f>
        <v>40</v>
      </c>
      <c r="M32" s="53"/>
      <c r="N32" s="3">
        <v>3150</v>
      </c>
      <c r="O32" s="3">
        <v>1</v>
      </c>
      <c r="P32" s="3">
        <f>INT((H32*4.8+I32)/100*(D32+E32+F32))</f>
        <v>75030</v>
      </c>
      <c r="Q32" s="3">
        <f>INT((H32*4.8*0.9*0.6+I32)/100*(D32+E32+F32))</f>
        <v>40975</v>
      </c>
      <c r="R32" s="3">
        <f t="shared" si="20"/>
        <v>2363445</v>
      </c>
      <c r="S32" s="3">
        <f t="shared" si="21"/>
        <v>1290712</v>
      </c>
      <c r="T32" s="49">
        <f t="shared" si="12"/>
        <v>73083140</v>
      </c>
      <c r="U32" s="65">
        <f t="shared" si="13"/>
        <v>75171230</v>
      </c>
      <c r="V32" s="70">
        <f t="shared" si="0"/>
        <v>9</v>
      </c>
      <c r="W32" s="71">
        <f t="shared" si="1"/>
        <v>9</v>
      </c>
      <c r="X32" s="67" t="s">
        <v>23</v>
      </c>
    </row>
    <row r="33" spans="2:25" ht="18" thickBot="1" x14ac:dyDescent="0.45">
      <c r="B33" s="3" t="s">
        <v>47</v>
      </c>
      <c r="C33" s="3" t="s">
        <v>101</v>
      </c>
      <c r="D33" s="3">
        <v>170</v>
      </c>
      <c r="E33" s="3">
        <f>SUM($C$14,$F$13,$F$14,$F$15,$F$16,$F$17,$F$18)+$K$9</f>
        <v>234</v>
      </c>
      <c r="F33" s="3"/>
      <c r="G33" s="3">
        <v>1.2</v>
      </c>
      <c r="H33" s="3">
        <f t="shared" si="16"/>
        <v>3771</v>
      </c>
      <c r="I33" s="3">
        <f t="shared" si="17"/>
        <v>244</v>
      </c>
      <c r="J33" s="3" t="s">
        <v>48</v>
      </c>
      <c r="K33" s="46">
        <f>Npm!$E$27</f>
        <v>100</v>
      </c>
      <c r="L33" s="47">
        <f>K33</f>
        <v>100</v>
      </c>
      <c r="M33" s="53"/>
      <c r="N33" s="3">
        <v>480</v>
      </c>
      <c r="O33" s="3">
        <v>5</v>
      </c>
      <c r="P33" s="3">
        <f>INT( (H33*3.6+I33)/100*(D33+E33+F33) )</f>
        <v>55831</v>
      </c>
      <c r="Q33" s="3">
        <f>INT( (H33*3.6*0.9*0.6+I33)/100*(D33+E33+F33) )</f>
        <v>30602</v>
      </c>
      <c r="R33" s="3">
        <f t="shared" si="20"/>
        <v>321586</v>
      </c>
      <c r="S33" s="3">
        <f t="shared" si="21"/>
        <v>176267</v>
      </c>
      <c r="T33" s="49">
        <f t="shared" si="12"/>
        <v>124463250</v>
      </c>
      <c r="U33" s="65">
        <f t="shared" si="13"/>
        <v>136131750</v>
      </c>
      <c r="V33" s="72">
        <f t="shared" si="0"/>
        <v>2</v>
      </c>
      <c r="W33" s="73">
        <f t="shared" si="1"/>
        <v>3</v>
      </c>
      <c r="X33" s="67" t="s">
        <v>47</v>
      </c>
    </row>
    <row r="34" spans="2:25" ht="18" thickBot="1" x14ac:dyDescent="0.45"/>
    <row r="35" spans="2:25" ht="18" thickBot="1" x14ac:dyDescent="0.45">
      <c r="B35" s="127" t="s">
        <v>175</v>
      </c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74"/>
      <c r="O35" s="84" t="s">
        <v>153</v>
      </c>
      <c r="P35" s="85"/>
      <c r="Q35" s="5"/>
      <c r="R35" s="103" t="s">
        <v>169</v>
      </c>
      <c r="S35" s="104"/>
      <c r="T35" s="104"/>
      <c r="U35" s="142"/>
      <c r="V35" s="143" t="s">
        <v>165</v>
      </c>
      <c r="W35" s="144"/>
      <c r="X35" s="143" t="s">
        <v>166</v>
      </c>
      <c r="Y35" s="145"/>
    </row>
    <row r="36" spans="2:25" x14ac:dyDescent="0.4">
      <c r="B36" s="125" t="s">
        <v>132</v>
      </c>
      <c r="C36" s="126"/>
      <c r="D36" s="123" t="s">
        <v>135</v>
      </c>
      <c r="E36" s="126"/>
      <c r="F36" s="123" t="s">
        <v>138</v>
      </c>
      <c r="G36" s="126"/>
      <c r="H36" s="123" t="s">
        <v>140</v>
      </c>
      <c r="I36" s="126"/>
      <c r="J36" s="123" t="s">
        <v>142</v>
      </c>
      <c r="K36" s="126"/>
      <c r="L36" s="123" t="s">
        <v>145</v>
      </c>
      <c r="M36" s="124"/>
      <c r="N36" s="77"/>
      <c r="O36" s="1"/>
      <c r="P36" s="1"/>
      <c r="Q36" s="3" t="s">
        <v>158</v>
      </c>
      <c r="R36" s="3" t="s">
        <v>161</v>
      </c>
      <c r="S36" s="3" t="s">
        <v>162</v>
      </c>
      <c r="T36" s="12" t="s">
        <v>159</v>
      </c>
      <c r="U36" s="12" t="s">
        <v>160</v>
      </c>
      <c r="V36" s="12" t="s">
        <v>147</v>
      </c>
      <c r="W36" s="12" t="s">
        <v>148</v>
      </c>
      <c r="X36" s="12" t="s">
        <v>147</v>
      </c>
      <c r="Y36" s="86" t="s">
        <v>148</v>
      </c>
    </row>
    <row r="37" spans="2:25" x14ac:dyDescent="0.4">
      <c r="B37" s="26" t="s">
        <v>133</v>
      </c>
      <c r="C37" s="3">
        <v>40</v>
      </c>
      <c r="D37" s="3" t="s">
        <v>136</v>
      </c>
      <c r="E37" s="3">
        <v>3</v>
      </c>
      <c r="F37" s="3" t="s">
        <v>139</v>
      </c>
      <c r="G37" s="3">
        <v>20</v>
      </c>
      <c r="H37" s="3" t="s">
        <v>144</v>
      </c>
      <c r="I37" s="3">
        <v>10</v>
      </c>
      <c r="J37" s="3" t="s">
        <v>143</v>
      </c>
      <c r="K37" s="3">
        <v>10</v>
      </c>
      <c r="L37" s="3" t="s">
        <v>146</v>
      </c>
      <c r="M37" s="40">
        <v>30</v>
      </c>
      <c r="N37" s="77"/>
      <c r="O37" s="1"/>
      <c r="P37" s="1"/>
      <c r="Q37" s="3" t="s">
        <v>1</v>
      </c>
      <c r="R37" s="3">
        <v>100</v>
      </c>
      <c r="S37" s="3">
        <f>R37+$V$18</f>
        <v>150</v>
      </c>
      <c r="T37" s="3">
        <v>0</v>
      </c>
      <c r="U37" s="3">
        <f>T37+$U$18</f>
        <v>30</v>
      </c>
      <c r="V37" s="52"/>
      <c r="W37" s="52"/>
      <c r="X37" s="3">
        <f>INT(P22*($N22+S37)/100*$G22)</f>
        <v>1026718</v>
      </c>
      <c r="Y37" s="14">
        <f>INT(Q22*($N22+S37)/100*$G22)</f>
        <v>560982</v>
      </c>
    </row>
    <row r="38" spans="2:25" ht="18" thickBot="1" x14ac:dyDescent="0.45">
      <c r="B38" s="7" t="s">
        <v>134</v>
      </c>
      <c r="C38" s="8">
        <v>50</v>
      </c>
      <c r="D38" s="8" t="s">
        <v>137</v>
      </c>
      <c r="E38" s="8">
        <v>40</v>
      </c>
      <c r="F38" s="8"/>
      <c r="G38" s="8"/>
      <c r="H38" s="8" t="s">
        <v>141</v>
      </c>
      <c r="I38" s="8">
        <v>30</v>
      </c>
      <c r="J38" s="8"/>
      <c r="K38" s="8"/>
      <c r="L38" s="8"/>
      <c r="M38" s="41"/>
      <c r="N38" s="77"/>
      <c r="O38" s="1"/>
      <c r="P38" s="1"/>
      <c r="Q38" s="3" t="s">
        <v>88</v>
      </c>
      <c r="R38" s="3">
        <v>100</v>
      </c>
      <c r="S38" s="3">
        <f t="shared" ref="S38:S41" si="22">R38+$V$18</f>
        <v>150</v>
      </c>
      <c r="T38" s="3">
        <v>0</v>
      </c>
      <c r="U38" s="3">
        <f t="shared" ref="U38:U48" si="23">T38+$U$18</f>
        <v>30</v>
      </c>
      <c r="V38" s="52"/>
      <c r="W38" s="52"/>
      <c r="X38" s="3">
        <f>INT(P23*($N23+S38)/100*$G23)</f>
        <v>746004</v>
      </c>
      <c r="Y38" s="14">
        <f>INT(Q23*($N23+S38)/100*$G23)</f>
        <v>327684</v>
      </c>
    </row>
    <row r="39" spans="2:25" x14ac:dyDescent="0.4">
      <c r="N39" s="77"/>
      <c r="O39" s="1"/>
      <c r="P39" s="1"/>
      <c r="Q39" s="3" t="s">
        <v>3</v>
      </c>
      <c r="R39" s="3">
        <v>100</v>
      </c>
      <c r="S39" s="3">
        <f t="shared" si="22"/>
        <v>150</v>
      </c>
      <c r="T39" s="3">
        <v>0</v>
      </c>
      <c r="U39" s="3">
        <f t="shared" si="23"/>
        <v>30</v>
      </c>
      <c r="V39" s="52"/>
      <c r="W39" s="52"/>
      <c r="X39" s="3">
        <f>INT(P24*($N24+S39)/100*$G24)</f>
        <v>540693</v>
      </c>
      <c r="Y39" s="14">
        <f>INT(Q24*($N24+S39)/100*$G24)</f>
        <v>295927</v>
      </c>
    </row>
    <row r="40" spans="2:25" x14ac:dyDescent="0.4">
      <c r="N40" s="77"/>
      <c r="O40" s="1"/>
      <c r="P40" s="1"/>
      <c r="Q40" s="3" t="s">
        <v>89</v>
      </c>
      <c r="R40" s="3">
        <v>200</v>
      </c>
      <c r="S40" s="3">
        <f t="shared" si="22"/>
        <v>250</v>
      </c>
      <c r="T40" s="3">
        <v>50</v>
      </c>
      <c r="U40" s="3">
        <f t="shared" si="23"/>
        <v>80</v>
      </c>
      <c r="V40" s="45">
        <f>INT( 5*$H$25*(SUM($D$25:$E$25))/100 *($N$25+$R$40)/100 )</f>
        <v>285841</v>
      </c>
      <c r="W40" s="45">
        <f>INT( 2.5*$H$25*(SUM($D$25:$E$25))/100 *($N$25+$R$40)/100 )</f>
        <v>142920</v>
      </c>
      <c r="X40" s="45">
        <f>INT( 5*$H$25*(SUM($D$25:$E$25))/100 *($N$25+$S$40)/100 )</f>
        <v>321572</v>
      </c>
      <c r="Y40" s="87">
        <f>INT( 2.5*$H$25*(SUM($D$25:$E$25))/100 *($N$25+$S$40)/100 )</f>
        <v>160786</v>
      </c>
    </row>
    <row r="41" spans="2:25" x14ac:dyDescent="0.4">
      <c r="N41" s="77"/>
      <c r="O41" s="1"/>
      <c r="P41" s="1"/>
      <c r="Q41" s="3" t="s">
        <v>90</v>
      </c>
      <c r="R41" s="3">
        <v>100</v>
      </c>
      <c r="S41" s="3">
        <f t="shared" si="22"/>
        <v>150</v>
      </c>
      <c r="T41" s="3">
        <v>0</v>
      </c>
      <c r="U41" s="3">
        <f t="shared" si="23"/>
        <v>30</v>
      </c>
      <c r="V41" s="52"/>
      <c r="W41" s="52"/>
      <c r="X41" s="3">
        <f>INT(P26*($N26+S41)/100*$G26)</f>
        <v>218733</v>
      </c>
      <c r="Y41" s="14">
        <f>INT(Q26*($N26+S41)/100*$G26)</f>
        <v>119919</v>
      </c>
    </row>
    <row r="42" spans="2:25" x14ac:dyDescent="0.4">
      <c r="N42" s="77"/>
      <c r="O42" s="150" t="s">
        <v>163</v>
      </c>
      <c r="P42" s="150"/>
      <c r="Q42" s="3" t="s">
        <v>33</v>
      </c>
      <c r="R42" s="151">
        <v>100</v>
      </c>
      <c r="S42" s="151">
        <f>R42+$V$18</f>
        <v>150</v>
      </c>
      <c r="T42" s="3">
        <v>0</v>
      </c>
      <c r="U42" s="3">
        <f t="shared" si="23"/>
        <v>30</v>
      </c>
      <c r="V42" s="52"/>
      <c r="W42" s="52"/>
      <c r="X42" s="3">
        <f>R27*$S$42/100</f>
        <v>1002564</v>
      </c>
      <c r="Y42" s="14">
        <f>S27*$S$42/100</f>
        <v>920284.5</v>
      </c>
    </row>
    <row r="43" spans="2:25" x14ac:dyDescent="0.4">
      <c r="N43" s="77"/>
      <c r="O43" s="150"/>
      <c r="P43" s="150"/>
      <c r="Q43" s="3" t="s">
        <v>34</v>
      </c>
      <c r="R43" s="152"/>
      <c r="S43" s="152"/>
      <c r="T43" s="3">
        <v>0</v>
      </c>
      <c r="U43" s="3">
        <f t="shared" si="23"/>
        <v>30</v>
      </c>
      <c r="V43" s="52"/>
      <c r="W43" s="52"/>
      <c r="X43" s="3">
        <f t="shared" ref="X43:Y43" si="24">R28*$S$42/100</f>
        <v>437482.5</v>
      </c>
      <c r="Y43" s="14">
        <f t="shared" si="24"/>
        <v>401578.5</v>
      </c>
    </row>
    <row r="44" spans="2:25" x14ac:dyDescent="0.4">
      <c r="N44" s="77"/>
      <c r="O44" s="150"/>
      <c r="P44" s="150"/>
      <c r="Q44" s="3" t="s">
        <v>51</v>
      </c>
      <c r="R44" s="153"/>
      <c r="S44" s="153"/>
      <c r="T44" s="3">
        <v>0</v>
      </c>
      <c r="U44" s="3">
        <f t="shared" si="23"/>
        <v>30</v>
      </c>
      <c r="V44" s="52"/>
      <c r="W44" s="52"/>
      <c r="X44" s="3">
        <f t="shared" ref="X44:Y44" si="25">R29*$S$42/100</f>
        <v>289297.5</v>
      </c>
      <c r="Y44" s="14">
        <f t="shared" si="25"/>
        <v>265471.5</v>
      </c>
    </row>
    <row r="45" spans="2:25" x14ac:dyDescent="0.4">
      <c r="N45" s="149" t="s">
        <v>170</v>
      </c>
      <c r="O45" s="150"/>
      <c r="P45" s="150"/>
      <c r="Q45" s="3" t="s">
        <v>39</v>
      </c>
      <c r="R45" s="54">
        <v>250</v>
      </c>
      <c r="S45" s="54">
        <v>250</v>
      </c>
      <c r="T45" s="54">
        <v>70</v>
      </c>
      <c r="U45" s="54">
        <v>70</v>
      </c>
      <c r="V45" s="54">
        <f>INT(P30*($N30+R45)/100*$G30)</f>
        <v>282835</v>
      </c>
      <c r="W45" s="54">
        <f>INT(Q30*($N30+R45)/100*$G30)</f>
        <v>230102</v>
      </c>
      <c r="X45" s="54">
        <f>INT(P30*($N30+S45)/100*$G30)</f>
        <v>282835</v>
      </c>
      <c r="Y45" s="88">
        <f>INT(Q30*($N30+S45)/100*$G30)</f>
        <v>230102</v>
      </c>
    </row>
    <row r="46" spans="2:25" x14ac:dyDescent="0.4">
      <c r="N46" s="149"/>
      <c r="O46" s="150"/>
      <c r="P46" s="150"/>
      <c r="Q46" s="3" t="s">
        <v>38</v>
      </c>
      <c r="R46" s="54">
        <v>250</v>
      </c>
      <c r="S46" s="54">
        <v>250</v>
      </c>
      <c r="T46" s="54">
        <v>70</v>
      </c>
      <c r="U46" s="54">
        <v>70</v>
      </c>
      <c r="V46" s="54">
        <f t="shared" ref="V46:V47" si="26">INT(P31*($N31+R46)/100*$G31)</f>
        <v>528597</v>
      </c>
      <c r="W46" s="54">
        <f t="shared" ref="W46:W47" si="27">INT(Q31*($N31+R46)/100*$G31)</f>
        <v>429939</v>
      </c>
      <c r="X46" s="54">
        <f>INT(P31*($N31+S46)/100*$G31)</f>
        <v>528597</v>
      </c>
      <c r="Y46" s="88">
        <f>INT(Q31*($N31+S46)/100*$G31)</f>
        <v>429939</v>
      </c>
    </row>
    <row r="47" spans="2:25" x14ac:dyDescent="0.4">
      <c r="N47" s="77"/>
      <c r="O47" s="1"/>
      <c r="P47" s="1"/>
      <c r="Q47" s="3" t="s">
        <v>23</v>
      </c>
      <c r="R47" s="3">
        <v>100</v>
      </c>
      <c r="S47" s="3">
        <f t="shared" ref="S47:S48" si="28">R47+$V$18</f>
        <v>150</v>
      </c>
      <c r="T47" s="3">
        <v>0</v>
      </c>
      <c r="U47" s="3">
        <f t="shared" si="23"/>
        <v>30</v>
      </c>
      <c r="V47" s="3">
        <f t="shared" si="26"/>
        <v>2438475</v>
      </c>
      <c r="W47" s="3">
        <f t="shared" si="27"/>
        <v>1331687</v>
      </c>
      <c r="X47" s="3">
        <f>INT(P32*($N32+S47*2)/100*$G32)</f>
        <v>2588535</v>
      </c>
      <c r="Y47" s="14">
        <f>INT(Q32*($N32+S47*2)/100*$G32)</f>
        <v>1413637</v>
      </c>
    </row>
    <row r="48" spans="2:25" x14ac:dyDescent="0.4">
      <c r="N48" s="77"/>
      <c r="O48" s="1"/>
      <c r="P48" s="1"/>
      <c r="Q48" s="3" t="s">
        <v>47</v>
      </c>
      <c r="R48" s="3">
        <v>100</v>
      </c>
      <c r="S48" s="3">
        <f t="shared" si="28"/>
        <v>150</v>
      </c>
      <c r="T48" s="3">
        <v>0</v>
      </c>
      <c r="U48" s="3">
        <f t="shared" si="23"/>
        <v>30</v>
      </c>
      <c r="V48" s="52"/>
      <c r="W48" s="52"/>
      <c r="X48" s="3">
        <f>INT(P33*($N33+S48)/100*$G33)</f>
        <v>422082</v>
      </c>
      <c r="Y48" s="14">
        <f>INT(Q33*($N33+S48)/100*$G33)</f>
        <v>231351</v>
      </c>
    </row>
    <row r="49" spans="14:25" ht="18" thickBot="1" x14ac:dyDescent="0.45">
      <c r="N49" s="79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1"/>
    </row>
  </sheetData>
  <mergeCells count="27">
    <mergeCell ref="N45:P46"/>
    <mergeCell ref="S42:S44"/>
    <mergeCell ref="R42:R44"/>
    <mergeCell ref="O42:P44"/>
    <mergeCell ref="V18:X18"/>
    <mergeCell ref="U16:X16"/>
    <mergeCell ref="P20:Q20"/>
    <mergeCell ref="R35:U35"/>
    <mergeCell ref="V35:W35"/>
    <mergeCell ref="X35:Y35"/>
    <mergeCell ref="T21:U21"/>
    <mergeCell ref="R20:S20"/>
    <mergeCell ref="R16:S16"/>
    <mergeCell ref="E2:J2"/>
    <mergeCell ref="H8:K8"/>
    <mergeCell ref="B7:F7"/>
    <mergeCell ref="B6:K6"/>
    <mergeCell ref="B11:H11"/>
    <mergeCell ref="I11:O11"/>
    <mergeCell ref="R15:S15"/>
    <mergeCell ref="L36:M36"/>
    <mergeCell ref="B36:C36"/>
    <mergeCell ref="D36:E36"/>
    <mergeCell ref="F36:G36"/>
    <mergeCell ref="H36:I36"/>
    <mergeCell ref="J36:K36"/>
    <mergeCell ref="B35:M3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BE2C4-7B06-4008-9630-4534C485FE9D}">
  <dimension ref="B1:L37"/>
  <sheetViews>
    <sheetView tabSelected="1" topLeftCell="A4" workbookViewId="0">
      <selection activeCell="N17" sqref="N17"/>
    </sheetView>
  </sheetViews>
  <sheetFormatPr defaultRowHeight="17.399999999999999" x14ac:dyDescent="0.4"/>
  <cols>
    <col min="2" max="2" width="11.5" customWidth="1"/>
    <col min="3" max="3" width="10.59765625" customWidth="1"/>
    <col min="4" max="4" width="16" customWidth="1"/>
    <col min="12" max="12" width="8.8984375" customWidth="1"/>
  </cols>
  <sheetData>
    <row r="1" spans="2:12" ht="18" thickBot="1" x14ac:dyDescent="0.45"/>
    <row r="2" spans="2:12" x14ac:dyDescent="0.4">
      <c r="B2" s="74" t="s">
        <v>10</v>
      </c>
      <c r="C2" s="75"/>
      <c r="D2" s="76"/>
    </row>
    <row r="3" spans="2:12" x14ac:dyDescent="0.4">
      <c r="B3" s="77" t="s">
        <v>11</v>
      </c>
      <c r="C3" s="1"/>
      <c r="D3" s="78"/>
    </row>
    <row r="4" spans="2:12" ht="18" thickBot="1" x14ac:dyDescent="0.45">
      <c r="B4" s="79" t="s">
        <v>12</v>
      </c>
      <c r="C4" s="80"/>
      <c r="D4" s="81"/>
    </row>
    <row r="5" spans="2:12" ht="18" thickBot="1" x14ac:dyDescent="0.45"/>
    <row r="6" spans="2:12" x14ac:dyDescent="0.4">
      <c r="D6" s="97" t="s">
        <v>43</v>
      </c>
      <c r="E6" s="5" t="s">
        <v>13</v>
      </c>
      <c r="F6" s="5" t="s">
        <v>14</v>
      </c>
      <c r="G6" s="5" t="s">
        <v>15</v>
      </c>
      <c r="H6" s="5" t="s">
        <v>15</v>
      </c>
      <c r="I6" s="5" t="s">
        <v>16</v>
      </c>
      <c r="J6" s="5" t="s">
        <v>17</v>
      </c>
      <c r="K6" s="5" t="s">
        <v>17</v>
      </c>
      <c r="L6" s="6" t="s">
        <v>18</v>
      </c>
    </row>
    <row r="7" spans="2:12" ht="18" thickBot="1" x14ac:dyDescent="0.45">
      <c r="D7" s="98" t="s">
        <v>44</v>
      </c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8">
        <v>8</v>
      </c>
    </row>
    <row r="8" spans="2:12" ht="18" thickBot="1" x14ac:dyDescent="0.45">
      <c r="E8">
        <v>96</v>
      </c>
      <c r="G8">
        <v>82</v>
      </c>
    </row>
    <row r="9" spans="2:12" x14ac:dyDescent="0.4">
      <c r="B9" s="106" t="s">
        <v>0</v>
      </c>
      <c r="C9" s="13" t="s">
        <v>1</v>
      </c>
      <c r="D9" s="5" t="s">
        <v>4</v>
      </c>
      <c r="E9" s="92">
        <v>95</v>
      </c>
      <c r="F9" s="92">
        <v>87</v>
      </c>
      <c r="G9" s="92">
        <v>80</v>
      </c>
      <c r="H9" s="92">
        <v>74</v>
      </c>
      <c r="I9" s="92">
        <v>72</v>
      </c>
      <c r="J9" s="92">
        <v>67</v>
      </c>
      <c r="K9" s="92">
        <v>63</v>
      </c>
      <c r="L9" s="93"/>
    </row>
    <row r="10" spans="2:12" x14ac:dyDescent="0.4">
      <c r="B10" s="107"/>
      <c r="C10" s="109" t="s">
        <v>2</v>
      </c>
      <c r="D10" s="3" t="s">
        <v>8</v>
      </c>
      <c r="E10" s="163">
        <v>30</v>
      </c>
      <c r="F10" s="163">
        <v>30</v>
      </c>
      <c r="G10" s="163">
        <v>30</v>
      </c>
      <c r="H10" s="163">
        <v>30</v>
      </c>
      <c r="I10" s="163">
        <v>30</v>
      </c>
      <c r="J10" s="163">
        <v>30</v>
      </c>
      <c r="K10" s="163">
        <v>30</v>
      </c>
      <c r="L10" s="164">
        <v>30</v>
      </c>
    </row>
    <row r="11" spans="2:12" x14ac:dyDescent="0.4">
      <c r="B11" s="107"/>
      <c r="C11" s="109"/>
      <c r="D11" s="3" t="s">
        <v>6</v>
      </c>
      <c r="E11" s="94">
        <v>100</v>
      </c>
      <c r="F11" s="94">
        <v>90</v>
      </c>
      <c r="G11" s="94">
        <v>83</v>
      </c>
      <c r="H11" s="94">
        <v>80</v>
      </c>
      <c r="I11" s="94">
        <v>74</v>
      </c>
      <c r="J11" s="94">
        <v>69</v>
      </c>
      <c r="K11" s="94">
        <v>67</v>
      </c>
      <c r="L11" s="95">
        <v>63</v>
      </c>
    </row>
    <row r="12" spans="2:12" x14ac:dyDescent="0.4">
      <c r="B12" s="107"/>
      <c r="C12" s="109"/>
      <c r="D12" s="12" t="s">
        <v>7</v>
      </c>
      <c r="E12" s="94">
        <v>74</v>
      </c>
      <c r="F12" s="94">
        <v>69</v>
      </c>
      <c r="G12" s="94">
        <v>66</v>
      </c>
      <c r="H12" s="94">
        <v>61</v>
      </c>
      <c r="I12" s="94">
        <v>59</v>
      </c>
      <c r="J12" s="94">
        <v>53</v>
      </c>
      <c r="K12" s="94">
        <v>50</v>
      </c>
      <c r="L12" s="95">
        <v>48</v>
      </c>
    </row>
    <row r="13" spans="2:12" x14ac:dyDescent="0.4">
      <c r="B13" s="107"/>
      <c r="C13" s="109" t="s">
        <v>3</v>
      </c>
      <c r="D13" s="3" t="s">
        <v>5</v>
      </c>
      <c r="E13" s="94">
        <v>95</v>
      </c>
      <c r="F13" s="94">
        <v>87</v>
      </c>
      <c r="G13" s="94">
        <v>80</v>
      </c>
      <c r="H13" s="94">
        <v>74</v>
      </c>
      <c r="I13" s="94">
        <v>72</v>
      </c>
      <c r="J13" s="94">
        <v>67</v>
      </c>
      <c r="K13" s="94">
        <v>63</v>
      </c>
      <c r="L13" s="95"/>
    </row>
    <row r="14" spans="2:12" x14ac:dyDescent="0.4">
      <c r="B14" s="107"/>
      <c r="C14" s="109"/>
      <c r="D14" s="12" t="s">
        <v>19</v>
      </c>
      <c r="E14" s="94">
        <v>100</v>
      </c>
      <c r="F14" s="94">
        <v>90</v>
      </c>
      <c r="G14" s="94">
        <v>83</v>
      </c>
      <c r="H14" s="94">
        <v>80</v>
      </c>
      <c r="I14" s="94">
        <v>74</v>
      </c>
      <c r="J14" s="94">
        <v>69</v>
      </c>
      <c r="K14" s="94">
        <v>67</v>
      </c>
      <c r="L14" s="95"/>
    </row>
    <row r="15" spans="2:12" ht="18" thickBot="1" x14ac:dyDescent="0.45">
      <c r="B15" s="108"/>
      <c r="C15" s="110"/>
      <c r="D15" s="15" t="s">
        <v>9</v>
      </c>
      <c r="E15" s="8"/>
      <c r="F15" s="8"/>
      <c r="G15" s="8"/>
      <c r="H15" s="8"/>
      <c r="I15" s="8"/>
      <c r="J15" s="8"/>
      <c r="K15" s="8"/>
      <c r="L15" s="9"/>
    </row>
    <row r="16" spans="2:12" ht="18" thickBot="1" x14ac:dyDescent="0.45"/>
    <row r="17" spans="2:11" x14ac:dyDescent="0.4">
      <c r="B17" s="111" t="s">
        <v>20</v>
      </c>
      <c r="C17" s="114" t="s">
        <v>21</v>
      </c>
      <c r="D17" s="5" t="s">
        <v>24</v>
      </c>
      <c r="E17" s="5">
        <v>31</v>
      </c>
      <c r="F17" s="103" t="s">
        <v>57</v>
      </c>
      <c r="G17" s="104"/>
      <c r="H17" s="104"/>
      <c r="I17" s="105"/>
      <c r="K17" t="s">
        <v>58</v>
      </c>
    </row>
    <row r="18" spans="2:11" x14ac:dyDescent="0.4">
      <c r="B18" s="112"/>
      <c r="C18" s="115"/>
      <c r="D18" s="3" t="s">
        <v>56</v>
      </c>
      <c r="E18" s="3">
        <v>83</v>
      </c>
      <c r="F18" s="3"/>
      <c r="G18" s="3"/>
      <c r="H18" s="3"/>
      <c r="I18" s="14"/>
    </row>
    <row r="19" spans="2:11" x14ac:dyDescent="0.4">
      <c r="B19" s="112"/>
      <c r="C19" s="116" t="s">
        <v>22</v>
      </c>
      <c r="D19" s="3" t="s">
        <v>25</v>
      </c>
      <c r="E19" s="3">
        <v>100</v>
      </c>
      <c r="F19" s="3"/>
      <c r="G19" s="3"/>
      <c r="H19" s="3"/>
      <c r="I19" s="14"/>
    </row>
    <row r="20" spans="2:11" ht="18" thickBot="1" x14ac:dyDescent="0.45">
      <c r="B20" s="113"/>
      <c r="C20" s="117"/>
      <c r="D20" s="8" t="s">
        <v>26</v>
      </c>
      <c r="E20" s="8">
        <v>95</v>
      </c>
      <c r="F20" s="8"/>
      <c r="G20" s="8"/>
      <c r="H20" s="8"/>
      <c r="I20" s="9"/>
    </row>
    <row r="21" spans="2:11" ht="18" thickBot="1" x14ac:dyDescent="0.45">
      <c r="B21" s="2"/>
    </row>
    <row r="22" spans="2:11" x14ac:dyDescent="0.4">
      <c r="B22" s="106" t="s">
        <v>27</v>
      </c>
      <c r="C22" s="121" t="s">
        <v>38</v>
      </c>
      <c r="D22" s="5" t="s">
        <v>40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</row>
    <row r="23" spans="2:11" x14ac:dyDescent="0.4">
      <c r="B23" s="107"/>
      <c r="C23" s="109"/>
      <c r="D23" s="3" t="s">
        <v>41</v>
      </c>
      <c r="E23" s="3">
        <v>94</v>
      </c>
      <c r="F23" s="3">
        <v>86</v>
      </c>
      <c r="G23" s="3">
        <v>82</v>
      </c>
      <c r="H23" s="3">
        <v>76</v>
      </c>
      <c r="I23" s="14">
        <v>70</v>
      </c>
    </row>
    <row r="24" spans="2:11" ht="18" thickBot="1" x14ac:dyDescent="0.45">
      <c r="B24" s="108"/>
      <c r="C24" s="96" t="s">
        <v>39</v>
      </c>
      <c r="D24" s="8" t="s">
        <v>45</v>
      </c>
      <c r="E24" s="118">
        <v>500</v>
      </c>
      <c r="F24" s="119"/>
      <c r="G24" s="119"/>
      <c r="H24" s="119"/>
      <c r="I24" s="120"/>
    </row>
    <row r="25" spans="2:11" ht="18" thickBot="1" x14ac:dyDescent="0.45"/>
    <row r="26" spans="2:11" x14ac:dyDescent="0.4">
      <c r="B26" s="106" t="s">
        <v>28</v>
      </c>
      <c r="C26" s="99" t="s">
        <v>23</v>
      </c>
      <c r="D26" s="5" t="s">
        <v>46</v>
      </c>
      <c r="E26" s="5">
        <v>40</v>
      </c>
      <c r="F26" s="5"/>
      <c r="G26" s="5"/>
      <c r="H26" s="5"/>
      <c r="I26" s="6"/>
    </row>
    <row r="27" spans="2:11" x14ac:dyDescent="0.4">
      <c r="B27" s="107"/>
      <c r="C27" s="109" t="s">
        <v>47</v>
      </c>
      <c r="D27" s="3" t="s">
        <v>48</v>
      </c>
      <c r="E27" s="3">
        <v>100</v>
      </c>
      <c r="F27" s="3">
        <v>96</v>
      </c>
      <c r="G27" s="3"/>
      <c r="H27" s="3">
        <v>80</v>
      </c>
      <c r="I27" s="14"/>
    </row>
    <row r="28" spans="2:11" x14ac:dyDescent="0.4">
      <c r="B28" s="107"/>
      <c r="C28" s="109"/>
      <c r="D28" s="3" t="s">
        <v>49</v>
      </c>
      <c r="E28" s="3">
        <v>83</v>
      </c>
      <c r="F28" s="3">
        <v>77</v>
      </c>
      <c r="G28" s="3"/>
      <c r="H28" s="3">
        <v>74</v>
      </c>
      <c r="I28" s="14"/>
    </row>
    <row r="29" spans="2:11" ht="18" thickBot="1" x14ac:dyDescent="0.45">
      <c r="B29" s="108"/>
      <c r="C29" s="110"/>
      <c r="D29" s="8" t="s">
        <v>50</v>
      </c>
      <c r="E29" s="8" t="s">
        <v>42</v>
      </c>
      <c r="F29" s="8" t="s">
        <v>42</v>
      </c>
      <c r="G29" s="8" t="s">
        <v>42</v>
      </c>
      <c r="H29" s="8" t="s">
        <v>42</v>
      </c>
      <c r="I29" s="9" t="s">
        <v>42</v>
      </c>
    </row>
    <row r="30" spans="2:11" ht="18" thickBot="1" x14ac:dyDescent="0.45"/>
    <row r="31" spans="2:11" ht="18" thickBot="1" x14ac:dyDescent="0.45">
      <c r="D31" s="20" t="s">
        <v>55</v>
      </c>
      <c r="E31" s="21" t="s">
        <v>54</v>
      </c>
      <c r="F31" s="22" t="s">
        <v>52</v>
      </c>
      <c r="G31" s="155" t="s">
        <v>12</v>
      </c>
    </row>
    <row r="32" spans="2:11" x14ac:dyDescent="0.4">
      <c r="B32" s="160" t="s">
        <v>29</v>
      </c>
      <c r="C32" s="156" t="s">
        <v>33</v>
      </c>
      <c r="D32" s="18" t="s">
        <v>30</v>
      </c>
      <c r="E32" s="18">
        <v>19</v>
      </c>
      <c r="F32" s="19"/>
    </row>
    <row r="33" spans="2:11" x14ac:dyDescent="0.4">
      <c r="B33" s="161"/>
      <c r="C33" s="157"/>
      <c r="D33" s="3" t="s">
        <v>35</v>
      </c>
      <c r="E33" s="3">
        <v>87</v>
      </c>
      <c r="F33" s="14"/>
    </row>
    <row r="34" spans="2:11" x14ac:dyDescent="0.4">
      <c r="B34" s="161"/>
      <c r="C34" s="158" t="s">
        <v>34</v>
      </c>
      <c r="D34" s="3" t="s">
        <v>31</v>
      </c>
      <c r="E34" s="3">
        <v>19</v>
      </c>
      <c r="F34" s="14"/>
      <c r="J34" s="155"/>
      <c r="K34" s="155"/>
    </row>
    <row r="35" spans="2:11" x14ac:dyDescent="0.4">
      <c r="B35" s="161"/>
      <c r="C35" s="157"/>
      <c r="D35" s="3" t="s">
        <v>36</v>
      </c>
      <c r="E35" s="3">
        <v>83</v>
      </c>
      <c r="F35" s="14"/>
    </row>
    <row r="36" spans="2:11" x14ac:dyDescent="0.4">
      <c r="B36" s="161"/>
      <c r="C36" s="158" t="s">
        <v>51</v>
      </c>
      <c r="D36" s="3" t="s">
        <v>32</v>
      </c>
      <c r="E36" s="3" t="s">
        <v>52</v>
      </c>
      <c r="F36" s="14">
        <v>22</v>
      </c>
    </row>
    <row r="37" spans="2:11" ht="18" thickBot="1" x14ac:dyDescent="0.45">
      <c r="B37" s="162"/>
      <c r="C37" s="159"/>
      <c r="D37" s="8" t="s">
        <v>37</v>
      </c>
      <c r="E37" s="8" t="s">
        <v>52</v>
      </c>
      <c r="F37" s="9">
        <v>74</v>
      </c>
    </row>
  </sheetData>
  <mergeCells count="12">
    <mergeCell ref="C27:C29"/>
    <mergeCell ref="B9:B15"/>
    <mergeCell ref="C10:C12"/>
    <mergeCell ref="C13:C15"/>
    <mergeCell ref="B17:B20"/>
    <mergeCell ref="C17:C18"/>
    <mergeCell ref="C19:C20"/>
    <mergeCell ref="B22:B24"/>
    <mergeCell ref="C22:C23"/>
    <mergeCell ref="E24:I24"/>
    <mergeCell ref="B26:B29"/>
    <mergeCell ref="F17:I17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Npm</vt:lpstr>
      <vt:lpstr>DPM표</vt:lpstr>
      <vt:lpstr>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jsh</dc:creator>
  <cp:lastModifiedBy>jsh</cp:lastModifiedBy>
  <dcterms:created xsi:type="dcterms:W3CDTF">2020-05-26T02:31:13Z</dcterms:created>
  <dcterms:modified xsi:type="dcterms:W3CDTF">2020-08-10T01:43:38Z</dcterms:modified>
</cp:coreProperties>
</file>