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\MapleStory\MapleStory\Project\Project1(공식 및 DPM 분석)\"/>
    </mc:Choice>
  </mc:AlternateContent>
  <xr:revisionPtr revIDLastSave="0" documentId="13_ncr:1_{1AECEB7B-DFB3-4B52-A231-BAB9BA93AE32}" xr6:coauthVersionLast="45" xr6:coauthVersionMax="45" xr10:uidLastSave="{00000000-0000-0000-0000-000000000000}"/>
  <bookViews>
    <workbookView xWindow="-108" yWindow="-108" windowWidth="23256" windowHeight="12576" activeTab="7" xr2:uid="{A70D4F0B-AC37-4257-A510-E4063F27CAB4}"/>
  </bookViews>
  <sheets>
    <sheet name="Npm" sheetId="1" r:id="rId1"/>
    <sheet name="DPM표" sheetId="3" r:id="rId2"/>
    <sheet name="자료 비교" sheetId="5" r:id="rId3"/>
    <sheet name="스펙1" sheetId="6" r:id="rId4"/>
    <sheet name="유저 자료" sheetId="7" r:id="rId5"/>
    <sheet name="졸업템 스펙 정리" sheetId="8" r:id="rId6"/>
    <sheet name="스근님 법사 스펙" sheetId="10" r:id="rId7"/>
    <sheet name="Sheet1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K36" i="1" s="1"/>
  <c r="I41" i="1"/>
  <c r="J41" i="1" s="1"/>
  <c r="K41" i="1" s="1"/>
  <c r="L41" i="1" s="1"/>
  <c r="M41" i="1" s="1"/>
  <c r="N41" i="1" s="1"/>
  <c r="K40" i="1"/>
  <c r="L40" i="1"/>
  <c r="M40" i="1"/>
  <c r="N40" i="1"/>
  <c r="J40" i="1"/>
  <c r="J37" i="1" l="1"/>
  <c r="K37" i="1" s="1"/>
  <c r="G42" i="10"/>
  <c r="S31" i="10"/>
  <c r="S32" i="10"/>
  <c r="S30" i="10"/>
  <c r="Q15" i="10"/>
  <c r="P15" i="10"/>
  <c r="I15" i="10"/>
  <c r="H15" i="10"/>
  <c r="G15" i="10"/>
  <c r="F15" i="10"/>
  <c r="E15" i="10"/>
  <c r="D15" i="10"/>
  <c r="D20" i="10" s="1"/>
  <c r="R13" i="10"/>
  <c r="R15" i="10" s="1"/>
  <c r="D22" i="10" l="1"/>
  <c r="E22" i="10"/>
  <c r="R30" i="10" s="1"/>
  <c r="E20" i="10"/>
  <c r="R26" i="10" s="1"/>
  <c r="Q31" i="10"/>
  <c r="Q32" i="10"/>
  <c r="Q30" i="10"/>
  <c r="Q34" i="10"/>
  <c r="Q29" i="10"/>
  <c r="Q25" i="10"/>
  <c r="Q35" i="10"/>
  <c r="Q26" i="10"/>
  <c r="Q27" i="10"/>
  <c r="Q33" i="10"/>
  <c r="Q28" i="10"/>
  <c r="Q36" i="10"/>
  <c r="R35" i="10"/>
  <c r="R27" i="10"/>
  <c r="R33" i="10"/>
  <c r="R29" i="10"/>
  <c r="R25" i="10"/>
  <c r="F22" i="10"/>
  <c r="F20" i="10"/>
  <c r="R13" i="8"/>
  <c r="N13" i="8"/>
  <c r="D23" i="9"/>
  <c r="C24" i="9"/>
  <c r="R34" i="10" l="1"/>
  <c r="R36" i="10"/>
  <c r="R28" i="10"/>
  <c r="R32" i="10"/>
  <c r="R31" i="10"/>
  <c r="S36" i="10"/>
  <c r="S27" i="10"/>
  <c r="S33" i="10"/>
  <c r="S28" i="10"/>
  <c r="S34" i="10"/>
  <c r="S29" i="10"/>
  <c r="S25" i="10"/>
  <c r="S35" i="10"/>
  <c r="S26" i="10"/>
  <c r="K34" i="8"/>
  <c r="K35" i="8"/>
  <c r="K36" i="8"/>
  <c r="K33" i="8"/>
  <c r="K26" i="8"/>
  <c r="K27" i="8"/>
  <c r="K28" i="8"/>
  <c r="K29" i="8"/>
  <c r="K25" i="8"/>
  <c r="H30" i="8"/>
  <c r="I30" i="8"/>
  <c r="J30" i="8"/>
  <c r="H31" i="8"/>
  <c r="I31" i="8"/>
  <c r="J31" i="8"/>
  <c r="H32" i="8"/>
  <c r="I32" i="8"/>
  <c r="J32" i="8"/>
  <c r="H34" i="8"/>
  <c r="I34" i="8"/>
  <c r="J34" i="8"/>
  <c r="H35" i="8"/>
  <c r="I35" i="8"/>
  <c r="J35" i="8"/>
  <c r="H36" i="8"/>
  <c r="I36" i="8"/>
  <c r="J36" i="8"/>
  <c r="J33" i="8"/>
  <c r="I33" i="8"/>
  <c r="H33" i="8"/>
  <c r="H29" i="8"/>
  <c r="I29" i="8"/>
  <c r="J29" i="8"/>
  <c r="H26" i="8"/>
  <c r="I26" i="8"/>
  <c r="J26" i="8"/>
  <c r="H27" i="8"/>
  <c r="I27" i="8"/>
  <c r="J27" i="8"/>
  <c r="H28" i="8"/>
  <c r="I28" i="8"/>
  <c r="J28" i="8"/>
  <c r="J25" i="8"/>
  <c r="H25" i="8"/>
  <c r="I25" i="8"/>
  <c r="R15" i="8"/>
  <c r="Q15" i="8"/>
  <c r="P15" i="8"/>
  <c r="L15" i="8"/>
  <c r="D20" i="8" s="1"/>
  <c r="N15" i="8"/>
  <c r="M15" i="8"/>
  <c r="E15" i="8"/>
  <c r="F15" i="8"/>
  <c r="G15" i="8"/>
  <c r="H15" i="8"/>
  <c r="I15" i="8"/>
  <c r="D15" i="8"/>
  <c r="Q33" i="8" l="1"/>
  <c r="Q28" i="8"/>
  <c r="Q29" i="8"/>
  <c r="Q25" i="8"/>
  <c r="Q35" i="8"/>
  <c r="Q26" i="8"/>
  <c r="Q36" i="8"/>
  <c r="Q34" i="8"/>
  <c r="Q27" i="8"/>
  <c r="E22" i="8"/>
  <c r="R32" i="8" s="1"/>
  <c r="E20" i="8"/>
  <c r="R34" i="8" s="1"/>
  <c r="F20" i="8"/>
  <c r="D22" i="8"/>
  <c r="F22" i="8"/>
  <c r="R29" i="8"/>
  <c r="R26" i="8"/>
  <c r="R33" i="8"/>
  <c r="D11" i="7"/>
  <c r="D12" i="7"/>
  <c r="D10" i="7"/>
  <c r="D6" i="7"/>
  <c r="D7" i="7"/>
  <c r="D8" i="7"/>
  <c r="D9" i="7"/>
  <c r="D13" i="7"/>
  <c r="D14" i="7"/>
  <c r="D15" i="7"/>
  <c r="D16" i="7"/>
  <c r="D5" i="7"/>
  <c r="C16" i="7"/>
  <c r="C14" i="7"/>
  <c r="C9" i="7"/>
  <c r="C8" i="7"/>
  <c r="C7" i="7"/>
  <c r="C5" i="7"/>
  <c r="R4" i="6"/>
  <c r="I22" i="6"/>
  <c r="I23" i="6"/>
  <c r="I24" i="6"/>
  <c r="I25" i="6"/>
  <c r="I29" i="6"/>
  <c r="I28" i="6"/>
  <c r="I27" i="6"/>
  <c r="I26" i="6"/>
  <c r="I19" i="6"/>
  <c r="I20" i="6"/>
  <c r="I21" i="6"/>
  <c r="I18" i="6"/>
  <c r="G27" i="6"/>
  <c r="G28" i="6"/>
  <c r="G29" i="6"/>
  <c r="G26" i="6"/>
  <c r="G19" i="6"/>
  <c r="G20" i="6"/>
  <c r="G21" i="6"/>
  <c r="G22" i="6"/>
  <c r="G18" i="6"/>
  <c r="R3" i="6"/>
  <c r="P3" i="6"/>
  <c r="N3" i="6"/>
  <c r="N5" i="6"/>
  <c r="N4" i="6"/>
  <c r="E24" i="6"/>
  <c r="E25" i="6"/>
  <c r="E23" i="6"/>
  <c r="E26" i="6"/>
  <c r="E27" i="6"/>
  <c r="E28" i="6"/>
  <c r="E29" i="6"/>
  <c r="E19" i="6"/>
  <c r="E20" i="6"/>
  <c r="E21" i="6"/>
  <c r="E22" i="6"/>
  <c r="E18" i="6"/>
  <c r="H11" i="6"/>
  <c r="H10" i="6"/>
  <c r="H13" i="6"/>
  <c r="H14" i="6"/>
  <c r="H12" i="6"/>
  <c r="G24" i="6" s="1"/>
  <c r="H9" i="6"/>
  <c r="G23" i="6" s="1"/>
  <c r="G13" i="6"/>
  <c r="G14" i="6"/>
  <c r="G12" i="6"/>
  <c r="F23" i="6" s="1"/>
  <c r="C13" i="6"/>
  <c r="C14" i="6"/>
  <c r="C12" i="6"/>
  <c r="C9" i="6"/>
  <c r="C10" i="6"/>
  <c r="G9" i="6"/>
  <c r="C11" i="6"/>
  <c r="R31" i="8" l="1"/>
  <c r="R30" i="8"/>
  <c r="S31" i="8"/>
  <c r="S32" i="8"/>
  <c r="S30" i="8"/>
  <c r="S33" i="8"/>
  <c r="S29" i="8"/>
  <c r="S28" i="8"/>
  <c r="S34" i="8"/>
  <c r="S26" i="8"/>
  <c r="S25" i="8"/>
  <c r="S35" i="8"/>
  <c r="S27" i="8"/>
  <c r="S36" i="8"/>
  <c r="Q31" i="8"/>
  <c r="Q30" i="8"/>
  <c r="Q32" i="8"/>
  <c r="R35" i="8"/>
  <c r="R28" i="8"/>
  <c r="R25" i="8"/>
  <c r="R36" i="8"/>
  <c r="R27" i="8"/>
  <c r="F25" i="6"/>
  <c r="F27" i="6"/>
  <c r="F19" i="6"/>
  <c r="F22" i="6"/>
  <c r="F29" i="6"/>
  <c r="F24" i="6"/>
  <c r="F18" i="6"/>
  <c r="F26" i="6"/>
  <c r="F21" i="6"/>
  <c r="F28" i="6"/>
  <c r="F20" i="6"/>
  <c r="G25" i="6"/>
  <c r="A23" i="3"/>
  <c r="A24" i="3"/>
  <c r="A25" i="3"/>
  <c r="A26" i="3"/>
  <c r="A27" i="3"/>
  <c r="A28" i="3"/>
  <c r="A29" i="3"/>
  <c r="A30" i="3"/>
  <c r="A31" i="3"/>
  <c r="A32" i="3"/>
  <c r="A33" i="3"/>
  <c r="A22" i="3"/>
  <c r="R18" i="3" l="1"/>
  <c r="S25" i="3" l="1"/>
  <c r="R25" i="3"/>
  <c r="Y47" i="3" l="1"/>
  <c r="X47" i="3"/>
  <c r="Q22" i="3"/>
  <c r="N4" i="3" l="1"/>
  <c r="M4" i="3"/>
  <c r="L4" i="3"/>
  <c r="J4" i="3"/>
  <c r="H28" i="3" l="1"/>
  <c r="H29" i="3"/>
  <c r="H27" i="3"/>
  <c r="S42" i="3" l="1"/>
  <c r="R29" i="3"/>
  <c r="S29" i="3"/>
  <c r="Y44" i="3" s="1"/>
  <c r="S28" i="3"/>
  <c r="Y43" i="3" s="1"/>
  <c r="R28" i="3"/>
  <c r="S27" i="3"/>
  <c r="Y42" i="3" s="1"/>
  <c r="R27" i="3"/>
  <c r="X42" i="3" s="1"/>
  <c r="U38" i="3"/>
  <c r="U39" i="3"/>
  <c r="U40" i="3"/>
  <c r="U41" i="3"/>
  <c r="U42" i="3"/>
  <c r="U43" i="3"/>
  <c r="U44" i="3"/>
  <c r="U47" i="3"/>
  <c r="U48" i="3"/>
  <c r="U37" i="3"/>
  <c r="S47" i="3"/>
  <c r="S48" i="3"/>
  <c r="S38" i="3"/>
  <c r="S39" i="3"/>
  <c r="S40" i="3"/>
  <c r="S41" i="3"/>
  <c r="S37" i="3"/>
  <c r="F31" i="3"/>
  <c r="F32" i="3"/>
  <c r="F30" i="3"/>
  <c r="F28" i="3"/>
  <c r="F27" i="3"/>
  <c r="F23" i="3"/>
  <c r="F22" i="3"/>
  <c r="X44" i="3" l="1"/>
  <c r="X43" i="3"/>
  <c r="E33" i="3"/>
  <c r="E32" i="3"/>
  <c r="E31" i="3"/>
  <c r="E30" i="3"/>
  <c r="E28" i="3"/>
  <c r="E27" i="3"/>
  <c r="E25" i="3"/>
  <c r="E24" i="3"/>
  <c r="E23" i="3"/>
  <c r="E22" i="3"/>
  <c r="I31" i="3" l="1"/>
  <c r="I32" i="3"/>
  <c r="I33" i="3"/>
  <c r="I30" i="3"/>
  <c r="I26" i="3"/>
  <c r="I25" i="3"/>
  <c r="I23" i="3"/>
  <c r="I24" i="3"/>
  <c r="I22" i="3"/>
  <c r="E26" i="3"/>
  <c r="L24" i="3" l="1"/>
  <c r="U24" i="3" s="1"/>
  <c r="K24" i="3"/>
  <c r="L23" i="3"/>
  <c r="K23" i="3"/>
  <c r="L31" i="3"/>
  <c r="L22" i="3"/>
  <c r="E29" i="3" l="1"/>
  <c r="K33" i="3"/>
  <c r="K32" i="3"/>
  <c r="K31" i="3"/>
  <c r="K30" i="3"/>
  <c r="K29" i="3"/>
  <c r="K28" i="3"/>
  <c r="K27" i="3"/>
  <c r="K26" i="3"/>
  <c r="K25" i="3"/>
  <c r="T25" i="3" s="1"/>
  <c r="K22" i="3"/>
  <c r="L27" i="3" l="1"/>
  <c r="U27" i="3" s="1"/>
  <c r="T27" i="3"/>
  <c r="L32" i="3"/>
  <c r="L28" i="3"/>
  <c r="U28" i="3" s="1"/>
  <c r="T28" i="3"/>
  <c r="L29" i="3"/>
  <c r="U29" i="3" s="1"/>
  <c r="T29" i="3"/>
  <c r="L33" i="3"/>
  <c r="L26" i="3"/>
  <c r="L30" i="3"/>
  <c r="L25" i="3"/>
  <c r="U25" i="3" s="1"/>
  <c r="H33" i="3" l="1"/>
  <c r="H25" i="3"/>
  <c r="H30" i="3"/>
  <c r="H26" i="3"/>
  <c r="H31" i="3"/>
  <c r="H23" i="3"/>
  <c r="H22" i="3"/>
  <c r="H32" i="3"/>
  <c r="H24" i="3"/>
  <c r="P22" i="3" l="1"/>
  <c r="Q30" i="3"/>
  <c r="P30" i="3"/>
  <c r="P23" i="3"/>
  <c r="Q23" i="3"/>
  <c r="Q25" i="3"/>
  <c r="W40" i="3"/>
  <c r="P25" i="3"/>
  <c r="Y40" i="3"/>
  <c r="V40" i="3"/>
  <c r="X40" i="3"/>
  <c r="Q24" i="3"/>
  <c r="P24" i="3"/>
  <c r="Q31" i="3"/>
  <c r="P31" i="3"/>
  <c r="Q33" i="3"/>
  <c r="P33" i="3"/>
  <c r="Q32" i="3"/>
  <c r="P32" i="3"/>
  <c r="P26" i="3"/>
  <c r="Q26" i="3"/>
  <c r="R24" i="3" l="1"/>
  <c r="X39" i="3"/>
  <c r="V45" i="3"/>
  <c r="X45" i="3"/>
  <c r="R30" i="3"/>
  <c r="X41" i="3"/>
  <c r="R26" i="3"/>
  <c r="Y48" i="3"/>
  <c r="S33" i="3"/>
  <c r="S24" i="3"/>
  <c r="Y39" i="3"/>
  <c r="S30" i="3"/>
  <c r="Y45" i="3"/>
  <c r="W45" i="3"/>
  <c r="Y41" i="3"/>
  <c r="S26" i="3"/>
  <c r="V47" i="3"/>
  <c r="R32" i="3"/>
  <c r="V46" i="3"/>
  <c r="X46" i="3"/>
  <c r="R31" i="3"/>
  <c r="Y38" i="3"/>
  <c r="S23" i="3"/>
  <c r="X37" i="3"/>
  <c r="R22" i="3"/>
  <c r="R33" i="3"/>
  <c r="X48" i="3"/>
  <c r="T24" i="3"/>
  <c r="W47" i="3"/>
  <c r="S32" i="3"/>
  <c r="Y46" i="3"/>
  <c r="W46" i="3"/>
  <c r="S31" i="3"/>
  <c r="X38" i="3"/>
  <c r="R23" i="3"/>
  <c r="Y37" i="3"/>
  <c r="S22" i="3"/>
  <c r="T23" i="3" l="1"/>
  <c r="U23" i="3"/>
  <c r="U22" i="3"/>
  <c r="T22" i="3"/>
  <c r="U31" i="3"/>
  <c r="T31" i="3"/>
  <c r="T26" i="3"/>
  <c r="U26" i="3"/>
  <c r="T33" i="3"/>
  <c r="U33" i="3"/>
  <c r="T32" i="3"/>
  <c r="U32" i="3"/>
  <c r="W32" i="3" s="1"/>
  <c r="T30" i="3"/>
  <c r="U30" i="3"/>
  <c r="W26" i="3" l="1"/>
  <c r="V32" i="3"/>
  <c r="W29" i="3"/>
  <c r="W28" i="3"/>
  <c r="W24" i="3"/>
  <c r="W22" i="3"/>
  <c r="W25" i="3"/>
  <c r="W27" i="3"/>
  <c r="W30" i="3"/>
  <c r="W33" i="3"/>
  <c r="V31" i="3"/>
  <c r="W23" i="3"/>
  <c r="V27" i="3"/>
  <c r="V24" i="3"/>
  <c r="V29" i="3"/>
  <c r="V25" i="3"/>
  <c r="V28" i="3"/>
  <c r="V22" i="3"/>
  <c r="V26" i="3"/>
  <c r="V30" i="3"/>
  <c r="V33" i="3"/>
  <c r="W31" i="3"/>
  <c r="V23" i="3"/>
</calcChain>
</file>

<file path=xl/sharedStrings.xml><?xml version="1.0" encoding="utf-8"?>
<sst xmlns="http://schemas.openxmlformats.org/spreadsheetml/2006/main" count="788" uniqueCount="296">
  <si>
    <t>전사</t>
    <phoneticPr fontId="1" type="noConversion"/>
  </si>
  <si>
    <t>히어로</t>
    <phoneticPr fontId="1" type="noConversion"/>
  </si>
  <si>
    <t>다크나이트</t>
    <phoneticPr fontId="1" type="noConversion"/>
  </si>
  <si>
    <t>팔라딘</t>
    <phoneticPr fontId="1" type="noConversion"/>
  </si>
  <si>
    <t>브랜디쉬</t>
    <phoneticPr fontId="1" type="noConversion"/>
  </si>
  <si>
    <t>블래스트</t>
    <phoneticPr fontId="1" type="noConversion"/>
  </si>
  <si>
    <t>버스터</t>
    <phoneticPr fontId="1" type="noConversion"/>
  </si>
  <si>
    <t>로어</t>
    <phoneticPr fontId="1" type="noConversion"/>
  </si>
  <si>
    <t>생츄어리</t>
    <phoneticPr fontId="1" type="noConversion"/>
  </si>
  <si>
    <t>부스터 스킬은 공속 2단계 향상</t>
    <phoneticPr fontId="1" type="noConversion"/>
  </si>
  <si>
    <t>윈드 부스터는 중첩이 되면서 공속 2단계 향상</t>
    <phoneticPr fontId="1" type="noConversion"/>
  </si>
  <si>
    <t>마법사는 매직 부스터의 영향만 받는다</t>
    <phoneticPr fontId="1" type="noConversion"/>
  </si>
  <si>
    <t>풀공속</t>
    <phoneticPr fontId="1" type="noConversion"/>
  </si>
  <si>
    <t>매우빠름</t>
    <phoneticPr fontId="1" type="noConversion"/>
  </si>
  <si>
    <t>빠름</t>
    <phoneticPr fontId="1" type="noConversion"/>
  </si>
  <si>
    <t>보통</t>
    <phoneticPr fontId="1" type="noConversion"/>
  </si>
  <si>
    <t>느림</t>
    <phoneticPr fontId="1" type="noConversion"/>
  </si>
  <si>
    <t>매우 느림</t>
    <phoneticPr fontId="1" type="noConversion"/>
  </si>
  <si>
    <t>차지 블로우(어차)</t>
    <phoneticPr fontId="1" type="noConversion"/>
  </si>
  <si>
    <t>도적</t>
    <phoneticPr fontId="1" type="noConversion"/>
  </si>
  <si>
    <t>섀도어</t>
    <phoneticPr fontId="1" type="noConversion"/>
  </si>
  <si>
    <t>나이트 로드</t>
    <phoneticPr fontId="1" type="noConversion"/>
  </si>
  <si>
    <t>바이퍼</t>
    <phoneticPr fontId="1" type="noConversion"/>
  </si>
  <si>
    <t>부스 + 시브 + 시브</t>
    <phoneticPr fontId="1" type="noConversion"/>
  </si>
  <si>
    <t>트스</t>
    <phoneticPr fontId="1" type="noConversion"/>
  </si>
  <si>
    <t>어벤져</t>
    <phoneticPr fontId="1" type="noConversion"/>
  </si>
  <si>
    <t>궁수</t>
    <phoneticPr fontId="1" type="noConversion"/>
  </si>
  <si>
    <t>해적</t>
    <phoneticPr fontId="1" type="noConversion"/>
  </si>
  <si>
    <t>마법사</t>
    <phoneticPr fontId="1" type="noConversion"/>
  </si>
  <si>
    <t>블리자드</t>
    <phoneticPr fontId="1" type="noConversion"/>
  </si>
  <si>
    <t>메테오</t>
    <phoneticPr fontId="1" type="noConversion"/>
  </si>
  <si>
    <t>제네시스</t>
    <phoneticPr fontId="1" type="noConversion"/>
  </si>
  <si>
    <t>썬콜</t>
    <phoneticPr fontId="1" type="noConversion"/>
  </si>
  <si>
    <t>불독</t>
    <phoneticPr fontId="1" type="noConversion"/>
  </si>
  <si>
    <t>체라</t>
    <phoneticPr fontId="1" type="noConversion"/>
  </si>
  <si>
    <t>패럴</t>
    <phoneticPr fontId="1" type="noConversion"/>
  </si>
  <si>
    <t>엔레</t>
    <phoneticPr fontId="1" type="noConversion"/>
  </si>
  <si>
    <t>신궁</t>
    <phoneticPr fontId="1" type="noConversion"/>
  </si>
  <si>
    <t>보마</t>
    <phoneticPr fontId="1" type="noConversion"/>
  </si>
  <si>
    <t>피어싱</t>
    <phoneticPr fontId="1" type="noConversion"/>
  </si>
  <si>
    <t>스트레이트</t>
    <phoneticPr fontId="1" type="noConversion"/>
  </si>
  <si>
    <t>공속</t>
    <phoneticPr fontId="1" type="noConversion"/>
  </si>
  <si>
    <t>스킬</t>
    <phoneticPr fontId="1" type="noConversion"/>
  </si>
  <si>
    <t>폭풍의 시</t>
    <phoneticPr fontId="1" type="noConversion"/>
  </si>
  <si>
    <t>드스 + 샤크 웨이브</t>
    <phoneticPr fontId="1" type="noConversion"/>
  </si>
  <si>
    <t>캡틴</t>
    <phoneticPr fontId="1" type="noConversion"/>
  </si>
  <si>
    <t>배틀쉽 캐논</t>
    <phoneticPr fontId="1" type="noConversion"/>
  </si>
  <si>
    <t>배틀쉽 토르페도</t>
    <phoneticPr fontId="1" type="noConversion"/>
  </si>
  <si>
    <t>비숍</t>
    <phoneticPr fontId="1" type="noConversion"/>
  </si>
  <si>
    <t>X</t>
    <phoneticPr fontId="1" type="noConversion"/>
  </si>
  <si>
    <t>마법사는 매직 부스터의 영향만 받는다</t>
    <phoneticPr fontId="1" type="noConversion"/>
  </si>
  <si>
    <t>O</t>
    <phoneticPr fontId="1" type="noConversion"/>
  </si>
  <si>
    <t>매직 부스터 유무</t>
    <phoneticPr fontId="1" type="noConversion"/>
  </si>
  <si>
    <t>새비지</t>
    <phoneticPr fontId="1" type="noConversion"/>
  </si>
  <si>
    <t>(부스 + 새비 + 새비)와 동일</t>
    <phoneticPr fontId="1" type="noConversion"/>
  </si>
  <si>
    <t>// 일반적으로 부스터를 사용할 경우 풀 공속 달성 //</t>
    <phoneticPr fontId="1" type="noConversion"/>
  </si>
  <si>
    <t>마력</t>
    <phoneticPr fontId="1" type="noConversion"/>
  </si>
  <si>
    <t>기준 레벨 : 정복자 300</t>
    <phoneticPr fontId="1" type="noConversion"/>
  </si>
  <si>
    <t xml:space="preserve">스텟작은 하지 않음 </t>
    <phoneticPr fontId="1" type="noConversion"/>
  </si>
  <si>
    <t>정렙 전</t>
    <phoneticPr fontId="1" type="noConversion"/>
  </si>
  <si>
    <t>0~99</t>
    <phoneticPr fontId="1" type="noConversion"/>
  </si>
  <si>
    <t>100~199</t>
    <phoneticPr fontId="1" type="noConversion"/>
  </si>
  <si>
    <t>200~299</t>
    <phoneticPr fontId="1" type="noConversion"/>
  </si>
  <si>
    <t>기타</t>
    <phoneticPr fontId="1" type="noConversion"/>
  </si>
  <si>
    <t>Total</t>
    <phoneticPr fontId="1" type="noConversion"/>
  </si>
  <si>
    <t>상의</t>
    <phoneticPr fontId="1" type="noConversion"/>
  </si>
  <si>
    <t>하의</t>
    <phoneticPr fontId="1" type="noConversion"/>
  </si>
  <si>
    <t>모자</t>
    <phoneticPr fontId="1" type="noConversion"/>
  </si>
  <si>
    <t>신발</t>
    <phoneticPr fontId="1" type="noConversion"/>
  </si>
  <si>
    <t>망토</t>
    <phoneticPr fontId="1" type="noConversion"/>
  </si>
  <si>
    <t>장갑</t>
    <phoneticPr fontId="1" type="noConversion"/>
  </si>
  <si>
    <t>무기</t>
    <phoneticPr fontId="1" type="noConversion"/>
  </si>
  <si>
    <t>보조무기</t>
    <phoneticPr fontId="1" type="noConversion"/>
  </si>
  <si>
    <t>공격력</t>
    <phoneticPr fontId="1" type="noConversion"/>
  </si>
  <si>
    <t>주/부스텟</t>
    <phoneticPr fontId="1" type="noConversion"/>
  </si>
  <si>
    <t>종류</t>
    <phoneticPr fontId="1" type="noConversion"/>
  </si>
  <si>
    <t>격수 기준</t>
    <phoneticPr fontId="1" type="noConversion"/>
  </si>
  <si>
    <t>법사 기준</t>
    <phoneticPr fontId="1" type="noConversion"/>
  </si>
  <si>
    <t>5작</t>
    <phoneticPr fontId="1" type="noConversion"/>
  </si>
  <si>
    <t>아이템 기준</t>
    <phoneticPr fontId="1" type="noConversion"/>
  </si>
  <si>
    <t>3단공/3단지 잠재</t>
    <phoneticPr fontId="1" type="noConversion"/>
  </si>
  <si>
    <t>앱솔 방어구</t>
    <phoneticPr fontId="1" type="noConversion"/>
  </si>
  <si>
    <t>앱솔 모자</t>
    <phoneticPr fontId="1" type="noConversion"/>
  </si>
  <si>
    <t>파프 상의</t>
    <phoneticPr fontId="1" type="noConversion"/>
  </si>
  <si>
    <t>파프 하의</t>
    <phoneticPr fontId="1" type="noConversion"/>
  </si>
  <si>
    <t>닼나</t>
    <phoneticPr fontId="1" type="noConversion"/>
  </si>
  <si>
    <t>나로</t>
    <phoneticPr fontId="1" type="noConversion"/>
  </si>
  <si>
    <t>섀도</t>
    <phoneticPr fontId="1" type="noConversion"/>
  </si>
  <si>
    <t>두손검</t>
    <phoneticPr fontId="1" type="noConversion"/>
  </si>
  <si>
    <t>창</t>
    <phoneticPr fontId="1" type="noConversion"/>
  </si>
  <si>
    <t>한손검</t>
    <phoneticPr fontId="1" type="noConversion"/>
  </si>
  <si>
    <t>아대</t>
    <phoneticPr fontId="1" type="noConversion"/>
  </si>
  <si>
    <t>단검</t>
    <phoneticPr fontId="1" type="noConversion"/>
  </si>
  <si>
    <t>직업</t>
    <phoneticPr fontId="1" type="noConversion"/>
  </si>
  <si>
    <t>스태프</t>
    <phoneticPr fontId="1" type="noConversion"/>
  </si>
  <si>
    <t>활</t>
    <phoneticPr fontId="1" type="noConversion"/>
  </si>
  <si>
    <t>석궁</t>
    <phoneticPr fontId="1" type="noConversion"/>
  </si>
  <si>
    <t>너클</t>
    <phoneticPr fontId="1" type="noConversion"/>
  </si>
  <si>
    <t>총</t>
    <phoneticPr fontId="1" type="noConversion"/>
  </si>
  <si>
    <t>주력기 NPM (자벞)</t>
    <phoneticPr fontId="1" type="noConversion"/>
  </si>
  <si>
    <t>폭시</t>
    <phoneticPr fontId="1" type="noConversion"/>
  </si>
  <si>
    <t>드스+샤크</t>
    <phoneticPr fontId="1" type="noConversion"/>
  </si>
  <si>
    <t>파프 +20 10강</t>
    <phoneticPr fontId="1" type="noConversion"/>
  </si>
  <si>
    <t>나로</t>
    <phoneticPr fontId="1" type="noConversion"/>
  </si>
  <si>
    <t>궁수</t>
    <phoneticPr fontId="1" type="noConversion"/>
  </si>
  <si>
    <t>격수</t>
    <phoneticPr fontId="1" type="noConversion"/>
  </si>
  <si>
    <t>캡틴</t>
    <phoneticPr fontId="1" type="noConversion"/>
  </si>
  <si>
    <t>공20</t>
    <phoneticPr fontId="1" type="noConversion"/>
  </si>
  <si>
    <t>무기 공/마</t>
    <phoneticPr fontId="1" type="noConversion"/>
  </si>
  <si>
    <t>주스탯</t>
    <phoneticPr fontId="1" type="noConversion"/>
  </si>
  <si>
    <t>보조스탯</t>
    <phoneticPr fontId="1" type="noConversion"/>
  </si>
  <si>
    <t>부스탯</t>
    <phoneticPr fontId="1" type="noConversion"/>
  </si>
  <si>
    <t>주스탯</t>
    <phoneticPr fontId="1" type="noConversion"/>
  </si>
  <si>
    <t>평균 딜량</t>
    <phoneticPr fontId="1" type="noConversion"/>
  </si>
  <si>
    <t>자벞 기준</t>
    <phoneticPr fontId="1" type="noConversion"/>
  </si>
  <si>
    <t>풀벞 기준</t>
    <phoneticPr fontId="1" type="noConversion"/>
  </si>
  <si>
    <t>주력기 NPM (풀벞)</t>
    <phoneticPr fontId="1" type="noConversion"/>
  </si>
  <si>
    <t>솔플 랭킹</t>
    <phoneticPr fontId="1" type="noConversion"/>
  </si>
  <si>
    <t>파티 랭킹</t>
    <phoneticPr fontId="1" type="noConversion"/>
  </si>
  <si>
    <t>블래+생츄</t>
    <phoneticPr fontId="1" type="noConversion"/>
  </si>
  <si>
    <t>생츄어리(1타)</t>
    <phoneticPr fontId="1" type="noConversion"/>
  </si>
  <si>
    <t>시전 및 후딜</t>
    <phoneticPr fontId="1" type="noConversion"/>
  </si>
  <si>
    <t>2s</t>
    <phoneticPr fontId="1" type="noConversion"/>
  </si>
  <si>
    <t>/샤프아이즈/윈드부스터/</t>
    <phoneticPr fontId="1" type="noConversion"/>
  </si>
  <si>
    <t>샤프아이즈</t>
    <phoneticPr fontId="1" type="noConversion"/>
  </si>
  <si>
    <t>8작</t>
    <phoneticPr fontId="1" type="noConversion"/>
  </si>
  <si>
    <t>스킬 공/마</t>
    <phoneticPr fontId="1" type="noConversion"/>
  </si>
  <si>
    <t>방어구(+보조무기) 공/마</t>
    <phoneticPr fontId="1" type="noConversion"/>
  </si>
  <si>
    <t>스킬 뎀지 증폭율</t>
    <phoneticPr fontId="1" type="noConversion"/>
  </si>
  <si>
    <t>히어로</t>
    <phoneticPr fontId="1" type="noConversion"/>
  </si>
  <si>
    <t>분노</t>
    <phoneticPr fontId="1" type="noConversion"/>
  </si>
  <si>
    <t>인레이지</t>
    <phoneticPr fontId="1" type="noConversion"/>
  </si>
  <si>
    <t>다크나이트</t>
    <phoneticPr fontId="1" type="noConversion"/>
  </si>
  <si>
    <t>비홀더</t>
    <phoneticPr fontId="1" type="noConversion"/>
  </si>
  <si>
    <t>드래곤 블러드</t>
    <phoneticPr fontId="1" type="noConversion"/>
  </si>
  <si>
    <t>아크메이지</t>
    <phoneticPr fontId="1" type="noConversion"/>
  </si>
  <si>
    <t>메디테이션</t>
    <phoneticPr fontId="1" type="noConversion"/>
  </si>
  <si>
    <t>보우마스터</t>
    <phoneticPr fontId="1" type="noConversion"/>
  </si>
  <si>
    <t>집중</t>
    <phoneticPr fontId="1" type="noConversion"/>
  </si>
  <si>
    <t>신궁</t>
    <phoneticPr fontId="1" type="noConversion"/>
  </si>
  <si>
    <t>크로스보우 엑스퍼트</t>
    <phoneticPr fontId="1" type="noConversion"/>
  </si>
  <si>
    <t>보우 엑스퍼트</t>
    <phoneticPr fontId="1" type="noConversion"/>
  </si>
  <si>
    <t>바이퍼</t>
    <phoneticPr fontId="1" type="noConversion"/>
  </si>
  <si>
    <t>에너지 차지</t>
    <phoneticPr fontId="1" type="noConversion"/>
  </si>
  <si>
    <t>MAX S.DM</t>
    <phoneticPr fontId="1" type="noConversion"/>
  </si>
  <si>
    <t>MIN S.DM</t>
    <phoneticPr fontId="1" type="noConversion"/>
  </si>
  <si>
    <t>MAX Phy.AP</t>
    <phoneticPr fontId="1" type="noConversion"/>
  </si>
  <si>
    <t>MIN Phy.AP</t>
    <phoneticPr fontId="1" type="noConversion"/>
  </si>
  <si>
    <t>.=&gt;&gt;</t>
    <phoneticPr fontId="1" type="noConversion"/>
  </si>
  <si>
    <t>스킬 데미지 %</t>
    <phoneticPr fontId="1" type="noConversion"/>
  </si>
  <si>
    <t>샤프아이즈 고려.=&gt;</t>
    <phoneticPr fontId="1" type="noConversion"/>
  </si>
  <si>
    <t>추가 크리티컬 확률[%}</t>
    <phoneticPr fontId="1" type="noConversion"/>
  </si>
  <si>
    <t>추가 크리티컬 데미지[%]</t>
    <phoneticPr fontId="1" type="noConversion"/>
  </si>
  <si>
    <t>스탯 공격력</t>
    <phoneticPr fontId="1" type="noConversion"/>
  </si>
  <si>
    <t>스킬 공격 타수</t>
    <phoneticPr fontId="1" type="noConversion"/>
  </si>
  <si>
    <t>[%]</t>
    <phoneticPr fontId="1" type="noConversion"/>
  </si>
  <si>
    <t>(전) 크리 확률</t>
    <phoneticPr fontId="1" type="noConversion"/>
  </si>
  <si>
    <t>(후) 크리 확률</t>
    <phoneticPr fontId="1" type="noConversion"/>
  </si>
  <si>
    <t xml:space="preserve">(전) 크리 데미지 % </t>
    <phoneticPr fontId="1" type="noConversion"/>
  </si>
  <si>
    <t>(후) 크리 데미지</t>
    <phoneticPr fontId="1" type="noConversion"/>
  </si>
  <si>
    <t>최종 데미지에서 증폭율[%]</t>
    <phoneticPr fontId="1" type="noConversion"/>
  </si>
  <si>
    <t>1 HIT ( 노크리 )</t>
    <phoneticPr fontId="1" type="noConversion"/>
  </si>
  <si>
    <t>(전) Cri. 1 HIT</t>
    <phoneticPr fontId="1" type="noConversion"/>
  </si>
  <si>
    <t>(후) Cri. 1 HIT</t>
    <phoneticPr fontId="1" type="noConversion"/>
  </si>
  <si>
    <t>.=&gt; 쉐파 160% 따로 고려하여 증폭율로 계산</t>
    <phoneticPr fontId="1" type="noConversion"/>
  </si>
  <si>
    <t>.=&gt; 생츄어리 따로 고려하여 딜량에 추가</t>
    <phoneticPr fontId="1" type="noConversion"/>
  </si>
  <si>
    <t>샤프아이즈 고려 ( 자벞 기준이 아닌 파티 벞 받을 경우 )</t>
    <phoneticPr fontId="1" type="noConversion"/>
  </si>
  <si>
    <t>원래 자기 버프이기때문</t>
    <phoneticPr fontId="1" type="noConversion"/>
  </si>
  <si>
    <t>None</t>
    <phoneticPr fontId="1" type="noConversion"/>
  </si>
  <si>
    <t>None</t>
    <phoneticPr fontId="1" type="noConversion"/>
  </si>
  <si>
    <t>전직업 메용 고려/앜메 엠플, 메디 적용/히어로 어차,분노.인레이지 고려/나로 쉐파/캡틴 호밍 고려/신궁 모탈 고려/바이퍼 스턴마스터리/속성 고려 X</t>
    <phoneticPr fontId="1" type="noConversion"/>
  </si>
  <si>
    <t>아이템 기준 : 표 참고</t>
    <phoneticPr fontId="1" type="noConversion"/>
  </si>
  <si>
    <t>버프 공격력/마력 표</t>
    <phoneticPr fontId="1" type="noConversion"/>
  </si>
  <si>
    <t>팔라딘 특수 스킬 계산</t>
    <phoneticPr fontId="1" type="noConversion"/>
  </si>
  <si>
    <t>순수 AP 계산</t>
    <phoneticPr fontId="1" type="noConversion"/>
  </si>
  <si>
    <t>'신궁'</t>
  </si>
  <si>
    <t>'캡틴'</t>
  </si>
  <si>
    <t>'아크메이지(썬,콜)'</t>
  </si>
  <si>
    <t>'나이트로드'</t>
  </si>
  <si>
    <t>'아크메이지(불,독)'</t>
  </si>
  <si>
    <t>'보우마스터'</t>
  </si>
  <si>
    <t>'다크나이트'</t>
  </si>
  <si>
    <t>'히어로'</t>
  </si>
  <si>
    <t>'바이퍼'</t>
  </si>
  <si>
    <t>'섀도어'</t>
  </si>
  <si>
    <t>'비숍'</t>
  </si>
  <si>
    <t>'팔라딘'</t>
  </si>
  <si>
    <t xml:space="preserve">엑셀 </t>
    <phoneticPr fontId="1" type="noConversion"/>
  </si>
  <si>
    <t>매트랩</t>
    <phoneticPr fontId="1" type="noConversion"/>
  </si>
  <si>
    <t>2020 6월 15일</t>
    <phoneticPr fontId="1" type="noConversion"/>
  </si>
  <si>
    <t>2020 8월 11일</t>
    <phoneticPr fontId="1" type="noConversion"/>
  </si>
  <si>
    <t>자체 버프 적용</t>
    <phoneticPr fontId="1" type="noConversion"/>
  </si>
  <si>
    <t>윈드부스터 + 샤프아이즈</t>
    <phoneticPr fontId="1" type="noConversion"/>
  </si>
  <si>
    <t>신궁'</t>
    <phoneticPr fontId="1" type="noConversion"/>
  </si>
  <si>
    <t>,</t>
    <phoneticPr fontId="1" type="noConversion"/>
  </si>
  <si>
    <t>합공</t>
    <phoneticPr fontId="1" type="noConversion"/>
  </si>
  <si>
    <t>주스탯</t>
    <phoneticPr fontId="1" type="noConversion"/>
  </si>
  <si>
    <t>부스탯</t>
    <phoneticPr fontId="1" type="noConversion"/>
  </si>
  <si>
    <t>,</t>
    <phoneticPr fontId="1" type="noConversion"/>
  </si>
  <si>
    <t>무기</t>
    <phoneticPr fontId="1" type="noConversion"/>
  </si>
  <si>
    <t>알렉산드리아</t>
    <phoneticPr fontId="1" type="noConversion"/>
  </si>
  <si>
    <t>공격력</t>
    <phoneticPr fontId="1" type="noConversion"/>
  </si>
  <si>
    <t>마력</t>
    <phoneticPr fontId="1" type="noConversion"/>
  </si>
  <si>
    <t>인트</t>
    <phoneticPr fontId="1" type="noConversion"/>
  </si>
  <si>
    <t>강화</t>
    <phoneticPr fontId="1" type="noConversion"/>
  </si>
  <si>
    <t>추가 공/마</t>
    <phoneticPr fontId="1" type="noConversion"/>
  </si>
  <si>
    <t>보조무기</t>
    <phoneticPr fontId="1" type="noConversion"/>
  </si>
  <si>
    <t>비보</t>
    <phoneticPr fontId="1" type="noConversion"/>
  </si>
  <si>
    <t>브론즈</t>
    <phoneticPr fontId="1" type="noConversion"/>
  </si>
  <si>
    <t>실버</t>
    <phoneticPr fontId="1" type="noConversion"/>
  </si>
  <si>
    <t>골드</t>
    <phoneticPr fontId="1" type="noConversion"/>
  </si>
  <si>
    <t>플레</t>
    <phoneticPr fontId="1" type="noConversion"/>
  </si>
  <si>
    <t>다이아</t>
    <phoneticPr fontId="1" type="noConversion"/>
  </si>
  <si>
    <t>얼굴장식</t>
    <phoneticPr fontId="1" type="noConversion"/>
  </si>
  <si>
    <t>눈장식</t>
    <phoneticPr fontId="1" type="noConversion"/>
  </si>
  <si>
    <t>목걸이</t>
    <phoneticPr fontId="1" type="noConversion"/>
  </si>
  <si>
    <t>벨트</t>
    <phoneticPr fontId="1" type="noConversion"/>
  </si>
  <si>
    <t>훈장</t>
    <phoneticPr fontId="1" type="noConversion"/>
  </si>
  <si>
    <t>펫장비</t>
    <phoneticPr fontId="1" type="noConversion"/>
  </si>
  <si>
    <t>방어구 비보(10ps)</t>
    <phoneticPr fontId="1" type="noConversion"/>
  </si>
  <si>
    <t>장신구(격수 공격력)</t>
    <phoneticPr fontId="1" type="noConversion"/>
  </si>
  <si>
    <t>장신구(법사 인트)</t>
    <phoneticPr fontId="1" type="noConversion"/>
  </si>
  <si>
    <t>순위</t>
    <phoneticPr fontId="1" type="noConversion"/>
  </si>
  <si>
    <t>DPM</t>
    <phoneticPr fontId="1" type="noConversion"/>
  </si>
  <si>
    <t>[]</t>
  </si>
  <si>
    <t>스공/스킬 1타 데미지</t>
    <phoneticPr fontId="1" type="noConversion"/>
  </si>
  <si>
    <t>패치후</t>
    <phoneticPr fontId="1" type="noConversion"/>
  </si>
  <si>
    <t>패치전</t>
    <phoneticPr fontId="1" type="noConversion"/>
  </si>
  <si>
    <t>신궁'</t>
    <phoneticPr fontId="1" type="noConversion"/>
  </si>
  <si>
    <t>바이퍼(상어님) lv.982    불독(스근님) lv.1052 기준</t>
    <phoneticPr fontId="1" type="noConversion"/>
  </si>
  <si>
    <t>순위</t>
    <phoneticPr fontId="1" type="noConversion"/>
  </si>
  <si>
    <t>DPM</t>
    <phoneticPr fontId="1" type="noConversion"/>
  </si>
  <si>
    <t>스공</t>
    <phoneticPr fontId="1" type="noConversion"/>
  </si>
  <si>
    <t>스킬 노크리 1타 데미지</t>
    <phoneticPr fontId="1" type="noConversion"/>
  </si>
  <si>
    <t>패치 후</t>
    <phoneticPr fontId="1" type="noConversion"/>
  </si>
  <si>
    <t>패치 전</t>
    <phoneticPr fontId="1" type="noConversion"/>
  </si>
  <si>
    <t>보우마스터'</t>
    <phoneticPr fontId="1" type="noConversion"/>
  </si>
  <si>
    <t>귀걸이</t>
    <phoneticPr fontId="1" type="noConversion"/>
  </si>
  <si>
    <t>반지</t>
    <phoneticPr fontId="1" type="noConversion"/>
  </si>
  <si>
    <t>주스탯</t>
    <phoneticPr fontId="1" type="noConversion"/>
  </si>
  <si>
    <t>보조스탯</t>
    <phoneticPr fontId="1" type="noConversion"/>
  </si>
  <si>
    <t>공격력</t>
    <phoneticPr fontId="1" type="noConversion"/>
  </si>
  <si>
    <t>격수</t>
    <phoneticPr fontId="1" type="noConversion"/>
  </si>
  <si>
    <t>법사</t>
    <phoneticPr fontId="1" type="noConversion"/>
  </si>
  <si>
    <t>SS급</t>
    <phoneticPr fontId="1" type="noConversion"/>
  </si>
  <si>
    <t>마력</t>
    <phoneticPr fontId="1" type="noConversion"/>
  </si>
  <si>
    <t>S급</t>
    <phoneticPr fontId="1" type="noConversion"/>
  </si>
  <si>
    <t>눈장식</t>
    <phoneticPr fontId="1" type="noConversion"/>
  </si>
  <si>
    <t>얼굴장식</t>
    <phoneticPr fontId="1" type="noConversion"/>
  </si>
  <si>
    <t>치클</t>
    <phoneticPr fontId="1" type="noConversion"/>
  </si>
  <si>
    <t>카핑마</t>
    <phoneticPr fontId="1" type="noConversion"/>
  </si>
  <si>
    <t>벨트</t>
    <phoneticPr fontId="1" type="noConversion"/>
  </si>
  <si>
    <t>목걸이</t>
    <phoneticPr fontId="1" type="noConversion"/>
  </si>
  <si>
    <t>카혼목</t>
    <phoneticPr fontId="1" type="noConversion"/>
  </si>
  <si>
    <t>노바</t>
    <phoneticPr fontId="1" type="noConversion"/>
  </si>
  <si>
    <t>훈장</t>
    <phoneticPr fontId="1" type="noConversion"/>
  </si>
  <si>
    <t>커칭</t>
    <phoneticPr fontId="1" type="noConversion"/>
  </si>
  <si>
    <t>Total</t>
    <phoneticPr fontId="1" type="noConversion"/>
  </si>
  <si>
    <t>모자</t>
  </si>
  <si>
    <t>상의</t>
  </si>
  <si>
    <t>하의</t>
  </si>
  <si>
    <t>망토</t>
  </si>
  <si>
    <t>신발</t>
  </si>
  <si>
    <t>장갑</t>
  </si>
  <si>
    <t>Summary</t>
    <phoneticPr fontId="1" type="noConversion"/>
  </si>
  <si>
    <t xml:space="preserve">보조스탯 </t>
    <phoneticPr fontId="1" type="noConversion"/>
  </si>
  <si>
    <t>10강</t>
    <phoneticPr fontId="1" type="noConversion"/>
  </si>
  <si>
    <t>스태프</t>
    <phoneticPr fontId="1" type="noConversion"/>
  </si>
  <si>
    <t>공/마</t>
    <phoneticPr fontId="1" type="noConversion"/>
  </si>
  <si>
    <t>&gt;&gt;</t>
    <phoneticPr fontId="1" type="noConversion"/>
  </si>
  <si>
    <t>Final</t>
    <phoneticPr fontId="1" type="noConversion"/>
  </si>
  <si>
    <t>공격력/마력</t>
    <phoneticPr fontId="1" type="noConversion"/>
  </si>
  <si>
    <t>보조무기</t>
    <phoneticPr fontId="1" type="noConversion"/>
  </si>
  <si>
    <t>INT</t>
    <phoneticPr fontId="1" type="noConversion"/>
  </si>
  <si>
    <t>총 마력</t>
    <phoneticPr fontId="1" type="noConversion"/>
  </si>
  <si>
    <t>스근님</t>
    <phoneticPr fontId="1" type="noConversion"/>
  </si>
  <si>
    <t>패럴 뎀지</t>
    <phoneticPr fontId="1" type="noConversion"/>
  </si>
  <si>
    <t>438~448만</t>
    <phoneticPr fontId="1" type="noConversion"/>
  </si>
  <si>
    <t>(정축,메용,영메)</t>
    <phoneticPr fontId="1" type="noConversion"/>
  </si>
  <si>
    <t>마부반지</t>
    <phoneticPr fontId="1" type="noConversion"/>
  </si>
  <si>
    <t>,</t>
    <phoneticPr fontId="1" type="noConversion"/>
  </si>
  <si>
    <t>다이아 비보(10)</t>
    <phoneticPr fontId="1" type="noConversion"/>
  </si>
  <si>
    <t>화님 스펙</t>
    <phoneticPr fontId="1" type="noConversion"/>
  </si>
  <si>
    <t>펫장비</t>
    <phoneticPr fontId="1" type="noConversion"/>
  </si>
  <si>
    <t>3=2</t>
    <phoneticPr fontId="1" type="noConversion"/>
  </si>
  <si>
    <t>5=3</t>
    <phoneticPr fontId="1" type="noConversion"/>
  </si>
  <si>
    <t>1=1</t>
    <phoneticPr fontId="1" type="noConversion"/>
  </si>
  <si>
    <t>마력</t>
    <phoneticPr fontId="1" type="noConversion"/>
  </si>
  <si>
    <t>인트</t>
    <phoneticPr fontId="1" type="noConversion"/>
  </si>
  <si>
    <t>타수</t>
    <phoneticPr fontId="1" type="noConversion"/>
  </si>
  <si>
    <t>몹</t>
    <phoneticPr fontId="1" type="noConversion"/>
  </si>
  <si>
    <t>걔수</t>
    <phoneticPr fontId="1" type="noConversion"/>
  </si>
  <si>
    <t>뎀지</t>
    <phoneticPr fontId="1" type="noConversion"/>
  </si>
  <si>
    <t>비율</t>
    <phoneticPr fontId="1" type="noConversion"/>
  </si>
  <si>
    <t>스피어 버스터</t>
    <phoneticPr fontId="1" type="noConversion"/>
  </si>
  <si>
    <t>폴암 쓰레셔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</si>
</sst>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mm&quot;월&quot;\ dd&quot;일&quot;"/>
    <numFmt numFmtId="178" formatCode="#,##0.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5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2" borderId="1" applyNumberFormat="0" applyAlignment="0" applyProtection="0">
      <alignment vertical="center"/>
    </xf>
  </cellStyleXfs>
  <cellXfs count="327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>
      <alignment vertical="center"/>
    </xf>
    <xf numFmtId="0" fontId="0" fillId="0" borderId="7" xfId="0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13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3" fillId="0" borderId="37" xfId="0" applyFont="1" applyBorder="1">
      <alignment vertical="center"/>
    </xf>
    <xf numFmtId="0" fontId="3" fillId="0" borderId="38" xfId="0" applyFont="1" applyBorder="1">
      <alignment vertical="center"/>
    </xf>
    <xf numFmtId="0" fontId="3" fillId="0" borderId="38" xfId="0" applyFont="1" applyFill="1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3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Fill="1" applyBorder="1">
      <alignment vertical="center"/>
    </xf>
    <xf numFmtId="0" fontId="4" fillId="0" borderId="2" xfId="0" applyFont="1" applyBorder="1">
      <alignment vertical="center"/>
    </xf>
    <xf numFmtId="0" fontId="0" fillId="0" borderId="2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176" fontId="6" fillId="0" borderId="2" xfId="0" applyNumberFormat="1" applyFont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2" xfId="0" applyFill="1" applyBorder="1">
      <alignment vertical="center"/>
    </xf>
    <xf numFmtId="0" fontId="0" fillId="5" borderId="28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ont="1" applyFill="1">
      <alignment vertical="center"/>
    </xf>
    <xf numFmtId="176" fontId="6" fillId="5" borderId="2" xfId="0" applyNumberFormat="1" applyFont="1" applyFill="1" applyBorder="1">
      <alignment vertical="center"/>
    </xf>
    <xf numFmtId="176" fontId="6" fillId="0" borderId="28" xfId="0" applyNumberFormat="1" applyFont="1" applyBorder="1">
      <alignment vertical="center"/>
    </xf>
    <xf numFmtId="176" fontId="6" fillId="5" borderId="28" xfId="0" applyNumberFormat="1" applyFont="1" applyFill="1" applyBorder="1">
      <alignment vertical="center"/>
    </xf>
    <xf numFmtId="0" fontId="0" fillId="0" borderId="36" xfId="0" applyBorder="1">
      <alignment vertical="center"/>
    </xf>
    <xf numFmtId="0" fontId="6" fillId="0" borderId="3" xfId="0" applyFont="1" applyBorder="1">
      <alignment vertical="center"/>
    </xf>
    <xf numFmtId="0" fontId="6" fillId="0" borderId="5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4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8" xfId="0" applyFont="1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8" fillId="0" borderId="0" xfId="0" applyFont="1">
      <alignment vertical="center"/>
    </xf>
    <xf numFmtId="0" fontId="6" fillId="0" borderId="0" xfId="0" applyFont="1">
      <alignment vertical="center"/>
    </xf>
    <xf numFmtId="0" fontId="7" fillId="4" borderId="38" xfId="0" applyFont="1" applyFill="1" applyBorder="1" applyAlignment="1">
      <alignment vertical="center"/>
    </xf>
    <xf numFmtId="0" fontId="7" fillId="4" borderId="50" xfId="0" applyFont="1" applyFill="1" applyBorder="1" applyAlignment="1">
      <alignment vertical="center"/>
    </xf>
    <xf numFmtId="0" fontId="0" fillId="0" borderId="14" xfId="0" applyFill="1" applyBorder="1">
      <alignment vertical="center"/>
    </xf>
    <xf numFmtId="0" fontId="4" fillId="0" borderId="14" xfId="0" applyFont="1" applyBorder="1">
      <alignment vertical="center"/>
    </xf>
    <xf numFmtId="0" fontId="5" fillId="0" borderId="14" xfId="0" applyFont="1" applyBorder="1">
      <alignment vertical="center"/>
    </xf>
    <xf numFmtId="0" fontId="6" fillId="0" borderId="2" xfId="0" applyFont="1" applyFill="1" applyBorder="1">
      <alignment vertical="center"/>
    </xf>
    <xf numFmtId="0" fontId="6" fillId="0" borderId="28" xfId="0" applyFont="1" applyBorder="1" applyAlignment="1">
      <alignment horizontal="center" vertical="center"/>
    </xf>
    <xf numFmtId="0" fontId="6" fillId="3" borderId="0" xfId="0" applyFont="1" applyFill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14" xfId="0" applyFill="1" applyBorder="1">
      <alignment vertical="center"/>
    </xf>
    <xf numFmtId="176" fontId="6" fillId="0" borderId="2" xfId="0" applyNumberFormat="1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49" fontId="6" fillId="0" borderId="2" xfId="0" applyNumberFormat="1" applyFont="1" applyFill="1" applyBorder="1">
      <alignment vertical="center"/>
    </xf>
    <xf numFmtId="0" fontId="6" fillId="0" borderId="2" xfId="0" quotePrefix="1" applyFont="1" applyFill="1" applyBorder="1">
      <alignment vertical="center"/>
    </xf>
    <xf numFmtId="176" fontId="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0" xfId="0" applyNumberFormat="1" applyFont="1" applyFill="1" applyBorder="1">
      <alignment vertical="center"/>
    </xf>
    <xf numFmtId="0" fontId="3" fillId="0" borderId="0" xfId="0" applyNumberFormat="1" applyFont="1" applyFill="1" applyBorder="1">
      <alignment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53" xfId="0" applyBorder="1">
      <alignment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Fill="1" applyBorder="1">
      <alignment vertical="center"/>
    </xf>
    <xf numFmtId="0" fontId="6" fillId="0" borderId="54" xfId="0" applyFont="1" applyBorder="1">
      <alignment vertical="center"/>
    </xf>
    <xf numFmtId="0" fontId="6" fillId="0" borderId="26" xfId="0" applyFont="1" applyBorder="1">
      <alignment vertical="center"/>
    </xf>
    <xf numFmtId="0" fontId="6" fillId="0" borderId="27" xfId="0" applyFont="1" applyFill="1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12" xfId="0" applyBorder="1">
      <alignment vertical="center"/>
    </xf>
    <xf numFmtId="0" fontId="6" fillId="5" borderId="2" xfId="0" applyFont="1" applyFill="1" applyBorder="1">
      <alignment vertical="center"/>
    </xf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17" xfId="0" applyBorder="1">
      <alignment vertical="center"/>
    </xf>
    <xf numFmtId="0" fontId="3" fillId="0" borderId="2" xfId="0" applyNumberFormat="1" applyFont="1" applyFill="1" applyBorder="1">
      <alignment vertical="center"/>
    </xf>
    <xf numFmtId="0" fontId="6" fillId="0" borderId="13" xfId="0" applyNumberFormat="1" applyFont="1" applyFill="1" applyBorder="1">
      <alignment vertical="center"/>
    </xf>
    <xf numFmtId="0" fontId="3" fillId="0" borderId="14" xfId="0" applyNumberFormat="1" applyFont="1" applyFill="1" applyBorder="1">
      <alignment vertical="center"/>
    </xf>
    <xf numFmtId="0" fontId="6" fillId="0" borderId="6" xfId="0" applyNumberFormat="1" applyFont="1" applyFill="1" applyBorder="1">
      <alignment vertical="center"/>
    </xf>
    <xf numFmtId="0" fontId="3" fillId="0" borderId="7" xfId="0" applyNumberFormat="1" applyFont="1" applyFill="1" applyBorder="1">
      <alignment vertical="center"/>
    </xf>
    <xf numFmtId="0" fontId="6" fillId="0" borderId="7" xfId="0" applyNumberFormat="1" applyFont="1" applyFill="1" applyBorder="1">
      <alignment vertical="center"/>
    </xf>
    <xf numFmtId="0" fontId="3" fillId="0" borderId="8" xfId="0" applyNumberFormat="1" applyFont="1" applyFill="1" applyBorder="1">
      <alignment vertical="center"/>
    </xf>
    <xf numFmtId="0" fontId="3" fillId="0" borderId="13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3" fillId="0" borderId="52" xfId="0" applyNumberFormat="1" applyFont="1" applyFill="1" applyBorder="1">
      <alignment vertical="center"/>
    </xf>
    <xf numFmtId="0" fontId="3" fillId="0" borderId="15" xfId="0" applyNumberFormat="1" applyFont="1" applyFill="1" applyBorder="1">
      <alignment vertical="center"/>
    </xf>
    <xf numFmtId="0" fontId="3" fillId="0" borderId="24" xfId="0" applyNumberFormat="1" applyFont="1" applyFill="1" applyBorder="1">
      <alignment vertical="center"/>
    </xf>
    <xf numFmtId="0" fontId="0" fillId="0" borderId="52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Fill="1" applyBorder="1" applyAlignment="1">
      <alignment vertical="center"/>
    </xf>
    <xf numFmtId="0" fontId="3" fillId="0" borderId="24" xfId="0" applyNumberFormat="1" applyFon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 applyFill="1" applyBorder="1">
      <alignment vertical="center"/>
    </xf>
    <xf numFmtId="176" fontId="6" fillId="0" borderId="0" xfId="0" applyNumberFormat="1" applyFont="1" applyFill="1" applyBorder="1">
      <alignment vertical="center"/>
    </xf>
    <xf numFmtId="176" fontId="6" fillId="0" borderId="42" xfId="0" applyNumberFormat="1" applyFont="1" applyFill="1" applyBorder="1">
      <alignment vertical="center"/>
    </xf>
    <xf numFmtId="176" fontId="6" fillId="0" borderId="45" xfId="0" applyNumberFormat="1" applyFont="1" applyFill="1" applyBorder="1">
      <alignment vertical="center"/>
    </xf>
    <xf numFmtId="0" fontId="6" fillId="0" borderId="21" xfId="0" applyNumberFormat="1" applyFont="1" applyFill="1" applyBorder="1">
      <alignment vertical="center"/>
    </xf>
    <xf numFmtId="0" fontId="6" fillId="0" borderId="23" xfId="0" applyNumberFormat="1" applyFont="1" applyFill="1" applyBorder="1">
      <alignment vertical="center"/>
    </xf>
    <xf numFmtId="0" fontId="6" fillId="0" borderId="22" xfId="0" applyNumberFormat="1" applyFont="1" applyFill="1" applyBorder="1">
      <alignment vertical="center"/>
    </xf>
    <xf numFmtId="176" fontId="6" fillId="0" borderId="41" xfId="0" applyNumberFormat="1" applyFont="1" applyFill="1" applyBorder="1" applyAlignment="1">
      <alignment horizontal="center" vertical="center"/>
    </xf>
    <xf numFmtId="176" fontId="6" fillId="0" borderId="42" xfId="0" applyNumberFormat="1" applyFont="1" applyFill="1" applyBorder="1" applyAlignment="1">
      <alignment horizontal="center" vertical="center"/>
    </xf>
    <xf numFmtId="176" fontId="6" fillId="0" borderId="45" xfId="0" applyNumberFormat="1" applyFont="1" applyFill="1" applyBorder="1" applyAlignment="1">
      <alignment horizontal="center" vertical="center"/>
    </xf>
    <xf numFmtId="176" fontId="6" fillId="0" borderId="43" xfId="0" applyNumberFormat="1" applyFont="1" applyFill="1" applyBorder="1" applyAlignment="1">
      <alignment horizontal="center" vertical="center"/>
    </xf>
    <xf numFmtId="176" fontId="6" fillId="0" borderId="44" xfId="0" applyNumberFormat="1" applyFont="1" applyFill="1" applyBorder="1" applyAlignment="1">
      <alignment horizontal="center" vertical="center"/>
    </xf>
    <xf numFmtId="176" fontId="6" fillId="0" borderId="41" xfId="0" quotePrefix="1" applyNumberFormat="1" applyFont="1" applyFill="1" applyBorder="1" applyAlignment="1">
      <alignment horizontal="center" vertic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6" fillId="0" borderId="0" xfId="0" applyNumberFormat="1" applyFon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176" fontId="0" fillId="0" borderId="0" xfId="0" quotePrefix="1" applyNumberForma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6" fontId="6" fillId="0" borderId="36" xfId="0" applyNumberFormat="1" applyFont="1" applyFill="1" applyBorder="1" applyAlignment="1">
      <alignment horizontal="center" vertical="center"/>
    </xf>
    <xf numFmtId="176" fontId="0" fillId="0" borderId="36" xfId="0" applyNumberFormat="1" applyBorder="1" applyAlignment="1">
      <alignment horizontal="center" vertical="center"/>
    </xf>
    <xf numFmtId="176" fontId="0" fillId="0" borderId="36" xfId="0" quotePrefix="1" applyNumberForma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0" fillId="0" borderId="5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7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0" fillId="8" borderId="2" xfId="0" applyFill="1" applyBorder="1">
      <alignment vertical="center"/>
    </xf>
    <xf numFmtId="0" fontId="0" fillId="8" borderId="15" xfId="0" applyFill="1" applyBorder="1">
      <alignment vertical="center"/>
    </xf>
    <xf numFmtId="0" fontId="0" fillId="5" borderId="13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0" fillId="0" borderId="58" xfId="0" applyFill="1" applyBorder="1" applyAlignment="1">
      <alignment horizontal="center"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6" fillId="8" borderId="15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53" xfId="0" applyFont="1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6" fontId="0" fillId="0" borderId="13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5" borderId="13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0" borderId="6" xfId="0" applyNumberFormat="1" applyBorder="1">
      <alignment vertical="center"/>
    </xf>
    <xf numFmtId="176" fontId="0" fillId="0" borderId="7" xfId="0" applyNumberFormat="1" applyBorder="1">
      <alignment vertical="center"/>
    </xf>
    <xf numFmtId="178" fontId="0" fillId="0" borderId="0" xfId="0" applyNumberFormat="1" applyFill="1" applyBorder="1">
      <alignment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7" borderId="46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39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176" fontId="6" fillId="0" borderId="34" xfId="0" applyNumberFormat="1" applyFont="1" applyBorder="1" applyAlignment="1">
      <alignment horizontal="center" vertical="center"/>
    </xf>
    <xf numFmtId="176" fontId="6" fillId="0" borderId="35" xfId="0" applyNumberFormat="1" applyFont="1" applyBorder="1" applyAlignment="1">
      <alignment horizontal="center" vertical="center"/>
    </xf>
    <xf numFmtId="176" fontId="6" fillId="0" borderId="57" xfId="0" applyNumberFormat="1" applyFont="1" applyBorder="1" applyAlignment="1">
      <alignment horizontal="center" vertical="center"/>
    </xf>
    <xf numFmtId="176" fontId="6" fillId="0" borderId="0" xfId="0" applyNumberFormat="1" applyFont="1" applyFill="1" applyBorder="1" applyAlignment="1">
      <alignment horizontal="center" vertical="center"/>
    </xf>
    <xf numFmtId="176" fontId="6" fillId="0" borderId="51" xfId="0" applyNumberFormat="1" applyFont="1" applyFill="1" applyBorder="1" applyAlignment="1">
      <alignment horizontal="center" vertical="center"/>
    </xf>
    <xf numFmtId="176" fontId="6" fillId="0" borderId="4" xfId="0" applyNumberFormat="1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/>
              <a:t>자체 버프 적용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Excel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'자료 비교'!$C$7:$C$18</c:f>
              <c:strCache>
                <c:ptCount val="12"/>
                <c:pt idx="0">
                  <c:v>'신궁'</c:v>
                </c:pt>
                <c:pt idx="1">
                  <c:v>'캡틴'</c:v>
                </c:pt>
                <c:pt idx="2">
                  <c:v>'아크메이지(썬,콜)'</c:v>
                </c:pt>
                <c:pt idx="3">
                  <c:v>'보우마스터'</c:v>
                </c:pt>
                <c:pt idx="4">
                  <c:v>'나이트로드'</c:v>
                </c:pt>
                <c:pt idx="5">
                  <c:v>'히어로'</c:v>
                </c:pt>
                <c:pt idx="6">
                  <c:v>'아크메이지(불,독)'</c:v>
                </c:pt>
                <c:pt idx="7">
                  <c:v>'다크나이트'</c:v>
                </c:pt>
                <c:pt idx="8">
                  <c:v>'바이퍼'</c:v>
                </c:pt>
                <c:pt idx="9">
                  <c:v>'섀도어'</c:v>
                </c:pt>
                <c:pt idx="10">
                  <c:v>'팔라딘'</c:v>
                </c:pt>
                <c:pt idx="11">
                  <c:v>'비숍'</c:v>
                </c:pt>
              </c:strCache>
            </c:strRef>
          </c:cat>
          <c:val>
            <c:numRef>
              <c:f>'자료 비교'!$D$7:$D$18</c:f>
              <c:numCache>
                <c:formatCode>#,##0_ </c:formatCode>
                <c:ptCount val="12"/>
                <c:pt idx="0">
                  <c:v>196499880</c:v>
                </c:pt>
                <c:pt idx="1">
                  <c:v>124463250</c:v>
                </c:pt>
                <c:pt idx="2">
                  <c:v>111525213</c:v>
                </c:pt>
                <c:pt idx="3">
                  <c:v>108197625</c:v>
                </c:pt>
                <c:pt idx="4">
                  <c:v>102902560</c:v>
                </c:pt>
                <c:pt idx="5">
                  <c:v>95261920</c:v>
                </c:pt>
                <c:pt idx="6">
                  <c:v>92856084</c:v>
                </c:pt>
                <c:pt idx="7">
                  <c:v>88579128</c:v>
                </c:pt>
                <c:pt idx="8">
                  <c:v>73083140</c:v>
                </c:pt>
                <c:pt idx="9">
                  <c:v>51470541</c:v>
                </c:pt>
                <c:pt idx="10">
                  <c:v>44806806</c:v>
                </c:pt>
                <c:pt idx="11">
                  <c:v>27368604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0-4420-ACEA-4EE61097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87104"/>
        <c:axId val="361786120"/>
      </c:barChart>
      <c:lineChart>
        <c:grouping val="standard"/>
        <c:varyColors val="0"/>
        <c:ser>
          <c:idx val="1"/>
          <c:order val="1"/>
          <c:tx>
            <c:v>MATLAB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'자료 비교'!$L$7:$L$18</c:f>
              <c:strCache>
                <c:ptCount val="12"/>
                <c:pt idx="0">
                  <c:v>신궁'</c:v>
                </c:pt>
                <c:pt idx="1">
                  <c:v>'캡틴'</c:v>
                </c:pt>
                <c:pt idx="2">
                  <c:v>'아크메이지(썬,콜)'</c:v>
                </c:pt>
                <c:pt idx="3">
                  <c:v>'보우마스터'</c:v>
                </c:pt>
                <c:pt idx="4">
                  <c:v>'나이트로드'</c:v>
                </c:pt>
                <c:pt idx="5">
                  <c:v>'히어로'</c:v>
                </c:pt>
                <c:pt idx="6">
                  <c:v>'아크메이지(불,독)'</c:v>
                </c:pt>
                <c:pt idx="7">
                  <c:v>'다크나이트'</c:v>
                </c:pt>
                <c:pt idx="8">
                  <c:v>'바이퍼'</c:v>
                </c:pt>
                <c:pt idx="9">
                  <c:v>'팔라딘'</c:v>
                </c:pt>
                <c:pt idx="10">
                  <c:v>'섀도어'</c:v>
                </c:pt>
                <c:pt idx="11">
                  <c:v>'비숍'</c:v>
                </c:pt>
              </c:strCache>
            </c:strRef>
          </c:cat>
          <c:val>
            <c:numRef>
              <c:f>'자료 비교'!$M$7:$M$18</c:f>
              <c:numCache>
                <c:formatCode>#,##0_ </c:formatCode>
                <c:ptCount val="12"/>
                <c:pt idx="0">
                  <c:v>196562609</c:v>
                </c:pt>
                <c:pt idx="1">
                  <c:v>124509599</c:v>
                </c:pt>
                <c:pt idx="2">
                  <c:v>111525213</c:v>
                </c:pt>
                <c:pt idx="3">
                  <c:v>108234224</c:v>
                </c:pt>
                <c:pt idx="4">
                  <c:v>102903048</c:v>
                </c:pt>
                <c:pt idx="5">
                  <c:v>95290092</c:v>
                </c:pt>
                <c:pt idx="6">
                  <c:v>92856084</c:v>
                </c:pt>
                <c:pt idx="7">
                  <c:v>88604901</c:v>
                </c:pt>
                <c:pt idx="8">
                  <c:v>73103310</c:v>
                </c:pt>
                <c:pt idx="9">
                  <c:v>66884829</c:v>
                </c:pt>
                <c:pt idx="10">
                  <c:v>51490859</c:v>
                </c:pt>
                <c:pt idx="11">
                  <c:v>27368604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0-4420-ACEA-4EE610978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87104"/>
        <c:axId val="361786120"/>
      </c:lineChart>
      <c:catAx>
        <c:axId val="3617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786120"/>
        <c:crosses val="autoZero"/>
        <c:auto val="1"/>
        <c:lblAlgn val="ctr"/>
        <c:lblOffset val="100"/>
        <c:noMultiLvlLbl val="0"/>
      </c:catAx>
      <c:valAx>
        <c:axId val="3617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7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윈드부스터 </a:t>
            </a:r>
            <a:r>
              <a:rPr lang="en-US" altLang="ko-KR"/>
              <a:t>+ </a:t>
            </a:r>
            <a:r>
              <a:rPr lang="ko-KR" altLang="en-US"/>
              <a:t>샤프아이즈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Excel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'자료 비교'!$O$7:$O$18</c:f>
              <c:strCache>
                <c:ptCount val="12"/>
                <c:pt idx="0">
                  <c:v>'신궁'</c:v>
                </c:pt>
                <c:pt idx="1">
                  <c:v>'나이트로드'</c:v>
                </c:pt>
                <c:pt idx="2">
                  <c:v>'캡틴'</c:v>
                </c:pt>
                <c:pt idx="3">
                  <c:v>'아크메이지(썬,콜)'</c:v>
                </c:pt>
                <c:pt idx="4">
                  <c:v>'히어로'</c:v>
                </c:pt>
                <c:pt idx="5">
                  <c:v>'다크나이트'</c:v>
                </c:pt>
                <c:pt idx="6">
                  <c:v>'보우마스터'</c:v>
                </c:pt>
                <c:pt idx="7">
                  <c:v>'아크메이지(불,독)'</c:v>
                </c:pt>
                <c:pt idx="8">
                  <c:v>'팔라딘'</c:v>
                </c:pt>
                <c:pt idx="9">
                  <c:v>'바이퍼'</c:v>
                </c:pt>
                <c:pt idx="10">
                  <c:v>'섀도어'</c:v>
                </c:pt>
                <c:pt idx="11">
                  <c:v>'비숍'</c:v>
                </c:pt>
              </c:strCache>
            </c:strRef>
          </c:cat>
          <c:val>
            <c:numRef>
              <c:f>'자료 비교'!$G$7:$G$18</c:f>
              <c:numCache>
                <c:formatCode>#,##0_ </c:formatCode>
                <c:ptCount val="12"/>
                <c:pt idx="0">
                  <c:v>225255960</c:v>
                </c:pt>
                <c:pt idx="1">
                  <c:v>137203968</c:v>
                </c:pt>
                <c:pt idx="2">
                  <c:v>136131750</c:v>
                </c:pt>
                <c:pt idx="3">
                  <c:v>128253995</c:v>
                </c:pt>
                <c:pt idx="4">
                  <c:v>124435921</c:v>
                </c:pt>
                <c:pt idx="5">
                  <c:v>117192941</c:v>
                </c:pt>
                <c:pt idx="6">
                  <c:v>108197625</c:v>
                </c:pt>
                <c:pt idx="7">
                  <c:v>106784496</c:v>
                </c:pt>
                <c:pt idx="8">
                  <c:v>75171230</c:v>
                </c:pt>
                <c:pt idx="9">
                  <c:v>61326683</c:v>
                </c:pt>
                <c:pt idx="10">
                  <c:v>54345259</c:v>
                </c:pt>
                <c:pt idx="11">
                  <c:v>31473894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C-4F83-A336-1F0E203D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1787104"/>
        <c:axId val="361786120"/>
      </c:barChart>
      <c:lineChart>
        <c:grouping val="standard"/>
        <c:varyColors val="0"/>
        <c:ser>
          <c:idx val="1"/>
          <c:order val="1"/>
          <c:tx>
            <c:v>MATLAB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'자료 비교'!$F$7:$F$18</c:f>
              <c:strCache>
                <c:ptCount val="12"/>
                <c:pt idx="0">
                  <c:v>'신궁'</c:v>
                </c:pt>
                <c:pt idx="1">
                  <c:v>'나이트로드'</c:v>
                </c:pt>
                <c:pt idx="2">
                  <c:v>'캡틴'</c:v>
                </c:pt>
                <c:pt idx="3">
                  <c:v>'아크메이지(썬,콜)'</c:v>
                </c:pt>
                <c:pt idx="4">
                  <c:v>'히어로'</c:v>
                </c:pt>
                <c:pt idx="5">
                  <c:v>'다크나이트'</c:v>
                </c:pt>
                <c:pt idx="6">
                  <c:v>'보우마스터'</c:v>
                </c:pt>
                <c:pt idx="7">
                  <c:v>'아크메이지(불,독)'</c:v>
                </c:pt>
                <c:pt idx="8">
                  <c:v>'바이퍼'</c:v>
                </c:pt>
                <c:pt idx="9">
                  <c:v>'섀도어'</c:v>
                </c:pt>
                <c:pt idx="10">
                  <c:v>'팔라딘'</c:v>
                </c:pt>
                <c:pt idx="11">
                  <c:v>'비숍'</c:v>
                </c:pt>
              </c:strCache>
            </c:strRef>
          </c:cat>
          <c:val>
            <c:numRef>
              <c:f>'자료 비교'!$P$7:$P$18</c:f>
              <c:numCache>
                <c:formatCode>#,##0_ </c:formatCode>
                <c:ptCount val="12"/>
                <c:pt idx="0">
                  <c:v>225327869</c:v>
                </c:pt>
                <c:pt idx="1">
                  <c:v>137204064</c:v>
                </c:pt>
                <c:pt idx="2">
                  <c:v>136182375</c:v>
                </c:pt>
                <c:pt idx="3">
                  <c:v>128253994</c:v>
                </c:pt>
                <c:pt idx="4">
                  <c:v>124472682</c:v>
                </c:pt>
                <c:pt idx="5">
                  <c:v>117226968</c:v>
                </c:pt>
                <c:pt idx="6">
                  <c:v>108234224</c:v>
                </c:pt>
                <c:pt idx="7">
                  <c:v>106784496</c:v>
                </c:pt>
                <c:pt idx="8">
                  <c:v>79735941</c:v>
                </c:pt>
                <c:pt idx="9">
                  <c:v>74147643</c:v>
                </c:pt>
                <c:pt idx="10">
                  <c:v>61350811</c:v>
                </c:pt>
                <c:pt idx="11">
                  <c:v>31473894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C-4F83-A336-1F0E203DB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787104"/>
        <c:axId val="361786120"/>
      </c:lineChart>
      <c:catAx>
        <c:axId val="3617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786120"/>
        <c:crosses val="autoZero"/>
        <c:auto val="1"/>
        <c:lblAlgn val="ctr"/>
        <c:lblOffset val="100"/>
        <c:noMultiLvlLbl val="0"/>
      </c:catAx>
      <c:valAx>
        <c:axId val="36178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17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en-US"/>
              <a:t>자체 버프 적용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'자료 비교'!$L$24:$L$35</c:f>
              <c:strCache>
                <c:ptCount val="12"/>
                <c:pt idx="0">
                  <c:v>'신궁'</c:v>
                </c:pt>
                <c:pt idx="1">
                  <c:v>'보우마스터'</c:v>
                </c:pt>
                <c:pt idx="2">
                  <c:v>'캡틴'</c:v>
                </c:pt>
                <c:pt idx="3">
                  <c:v>'나이트로드'</c:v>
                </c:pt>
                <c:pt idx="4">
                  <c:v>'아크메이지(썬,콜)'</c:v>
                </c:pt>
                <c:pt idx="5">
                  <c:v>'히어로'</c:v>
                </c:pt>
                <c:pt idx="6">
                  <c:v>'아크메이지(불,독)'</c:v>
                </c:pt>
                <c:pt idx="7">
                  <c:v>'다크나이트'</c:v>
                </c:pt>
                <c:pt idx="8">
                  <c:v>'바이퍼'</c:v>
                </c:pt>
                <c:pt idx="9">
                  <c:v>'섀도어'</c:v>
                </c:pt>
                <c:pt idx="10">
                  <c:v>'팔라딘'</c:v>
                </c:pt>
                <c:pt idx="11">
                  <c:v>'비숍'</c:v>
                </c:pt>
              </c:strCache>
            </c:strRef>
          </c:cat>
          <c:val>
            <c:numRef>
              <c:f>'자료 비교'!$M$24:$M$35</c:f>
              <c:numCache>
                <c:formatCode>#,##0_ </c:formatCode>
                <c:ptCount val="12"/>
                <c:pt idx="0">
                  <c:v>196562609</c:v>
                </c:pt>
                <c:pt idx="1">
                  <c:v>126941375</c:v>
                </c:pt>
                <c:pt idx="2">
                  <c:v>124509250</c:v>
                </c:pt>
                <c:pt idx="3">
                  <c:v>120053300</c:v>
                </c:pt>
                <c:pt idx="4">
                  <c:v>111525213</c:v>
                </c:pt>
                <c:pt idx="5">
                  <c:v>95290000</c:v>
                </c:pt>
                <c:pt idx="6">
                  <c:v>92856084</c:v>
                </c:pt>
                <c:pt idx="7">
                  <c:v>88604868</c:v>
                </c:pt>
                <c:pt idx="8">
                  <c:v>73103280</c:v>
                </c:pt>
                <c:pt idx="9">
                  <c:v>51490461</c:v>
                </c:pt>
                <c:pt idx="10">
                  <c:v>27744028</c:v>
                </c:pt>
                <c:pt idx="11">
                  <c:v>27368604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825-B7B6-0994D6DD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44254624"/>
        <c:axId val="444257576"/>
      </c:barChart>
      <c:catAx>
        <c:axId val="44425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257576"/>
        <c:crosses val="autoZero"/>
        <c:auto val="1"/>
        <c:lblAlgn val="ctr"/>
        <c:lblOffset val="100"/>
        <c:noMultiLvlLbl val="0"/>
      </c:catAx>
      <c:valAx>
        <c:axId val="444257576"/>
        <c:scaling>
          <c:orientation val="minMax"/>
          <c:max val="229999999.99999997"/>
          <c:min val="2000000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254624"/>
        <c:crosses val="autoZero"/>
        <c:crossBetween val="between"/>
        <c:majorUnit val="1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ko-KR" altLang="ko-K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윈드부스터 </a:t>
            </a:r>
            <a:r>
              <a:rPr lang="en-US" altLang="ko-K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+ </a:t>
            </a:r>
            <a:r>
              <a:rPr lang="ko-KR" altLang="ko-K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샤프아이즈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'자료 비교'!$O$24:$O$35</c:f>
              <c:strCache>
                <c:ptCount val="12"/>
                <c:pt idx="0">
                  <c:v>'신궁'</c:v>
                </c:pt>
                <c:pt idx="1">
                  <c:v>'나이트로드'</c:v>
                </c:pt>
                <c:pt idx="2">
                  <c:v>'캡틴'</c:v>
                </c:pt>
                <c:pt idx="3">
                  <c:v>'아크메이지(썬,콜)'</c:v>
                </c:pt>
                <c:pt idx="4">
                  <c:v>'보우마스터'</c:v>
                </c:pt>
                <c:pt idx="5">
                  <c:v>'히어로'</c:v>
                </c:pt>
                <c:pt idx="6">
                  <c:v>'다크나이트'</c:v>
                </c:pt>
                <c:pt idx="7">
                  <c:v>'아크메이지(불,독)'</c:v>
                </c:pt>
                <c:pt idx="8">
                  <c:v>'바이퍼'</c:v>
                </c:pt>
                <c:pt idx="9">
                  <c:v>'섀도어'</c:v>
                </c:pt>
                <c:pt idx="10">
                  <c:v>'팔라딘'</c:v>
                </c:pt>
                <c:pt idx="11">
                  <c:v>'비숍'</c:v>
                </c:pt>
              </c:strCache>
            </c:strRef>
          </c:cat>
          <c:val>
            <c:numRef>
              <c:f>'자료 비교'!$P$24:$P$35</c:f>
              <c:numCache>
                <c:formatCode>#,##0_ </c:formatCode>
                <c:ptCount val="12"/>
                <c:pt idx="0">
                  <c:v>225327869</c:v>
                </c:pt>
                <c:pt idx="1">
                  <c:v>154354280</c:v>
                </c:pt>
                <c:pt idx="2">
                  <c:v>136182100</c:v>
                </c:pt>
                <c:pt idx="3">
                  <c:v>128253981</c:v>
                </c:pt>
                <c:pt idx="4">
                  <c:v>126941375</c:v>
                </c:pt>
                <c:pt idx="5">
                  <c:v>124472572</c:v>
                </c:pt>
                <c:pt idx="6">
                  <c:v>117226907</c:v>
                </c:pt>
                <c:pt idx="7">
                  <c:v>106784446</c:v>
                </c:pt>
                <c:pt idx="8">
                  <c:v>74843838</c:v>
                </c:pt>
                <c:pt idx="9">
                  <c:v>61350487</c:v>
                </c:pt>
                <c:pt idx="10">
                  <c:v>38974014</c:v>
                </c:pt>
                <c:pt idx="11">
                  <c:v>31473916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6-4AF7-B810-430A74C79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444254624"/>
        <c:axId val="444257576"/>
      </c:barChart>
      <c:catAx>
        <c:axId val="44425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257576"/>
        <c:crosses val="autoZero"/>
        <c:auto val="1"/>
        <c:lblAlgn val="ctr"/>
        <c:lblOffset val="100"/>
        <c:noMultiLvlLbl val="0"/>
      </c:catAx>
      <c:valAx>
        <c:axId val="444257576"/>
        <c:scaling>
          <c:orientation val="minMax"/>
          <c:max val="229999999.99999997"/>
          <c:min val="20000000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4254624"/>
        <c:crosses val="autoZero"/>
        <c:crossBetween val="between"/>
        <c:majorUnit val="1000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</xdr:colOff>
      <xdr:row>19</xdr:row>
      <xdr:rowOff>156210</xdr:rowOff>
    </xdr:from>
    <xdr:to>
      <xdr:col>6</xdr:col>
      <xdr:colOff>293370</xdr:colOff>
      <xdr:row>31</xdr:row>
      <xdr:rowOff>148590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3F9EA6-4980-4CEF-A7C2-C5E271282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91440</xdr:colOff>
      <xdr:row>33</xdr:row>
      <xdr:rowOff>7620</xdr:rowOff>
    </xdr:from>
    <xdr:to>
      <xdr:col>6</xdr:col>
      <xdr:colOff>335280</xdr:colOff>
      <xdr:row>45</xdr:row>
      <xdr:rowOff>99060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119649C-7D71-4928-823F-A2844AC6D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19</xdr:row>
      <xdr:rowOff>34290</xdr:rowOff>
    </xdr:from>
    <xdr:to>
      <xdr:col>9</xdr:col>
      <xdr:colOff>384810</xdr:colOff>
      <xdr:row>31</xdr:row>
      <xdr:rowOff>26670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5035C4-BAFA-4EF9-B41C-3D0219E8F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533400</xdr:colOff>
      <xdr:row>32</xdr:row>
      <xdr:rowOff>106680</xdr:rowOff>
    </xdr:from>
    <xdr:to>
      <xdr:col>9</xdr:col>
      <xdr:colOff>403860</xdr:colOff>
      <xdr:row>44</xdr:row>
      <xdr:rowOff>198120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7309CF1-C638-4A1E-B85F-DD4EA3992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AC6D-2172-432F-8390-824E0FEFAB61}">
  <dimension ref="B1:Q41"/>
  <sheetViews>
    <sheetView topLeftCell="A7" workbookViewId="0">
      <selection activeCell="E14" sqref="E14:K14"/>
    </sheetView>
  </sheetViews>
  <sheetFormatPr defaultRowHeight="17.399999999999999" x14ac:dyDescent="0.4"/>
  <cols>
    <col min="2" max="2" width="10.59765625" customWidth="1"/>
    <col min="3" max="3" width="13.3984375" customWidth="1"/>
    <col min="4" max="4" width="17.5" customWidth="1"/>
    <col min="5" max="5" width="10.09765625" customWidth="1"/>
    <col min="9" max="9" width="10.5" bestFit="1" customWidth="1"/>
    <col min="10" max="10" width="12.59765625" bestFit="1" customWidth="1"/>
    <col min="11" max="11" width="13.69921875" customWidth="1"/>
    <col min="17" max="17" width="8.796875" style="25"/>
  </cols>
  <sheetData>
    <row r="1" spans="2:17" ht="18" thickBot="1" x14ac:dyDescent="0.45"/>
    <row r="2" spans="2:17" x14ac:dyDescent="0.4">
      <c r="B2" s="74" t="s">
        <v>9</v>
      </c>
      <c r="C2" s="75"/>
      <c r="D2" s="76"/>
      <c r="Q2" s="24"/>
    </row>
    <row r="3" spans="2:17" x14ac:dyDescent="0.4">
      <c r="B3" s="77" t="s">
        <v>10</v>
      </c>
      <c r="C3" s="1"/>
      <c r="D3" s="78"/>
    </row>
    <row r="4" spans="2:17" ht="18" thickBot="1" x14ac:dyDescent="0.45">
      <c r="B4" s="79" t="s">
        <v>11</v>
      </c>
      <c r="C4" s="80"/>
      <c r="D4" s="81"/>
    </row>
    <row r="5" spans="2:17" ht="18" thickBot="1" x14ac:dyDescent="0.45"/>
    <row r="6" spans="2:17" x14ac:dyDescent="0.4">
      <c r="D6" s="10" t="s">
        <v>41</v>
      </c>
      <c r="E6" s="5" t="s">
        <v>12</v>
      </c>
      <c r="F6" s="5" t="s">
        <v>13</v>
      </c>
      <c r="G6" s="5" t="s">
        <v>14</v>
      </c>
      <c r="H6" s="5" t="s">
        <v>14</v>
      </c>
      <c r="I6" s="5" t="s">
        <v>15</v>
      </c>
      <c r="J6" s="5" t="s">
        <v>16</v>
      </c>
      <c r="K6" s="5" t="s">
        <v>16</v>
      </c>
      <c r="L6" s="6" t="s">
        <v>17</v>
      </c>
    </row>
    <row r="7" spans="2:17" ht="17.399999999999999" customHeight="1" thickBot="1" x14ac:dyDescent="0.45">
      <c r="D7" s="11" t="s">
        <v>42</v>
      </c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8">
        <v>8</v>
      </c>
    </row>
    <row r="8" spans="2:17" ht="18" thickBot="1" x14ac:dyDescent="0.45">
      <c r="E8">
        <v>96</v>
      </c>
      <c r="G8">
        <v>82</v>
      </c>
    </row>
    <row r="9" spans="2:17" x14ac:dyDescent="0.4">
      <c r="B9" s="261" t="s">
        <v>0</v>
      </c>
      <c r="C9" s="13" t="s">
        <v>1</v>
      </c>
      <c r="D9" s="5" t="s">
        <v>4</v>
      </c>
      <c r="E9" s="92">
        <v>95</v>
      </c>
      <c r="F9" s="92">
        <v>87</v>
      </c>
      <c r="G9" s="92">
        <v>80</v>
      </c>
      <c r="H9" s="92"/>
      <c r="I9" s="92"/>
      <c r="J9" s="92"/>
      <c r="K9" s="92"/>
      <c r="L9" s="93"/>
    </row>
    <row r="10" spans="2:17" x14ac:dyDescent="0.4">
      <c r="B10" s="262"/>
      <c r="C10" s="264" t="s">
        <v>2</v>
      </c>
      <c r="D10" s="3" t="s">
        <v>7</v>
      </c>
      <c r="E10" s="255">
        <v>30</v>
      </c>
      <c r="F10" s="256"/>
      <c r="G10" s="256"/>
      <c r="H10" s="256"/>
      <c r="I10" s="256"/>
      <c r="J10" s="256"/>
      <c r="K10" s="256"/>
      <c r="L10" s="257"/>
    </row>
    <row r="11" spans="2:17" x14ac:dyDescent="0.4">
      <c r="B11" s="262"/>
      <c r="C11" s="264"/>
      <c r="D11" s="3" t="s">
        <v>295</v>
      </c>
      <c r="E11" s="94"/>
      <c r="F11" s="94">
        <v>102</v>
      </c>
      <c r="G11" s="94"/>
      <c r="H11" s="94">
        <v>92</v>
      </c>
      <c r="I11" s="94"/>
      <c r="J11" s="94"/>
      <c r="K11" s="94"/>
      <c r="L11" s="95"/>
    </row>
    <row r="12" spans="2:17" x14ac:dyDescent="0.4">
      <c r="B12" s="262"/>
      <c r="C12" s="264"/>
      <c r="D12" s="12" t="s">
        <v>294</v>
      </c>
      <c r="E12" s="94">
        <v>74</v>
      </c>
      <c r="F12" s="94">
        <v>69</v>
      </c>
      <c r="G12" s="94">
        <v>66</v>
      </c>
      <c r="H12" s="94">
        <v>61</v>
      </c>
      <c r="I12" s="94">
        <v>59</v>
      </c>
      <c r="J12" s="94"/>
      <c r="K12" s="94"/>
      <c r="L12" s="95"/>
    </row>
    <row r="13" spans="2:17" x14ac:dyDescent="0.4">
      <c r="B13" s="262"/>
      <c r="C13" s="264" t="s">
        <v>3</v>
      </c>
      <c r="D13" s="3" t="s">
        <v>5</v>
      </c>
      <c r="E13" s="94">
        <v>95</v>
      </c>
      <c r="F13" s="94">
        <v>87</v>
      </c>
      <c r="G13" s="94">
        <v>80</v>
      </c>
      <c r="H13" s="94">
        <v>74</v>
      </c>
      <c r="I13" s="94">
        <v>72</v>
      </c>
      <c r="J13" s="94">
        <v>67</v>
      </c>
      <c r="K13" s="94">
        <v>63</v>
      </c>
      <c r="L13" s="95"/>
    </row>
    <row r="14" spans="2:17" x14ac:dyDescent="0.4">
      <c r="B14" s="262"/>
      <c r="C14" s="264"/>
      <c r="D14" s="12" t="s">
        <v>18</v>
      </c>
      <c r="E14" s="94">
        <v>100</v>
      </c>
      <c r="F14" s="94">
        <v>90</v>
      </c>
      <c r="G14" s="94">
        <v>83</v>
      </c>
      <c r="H14" s="94">
        <v>80</v>
      </c>
      <c r="I14" s="94">
        <v>74</v>
      </c>
      <c r="J14" s="94">
        <v>69</v>
      </c>
      <c r="K14" s="94">
        <v>67</v>
      </c>
      <c r="L14" s="95"/>
    </row>
    <row r="15" spans="2:17" ht="18" thickBot="1" x14ac:dyDescent="0.45">
      <c r="B15" s="263"/>
      <c r="C15" s="265"/>
      <c r="D15" s="15" t="s">
        <v>8</v>
      </c>
      <c r="E15" s="8">
        <v>5</v>
      </c>
      <c r="F15" s="8"/>
      <c r="G15" s="8"/>
      <c r="H15" s="8"/>
      <c r="I15" s="8"/>
      <c r="J15" s="8"/>
      <c r="K15" s="8"/>
      <c r="L15" s="9"/>
    </row>
    <row r="16" spans="2:17" ht="18" thickBot="1" x14ac:dyDescent="0.45"/>
    <row r="17" spans="2:11" x14ac:dyDescent="0.4">
      <c r="B17" s="266" t="s">
        <v>19</v>
      </c>
      <c r="C17" s="269" t="s">
        <v>20</v>
      </c>
      <c r="D17" s="5" t="s">
        <v>23</v>
      </c>
      <c r="E17" s="5">
        <v>31</v>
      </c>
      <c r="F17" s="258" t="s">
        <v>54</v>
      </c>
      <c r="G17" s="259"/>
      <c r="H17" s="259"/>
      <c r="I17" s="260"/>
      <c r="K17" t="s">
        <v>55</v>
      </c>
    </row>
    <row r="18" spans="2:11" x14ac:dyDescent="0.4">
      <c r="B18" s="267"/>
      <c r="C18" s="270"/>
      <c r="D18" s="3" t="s">
        <v>53</v>
      </c>
      <c r="E18" s="3">
        <v>83</v>
      </c>
      <c r="F18" s="3"/>
      <c r="G18" s="3"/>
      <c r="H18" s="3"/>
      <c r="I18" s="14"/>
    </row>
    <row r="19" spans="2:11" x14ac:dyDescent="0.4">
      <c r="B19" s="267"/>
      <c r="C19" s="271" t="s">
        <v>21</v>
      </c>
      <c r="D19" s="3" t="s">
        <v>24</v>
      </c>
      <c r="E19" s="3">
        <v>100</v>
      </c>
      <c r="F19" s="3"/>
      <c r="G19" s="3"/>
      <c r="H19" s="3"/>
      <c r="I19" s="14"/>
    </row>
    <row r="20" spans="2:11" ht="18" thickBot="1" x14ac:dyDescent="0.45">
      <c r="B20" s="268"/>
      <c r="C20" s="272"/>
      <c r="D20" s="8" t="s">
        <v>25</v>
      </c>
      <c r="E20" s="8">
        <v>95</v>
      </c>
      <c r="F20" s="8"/>
      <c r="G20" s="8"/>
      <c r="H20" s="8"/>
      <c r="I20" s="9"/>
    </row>
    <row r="21" spans="2:11" ht="18" thickBot="1" x14ac:dyDescent="0.45">
      <c r="B21" s="2"/>
    </row>
    <row r="22" spans="2:11" x14ac:dyDescent="0.4">
      <c r="B22" s="261" t="s">
        <v>26</v>
      </c>
      <c r="C22" s="276" t="s">
        <v>37</v>
      </c>
      <c r="D22" s="5" t="s">
        <v>39</v>
      </c>
      <c r="E22" s="5">
        <v>94</v>
      </c>
      <c r="F22" s="5"/>
      <c r="G22" s="5">
        <v>80</v>
      </c>
      <c r="H22" s="5"/>
      <c r="I22" s="5"/>
    </row>
    <row r="23" spans="2:11" x14ac:dyDescent="0.4">
      <c r="B23" s="262"/>
      <c r="C23" s="264"/>
      <c r="D23" s="3" t="s">
        <v>40</v>
      </c>
      <c r="E23" s="3">
        <v>94</v>
      </c>
      <c r="F23" s="3">
        <v>86</v>
      </c>
      <c r="G23" s="3">
        <v>82</v>
      </c>
      <c r="H23" s="3">
        <v>76</v>
      </c>
      <c r="I23" s="14">
        <v>70</v>
      </c>
    </row>
    <row r="24" spans="2:11" ht="18" thickBot="1" x14ac:dyDescent="0.45">
      <c r="B24" s="263"/>
      <c r="C24" s="16" t="s">
        <v>38</v>
      </c>
      <c r="D24" s="8" t="s">
        <v>43</v>
      </c>
      <c r="E24" s="273">
        <v>440</v>
      </c>
      <c r="F24" s="274"/>
      <c r="G24" s="274"/>
      <c r="H24" s="274"/>
      <c r="I24" s="275"/>
    </row>
    <row r="25" spans="2:11" ht="18" thickBot="1" x14ac:dyDescent="0.45"/>
    <row r="26" spans="2:11" x14ac:dyDescent="0.4">
      <c r="B26" s="261" t="s">
        <v>27</v>
      </c>
      <c r="C26" s="17" t="s">
        <v>22</v>
      </c>
      <c r="D26" s="5" t="s">
        <v>44</v>
      </c>
      <c r="E26" s="5">
        <v>42</v>
      </c>
      <c r="F26" s="5"/>
      <c r="G26" s="5"/>
      <c r="H26" s="5"/>
      <c r="I26" s="6"/>
    </row>
    <row r="27" spans="2:11" x14ac:dyDescent="0.4">
      <c r="B27" s="262"/>
      <c r="C27" s="264" t="s">
        <v>45</v>
      </c>
      <c r="D27" s="3" t="s">
        <v>46</v>
      </c>
      <c r="E27" s="3">
        <v>100</v>
      </c>
      <c r="F27" s="3">
        <v>96</v>
      </c>
      <c r="G27" s="3"/>
      <c r="H27" s="3"/>
      <c r="I27" s="14"/>
    </row>
    <row r="28" spans="2:11" x14ac:dyDescent="0.4">
      <c r="B28" s="262"/>
      <c r="C28" s="264"/>
      <c r="D28" s="3" t="s">
        <v>47</v>
      </c>
      <c r="E28" s="3">
        <v>83</v>
      </c>
      <c r="F28" s="3">
        <v>77</v>
      </c>
      <c r="G28" s="3"/>
      <c r="H28" s="3"/>
      <c r="I28" s="14"/>
    </row>
    <row r="29" spans="2:11" ht="18" thickBot="1" x14ac:dyDescent="0.45">
      <c r="B29" s="263"/>
      <c r="C29" s="265"/>
      <c r="D29" s="8"/>
      <c r="E29" s="8"/>
      <c r="F29" s="8"/>
      <c r="G29" s="8"/>
      <c r="H29" s="8"/>
      <c r="I29" s="9"/>
    </row>
    <row r="32" spans="2:11" x14ac:dyDescent="0.4">
      <c r="G32" t="s">
        <v>287</v>
      </c>
      <c r="H32">
        <v>1300</v>
      </c>
    </row>
    <row r="33" spans="2:14" x14ac:dyDescent="0.4">
      <c r="G33" t="s">
        <v>288</v>
      </c>
      <c r="H33">
        <v>1000</v>
      </c>
    </row>
    <row r="34" spans="2:14" ht="18" thickBot="1" x14ac:dyDescent="0.45">
      <c r="C34" s="277" t="s">
        <v>50</v>
      </c>
      <c r="D34" s="277"/>
      <c r="E34" s="277"/>
    </row>
    <row r="35" spans="2:14" ht="18" thickBot="1" x14ac:dyDescent="0.45">
      <c r="D35" s="20" t="s">
        <v>52</v>
      </c>
      <c r="E35" s="21" t="s">
        <v>51</v>
      </c>
      <c r="F35" s="22" t="s">
        <v>49</v>
      </c>
      <c r="G35" s="31" t="s">
        <v>289</v>
      </c>
      <c r="H35" s="31" t="s">
        <v>291</v>
      </c>
      <c r="I35" t="s">
        <v>290</v>
      </c>
      <c r="J35" t="s">
        <v>292</v>
      </c>
      <c r="K35" t="s">
        <v>293</v>
      </c>
    </row>
    <row r="36" spans="2:14" x14ac:dyDescent="0.4">
      <c r="B36" s="266" t="s">
        <v>28</v>
      </c>
      <c r="C36" s="269" t="s">
        <v>32</v>
      </c>
      <c r="D36" s="18" t="s">
        <v>29</v>
      </c>
      <c r="E36" s="18">
        <v>19</v>
      </c>
      <c r="F36" s="19"/>
      <c r="G36">
        <v>2</v>
      </c>
      <c r="H36">
        <v>320</v>
      </c>
      <c r="I36">
        <v>15</v>
      </c>
      <c r="J36">
        <f>( (0.0033665*$H$32^2 + 3.3 *$H$32+0.5*$H$33)*$H$36/100*1.5 )*$G$36*$I$36*E36</f>
        <v>28671597.359999999</v>
      </c>
      <c r="K36">
        <f>J36/J36</f>
        <v>1</v>
      </c>
    </row>
    <row r="37" spans="2:14" x14ac:dyDescent="0.4">
      <c r="B37" s="267"/>
      <c r="C37" s="270"/>
      <c r="D37" s="3" t="s">
        <v>34</v>
      </c>
      <c r="E37" s="3">
        <v>87</v>
      </c>
      <c r="F37" s="14"/>
      <c r="G37">
        <v>2</v>
      </c>
      <c r="H37">
        <v>550</v>
      </c>
      <c r="I37">
        <v>6</v>
      </c>
      <c r="J37">
        <f>SUM(I41:N41)*G37*E37</f>
        <v>29615657.167500004</v>
      </c>
      <c r="K37">
        <f>J37/J36</f>
        <v>1.0329266554509122</v>
      </c>
    </row>
    <row r="38" spans="2:14" x14ac:dyDescent="0.4">
      <c r="B38" s="267"/>
      <c r="C38" s="271" t="s">
        <v>33</v>
      </c>
      <c r="D38" s="3" t="s">
        <v>30</v>
      </c>
      <c r="E38" s="3">
        <v>19</v>
      </c>
      <c r="F38" s="14"/>
    </row>
    <row r="39" spans="2:14" x14ac:dyDescent="0.4">
      <c r="B39" s="267"/>
      <c r="C39" s="270"/>
      <c r="D39" s="3" t="s">
        <v>35</v>
      </c>
      <c r="E39" s="3">
        <v>83</v>
      </c>
      <c r="F39" s="14"/>
    </row>
    <row r="40" spans="2:14" x14ac:dyDescent="0.4">
      <c r="B40" s="267"/>
      <c r="C40" s="271" t="s">
        <v>48</v>
      </c>
      <c r="D40" s="3" t="s">
        <v>31</v>
      </c>
      <c r="E40" s="3" t="s">
        <v>49</v>
      </c>
      <c r="F40" s="14">
        <v>22</v>
      </c>
      <c r="I40">
        <v>100</v>
      </c>
      <c r="J40">
        <f>I40/2</f>
        <v>50</v>
      </c>
      <c r="K40">
        <f t="shared" ref="K40:N40" si="0">J40/2</f>
        <v>25</v>
      </c>
      <c r="L40">
        <f t="shared" si="0"/>
        <v>12.5</v>
      </c>
      <c r="M40">
        <f t="shared" si="0"/>
        <v>6.25</v>
      </c>
      <c r="N40">
        <f t="shared" si="0"/>
        <v>3.125</v>
      </c>
    </row>
    <row r="41" spans="2:14" ht="18" thickBot="1" x14ac:dyDescent="0.45">
      <c r="B41" s="268"/>
      <c r="C41" s="272"/>
      <c r="D41" s="8" t="s">
        <v>36</v>
      </c>
      <c r="E41" s="8" t="s">
        <v>49</v>
      </c>
      <c r="F41" s="9">
        <v>74</v>
      </c>
      <c r="I41">
        <f>( (0.0033665*$H$32^2 + 3.3 *$H$32+0.5*$H$33)*$H$37/100 )*1.5</f>
        <v>86454.926250000004</v>
      </c>
      <c r="J41">
        <f>INT(I41/2)</f>
        <v>43227</v>
      </c>
      <c r="K41">
        <f t="shared" ref="K41:N41" si="1">INT(J41/2)</f>
        <v>21613</v>
      </c>
      <c r="L41">
        <f t="shared" si="1"/>
        <v>10806</v>
      </c>
      <c r="M41">
        <f t="shared" si="1"/>
        <v>5403</v>
      </c>
      <c r="N41">
        <f t="shared" si="1"/>
        <v>2701</v>
      </c>
    </row>
  </sheetData>
  <mergeCells count="18">
    <mergeCell ref="E24:I24"/>
    <mergeCell ref="C27:C29"/>
    <mergeCell ref="B26:B29"/>
    <mergeCell ref="B36:B41"/>
    <mergeCell ref="C36:C37"/>
    <mergeCell ref="B22:B24"/>
    <mergeCell ref="C22:C23"/>
    <mergeCell ref="C38:C39"/>
    <mergeCell ref="C40:C41"/>
    <mergeCell ref="C34:E34"/>
    <mergeCell ref="E10:L10"/>
    <mergeCell ref="F17:I17"/>
    <mergeCell ref="B9:B15"/>
    <mergeCell ref="C10:C12"/>
    <mergeCell ref="C13:C15"/>
    <mergeCell ref="B17:B20"/>
    <mergeCell ref="C17:C18"/>
    <mergeCell ref="C19:C2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F59-3EE7-4C00-8DB6-E096F44C6ABD}">
  <dimension ref="A1:Y49"/>
  <sheetViews>
    <sheetView topLeftCell="B7" zoomScale="85" zoomScaleNormal="85" workbookViewId="0">
      <selection activeCell="K31" sqref="K31"/>
    </sheetView>
  </sheetViews>
  <sheetFormatPr defaultRowHeight="17.399999999999999" x14ac:dyDescent="0.4"/>
  <cols>
    <col min="2" max="2" width="11" customWidth="1"/>
    <col min="4" max="4" width="13" customWidth="1"/>
    <col min="5" max="5" width="21.8984375" customWidth="1"/>
    <col min="6" max="6" width="12.69921875" customWidth="1"/>
    <col min="7" max="7" width="15.5" customWidth="1"/>
    <col min="8" max="8" width="12.3984375" customWidth="1"/>
    <col min="9" max="9" width="12.69921875" customWidth="1"/>
    <col min="10" max="10" width="19.09765625" customWidth="1"/>
    <col min="11" max="11" width="17.09765625" customWidth="1"/>
    <col min="12" max="12" width="18.296875" customWidth="1"/>
    <col min="13" max="13" width="17.69921875" customWidth="1"/>
    <col min="14" max="14" width="13.5" customWidth="1"/>
    <col min="15" max="15" width="14.8984375" customWidth="1"/>
    <col min="16" max="17" width="11.296875" customWidth="1"/>
    <col min="18" max="18" width="16.69921875" customWidth="1"/>
    <col min="19" max="19" width="19.296875" customWidth="1"/>
    <col min="20" max="20" width="21.19921875" customWidth="1"/>
    <col min="21" max="21" width="22.8984375" customWidth="1"/>
    <col min="22" max="22" width="10.69921875" customWidth="1"/>
    <col min="23" max="23" width="9.5" customWidth="1"/>
    <col min="24" max="24" width="10.09765625" customWidth="1"/>
    <col min="25" max="25" width="10" customWidth="1"/>
  </cols>
  <sheetData>
    <row r="1" spans="1:24" ht="18" thickBot="1" x14ac:dyDescent="0.45">
      <c r="A1" s="83" t="s">
        <v>57</v>
      </c>
    </row>
    <row r="2" spans="1:24" x14ac:dyDescent="0.4">
      <c r="A2" s="83" t="s">
        <v>171</v>
      </c>
      <c r="E2" s="284" t="s">
        <v>174</v>
      </c>
      <c r="F2" s="285"/>
      <c r="G2" s="285"/>
      <c r="H2" s="285"/>
      <c r="I2" s="285"/>
      <c r="J2" s="286"/>
    </row>
    <row r="3" spans="1:24" x14ac:dyDescent="0.4">
      <c r="A3" s="83" t="s">
        <v>58</v>
      </c>
      <c r="E3" s="26" t="s">
        <v>63</v>
      </c>
      <c r="F3" s="3" t="s">
        <v>59</v>
      </c>
      <c r="G3" s="3" t="s">
        <v>60</v>
      </c>
      <c r="H3" s="3" t="s">
        <v>61</v>
      </c>
      <c r="I3" s="3" t="s">
        <v>62</v>
      </c>
      <c r="J3" s="14" t="s">
        <v>64</v>
      </c>
      <c r="L3">
        <v>400</v>
      </c>
      <c r="M3">
        <v>500</v>
      </c>
      <c r="N3">
        <v>600</v>
      </c>
    </row>
    <row r="4" spans="1:24" ht="18" thickBot="1" x14ac:dyDescent="0.45">
      <c r="A4" s="83"/>
      <c r="E4" s="7">
        <v>18</v>
      </c>
      <c r="F4" s="8">
        <v>5</v>
      </c>
      <c r="G4" s="8">
        <v>5</v>
      </c>
      <c r="H4" s="8">
        <v>6</v>
      </c>
      <c r="I4" s="8">
        <v>7</v>
      </c>
      <c r="J4" s="9">
        <f>E4+F4*249+G4*100+H4*100+I4*100+8</f>
        <v>3071</v>
      </c>
      <c r="L4">
        <f>J4+99*8+9</f>
        <v>3872</v>
      </c>
      <c r="M4">
        <f>L4+99*9+11</f>
        <v>4774</v>
      </c>
      <c r="N4">
        <f>M4+99*11+12</f>
        <v>5875</v>
      </c>
    </row>
    <row r="5" spans="1:24" ht="18" thickBot="1" x14ac:dyDescent="0.45"/>
    <row r="6" spans="1:24" ht="18" thickBot="1" x14ac:dyDescent="0.45">
      <c r="B6" s="290" t="s">
        <v>79</v>
      </c>
      <c r="C6" s="291"/>
      <c r="D6" s="291"/>
      <c r="E6" s="291"/>
      <c r="F6" s="291"/>
      <c r="G6" s="291"/>
      <c r="H6" s="291"/>
      <c r="I6" s="291"/>
      <c r="J6" s="291"/>
      <c r="K6" s="292"/>
      <c r="L6" s="1"/>
      <c r="M6" s="1"/>
      <c r="N6" s="1"/>
      <c r="O6" s="1"/>
      <c r="P6" s="1"/>
      <c r="Q6" s="1"/>
      <c r="R6" s="31"/>
      <c r="S6" s="31"/>
    </row>
    <row r="7" spans="1:24" x14ac:dyDescent="0.4">
      <c r="B7" s="261" t="s">
        <v>80</v>
      </c>
      <c r="C7" s="276"/>
      <c r="D7" s="276"/>
      <c r="E7" s="276"/>
      <c r="F7" s="289"/>
      <c r="G7" s="27"/>
      <c r="H7" s="29" t="s">
        <v>103</v>
      </c>
      <c r="I7" s="29" t="s">
        <v>104</v>
      </c>
      <c r="J7" s="29" t="s">
        <v>105</v>
      </c>
      <c r="K7" s="30" t="s">
        <v>106</v>
      </c>
      <c r="L7" s="1"/>
      <c r="M7" s="1"/>
      <c r="N7" s="1"/>
      <c r="O7" s="1"/>
      <c r="P7" s="1"/>
      <c r="Q7" s="1"/>
      <c r="R7" s="31"/>
      <c r="S7" s="31"/>
    </row>
    <row r="8" spans="1:24" x14ac:dyDescent="0.4">
      <c r="B8" s="57" t="s">
        <v>81</v>
      </c>
      <c r="C8" s="55" t="s">
        <v>78</v>
      </c>
      <c r="D8" s="55"/>
      <c r="E8" s="55" t="s">
        <v>83</v>
      </c>
      <c r="F8" s="23" t="s">
        <v>107</v>
      </c>
      <c r="G8" s="33" t="s">
        <v>71</v>
      </c>
      <c r="H8" s="287" t="s">
        <v>102</v>
      </c>
      <c r="I8" s="287"/>
      <c r="J8" s="287"/>
      <c r="K8" s="288"/>
      <c r="L8" s="1"/>
      <c r="M8" s="1"/>
      <c r="N8" s="1"/>
      <c r="O8" s="1"/>
      <c r="P8" s="1"/>
      <c r="Q8" s="1"/>
      <c r="R8" s="31"/>
      <c r="S8" s="31"/>
    </row>
    <row r="9" spans="1:24" ht="18" thickBot="1" x14ac:dyDescent="0.45">
      <c r="B9" s="58" t="s">
        <v>82</v>
      </c>
      <c r="C9" s="56" t="s">
        <v>125</v>
      </c>
      <c r="D9" s="56"/>
      <c r="E9" s="56" t="s">
        <v>84</v>
      </c>
      <c r="F9" s="32" t="s">
        <v>107</v>
      </c>
      <c r="G9" s="34" t="s">
        <v>72</v>
      </c>
      <c r="H9" s="35">
        <v>42</v>
      </c>
      <c r="I9" s="28">
        <v>0</v>
      </c>
      <c r="J9" s="28">
        <v>0</v>
      </c>
      <c r="K9" s="32">
        <v>28</v>
      </c>
      <c r="L9" s="1"/>
      <c r="M9" s="1"/>
      <c r="N9" s="1"/>
      <c r="O9" s="1"/>
      <c r="P9" s="1"/>
      <c r="Q9" s="1"/>
      <c r="R9" s="31"/>
      <c r="S9" s="31"/>
    </row>
    <row r="10" spans="1:24" ht="18" thickBot="1" x14ac:dyDescent="0.45"/>
    <row r="11" spans="1:24" ht="18" thickBot="1" x14ac:dyDescent="0.45">
      <c r="B11" s="293" t="s">
        <v>76</v>
      </c>
      <c r="C11" s="294"/>
      <c r="D11" s="294"/>
      <c r="E11" s="294"/>
      <c r="F11" s="294"/>
      <c r="G11" s="294"/>
      <c r="H11" s="295"/>
      <c r="I11" s="282" t="s">
        <v>77</v>
      </c>
      <c r="J11" s="283"/>
      <c r="K11" s="283"/>
      <c r="L11" s="283"/>
      <c r="M11" s="283"/>
      <c r="N11" s="283"/>
      <c r="O11" s="296"/>
    </row>
    <row r="12" spans="1:24" ht="18" thickBot="1" x14ac:dyDescent="0.45">
      <c r="B12" s="36" t="s">
        <v>75</v>
      </c>
      <c r="C12" s="37" t="s">
        <v>73</v>
      </c>
      <c r="D12" s="37" t="s">
        <v>74</v>
      </c>
      <c r="E12" s="37" t="s">
        <v>75</v>
      </c>
      <c r="F12" s="37" t="s">
        <v>73</v>
      </c>
      <c r="G12" s="37" t="s">
        <v>112</v>
      </c>
      <c r="H12" s="38" t="s">
        <v>111</v>
      </c>
      <c r="I12" s="42" t="s">
        <v>75</v>
      </c>
      <c r="J12" s="43" t="s">
        <v>56</v>
      </c>
      <c r="K12" s="43" t="s">
        <v>74</v>
      </c>
      <c r="L12" s="43" t="s">
        <v>75</v>
      </c>
      <c r="M12" s="43" t="s">
        <v>56</v>
      </c>
      <c r="N12" s="43" t="s">
        <v>112</v>
      </c>
      <c r="O12" s="44" t="s">
        <v>111</v>
      </c>
    </row>
    <row r="13" spans="1:24" x14ac:dyDescent="0.4">
      <c r="B13" s="4" t="s">
        <v>71</v>
      </c>
      <c r="C13" s="5" t="s">
        <v>168</v>
      </c>
      <c r="D13" s="5">
        <v>40</v>
      </c>
      <c r="E13" s="5" t="s">
        <v>67</v>
      </c>
      <c r="F13" s="5">
        <v>41</v>
      </c>
      <c r="G13" s="5">
        <v>50</v>
      </c>
      <c r="H13" s="39">
        <v>50</v>
      </c>
      <c r="I13" s="26" t="s">
        <v>71</v>
      </c>
      <c r="J13" s="3" t="s">
        <v>169</v>
      </c>
      <c r="K13" s="3">
        <v>40</v>
      </c>
      <c r="L13" s="3" t="s">
        <v>67</v>
      </c>
      <c r="M13" s="3">
        <v>26</v>
      </c>
      <c r="N13" s="3">
        <v>88</v>
      </c>
      <c r="O13" s="14">
        <v>60</v>
      </c>
    </row>
    <row r="14" spans="1:24" x14ac:dyDescent="0.4">
      <c r="B14" s="26"/>
      <c r="C14" s="3"/>
      <c r="D14" s="3"/>
      <c r="E14" s="3" t="s">
        <v>65</v>
      </c>
      <c r="F14" s="3">
        <v>30</v>
      </c>
      <c r="G14" s="3">
        <v>30</v>
      </c>
      <c r="H14" s="40">
        <v>30</v>
      </c>
      <c r="I14" s="26" t="s">
        <v>72</v>
      </c>
      <c r="J14" s="48">
        <v>0</v>
      </c>
      <c r="K14" s="48">
        <v>0</v>
      </c>
      <c r="L14" s="3" t="s">
        <v>65</v>
      </c>
      <c r="M14" s="3">
        <v>20</v>
      </c>
      <c r="N14" s="3">
        <v>50</v>
      </c>
      <c r="O14" s="14">
        <v>30</v>
      </c>
    </row>
    <row r="15" spans="1:24" ht="18" thickBot="1" x14ac:dyDescent="0.45">
      <c r="B15" s="26"/>
      <c r="C15" s="3"/>
      <c r="D15" s="3"/>
      <c r="E15" s="3" t="s">
        <v>66</v>
      </c>
      <c r="F15" s="3">
        <v>30</v>
      </c>
      <c r="G15" s="3">
        <v>30</v>
      </c>
      <c r="H15" s="40">
        <v>30</v>
      </c>
      <c r="I15" s="26"/>
      <c r="J15" s="3"/>
      <c r="K15" s="3"/>
      <c r="L15" s="3" t="s">
        <v>66</v>
      </c>
      <c r="M15" s="3">
        <v>20</v>
      </c>
      <c r="N15" s="3">
        <v>50</v>
      </c>
      <c r="O15" s="14">
        <v>30</v>
      </c>
      <c r="R15" s="271"/>
      <c r="S15" s="271"/>
    </row>
    <row r="16" spans="1:24" x14ac:dyDescent="0.4">
      <c r="B16" s="26"/>
      <c r="C16" s="3"/>
      <c r="D16" s="3"/>
      <c r="E16" s="3" t="s">
        <v>69</v>
      </c>
      <c r="F16" s="3">
        <v>35</v>
      </c>
      <c r="G16" s="3">
        <v>30</v>
      </c>
      <c r="H16" s="40">
        <v>30</v>
      </c>
      <c r="I16" s="26"/>
      <c r="J16" s="3"/>
      <c r="K16" s="3"/>
      <c r="L16" s="3" t="s">
        <v>69</v>
      </c>
      <c r="M16" s="3">
        <v>20</v>
      </c>
      <c r="N16" s="3">
        <v>65</v>
      </c>
      <c r="O16" s="14">
        <v>40</v>
      </c>
      <c r="R16" s="261" t="s">
        <v>173</v>
      </c>
      <c r="S16" s="289"/>
      <c r="U16" s="261" t="s">
        <v>124</v>
      </c>
      <c r="V16" s="276"/>
      <c r="W16" s="276"/>
      <c r="X16" s="289"/>
    </row>
    <row r="17" spans="1:25" x14ac:dyDescent="0.4">
      <c r="B17" s="26"/>
      <c r="C17" s="3"/>
      <c r="D17" s="3"/>
      <c r="E17" s="3" t="s">
        <v>68</v>
      </c>
      <c r="F17" s="3">
        <v>35</v>
      </c>
      <c r="G17" s="3">
        <v>30</v>
      </c>
      <c r="H17" s="40">
        <v>30</v>
      </c>
      <c r="I17" s="26"/>
      <c r="J17" s="3"/>
      <c r="K17" s="3"/>
      <c r="L17" s="3" t="s">
        <v>68</v>
      </c>
      <c r="M17" s="3">
        <v>20</v>
      </c>
      <c r="N17" s="3">
        <v>65</v>
      </c>
      <c r="O17" s="14">
        <v>40</v>
      </c>
      <c r="R17" s="26" t="s">
        <v>120</v>
      </c>
      <c r="S17" s="14" t="s">
        <v>121</v>
      </c>
      <c r="U17" s="26" t="s">
        <v>151</v>
      </c>
      <c r="V17" s="48" t="s">
        <v>152</v>
      </c>
      <c r="W17" s="48"/>
      <c r="X17" s="14"/>
    </row>
    <row r="18" spans="1:25" ht="18" thickBot="1" x14ac:dyDescent="0.45">
      <c r="B18" s="7"/>
      <c r="C18" s="8"/>
      <c r="D18" s="8"/>
      <c r="E18" s="8" t="s">
        <v>70</v>
      </c>
      <c r="F18" s="8">
        <v>35</v>
      </c>
      <c r="G18" s="8">
        <v>30</v>
      </c>
      <c r="H18" s="41">
        <v>30</v>
      </c>
      <c r="I18" s="7"/>
      <c r="J18" s="8"/>
      <c r="K18" s="8"/>
      <c r="L18" s="8" t="s">
        <v>70</v>
      </c>
      <c r="M18" s="8">
        <v>20</v>
      </c>
      <c r="N18" s="8">
        <v>65</v>
      </c>
      <c r="O18" s="9">
        <v>40</v>
      </c>
      <c r="R18" s="58">
        <f>(H24*400 + 1200*(D24+E24))*550/250</f>
        <v>4414080</v>
      </c>
      <c r="S18" s="32" t="s">
        <v>122</v>
      </c>
      <c r="U18" s="7">
        <v>30</v>
      </c>
      <c r="V18" s="265">
        <v>50</v>
      </c>
      <c r="W18" s="265"/>
      <c r="X18" s="309"/>
    </row>
    <row r="20" spans="1:25" ht="18" thickBot="1" x14ac:dyDescent="0.45">
      <c r="B20" s="82" t="s">
        <v>170</v>
      </c>
      <c r="P20" s="264" t="s">
        <v>153</v>
      </c>
      <c r="Q20" s="264"/>
      <c r="R20" s="303" t="s">
        <v>161</v>
      </c>
      <c r="S20" s="303"/>
      <c r="T20" s="51" t="s">
        <v>114</v>
      </c>
      <c r="U20" s="51" t="s">
        <v>115</v>
      </c>
      <c r="V20" t="s">
        <v>148</v>
      </c>
      <c r="W20" t="s">
        <v>123</v>
      </c>
    </row>
    <row r="21" spans="1:25" x14ac:dyDescent="0.4">
      <c r="B21" s="50" t="s">
        <v>93</v>
      </c>
      <c r="C21" s="50" t="s">
        <v>71</v>
      </c>
      <c r="D21" s="50" t="s">
        <v>108</v>
      </c>
      <c r="E21" s="50" t="s">
        <v>127</v>
      </c>
      <c r="F21" s="89" t="s">
        <v>126</v>
      </c>
      <c r="G21" s="89" t="s">
        <v>128</v>
      </c>
      <c r="H21" s="89" t="s">
        <v>109</v>
      </c>
      <c r="I21" s="89" t="s">
        <v>110</v>
      </c>
      <c r="J21" s="50" t="s">
        <v>42</v>
      </c>
      <c r="K21" s="90" t="s">
        <v>99</v>
      </c>
      <c r="L21" s="50" t="s">
        <v>116</v>
      </c>
      <c r="M21" s="91"/>
      <c r="N21" s="89" t="s">
        <v>149</v>
      </c>
      <c r="O21" s="89" t="s">
        <v>154</v>
      </c>
      <c r="P21" s="89" t="s">
        <v>146</v>
      </c>
      <c r="Q21" s="89" t="s">
        <v>147</v>
      </c>
      <c r="R21" s="89" t="s">
        <v>144</v>
      </c>
      <c r="S21" s="89" t="s">
        <v>145</v>
      </c>
      <c r="T21" s="301" t="s">
        <v>113</v>
      </c>
      <c r="U21" s="302"/>
      <c r="V21" s="68" t="s">
        <v>117</v>
      </c>
      <c r="W21" s="69" t="s">
        <v>118</v>
      </c>
    </row>
    <row r="22" spans="1:25" x14ac:dyDescent="0.4">
      <c r="A22">
        <f>SUM(D22:E22)</f>
        <v>422</v>
      </c>
      <c r="B22" s="3" t="s">
        <v>1</v>
      </c>
      <c r="C22" s="3" t="s">
        <v>88</v>
      </c>
      <c r="D22" s="3">
        <v>216</v>
      </c>
      <c r="E22" s="3">
        <f>SUM($C$14,$F$13,$F$14,$F$15,$F$16,$F$17,$F$18)</f>
        <v>206</v>
      </c>
      <c r="F22" s="3">
        <f>SUM(C37:C38)</f>
        <v>90</v>
      </c>
      <c r="G22" s="3">
        <v>1.9</v>
      </c>
      <c r="H22" s="3">
        <f>INT($J$4*1.15)+SUM($G$13:$G$18) +$D$13</f>
        <v>3771</v>
      </c>
      <c r="I22" s="3">
        <f>4+SUM($H$13:$H$18) + $D$13</f>
        <v>244</v>
      </c>
      <c r="J22" s="3" t="s">
        <v>4</v>
      </c>
      <c r="K22" s="46">
        <f>Npm!$G$9</f>
        <v>80</v>
      </c>
      <c r="L22" s="47">
        <f>Npm!$E$9</f>
        <v>95</v>
      </c>
      <c r="M22" s="53"/>
      <c r="N22" s="3">
        <v>450</v>
      </c>
      <c r="O22" s="3">
        <v>2</v>
      </c>
      <c r="P22" s="3">
        <f>INT((H22*4.6+I22)/100*(D22+E22+F22))</f>
        <v>90063</v>
      </c>
      <c r="Q22" s="3">
        <f>INT((H22*0.9*0.6*4.6+I22)/100*(D22+E22+F22))</f>
        <v>49209</v>
      </c>
      <c r="R22" s="3">
        <f>INT(P22*$N22/100*$G22)</f>
        <v>770038</v>
      </c>
      <c r="S22" s="3">
        <f>INT(Q22*$N22/100*$G22)</f>
        <v>420736</v>
      </c>
      <c r="T22" s="49">
        <f>K22*$O22*( (1-T37/100)*AVERAGE($R22:$S22) + T37/100*AVERAGE($X37:$Y37) )</f>
        <v>95261920</v>
      </c>
      <c r="U22" s="65">
        <f>L22*$O22*( (1-U37/100)*AVERAGE($R22:$S22) + U37/100*AVERAGE($X37:$Y37) )</f>
        <v>124435920.99999999</v>
      </c>
      <c r="V22" s="70">
        <f t="shared" ref="V22:V33" si="0">RANK(T22,$T$22:$T$33,0)</f>
        <v>5</v>
      </c>
      <c r="W22" s="71">
        <f t="shared" ref="W22:W33" si="1">RANK(U22,$U$22:$U$33,0)</f>
        <v>5</v>
      </c>
      <c r="X22" s="67" t="s">
        <v>1</v>
      </c>
    </row>
    <row r="23" spans="1:25" x14ac:dyDescent="0.4">
      <c r="A23">
        <f t="shared" ref="A23:A33" si="2">SUM(D23:E23)</f>
        <v>422</v>
      </c>
      <c r="B23" s="3" t="s">
        <v>85</v>
      </c>
      <c r="C23" s="3" t="s">
        <v>89</v>
      </c>
      <c r="D23" s="3">
        <v>216</v>
      </c>
      <c r="E23" s="3">
        <f>SUM($C$14,$F$13,$F$14,$F$15,$F$16,$F$17,$F$18)</f>
        <v>206</v>
      </c>
      <c r="F23" s="3">
        <f>SUM(E37:E38)</f>
        <v>43</v>
      </c>
      <c r="G23" s="3">
        <v>2.1</v>
      </c>
      <c r="H23" s="3">
        <f t="shared" ref="H23:H26" si="3">INT($J$4*1.15)+SUM($G$13:$G$18) +$D$13</f>
        <v>3771</v>
      </c>
      <c r="I23" s="3">
        <f t="shared" ref="I23:I24" si="4">4+SUM($H$13:$H$18) + $D$13</f>
        <v>244</v>
      </c>
      <c r="J23" s="3" t="s">
        <v>6</v>
      </c>
      <c r="K23" s="46">
        <f>Npm!G12</f>
        <v>66</v>
      </c>
      <c r="L23" s="47">
        <f>Npm!E12</f>
        <v>74</v>
      </c>
      <c r="M23" s="53"/>
      <c r="N23" s="3">
        <v>250</v>
      </c>
      <c r="O23" s="3">
        <v>4</v>
      </c>
      <c r="P23" s="3">
        <f>INT((H23*5+I23)/100*(D23+E23+F23))</f>
        <v>88810</v>
      </c>
      <c r="Q23" s="3">
        <f>INT((H23*3*0.9*0.8+I23)/100*(D23+E23+F23))</f>
        <v>39010</v>
      </c>
      <c r="R23" s="3">
        <f t="shared" ref="R23:R24" si="5">INT(P23*$N23/100*$G23)</f>
        <v>466252</v>
      </c>
      <c r="S23" s="3">
        <f t="shared" ref="S23:S24" si="6">INT(Q23*$N23/100*$G23)</f>
        <v>204802</v>
      </c>
      <c r="T23" s="49">
        <f t="shared" ref="T23:U23" si="7">K23*$O23*( (1-T38/100)*AVERAGE($R23:$S23) + T38/100*AVERAGE($X38:$Y38) )</f>
        <v>88579128</v>
      </c>
      <c r="U23" s="65">
        <f t="shared" si="7"/>
        <v>117192941.59999999</v>
      </c>
      <c r="V23" s="70">
        <f t="shared" si="0"/>
        <v>8</v>
      </c>
      <c r="W23" s="71">
        <f t="shared" si="1"/>
        <v>6</v>
      </c>
      <c r="X23" s="67" t="s">
        <v>85</v>
      </c>
    </row>
    <row r="24" spans="1:25" x14ac:dyDescent="0.4">
      <c r="A24">
        <f t="shared" si="2"/>
        <v>415</v>
      </c>
      <c r="B24" s="3" t="s">
        <v>3</v>
      </c>
      <c r="C24" s="3" t="s">
        <v>90</v>
      </c>
      <c r="D24" s="3">
        <v>209</v>
      </c>
      <c r="E24" s="3">
        <f>SUM($C$14,$F$13,$F$14,$F$15,$F$16,$F$17,$F$18)</f>
        <v>206</v>
      </c>
      <c r="F24" s="3"/>
      <c r="G24" s="3">
        <v>1</v>
      </c>
      <c r="H24" s="3">
        <f t="shared" si="3"/>
        <v>3771</v>
      </c>
      <c r="I24" s="3">
        <f t="shared" si="4"/>
        <v>244</v>
      </c>
      <c r="J24" s="3" t="s">
        <v>119</v>
      </c>
      <c r="K24" s="46">
        <f>INT(Npm!G13/60*50)</f>
        <v>66</v>
      </c>
      <c r="L24" s="47">
        <f>INT(Npm!E13/60*50)</f>
        <v>79</v>
      </c>
      <c r="M24" s="53"/>
      <c r="N24" s="3">
        <v>700</v>
      </c>
      <c r="O24" s="3">
        <v>1</v>
      </c>
      <c r="P24" s="3">
        <f>INT((H24*4+I24)/100*(D24+E24+F24))</f>
        <v>63611</v>
      </c>
      <c r="Q24" s="3">
        <f>INT((H24*4*0.9*0.6+I24)/100*(D24+E24+F24))</f>
        <v>34815</v>
      </c>
      <c r="R24" s="3">
        <f t="shared" si="5"/>
        <v>445277</v>
      </c>
      <c r="S24" s="3">
        <f t="shared" si="6"/>
        <v>243705</v>
      </c>
      <c r="T24" s="49">
        <f>K24*$O24*( (1-T39/100)*AVERAGE($R24:$S24) + T39/100*AVERAGE($X39:$Y39) ) + R18*5</f>
        <v>44806806</v>
      </c>
      <c r="U24" s="65">
        <f>L24*$O24*( (1-U39/100)*AVERAGE($R24:$S24) + U39/100*AVERAGE($X39:$Y39) )+ R18*5*(0.3*1.5 + 0.7)</f>
        <v>54345259.299999997</v>
      </c>
      <c r="V24" s="70">
        <f t="shared" si="0"/>
        <v>11</v>
      </c>
      <c r="W24" s="71">
        <f t="shared" si="1"/>
        <v>11</v>
      </c>
      <c r="X24" s="67" t="s">
        <v>3</v>
      </c>
      <c r="Y24" t="s">
        <v>165</v>
      </c>
    </row>
    <row r="25" spans="1:25" x14ac:dyDescent="0.4">
      <c r="A25">
        <f t="shared" si="2"/>
        <v>379</v>
      </c>
      <c r="B25" s="3" t="s">
        <v>86</v>
      </c>
      <c r="C25" s="3" t="s">
        <v>91</v>
      </c>
      <c r="D25" s="3">
        <v>131</v>
      </c>
      <c r="E25" s="3">
        <f>SUM($C$14,$F$13,$F$14,$F$15,$F$16,$F$17,$F$18)+$H$9</f>
        <v>248</v>
      </c>
      <c r="F25" s="3"/>
      <c r="G25" s="3">
        <v>1.6</v>
      </c>
      <c r="H25" s="3">
        <f t="shared" si="3"/>
        <v>3771</v>
      </c>
      <c r="I25" s="3">
        <f>4+SUM($H$13:$H$18) +4 +$D$13</f>
        <v>248</v>
      </c>
      <c r="J25" s="3" t="s">
        <v>24</v>
      </c>
      <c r="K25" s="46">
        <f>Npm!$E$19</f>
        <v>100</v>
      </c>
      <c r="L25" s="47">
        <f t="shared" ref="L25:L30" si="8">K25</f>
        <v>100</v>
      </c>
      <c r="M25" s="53"/>
      <c r="N25" s="3">
        <v>200</v>
      </c>
      <c r="O25" s="3">
        <v>4</v>
      </c>
      <c r="P25" s="3">
        <f>INT((H25*4+I25)/100*(D25+E25+F25))</f>
        <v>58108</v>
      </c>
      <c r="Q25" s="3">
        <f>INT((H25*4*0.9*0.6+I25)/100*(D25+E25+F25))</f>
        <v>31810</v>
      </c>
      <c r="R25" s="45">
        <f>INT( 5*$H$25*(SUM($D$25:$E$25))/100 *$N$25/100 )</f>
        <v>142920</v>
      </c>
      <c r="S25" s="45">
        <f>INT( 2.5*$H$25*(SUM($D$25:$E$25))/100 *$N$25/100 )</f>
        <v>71460</v>
      </c>
      <c r="T25" s="49">
        <f>K25*$O25*( (1-T40/100)*AVERAGE($R25:$S25) + T40/100*AVERAGE($V40:$W40) )*G25</f>
        <v>102902560</v>
      </c>
      <c r="U25" s="65">
        <f>L25*$O25*( (1-U40/100)*AVERAGE($R25:$S25) + U40/100*AVERAGE($X40:$Y40) )*G25</f>
        <v>137203968</v>
      </c>
      <c r="V25" s="70">
        <f t="shared" si="0"/>
        <v>4</v>
      </c>
      <c r="W25" s="71">
        <f t="shared" si="1"/>
        <v>2</v>
      </c>
      <c r="X25" s="67" t="s">
        <v>86</v>
      </c>
      <c r="Y25" t="s">
        <v>164</v>
      </c>
    </row>
    <row r="26" spans="1:25" x14ac:dyDescent="0.4">
      <c r="A26">
        <f t="shared" si="2"/>
        <v>411</v>
      </c>
      <c r="B26" s="3" t="s">
        <v>87</v>
      </c>
      <c r="C26" s="3" t="s">
        <v>92</v>
      </c>
      <c r="D26" s="3">
        <v>205</v>
      </c>
      <c r="E26" s="3">
        <f>SUM($C$14,$F$13,$F$14,$F$15,$F$16,$F$17,$F$18)</f>
        <v>206</v>
      </c>
      <c r="F26" s="3"/>
      <c r="G26" s="3">
        <v>1</v>
      </c>
      <c r="H26" s="3">
        <f t="shared" si="3"/>
        <v>3771</v>
      </c>
      <c r="I26" s="3">
        <f>4+SUM($H$13:$H$18)+4 +$D$13</f>
        <v>248</v>
      </c>
      <c r="J26" s="3" t="s">
        <v>53</v>
      </c>
      <c r="K26" s="46">
        <f>Npm!$E$18</f>
        <v>83</v>
      </c>
      <c r="L26" s="47">
        <f t="shared" si="8"/>
        <v>83</v>
      </c>
      <c r="M26" s="53"/>
      <c r="N26" s="3">
        <v>235</v>
      </c>
      <c r="O26" s="3">
        <v>6</v>
      </c>
      <c r="P26" s="3">
        <f>INT((H26*3.6+I26)/100*(D26+E26+F26))</f>
        <v>56814</v>
      </c>
      <c r="Q26" s="3">
        <f>INT((H26*3.6*0.9*0.6+I26)/100*(D26+E26+F26))</f>
        <v>31148</v>
      </c>
      <c r="R26" s="3">
        <f t="shared" ref="R26" si="9">INT(P26*$N26/100*$G26)</f>
        <v>133512</v>
      </c>
      <c r="S26" s="3">
        <f t="shared" ref="S26" si="10">INT(Q26*$N26/100*$G26)</f>
        <v>73197</v>
      </c>
      <c r="T26" s="49">
        <f t="shared" ref="T26" si="11">K26*$O26*( (1-T41/100)*AVERAGE($R26:$S26) + T41/100*AVERAGE($X41:$Y41) )</f>
        <v>51470541</v>
      </c>
      <c r="U26" s="65">
        <f t="shared" ref="U26" si="12">L26*$O26*( (1-U41/100)*AVERAGE($R26:$S26) + U41/100*AVERAGE($X41:$Y41) )</f>
        <v>61326683.099999994</v>
      </c>
      <c r="V26" s="70">
        <f t="shared" si="0"/>
        <v>10</v>
      </c>
      <c r="W26" s="71">
        <f t="shared" si="1"/>
        <v>10</v>
      </c>
      <c r="X26" s="67" t="s">
        <v>87</v>
      </c>
    </row>
    <row r="27" spans="1:25" x14ac:dyDescent="0.4">
      <c r="A27">
        <f t="shared" si="2"/>
        <v>406</v>
      </c>
      <c r="B27" s="59" t="s">
        <v>32</v>
      </c>
      <c r="C27" s="59" t="s">
        <v>94</v>
      </c>
      <c r="D27" s="59">
        <v>280</v>
      </c>
      <c r="E27" s="59">
        <f>SUM($J$14,$M$13,$M$14,$M$15,$M$16,$M$17,$M$18)</f>
        <v>126</v>
      </c>
      <c r="F27" s="59">
        <f>SUM($G$37)</f>
        <v>20</v>
      </c>
      <c r="G27" s="59">
        <v>1.5</v>
      </c>
      <c r="H27" s="59">
        <f>INT($J$4*1.15)+SUM($N$13:$N$18)+$K$13+$K$14</f>
        <v>3954</v>
      </c>
      <c r="I27" s="59"/>
      <c r="J27" s="59" t="s">
        <v>34</v>
      </c>
      <c r="K27" s="60">
        <f>Npm!$E$37</f>
        <v>87</v>
      </c>
      <c r="L27" s="61">
        <f t="shared" si="8"/>
        <v>87</v>
      </c>
      <c r="M27" s="62"/>
      <c r="N27" s="59">
        <v>550</v>
      </c>
      <c r="O27" s="59">
        <v>2</v>
      </c>
      <c r="P27" s="63"/>
      <c r="Q27" s="63"/>
      <c r="R27" s="59">
        <f xml:space="preserve"> INT((0.0033665*(D27+E27+F27+H27)^2+3.3*(D27+E27+F27+H27)+0.5*H27)*N27/100*$G$27)</f>
        <v>668376</v>
      </c>
      <c r="S27" s="59">
        <f>INT((0.0033665*(D27+E27+F27+H27)^2+3.3*0.9*0.6*(D27+E27+F27+H27)+0.5*H27)*N27/100*$G$27)</f>
        <v>613523</v>
      </c>
      <c r="T27" s="64">
        <f t="shared" ref="T27:T33" si="13">K27*$O27*( (1-T42/100)*AVERAGE($R27:$S27) + T42/100*AVERAGE($X42:$Y42) )</f>
        <v>111525213</v>
      </c>
      <c r="U27" s="66">
        <f t="shared" ref="U27:U33" si="14">L27*$O27*( (1-U42/100)*AVERAGE($R27:$S27) + U42/100*AVERAGE($X42:$Y42) )</f>
        <v>128253994.94999999</v>
      </c>
      <c r="V27" s="70">
        <f t="shared" si="0"/>
        <v>3</v>
      </c>
      <c r="W27" s="71">
        <f t="shared" si="1"/>
        <v>4</v>
      </c>
      <c r="X27" s="67" t="s">
        <v>32</v>
      </c>
    </row>
    <row r="28" spans="1:25" x14ac:dyDescent="0.4">
      <c r="A28">
        <f t="shared" si="2"/>
        <v>406</v>
      </c>
      <c r="B28" s="59" t="s">
        <v>33</v>
      </c>
      <c r="C28" s="59" t="s">
        <v>94</v>
      </c>
      <c r="D28" s="59">
        <v>280</v>
      </c>
      <c r="E28" s="59">
        <f>SUM($J$14,$M$13,$M$14,$M$15,$M$16,$M$17,$M$18)</f>
        <v>126</v>
      </c>
      <c r="F28" s="59">
        <f>SUM($G$37)</f>
        <v>20</v>
      </c>
      <c r="G28" s="59">
        <v>1.5</v>
      </c>
      <c r="H28" s="59">
        <f t="shared" ref="H28:H29" si="15">INT($J$4*1.15)+SUM($N$13:$N$18)+$K$13+$K$14</f>
        <v>3954</v>
      </c>
      <c r="I28" s="59"/>
      <c r="J28" s="59" t="s">
        <v>35</v>
      </c>
      <c r="K28" s="60">
        <f>Npm!$E$39</f>
        <v>83</v>
      </c>
      <c r="L28" s="61">
        <f t="shared" si="8"/>
        <v>83</v>
      </c>
      <c r="M28" s="62"/>
      <c r="N28" s="59">
        <v>240</v>
      </c>
      <c r="O28" s="59">
        <v>4</v>
      </c>
      <c r="P28" s="63"/>
      <c r="Q28" s="63"/>
      <c r="R28" s="59">
        <f xml:space="preserve"> INT((0.0033665*(D28+E28+F28+H28)^2+3.3*(D28+E28+F28+H28)+0.5*H28)*N28/100*$G$28)</f>
        <v>291655</v>
      </c>
      <c r="S28" s="59">
        <f>INT((0.0033665*(D28+E28+F28+H28)^2+3.3*0.9*0.6*(D28+E28+F28+H28)+0.5*H28)*N28/100*$G$28)</f>
        <v>267719</v>
      </c>
      <c r="T28" s="64">
        <f t="shared" si="13"/>
        <v>92856084</v>
      </c>
      <c r="U28" s="66">
        <f t="shared" si="14"/>
        <v>106784496.59999999</v>
      </c>
      <c r="V28" s="70">
        <f t="shared" si="0"/>
        <v>7</v>
      </c>
      <c r="W28" s="71">
        <f t="shared" si="1"/>
        <v>7</v>
      </c>
      <c r="X28" s="67" t="s">
        <v>33</v>
      </c>
    </row>
    <row r="29" spans="1:25" x14ac:dyDescent="0.4">
      <c r="A29">
        <f t="shared" si="2"/>
        <v>406</v>
      </c>
      <c r="B29" s="59" t="s">
        <v>48</v>
      </c>
      <c r="C29" s="59" t="s">
        <v>94</v>
      </c>
      <c r="D29" s="59">
        <v>280</v>
      </c>
      <c r="E29" s="59">
        <f t="shared" ref="E29" si="16">SUM($J$14,$M$13,$M$14,$M$15,$M$16,$M$17,$M$18)</f>
        <v>126</v>
      </c>
      <c r="F29" s="59"/>
      <c r="G29" s="59">
        <v>1</v>
      </c>
      <c r="H29" s="59">
        <f t="shared" si="15"/>
        <v>3954</v>
      </c>
      <c r="I29" s="59"/>
      <c r="J29" s="59" t="s">
        <v>36</v>
      </c>
      <c r="K29" s="60">
        <f>Npm!$F$41</f>
        <v>74</v>
      </c>
      <c r="L29" s="61">
        <f t="shared" si="8"/>
        <v>74</v>
      </c>
      <c r="M29" s="62"/>
      <c r="N29" s="59">
        <v>240</v>
      </c>
      <c r="O29" s="59">
        <v>2</v>
      </c>
      <c r="P29" s="63"/>
      <c r="Q29" s="63"/>
      <c r="R29" s="59">
        <f xml:space="preserve"> INT((0.0033665*(D29+E29+F29+H29)^2+3.3*(D29+E29+H29)+0.5*H29)*N29/100*$G$29)</f>
        <v>192865</v>
      </c>
      <c r="S29" s="59">
        <f>INT((0.0033665*(D29+E29+F29+H29)^2+3.3*0.9*0.6*(D29+E29+F29+H29)+0.5*H29)*N29/100*$G$29)</f>
        <v>176981</v>
      </c>
      <c r="T29" s="64">
        <f t="shared" si="13"/>
        <v>27368604</v>
      </c>
      <c r="U29" s="66">
        <f t="shared" si="14"/>
        <v>31473894.599999998</v>
      </c>
      <c r="V29" s="70">
        <f t="shared" si="0"/>
        <v>12</v>
      </c>
      <c r="W29" s="71">
        <f t="shared" si="1"/>
        <v>12</v>
      </c>
      <c r="X29" s="67" t="s">
        <v>48</v>
      </c>
    </row>
    <row r="30" spans="1:25" x14ac:dyDescent="0.4">
      <c r="A30">
        <f t="shared" si="2"/>
        <v>411</v>
      </c>
      <c r="B30" s="3" t="s">
        <v>38</v>
      </c>
      <c r="C30" s="3" t="s">
        <v>95</v>
      </c>
      <c r="D30" s="3">
        <v>205</v>
      </c>
      <c r="E30" s="3">
        <f>SUM($C$14,$F$13,$F$14,$F$15,$F$16,$F$17,$F$18)</f>
        <v>206</v>
      </c>
      <c r="F30" s="3">
        <f>SUM(I37:I38)</f>
        <v>40</v>
      </c>
      <c r="G30" s="3">
        <v>1</v>
      </c>
      <c r="H30" s="3">
        <f t="shared" ref="H30:H33" si="17">INT($J$4*1.15)+SUM($G$13:$G$18) +$D$13</f>
        <v>3771</v>
      </c>
      <c r="I30" s="3">
        <f t="shared" ref="I30:I33" si="18">4+SUM($H$13:$H$18) + $D$13</f>
        <v>244</v>
      </c>
      <c r="J30" s="3" t="s">
        <v>100</v>
      </c>
      <c r="K30" s="46">
        <f>Npm!$E$24</f>
        <v>440</v>
      </c>
      <c r="L30" s="47">
        <f t="shared" si="8"/>
        <v>440</v>
      </c>
      <c r="M30" s="53"/>
      <c r="N30" s="3">
        <v>230</v>
      </c>
      <c r="O30" s="3">
        <v>1</v>
      </c>
      <c r="P30" s="3">
        <f>INT((H30*3.4+I30)/100*(D30+E30+F30))</f>
        <v>58924</v>
      </c>
      <c r="Q30" s="3">
        <f>INT((H30*3.4*0.9*0.9+I30)/100*(D30+E30+F30))</f>
        <v>47938</v>
      </c>
      <c r="R30" s="3">
        <f t="shared" ref="R30" si="19">INT(P30*$N30/100*$G30)</f>
        <v>135525</v>
      </c>
      <c r="S30" s="3">
        <f t="shared" ref="S30" si="20">INT(Q30*$N30/100*$G30)</f>
        <v>110257</v>
      </c>
      <c r="T30" s="49">
        <f t="shared" si="13"/>
        <v>95213910</v>
      </c>
      <c r="U30" s="65">
        <f t="shared" si="14"/>
        <v>95213910</v>
      </c>
      <c r="V30" s="70">
        <f t="shared" si="0"/>
        <v>6</v>
      </c>
      <c r="W30" s="71">
        <f t="shared" si="1"/>
        <v>8</v>
      </c>
      <c r="X30" s="67" t="s">
        <v>38</v>
      </c>
    </row>
    <row r="31" spans="1:25" x14ac:dyDescent="0.4">
      <c r="A31">
        <f t="shared" si="2"/>
        <v>415</v>
      </c>
      <c r="B31" s="3" t="s">
        <v>37</v>
      </c>
      <c r="C31" s="3" t="s">
        <v>96</v>
      </c>
      <c r="D31" s="3">
        <v>209</v>
      </c>
      <c r="E31" s="3">
        <f>SUM($C$14,$F$13,$F$14,$F$15,$F$16,$F$17,$F$18)</f>
        <v>206</v>
      </c>
      <c r="F31" s="3">
        <f>SUM(K37)</f>
        <v>10</v>
      </c>
      <c r="G31" s="3">
        <v>2</v>
      </c>
      <c r="H31" s="3">
        <f t="shared" si="17"/>
        <v>3771</v>
      </c>
      <c r="I31" s="3">
        <f t="shared" si="18"/>
        <v>244</v>
      </c>
      <c r="J31" s="3" t="s">
        <v>40</v>
      </c>
      <c r="K31" s="46">
        <f>Npm!$G$23</f>
        <v>82</v>
      </c>
      <c r="L31" s="47">
        <f>Npm!E23</f>
        <v>94</v>
      </c>
      <c r="M31" s="53"/>
      <c r="N31" s="3">
        <v>200</v>
      </c>
      <c r="O31" s="3">
        <v>6</v>
      </c>
      <c r="P31" s="3">
        <f>INT((H31*3.6+I31)/100*(D31+E31+F31))</f>
        <v>58733</v>
      </c>
      <c r="Q31" s="3">
        <f>INT((H31*3.6*0.9*0.9+I31)/100*(D31+E31+F31))</f>
        <v>47771</v>
      </c>
      <c r="R31" s="3">
        <f t="shared" ref="R31:R33" si="21">INT(P31*$N31/100*$G31)</f>
        <v>234932</v>
      </c>
      <c r="S31" s="3">
        <f t="shared" ref="S31:S33" si="22">INT(Q31*$N31/100*$G31)</f>
        <v>191084</v>
      </c>
      <c r="T31" s="49">
        <f t="shared" si="13"/>
        <v>196499880</v>
      </c>
      <c r="U31" s="65">
        <f t="shared" si="14"/>
        <v>225255960</v>
      </c>
      <c r="V31" s="70">
        <f t="shared" si="0"/>
        <v>1</v>
      </c>
      <c r="W31" s="71">
        <f t="shared" si="1"/>
        <v>1</v>
      </c>
      <c r="X31" s="67" t="s">
        <v>37</v>
      </c>
    </row>
    <row r="32" spans="1:25" x14ac:dyDescent="0.4">
      <c r="A32">
        <f t="shared" si="2"/>
        <v>379</v>
      </c>
      <c r="B32" s="3" t="s">
        <v>22</v>
      </c>
      <c r="C32" s="3" t="s">
        <v>97</v>
      </c>
      <c r="D32" s="3">
        <v>173</v>
      </c>
      <c r="E32" s="3">
        <f>SUM($C$14,$F$13,$F$14,$F$15,$F$16,$F$17,$F$18)</f>
        <v>206</v>
      </c>
      <c r="F32" s="3">
        <f>SUM(M37)</f>
        <v>30</v>
      </c>
      <c r="G32" s="3">
        <v>1</v>
      </c>
      <c r="H32" s="3">
        <f t="shared" si="17"/>
        <v>3771</v>
      </c>
      <c r="I32" s="3">
        <f t="shared" si="18"/>
        <v>244</v>
      </c>
      <c r="J32" s="3" t="s">
        <v>101</v>
      </c>
      <c r="K32" s="46">
        <f>Npm!$E$26</f>
        <v>42</v>
      </c>
      <c r="L32" s="47">
        <f>K32</f>
        <v>42</v>
      </c>
      <c r="M32" s="53"/>
      <c r="N32" s="3">
        <v>3150</v>
      </c>
      <c r="O32" s="3">
        <v>1</v>
      </c>
      <c r="P32" s="3">
        <f>INT((H32*4.8+I32)/100*(D32+E32+F32))</f>
        <v>75030</v>
      </c>
      <c r="Q32" s="3">
        <f>INT((H32*4.8*0.9*0.6+I32)/100*(D32+E32+F32))</f>
        <v>40975</v>
      </c>
      <c r="R32" s="3">
        <f t="shared" si="21"/>
        <v>2363445</v>
      </c>
      <c r="S32" s="3">
        <f t="shared" si="22"/>
        <v>1290712</v>
      </c>
      <c r="T32" s="49">
        <f t="shared" si="13"/>
        <v>76737297</v>
      </c>
      <c r="U32" s="65">
        <f t="shared" si="14"/>
        <v>78929791.5</v>
      </c>
      <c r="V32" s="70">
        <f t="shared" si="0"/>
        <v>9</v>
      </c>
      <c r="W32" s="71">
        <f t="shared" si="1"/>
        <v>9</v>
      </c>
      <c r="X32" s="67" t="s">
        <v>22</v>
      </c>
    </row>
    <row r="33" spans="1:25" ht="18" thickBot="1" x14ac:dyDescent="0.45">
      <c r="A33">
        <f t="shared" si="2"/>
        <v>404</v>
      </c>
      <c r="B33" s="3" t="s">
        <v>45</v>
      </c>
      <c r="C33" s="3" t="s">
        <v>98</v>
      </c>
      <c r="D33" s="3">
        <v>170</v>
      </c>
      <c r="E33" s="3">
        <f>SUM($C$14,$F$13,$F$14,$F$15,$F$16,$F$17,$F$18)+$K$9</f>
        <v>234</v>
      </c>
      <c r="F33" s="3"/>
      <c r="G33" s="3">
        <v>1.2</v>
      </c>
      <c r="H33" s="3">
        <f t="shared" si="17"/>
        <v>3771</v>
      </c>
      <c r="I33" s="3">
        <f t="shared" si="18"/>
        <v>244</v>
      </c>
      <c r="J33" s="3" t="s">
        <v>46</v>
      </c>
      <c r="K33" s="46">
        <f>Npm!$E$27</f>
        <v>100</v>
      </c>
      <c r="L33" s="47">
        <f>K33</f>
        <v>100</v>
      </c>
      <c r="M33" s="53"/>
      <c r="N33" s="3">
        <v>480</v>
      </c>
      <c r="O33" s="3">
        <v>5</v>
      </c>
      <c r="P33" s="3">
        <f>INT( (H33*3.6+I33)/100*(D33+E33+F33) )</f>
        <v>55831</v>
      </c>
      <c r="Q33" s="3">
        <f>INT( (H33*3.6*0.9*0.6+I33)/100*(D33+E33+F33) )</f>
        <v>30602</v>
      </c>
      <c r="R33" s="3">
        <f t="shared" si="21"/>
        <v>321586</v>
      </c>
      <c r="S33" s="3">
        <f t="shared" si="22"/>
        <v>176267</v>
      </c>
      <c r="T33" s="49">
        <f t="shared" si="13"/>
        <v>124463250</v>
      </c>
      <c r="U33" s="65">
        <f t="shared" si="14"/>
        <v>136131750</v>
      </c>
      <c r="V33" s="72">
        <f t="shared" si="0"/>
        <v>2</v>
      </c>
      <c r="W33" s="73">
        <f t="shared" si="1"/>
        <v>3</v>
      </c>
      <c r="X33" s="67" t="s">
        <v>45</v>
      </c>
    </row>
    <row r="34" spans="1:25" ht="18" thickBot="1" x14ac:dyDescent="0.45"/>
    <row r="35" spans="1:25" ht="18" thickBot="1" x14ac:dyDescent="0.45">
      <c r="B35" s="282" t="s">
        <v>172</v>
      </c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74"/>
      <c r="O35" s="84" t="s">
        <v>150</v>
      </c>
      <c r="P35" s="85"/>
      <c r="Q35" s="5"/>
      <c r="R35" s="258" t="s">
        <v>166</v>
      </c>
      <c r="S35" s="259"/>
      <c r="T35" s="259"/>
      <c r="U35" s="297"/>
      <c r="V35" s="298" t="s">
        <v>162</v>
      </c>
      <c r="W35" s="299"/>
      <c r="X35" s="298" t="s">
        <v>163</v>
      </c>
      <c r="Y35" s="300"/>
    </row>
    <row r="36" spans="1:25" x14ac:dyDescent="0.4">
      <c r="B36" s="280" t="s">
        <v>129</v>
      </c>
      <c r="C36" s="281"/>
      <c r="D36" s="278" t="s">
        <v>132</v>
      </c>
      <c r="E36" s="281"/>
      <c r="F36" s="278" t="s">
        <v>135</v>
      </c>
      <c r="G36" s="281"/>
      <c r="H36" s="278" t="s">
        <v>137</v>
      </c>
      <c r="I36" s="281"/>
      <c r="J36" s="278" t="s">
        <v>139</v>
      </c>
      <c r="K36" s="281"/>
      <c r="L36" s="278" t="s">
        <v>142</v>
      </c>
      <c r="M36" s="279"/>
      <c r="N36" s="77"/>
      <c r="O36" s="1"/>
      <c r="P36" s="1"/>
      <c r="Q36" s="3" t="s">
        <v>155</v>
      </c>
      <c r="R36" s="3" t="s">
        <v>158</v>
      </c>
      <c r="S36" s="3" t="s">
        <v>159</v>
      </c>
      <c r="T36" s="12" t="s">
        <v>156</v>
      </c>
      <c r="U36" s="12" t="s">
        <v>157</v>
      </c>
      <c r="V36" s="12" t="s">
        <v>144</v>
      </c>
      <c r="W36" s="12" t="s">
        <v>145</v>
      </c>
      <c r="X36" s="12" t="s">
        <v>144</v>
      </c>
      <c r="Y36" s="86" t="s">
        <v>145</v>
      </c>
    </row>
    <row r="37" spans="1:25" x14ac:dyDescent="0.4">
      <c r="B37" s="26" t="s">
        <v>130</v>
      </c>
      <c r="C37" s="3">
        <v>40</v>
      </c>
      <c r="D37" s="3" t="s">
        <v>133</v>
      </c>
      <c r="E37" s="3">
        <v>3</v>
      </c>
      <c r="F37" s="3" t="s">
        <v>136</v>
      </c>
      <c r="G37" s="3">
        <v>20</v>
      </c>
      <c r="H37" s="3" t="s">
        <v>141</v>
      </c>
      <c r="I37" s="3">
        <v>10</v>
      </c>
      <c r="J37" s="3" t="s">
        <v>140</v>
      </c>
      <c r="K37" s="3">
        <v>10</v>
      </c>
      <c r="L37" s="3" t="s">
        <v>143</v>
      </c>
      <c r="M37" s="40">
        <v>30</v>
      </c>
      <c r="N37" s="77"/>
      <c r="O37" s="1"/>
      <c r="P37" s="1"/>
      <c r="Q37" s="3" t="s">
        <v>1</v>
      </c>
      <c r="R37" s="3">
        <v>100</v>
      </c>
      <c r="S37" s="3">
        <f>R37+$V$18</f>
        <v>150</v>
      </c>
      <c r="T37" s="3">
        <v>0</v>
      </c>
      <c r="U37" s="3">
        <f>T37+$U$18</f>
        <v>30</v>
      </c>
      <c r="V37" s="52"/>
      <c r="W37" s="52"/>
      <c r="X37" s="3">
        <f>INT(P22*($N22+S37)/100*$G22)</f>
        <v>1026718</v>
      </c>
      <c r="Y37" s="14">
        <f>INT(Q22*($N22+S37)/100*$G22)</f>
        <v>560982</v>
      </c>
    </row>
    <row r="38" spans="1:25" ht="18" thickBot="1" x14ac:dyDescent="0.45">
      <c r="B38" s="7" t="s">
        <v>131</v>
      </c>
      <c r="C38" s="8">
        <v>50</v>
      </c>
      <c r="D38" s="8" t="s">
        <v>134</v>
      </c>
      <c r="E38" s="8">
        <v>40</v>
      </c>
      <c r="F38" s="8"/>
      <c r="G38" s="8"/>
      <c r="H38" s="8" t="s">
        <v>138</v>
      </c>
      <c r="I38" s="8">
        <v>30</v>
      </c>
      <c r="J38" s="8"/>
      <c r="K38" s="8"/>
      <c r="L38" s="8"/>
      <c r="M38" s="41"/>
      <c r="N38" s="77"/>
      <c r="O38" s="1"/>
      <c r="P38" s="1"/>
      <c r="Q38" s="3" t="s">
        <v>85</v>
      </c>
      <c r="R38" s="3">
        <v>100</v>
      </c>
      <c r="S38" s="3">
        <f t="shared" ref="S38:S41" si="23">R38+$V$18</f>
        <v>150</v>
      </c>
      <c r="T38" s="3">
        <v>0</v>
      </c>
      <c r="U38" s="3">
        <f t="shared" ref="U38:U48" si="24">T38+$U$18</f>
        <v>30</v>
      </c>
      <c r="V38" s="52"/>
      <c r="W38" s="52"/>
      <c r="X38" s="3">
        <f>INT(P23*($N23+S38)/100*$G23)</f>
        <v>746004</v>
      </c>
      <c r="Y38" s="14">
        <f>INT(Q23*($N23+S38)/100*$G23)</f>
        <v>327684</v>
      </c>
    </row>
    <row r="39" spans="1:25" x14ac:dyDescent="0.4">
      <c r="N39" s="77"/>
      <c r="O39" s="1"/>
      <c r="P39" s="1"/>
      <c r="Q39" s="3" t="s">
        <v>3</v>
      </c>
      <c r="R39" s="3">
        <v>100</v>
      </c>
      <c r="S39" s="3">
        <f t="shared" si="23"/>
        <v>150</v>
      </c>
      <c r="T39" s="3">
        <v>0</v>
      </c>
      <c r="U39" s="3">
        <f t="shared" si="24"/>
        <v>30</v>
      </c>
      <c r="V39" s="52"/>
      <c r="W39" s="52"/>
      <c r="X39" s="3">
        <f>INT(P24*($N24+S39)/100*$G24)</f>
        <v>540693</v>
      </c>
      <c r="Y39" s="14">
        <f>INT(Q24*($N24+S39)/100*$G24)</f>
        <v>295927</v>
      </c>
    </row>
    <row r="40" spans="1:25" x14ac:dyDescent="0.4">
      <c r="N40" s="77"/>
      <c r="O40" s="1"/>
      <c r="P40" s="1"/>
      <c r="Q40" s="3" t="s">
        <v>86</v>
      </c>
      <c r="R40" s="3">
        <v>200</v>
      </c>
      <c r="S40" s="3">
        <f t="shared" si="23"/>
        <v>250</v>
      </c>
      <c r="T40" s="3">
        <v>50</v>
      </c>
      <c r="U40" s="3">
        <f t="shared" si="24"/>
        <v>80</v>
      </c>
      <c r="V40" s="45">
        <f>INT( 5*$H$25*(SUM($D$25:$E$25))/100 *($N$25+$R$40)/100 )</f>
        <v>285841</v>
      </c>
      <c r="W40" s="45">
        <f>INT( 2.5*$H$25*(SUM($D$25:$E$25))/100 *($N$25+$R$40)/100 )</f>
        <v>142920</v>
      </c>
      <c r="X40" s="45">
        <f>INT( 5*$H$25*(SUM($D$25:$E$25))/100 *($N$25+$S$40)/100 )</f>
        <v>321572</v>
      </c>
      <c r="Y40" s="87">
        <f>INT( 2.5*$H$25*(SUM($D$25:$E$25))/100 *($N$25+$S$40)/100 )</f>
        <v>160786</v>
      </c>
    </row>
    <row r="41" spans="1:25" x14ac:dyDescent="0.4">
      <c r="N41" s="77"/>
      <c r="O41" s="1"/>
      <c r="P41" s="1"/>
      <c r="Q41" s="3" t="s">
        <v>87</v>
      </c>
      <c r="R41" s="3">
        <v>100</v>
      </c>
      <c r="S41" s="3">
        <f t="shared" si="23"/>
        <v>150</v>
      </c>
      <c r="T41" s="3">
        <v>0</v>
      </c>
      <c r="U41" s="3">
        <f t="shared" si="24"/>
        <v>30</v>
      </c>
      <c r="V41" s="52"/>
      <c r="W41" s="52"/>
      <c r="X41" s="3">
        <f>INT(P26*($N26+S41)/100*$G26)</f>
        <v>218733</v>
      </c>
      <c r="Y41" s="14">
        <f>INT(Q26*($N26+S41)/100*$G26)</f>
        <v>119919</v>
      </c>
    </row>
    <row r="42" spans="1:25" x14ac:dyDescent="0.4">
      <c r="N42" s="77"/>
      <c r="O42" s="305" t="s">
        <v>160</v>
      </c>
      <c r="P42" s="305"/>
      <c r="Q42" s="3" t="s">
        <v>32</v>
      </c>
      <c r="R42" s="306">
        <v>100</v>
      </c>
      <c r="S42" s="306">
        <f>R42+$V$18</f>
        <v>150</v>
      </c>
      <c r="T42" s="3">
        <v>0</v>
      </c>
      <c r="U42" s="3">
        <f t="shared" si="24"/>
        <v>30</v>
      </c>
      <c r="V42" s="52"/>
      <c r="W42" s="52"/>
      <c r="X42" s="3">
        <f>R27*$S$42/100</f>
        <v>1002564</v>
      </c>
      <c r="Y42" s="14">
        <f>S27*$S$42/100</f>
        <v>920284.5</v>
      </c>
    </row>
    <row r="43" spans="1:25" x14ac:dyDescent="0.4">
      <c r="N43" s="77"/>
      <c r="O43" s="305"/>
      <c r="P43" s="305"/>
      <c r="Q43" s="3" t="s">
        <v>33</v>
      </c>
      <c r="R43" s="307"/>
      <c r="S43" s="307"/>
      <c r="T43" s="3">
        <v>0</v>
      </c>
      <c r="U43" s="3">
        <f t="shared" si="24"/>
        <v>30</v>
      </c>
      <c r="V43" s="52"/>
      <c r="W43" s="52"/>
      <c r="X43" s="3">
        <f t="shared" ref="X43:Y43" si="25">R28*$S$42/100</f>
        <v>437482.5</v>
      </c>
      <c r="Y43" s="14">
        <f t="shared" si="25"/>
        <v>401578.5</v>
      </c>
    </row>
    <row r="44" spans="1:25" x14ac:dyDescent="0.4">
      <c r="N44" s="77"/>
      <c r="O44" s="305"/>
      <c r="P44" s="305"/>
      <c r="Q44" s="3" t="s">
        <v>48</v>
      </c>
      <c r="R44" s="308"/>
      <c r="S44" s="308"/>
      <c r="T44" s="3">
        <v>0</v>
      </c>
      <c r="U44" s="3">
        <f t="shared" si="24"/>
        <v>30</v>
      </c>
      <c r="V44" s="52"/>
      <c r="W44" s="52"/>
      <c r="X44" s="3">
        <f t="shared" ref="X44:Y44" si="26">R29*$S$42/100</f>
        <v>289297.5</v>
      </c>
      <c r="Y44" s="14">
        <f t="shared" si="26"/>
        <v>265471.5</v>
      </c>
    </row>
    <row r="45" spans="1:25" x14ac:dyDescent="0.4">
      <c r="N45" s="304" t="s">
        <v>167</v>
      </c>
      <c r="O45" s="305"/>
      <c r="P45" s="305"/>
      <c r="Q45" s="3" t="s">
        <v>38</v>
      </c>
      <c r="R45" s="54">
        <v>250</v>
      </c>
      <c r="S45" s="54">
        <v>250</v>
      </c>
      <c r="T45" s="54">
        <v>70</v>
      </c>
      <c r="U45" s="54">
        <v>70</v>
      </c>
      <c r="V45" s="54">
        <f>INT(P30*($N30+R45)/100*$G30)</f>
        <v>282835</v>
      </c>
      <c r="W45" s="54">
        <f>INT(Q30*($N30+R45)/100*$G30)</f>
        <v>230102</v>
      </c>
      <c r="X45" s="54">
        <f>INT(P30*($N30+S45)/100*$G30)</f>
        <v>282835</v>
      </c>
      <c r="Y45" s="88">
        <f>INT(Q30*($N30+S45)/100*$G30)</f>
        <v>230102</v>
      </c>
    </row>
    <row r="46" spans="1:25" x14ac:dyDescent="0.4">
      <c r="N46" s="304"/>
      <c r="O46" s="305"/>
      <c r="P46" s="305"/>
      <c r="Q46" s="3" t="s">
        <v>37</v>
      </c>
      <c r="R46" s="54">
        <v>250</v>
      </c>
      <c r="S46" s="54">
        <v>250</v>
      </c>
      <c r="T46" s="54">
        <v>70</v>
      </c>
      <c r="U46" s="54">
        <v>70</v>
      </c>
      <c r="V46" s="54">
        <f t="shared" ref="V46:V47" si="27">INT(P31*($N31+R46)/100*$G31)</f>
        <v>528597</v>
      </c>
      <c r="W46" s="54">
        <f t="shared" ref="W46:W47" si="28">INT(Q31*($N31+R46)/100*$G31)</f>
        <v>429939</v>
      </c>
      <c r="X46" s="54">
        <f>INT(P31*($N31+S46)/100*$G31)</f>
        <v>528597</v>
      </c>
      <c r="Y46" s="88">
        <f>INT(Q31*($N31+S46)/100*$G31)</f>
        <v>429939</v>
      </c>
    </row>
    <row r="47" spans="1:25" x14ac:dyDescent="0.4">
      <c r="N47" s="77"/>
      <c r="O47" s="1"/>
      <c r="P47" s="1"/>
      <c r="Q47" s="3" t="s">
        <v>22</v>
      </c>
      <c r="R47" s="3">
        <v>100</v>
      </c>
      <c r="S47" s="3">
        <f t="shared" ref="S47:S48" si="29">R47+$V$18</f>
        <v>150</v>
      </c>
      <c r="T47" s="3">
        <v>0</v>
      </c>
      <c r="U47" s="3">
        <f t="shared" si="24"/>
        <v>30</v>
      </c>
      <c r="V47" s="3">
        <f t="shared" si="27"/>
        <v>2438475</v>
      </c>
      <c r="W47" s="3">
        <f t="shared" si="28"/>
        <v>1331687</v>
      </c>
      <c r="X47" s="3">
        <f>INT(P32*($N32+S47*2)/100*$G32)</f>
        <v>2588535</v>
      </c>
      <c r="Y47" s="14">
        <f>INT(Q32*($N32+S47*2)/100*$G32)</f>
        <v>1413637</v>
      </c>
    </row>
    <row r="48" spans="1:25" x14ac:dyDescent="0.4">
      <c r="N48" s="77"/>
      <c r="O48" s="1"/>
      <c r="P48" s="1"/>
      <c r="Q48" s="3" t="s">
        <v>45</v>
      </c>
      <c r="R48" s="3">
        <v>100</v>
      </c>
      <c r="S48" s="3">
        <f t="shared" si="29"/>
        <v>150</v>
      </c>
      <c r="T48" s="3">
        <v>0</v>
      </c>
      <c r="U48" s="3">
        <f t="shared" si="24"/>
        <v>30</v>
      </c>
      <c r="V48" s="52"/>
      <c r="W48" s="52"/>
      <c r="X48" s="3">
        <f>INT(P33*($N33+S48)/100*$G33)</f>
        <v>422082</v>
      </c>
      <c r="Y48" s="14">
        <f>INT(Q33*($N33+S48)/100*$G33)</f>
        <v>231351</v>
      </c>
    </row>
    <row r="49" spans="14:25" ht="18" thickBot="1" x14ac:dyDescent="0.45">
      <c r="N49" s="79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1"/>
    </row>
  </sheetData>
  <mergeCells count="27">
    <mergeCell ref="N45:P46"/>
    <mergeCell ref="S42:S44"/>
    <mergeCell ref="R42:R44"/>
    <mergeCell ref="O42:P44"/>
    <mergeCell ref="V18:X18"/>
    <mergeCell ref="U16:X16"/>
    <mergeCell ref="P20:Q20"/>
    <mergeCell ref="R35:U35"/>
    <mergeCell ref="V35:W35"/>
    <mergeCell ref="X35:Y35"/>
    <mergeCell ref="T21:U21"/>
    <mergeCell ref="R20:S20"/>
    <mergeCell ref="R16:S16"/>
    <mergeCell ref="E2:J2"/>
    <mergeCell ref="H8:K8"/>
    <mergeCell ref="B7:F7"/>
    <mergeCell ref="B6:K6"/>
    <mergeCell ref="B11:H11"/>
    <mergeCell ref="I11:O11"/>
    <mergeCell ref="R15:S15"/>
    <mergeCell ref="L36:M36"/>
    <mergeCell ref="B36:C36"/>
    <mergeCell ref="D36:E36"/>
    <mergeCell ref="F36:G36"/>
    <mergeCell ref="H36:I36"/>
    <mergeCell ref="J36:K36"/>
    <mergeCell ref="B35:M35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1B20-DED6-4E84-864E-DC2B1BABF383}">
  <dimension ref="C3:P35"/>
  <sheetViews>
    <sheetView topLeftCell="C16" workbookViewId="0">
      <selection activeCell="F8" sqref="F8"/>
    </sheetView>
  </sheetViews>
  <sheetFormatPr defaultRowHeight="17.399999999999999" x14ac:dyDescent="0.4"/>
  <cols>
    <col min="1" max="2" width="8.796875" style="31"/>
    <col min="3" max="3" width="15.296875" style="31" customWidth="1"/>
    <col min="4" max="4" width="14.8984375" style="31" customWidth="1"/>
    <col min="5" max="5" width="8.796875" style="31"/>
    <col min="6" max="6" width="17.796875" style="31" customWidth="1"/>
    <col min="7" max="7" width="17.5" style="31" customWidth="1"/>
    <col min="8" max="9" width="8.796875" style="31"/>
    <col min="10" max="10" width="9.5" style="31" customWidth="1"/>
    <col min="11" max="11" width="6.59765625" style="31" customWidth="1"/>
    <col min="12" max="12" width="17" style="31" customWidth="1"/>
    <col min="13" max="13" width="16.296875" style="31" customWidth="1"/>
    <col min="14" max="14" width="8.796875" style="31"/>
    <col min="15" max="15" width="14.796875" style="31" customWidth="1"/>
    <col min="16" max="16" width="15.09765625" style="31" customWidth="1"/>
    <col min="17" max="16384" width="8.796875" style="31"/>
  </cols>
  <sheetData>
    <row r="3" spans="3:16" x14ac:dyDescent="0.4">
      <c r="C3" s="31" t="s">
        <v>189</v>
      </c>
      <c r="L3" s="31" t="s">
        <v>189</v>
      </c>
    </row>
    <row r="4" spans="3:16" ht="25.2" x14ac:dyDescent="0.4">
      <c r="C4" s="97" t="s">
        <v>187</v>
      </c>
      <c r="L4" s="97" t="s">
        <v>188</v>
      </c>
    </row>
    <row r="6" spans="3:16" x14ac:dyDescent="0.4">
      <c r="C6" s="310" t="s">
        <v>191</v>
      </c>
      <c r="D6" s="310"/>
      <c r="F6" s="310" t="s">
        <v>192</v>
      </c>
      <c r="G6" s="310"/>
      <c r="L6" s="310" t="s">
        <v>191</v>
      </c>
      <c r="M6" s="310"/>
      <c r="O6" s="310" t="s">
        <v>192</v>
      </c>
      <c r="P6" s="310"/>
    </row>
    <row r="7" spans="3:16" x14ac:dyDescent="0.4">
      <c r="C7" s="49" t="s">
        <v>175</v>
      </c>
      <c r="D7" s="49">
        <v>196499880</v>
      </c>
      <c r="E7" s="98"/>
      <c r="F7" s="50" t="s">
        <v>175</v>
      </c>
      <c r="G7" s="49">
        <v>225255960</v>
      </c>
      <c r="L7" s="100" t="s">
        <v>193</v>
      </c>
      <c r="M7" s="96">
        <v>196562609</v>
      </c>
      <c r="O7" s="89" t="s">
        <v>175</v>
      </c>
      <c r="P7" s="96">
        <v>225327869</v>
      </c>
    </row>
    <row r="8" spans="3:16" x14ac:dyDescent="0.4">
      <c r="C8" s="49" t="s">
        <v>176</v>
      </c>
      <c r="D8" s="49">
        <v>124463250</v>
      </c>
      <c r="E8" s="98"/>
      <c r="F8" s="89" t="s">
        <v>178</v>
      </c>
      <c r="G8" s="49">
        <v>137203968</v>
      </c>
      <c r="L8" s="89" t="s">
        <v>176</v>
      </c>
      <c r="M8" s="96">
        <v>124509599</v>
      </c>
      <c r="O8" s="89" t="s">
        <v>178</v>
      </c>
      <c r="P8" s="96">
        <v>137204064</v>
      </c>
    </row>
    <row r="9" spans="3:16" x14ac:dyDescent="0.4">
      <c r="C9" s="89" t="s">
        <v>177</v>
      </c>
      <c r="D9" s="49">
        <v>111525213</v>
      </c>
      <c r="E9" s="98"/>
      <c r="F9" s="50" t="s">
        <v>176</v>
      </c>
      <c r="G9" s="49">
        <v>136131750</v>
      </c>
      <c r="L9" s="89" t="s">
        <v>177</v>
      </c>
      <c r="M9" s="96">
        <v>111525213</v>
      </c>
      <c r="O9" s="89" t="s">
        <v>176</v>
      </c>
      <c r="P9" s="96">
        <v>136182375</v>
      </c>
    </row>
    <row r="10" spans="3:16" x14ac:dyDescent="0.4">
      <c r="C10" s="89" t="s">
        <v>180</v>
      </c>
      <c r="D10" s="49">
        <v>108197625</v>
      </c>
      <c r="E10" s="98"/>
      <c r="F10" s="89" t="s">
        <v>177</v>
      </c>
      <c r="G10" s="49">
        <v>128253995</v>
      </c>
      <c r="L10" s="89" t="s">
        <v>180</v>
      </c>
      <c r="M10" s="96">
        <v>108234224</v>
      </c>
      <c r="O10" s="89" t="s">
        <v>177</v>
      </c>
      <c r="P10" s="96">
        <v>128253994</v>
      </c>
    </row>
    <row r="11" spans="3:16" x14ac:dyDescent="0.4">
      <c r="C11" s="89" t="s">
        <v>178</v>
      </c>
      <c r="D11" s="49">
        <v>102902560</v>
      </c>
      <c r="E11" s="98"/>
      <c r="F11" s="50" t="s">
        <v>182</v>
      </c>
      <c r="G11" s="49">
        <v>124435921</v>
      </c>
      <c r="L11" s="89" t="s">
        <v>178</v>
      </c>
      <c r="M11" s="96">
        <v>102903048</v>
      </c>
      <c r="O11" s="89" t="s">
        <v>182</v>
      </c>
      <c r="P11" s="96">
        <v>124472682</v>
      </c>
    </row>
    <row r="12" spans="3:16" x14ac:dyDescent="0.4">
      <c r="C12" s="96" t="s">
        <v>182</v>
      </c>
      <c r="D12" s="96">
        <v>95261920</v>
      </c>
      <c r="E12" s="98"/>
      <c r="F12" s="89" t="s">
        <v>181</v>
      </c>
      <c r="G12" s="49">
        <v>117192941</v>
      </c>
      <c r="L12" s="89" t="s">
        <v>182</v>
      </c>
      <c r="M12" s="96">
        <v>95290092</v>
      </c>
      <c r="O12" s="89" t="s">
        <v>181</v>
      </c>
      <c r="P12" s="96">
        <v>117226968</v>
      </c>
    </row>
    <row r="13" spans="3:16" x14ac:dyDescent="0.4">
      <c r="C13" s="89" t="s">
        <v>179</v>
      </c>
      <c r="D13" s="96">
        <v>92856084</v>
      </c>
      <c r="E13" s="98"/>
      <c r="F13" s="89" t="s">
        <v>180</v>
      </c>
      <c r="G13" s="49">
        <v>108197625</v>
      </c>
      <c r="L13" s="89" t="s">
        <v>179</v>
      </c>
      <c r="M13" s="96">
        <v>92856084</v>
      </c>
      <c r="O13" s="89" t="s">
        <v>180</v>
      </c>
      <c r="P13" s="96">
        <v>108234224</v>
      </c>
    </row>
    <row r="14" spans="3:16" x14ac:dyDescent="0.4">
      <c r="C14" s="89" t="s">
        <v>181</v>
      </c>
      <c r="D14" s="96">
        <v>88579128</v>
      </c>
      <c r="E14" s="98"/>
      <c r="F14" s="89" t="s">
        <v>179</v>
      </c>
      <c r="G14" s="49">
        <v>106784496</v>
      </c>
      <c r="L14" s="89" t="s">
        <v>181</v>
      </c>
      <c r="M14" s="96">
        <v>88604901</v>
      </c>
      <c r="O14" s="89" t="s">
        <v>179</v>
      </c>
      <c r="P14" s="96">
        <v>106784496</v>
      </c>
    </row>
    <row r="15" spans="3:16" x14ac:dyDescent="0.4">
      <c r="C15" s="49" t="s">
        <v>183</v>
      </c>
      <c r="D15" s="49">
        <v>73083140</v>
      </c>
      <c r="E15" s="98"/>
      <c r="F15" s="50" t="s">
        <v>183</v>
      </c>
      <c r="G15" s="49">
        <v>75171230</v>
      </c>
      <c r="L15" s="89" t="s">
        <v>183</v>
      </c>
      <c r="M15" s="96">
        <v>73103310</v>
      </c>
      <c r="O15" s="89" t="s">
        <v>186</v>
      </c>
      <c r="P15" s="96">
        <v>79735941</v>
      </c>
    </row>
    <row r="16" spans="3:16" x14ac:dyDescent="0.4">
      <c r="C16" s="49" t="s">
        <v>184</v>
      </c>
      <c r="D16" s="49">
        <v>51470541</v>
      </c>
      <c r="E16" s="98"/>
      <c r="F16" s="50" t="s">
        <v>184</v>
      </c>
      <c r="G16" s="49">
        <v>61326683</v>
      </c>
      <c r="L16" s="89" t="s">
        <v>186</v>
      </c>
      <c r="M16" s="96">
        <v>66884829</v>
      </c>
      <c r="O16" s="89" t="s">
        <v>183</v>
      </c>
      <c r="P16" s="96">
        <v>74147643</v>
      </c>
    </row>
    <row r="17" spans="3:16" x14ac:dyDescent="0.4">
      <c r="C17" s="49" t="s">
        <v>186</v>
      </c>
      <c r="D17" s="49">
        <v>44806806</v>
      </c>
      <c r="E17" s="98"/>
      <c r="F17" s="50" t="s">
        <v>186</v>
      </c>
      <c r="G17" s="49">
        <v>54345259</v>
      </c>
      <c r="L17" s="89" t="s">
        <v>184</v>
      </c>
      <c r="M17" s="96">
        <v>51490859</v>
      </c>
      <c r="O17" s="89" t="s">
        <v>184</v>
      </c>
      <c r="P17" s="96">
        <v>61350811</v>
      </c>
    </row>
    <row r="18" spans="3:16" x14ac:dyDescent="0.4">
      <c r="C18" s="49" t="s">
        <v>185</v>
      </c>
      <c r="D18" s="49">
        <v>27368604</v>
      </c>
      <c r="E18" s="98"/>
      <c r="F18" s="50" t="s">
        <v>185</v>
      </c>
      <c r="G18" s="49">
        <v>31473894</v>
      </c>
      <c r="L18" s="89" t="s">
        <v>185</v>
      </c>
      <c r="M18" s="96">
        <v>27368604</v>
      </c>
      <c r="O18" s="89" t="s">
        <v>185</v>
      </c>
      <c r="P18" s="96">
        <v>31473894</v>
      </c>
    </row>
    <row r="21" spans="3:16" x14ac:dyDescent="0.4">
      <c r="L21" s="31" t="s">
        <v>190</v>
      </c>
    </row>
    <row r="22" spans="3:16" ht="25.2" x14ac:dyDescent="0.4">
      <c r="L22" s="97" t="s">
        <v>188</v>
      </c>
    </row>
    <row r="23" spans="3:16" x14ac:dyDescent="0.4">
      <c r="L23" s="310" t="s">
        <v>191</v>
      </c>
      <c r="M23" s="310"/>
      <c r="O23" s="310" t="s">
        <v>192</v>
      </c>
      <c r="P23" s="310"/>
    </row>
    <row r="24" spans="3:16" x14ac:dyDescent="0.4">
      <c r="L24" s="99" t="s">
        <v>175</v>
      </c>
      <c r="M24" s="96">
        <v>196562609</v>
      </c>
      <c r="O24" s="89" t="s">
        <v>175</v>
      </c>
      <c r="P24" s="96">
        <v>225327869</v>
      </c>
    </row>
    <row r="25" spans="3:16" x14ac:dyDescent="0.4">
      <c r="L25" s="99" t="s">
        <v>180</v>
      </c>
      <c r="M25" s="96">
        <v>126941375</v>
      </c>
      <c r="O25" s="89" t="s">
        <v>178</v>
      </c>
      <c r="P25" s="96">
        <v>154354280</v>
      </c>
    </row>
    <row r="26" spans="3:16" x14ac:dyDescent="0.4">
      <c r="L26" s="99" t="s">
        <v>176</v>
      </c>
      <c r="M26" s="96">
        <v>124509250</v>
      </c>
      <c r="O26" s="89" t="s">
        <v>176</v>
      </c>
      <c r="P26" s="96">
        <v>136182100</v>
      </c>
    </row>
    <row r="27" spans="3:16" x14ac:dyDescent="0.4">
      <c r="L27" s="99" t="s">
        <v>178</v>
      </c>
      <c r="M27" s="96">
        <v>120053300</v>
      </c>
      <c r="O27" s="89" t="s">
        <v>177</v>
      </c>
      <c r="P27" s="96">
        <v>128253981</v>
      </c>
    </row>
    <row r="28" spans="3:16" x14ac:dyDescent="0.4">
      <c r="L28" s="99" t="s">
        <v>177</v>
      </c>
      <c r="M28" s="96">
        <v>111525213</v>
      </c>
      <c r="O28" s="89" t="s">
        <v>180</v>
      </c>
      <c r="P28" s="96">
        <v>126941375</v>
      </c>
    </row>
    <row r="29" spans="3:16" x14ac:dyDescent="0.4">
      <c r="L29" s="99" t="s">
        <v>182</v>
      </c>
      <c r="M29" s="96">
        <v>95290000</v>
      </c>
      <c r="O29" s="89" t="s">
        <v>182</v>
      </c>
      <c r="P29" s="96">
        <v>124472572</v>
      </c>
    </row>
    <row r="30" spans="3:16" x14ac:dyDescent="0.4">
      <c r="L30" s="99" t="s">
        <v>179</v>
      </c>
      <c r="M30" s="96">
        <v>92856084</v>
      </c>
      <c r="O30" s="89" t="s">
        <v>181</v>
      </c>
      <c r="P30" s="96">
        <v>117226907</v>
      </c>
    </row>
    <row r="31" spans="3:16" x14ac:dyDescent="0.4">
      <c r="L31" s="99" t="s">
        <v>181</v>
      </c>
      <c r="M31" s="96">
        <v>88604868</v>
      </c>
      <c r="O31" s="89" t="s">
        <v>179</v>
      </c>
      <c r="P31" s="96">
        <v>106784446</v>
      </c>
    </row>
    <row r="32" spans="3:16" x14ac:dyDescent="0.4">
      <c r="L32" s="99" t="s">
        <v>183</v>
      </c>
      <c r="M32" s="96">
        <v>73103280</v>
      </c>
      <c r="O32" s="89" t="s">
        <v>183</v>
      </c>
      <c r="P32" s="96">
        <v>74843838</v>
      </c>
    </row>
    <row r="33" spans="12:16" x14ac:dyDescent="0.4">
      <c r="L33" s="99" t="s">
        <v>184</v>
      </c>
      <c r="M33" s="96">
        <v>51490461</v>
      </c>
      <c r="O33" s="89" t="s">
        <v>184</v>
      </c>
      <c r="P33" s="96">
        <v>61350487</v>
      </c>
    </row>
    <row r="34" spans="12:16" x14ac:dyDescent="0.4">
      <c r="L34" s="99" t="s">
        <v>186</v>
      </c>
      <c r="M34" s="96">
        <v>27744028</v>
      </c>
      <c r="O34" s="89" t="s">
        <v>186</v>
      </c>
      <c r="P34" s="96">
        <v>38974014</v>
      </c>
    </row>
    <row r="35" spans="12:16" x14ac:dyDescent="0.4">
      <c r="L35" s="99" t="s">
        <v>185</v>
      </c>
      <c r="M35" s="96">
        <v>27368604</v>
      </c>
      <c r="O35" s="89" t="s">
        <v>185</v>
      </c>
      <c r="P35" s="96">
        <v>31473916</v>
      </c>
    </row>
  </sheetData>
  <mergeCells count="6">
    <mergeCell ref="C6:D6"/>
    <mergeCell ref="F6:G6"/>
    <mergeCell ref="L6:M6"/>
    <mergeCell ref="O6:P6"/>
    <mergeCell ref="L23:M23"/>
    <mergeCell ref="O23:P23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D7BB-5ADB-4974-ACE8-D60C10CF8AA4}">
  <dimension ref="B1:T44"/>
  <sheetViews>
    <sheetView topLeftCell="A4" workbookViewId="0">
      <selection activeCell="E22" sqref="E22"/>
    </sheetView>
  </sheetViews>
  <sheetFormatPr defaultRowHeight="17.399999999999999" x14ac:dyDescent="0.4"/>
  <cols>
    <col min="1" max="1" width="8.796875" style="111"/>
    <col min="2" max="2" width="16.19921875" style="111" customWidth="1"/>
    <col min="3" max="3" width="8.69921875" style="111" customWidth="1"/>
    <col min="4" max="4" width="8.796875" style="111" customWidth="1"/>
    <col min="5" max="5" width="12.8984375" style="111" customWidth="1"/>
    <col min="6" max="6" width="13" style="111" customWidth="1"/>
    <col min="7" max="7" width="8.796875" style="111"/>
    <col min="8" max="8" width="9.5" style="111" customWidth="1"/>
    <col min="9" max="9" width="12.59765625" style="111" bestFit="1" customWidth="1"/>
    <col min="10" max="10" width="10.796875" style="111" customWidth="1"/>
    <col min="11" max="11" width="10.8984375" style="111" customWidth="1"/>
    <col min="12" max="12" width="8.796875" style="111"/>
    <col min="13" max="13" width="16.19921875" style="111" customWidth="1"/>
    <col min="14" max="14" width="20.09765625" style="111" customWidth="1"/>
    <col min="15" max="15" width="14.796875" style="111" customWidth="1"/>
    <col min="16" max="16" width="8.796875" style="111"/>
    <col min="17" max="17" width="17.69921875" style="111" customWidth="1"/>
    <col min="18" max="18" width="17.8984375" style="111" customWidth="1"/>
    <col min="19" max="19" width="12.8984375" style="111" customWidth="1"/>
    <col min="20" max="16384" width="8.796875" style="111"/>
  </cols>
  <sheetData>
    <row r="1" spans="2:20" ht="18" thickBot="1" x14ac:dyDescent="0.45"/>
    <row r="2" spans="2:20" ht="18" thickBot="1" x14ac:dyDescent="0.45">
      <c r="B2" s="290" t="s">
        <v>79</v>
      </c>
      <c r="C2" s="291"/>
      <c r="D2" s="291"/>
      <c r="E2" s="291"/>
      <c r="F2" s="291"/>
      <c r="G2" s="291"/>
      <c r="H2" s="291"/>
      <c r="I2" s="291"/>
      <c r="J2" s="291"/>
      <c r="K2" s="292"/>
      <c r="L2" s="1"/>
      <c r="M2" s="282" t="s">
        <v>220</v>
      </c>
      <c r="N2" s="283"/>
      <c r="O2" s="283"/>
      <c r="P2" s="296"/>
      <c r="Q2" s="282" t="s">
        <v>221</v>
      </c>
      <c r="R2" s="283"/>
      <c r="S2" s="283"/>
      <c r="T2" s="296"/>
    </row>
    <row r="3" spans="2:20" x14ac:dyDescent="0.4">
      <c r="B3" s="261" t="s">
        <v>80</v>
      </c>
      <c r="C3" s="276"/>
      <c r="D3" s="276"/>
      <c r="E3" s="276"/>
      <c r="F3" s="289"/>
      <c r="G3" s="104"/>
      <c r="H3" s="107" t="s">
        <v>86</v>
      </c>
      <c r="I3" s="107" t="s">
        <v>26</v>
      </c>
      <c r="J3" s="107" t="s">
        <v>105</v>
      </c>
      <c r="K3" s="109" t="s">
        <v>45</v>
      </c>
      <c r="L3" s="1"/>
      <c r="M3" s="152" t="s">
        <v>213</v>
      </c>
      <c r="N3" s="153">
        <f>20+10</f>
        <v>30</v>
      </c>
      <c r="O3" s="154" t="s">
        <v>216</v>
      </c>
      <c r="P3" s="155">
        <f>10+10</f>
        <v>20</v>
      </c>
      <c r="Q3" s="152" t="s">
        <v>213</v>
      </c>
      <c r="R3" s="153">
        <f>20+10</f>
        <v>30</v>
      </c>
      <c r="S3" s="154" t="s">
        <v>216</v>
      </c>
      <c r="T3" s="155">
        <v>40</v>
      </c>
    </row>
    <row r="4" spans="2:20" x14ac:dyDescent="0.4">
      <c r="B4" s="105" t="s">
        <v>81</v>
      </c>
      <c r="C4" s="102">
        <v>7</v>
      </c>
      <c r="D4" s="102"/>
      <c r="E4" s="102" t="s">
        <v>83</v>
      </c>
      <c r="F4" s="23">
        <v>20</v>
      </c>
      <c r="G4" s="33" t="s">
        <v>71</v>
      </c>
      <c r="H4" s="137" t="s">
        <v>205</v>
      </c>
      <c r="I4" s="137">
        <v>20</v>
      </c>
      <c r="J4" s="137" t="s">
        <v>204</v>
      </c>
      <c r="K4" s="138">
        <v>10</v>
      </c>
      <c r="L4" s="1"/>
      <c r="M4" s="156" t="s">
        <v>214</v>
      </c>
      <c r="N4" s="48">
        <f>12+10</f>
        <v>22</v>
      </c>
      <c r="O4" s="48" t="s">
        <v>217</v>
      </c>
      <c r="P4" s="157">
        <v>30</v>
      </c>
      <c r="Q4" s="156" t="s">
        <v>214</v>
      </c>
      <c r="R4" s="48">
        <f>20+25</f>
        <v>45</v>
      </c>
      <c r="S4" s="48" t="s">
        <v>217</v>
      </c>
      <c r="T4" s="157">
        <v>30</v>
      </c>
    </row>
    <row r="5" spans="2:20" ht="18" thickBot="1" x14ac:dyDescent="0.45">
      <c r="B5" s="106" t="s">
        <v>82</v>
      </c>
      <c r="C5" s="103">
        <v>10</v>
      </c>
      <c r="D5" s="103"/>
      <c r="E5" s="103" t="s">
        <v>84</v>
      </c>
      <c r="F5" s="108">
        <v>20</v>
      </c>
      <c r="G5" s="34" t="s">
        <v>72</v>
      </c>
      <c r="H5" s="35">
        <v>42</v>
      </c>
      <c r="I5" s="103">
        <v>0</v>
      </c>
      <c r="J5" s="103">
        <v>0</v>
      </c>
      <c r="K5" s="108">
        <v>28</v>
      </c>
      <c r="L5" s="1"/>
      <c r="M5" s="158" t="s">
        <v>215</v>
      </c>
      <c r="N5" s="159">
        <f>12+10</f>
        <v>22</v>
      </c>
      <c r="O5" s="160" t="s">
        <v>218</v>
      </c>
      <c r="P5" s="161">
        <v>0</v>
      </c>
      <c r="Q5" s="158" t="s">
        <v>215</v>
      </c>
      <c r="R5" s="159">
        <v>50</v>
      </c>
      <c r="S5" s="160" t="s">
        <v>218</v>
      </c>
      <c r="T5" s="161">
        <v>0</v>
      </c>
    </row>
    <row r="6" spans="2:20" ht="18" thickBot="1" x14ac:dyDescent="0.45">
      <c r="B6"/>
      <c r="C6"/>
      <c r="D6"/>
      <c r="E6"/>
      <c r="F6"/>
      <c r="G6"/>
      <c r="H6"/>
      <c r="I6"/>
      <c r="J6"/>
      <c r="K6"/>
      <c r="L6"/>
      <c r="M6"/>
      <c r="N6"/>
      <c r="O6"/>
    </row>
    <row r="7" spans="2:20" ht="18" thickBot="1" x14ac:dyDescent="0.45">
      <c r="B7" s="282" t="s">
        <v>76</v>
      </c>
      <c r="C7" s="283"/>
      <c r="D7" s="283"/>
      <c r="E7" s="296"/>
      <c r="F7" s="282" t="s">
        <v>77</v>
      </c>
      <c r="G7" s="283"/>
      <c r="H7" s="283"/>
      <c r="I7" s="296"/>
      <c r="K7" s="312" t="s">
        <v>200</v>
      </c>
      <c r="L7" s="313"/>
      <c r="M7" s="313"/>
      <c r="N7" s="314"/>
    </row>
    <row r="8" spans="2:20" ht="18" thickBot="1" x14ac:dyDescent="0.45">
      <c r="B8" s="127" t="s">
        <v>75</v>
      </c>
      <c r="C8" s="128" t="s">
        <v>73</v>
      </c>
      <c r="D8" s="128" t="s">
        <v>109</v>
      </c>
      <c r="E8" s="129" t="s">
        <v>111</v>
      </c>
      <c r="F8" s="130" t="s">
        <v>75</v>
      </c>
      <c r="G8" s="131" t="s">
        <v>56</v>
      </c>
      <c r="H8" s="131" t="s">
        <v>109</v>
      </c>
      <c r="I8" s="132" t="s">
        <v>111</v>
      </c>
      <c r="K8" s="141" t="s">
        <v>201</v>
      </c>
      <c r="L8" s="140">
        <v>2</v>
      </c>
      <c r="M8" s="140"/>
      <c r="N8" s="142"/>
    </row>
    <row r="9" spans="2:20" ht="18" thickBot="1" x14ac:dyDescent="0.45">
      <c r="B9" s="4" t="s">
        <v>67</v>
      </c>
      <c r="C9" s="5">
        <f>15+$L$8*$C$5+10</f>
        <v>45</v>
      </c>
      <c r="D9" s="5">
        <v>50</v>
      </c>
      <c r="E9" s="6">
        <v>50</v>
      </c>
      <c r="F9" s="125" t="s">
        <v>67</v>
      </c>
      <c r="G9" s="18">
        <f>10+$L$9*$C$5</f>
        <v>30</v>
      </c>
      <c r="H9" s="18">
        <f>60+20+$N$9*$C$5</f>
        <v>90</v>
      </c>
      <c r="I9" s="19">
        <v>60</v>
      </c>
      <c r="K9" s="143" t="s">
        <v>202</v>
      </c>
      <c r="L9" s="144">
        <v>2</v>
      </c>
      <c r="M9" s="145" t="s">
        <v>203</v>
      </c>
      <c r="N9" s="146">
        <v>1</v>
      </c>
    </row>
    <row r="10" spans="2:20" ht="18" thickBot="1" x14ac:dyDescent="0.45">
      <c r="B10" s="26" t="s">
        <v>65</v>
      </c>
      <c r="C10" s="3">
        <f>F4+10</f>
        <v>30</v>
      </c>
      <c r="D10" s="3">
        <v>30</v>
      </c>
      <c r="E10" s="14">
        <v>30</v>
      </c>
      <c r="F10" s="67" t="s">
        <v>65</v>
      </c>
      <c r="G10" s="3">
        <v>20</v>
      </c>
      <c r="H10" s="18">
        <f>30+20</f>
        <v>50</v>
      </c>
      <c r="I10" s="14">
        <v>30</v>
      </c>
    </row>
    <row r="11" spans="2:20" ht="18" thickBot="1" x14ac:dyDescent="0.45">
      <c r="B11" s="26" t="s">
        <v>66</v>
      </c>
      <c r="C11" s="135">
        <f>F5+10</f>
        <v>30</v>
      </c>
      <c r="D11" s="3">
        <v>30</v>
      </c>
      <c r="E11" s="14">
        <v>30</v>
      </c>
      <c r="F11" s="67" t="s">
        <v>66</v>
      </c>
      <c r="G11" s="3">
        <v>20</v>
      </c>
      <c r="H11" s="18">
        <f>30+20</f>
        <v>50</v>
      </c>
      <c r="I11" s="14">
        <v>30</v>
      </c>
      <c r="K11" s="315" t="s">
        <v>219</v>
      </c>
      <c r="L11" s="316"/>
      <c r="M11" s="316"/>
      <c r="N11" s="316"/>
      <c r="O11" s="317"/>
    </row>
    <row r="12" spans="2:20" x14ac:dyDescent="0.4">
      <c r="B12" s="133" t="s">
        <v>69</v>
      </c>
      <c r="C12" s="3">
        <f>15+$L$8*$C$4+10</f>
        <v>39</v>
      </c>
      <c r="D12" s="67">
        <v>30</v>
      </c>
      <c r="E12" s="14">
        <v>30</v>
      </c>
      <c r="F12" s="67" t="s">
        <v>69</v>
      </c>
      <c r="G12" s="18">
        <f>10+$L$9*$C$4</f>
        <v>24</v>
      </c>
      <c r="H12" s="3">
        <f>40+20+$N$9*$C$4</f>
        <v>67</v>
      </c>
      <c r="I12" s="14">
        <v>40</v>
      </c>
      <c r="K12" s="149" t="s">
        <v>208</v>
      </c>
      <c r="L12" s="150" t="s">
        <v>209</v>
      </c>
      <c r="M12" s="150" t="s">
        <v>210</v>
      </c>
      <c r="N12" s="150" t="s">
        <v>211</v>
      </c>
      <c r="O12" s="151" t="s">
        <v>212</v>
      </c>
    </row>
    <row r="13" spans="2:20" x14ac:dyDescent="0.4">
      <c r="B13" s="133" t="s">
        <v>68</v>
      </c>
      <c r="C13" s="3">
        <f t="shared" ref="C13:C14" si="0">15+$L$8*$C$4+10</f>
        <v>39</v>
      </c>
      <c r="D13" s="67">
        <v>30</v>
      </c>
      <c r="E13" s="14">
        <v>30</v>
      </c>
      <c r="F13" s="67" t="s">
        <v>68</v>
      </c>
      <c r="G13" s="18">
        <f t="shared" ref="G13:G14" si="1">10+$L$9*$C$4</f>
        <v>24</v>
      </c>
      <c r="H13" s="3">
        <f t="shared" ref="H13:H14" si="2">40+20+$N$9*$C$4</f>
        <v>67</v>
      </c>
      <c r="I13" s="14">
        <v>40</v>
      </c>
      <c r="K13" s="147">
        <v>2</v>
      </c>
      <c r="L13" s="140">
        <v>5</v>
      </c>
      <c r="M13" s="140">
        <v>10</v>
      </c>
      <c r="N13" s="140">
        <v>15</v>
      </c>
      <c r="O13" s="142">
        <v>20</v>
      </c>
    </row>
    <row r="14" spans="2:20" ht="18" thickBot="1" x14ac:dyDescent="0.45">
      <c r="B14" s="134" t="s">
        <v>70</v>
      </c>
      <c r="C14" s="8">
        <f t="shared" si="0"/>
        <v>39</v>
      </c>
      <c r="D14" s="126">
        <v>30</v>
      </c>
      <c r="E14" s="9">
        <v>30</v>
      </c>
      <c r="F14" s="126" t="s">
        <v>70</v>
      </c>
      <c r="G14" s="139">
        <f t="shared" si="1"/>
        <v>24</v>
      </c>
      <c r="H14" s="8">
        <f t="shared" si="2"/>
        <v>67</v>
      </c>
      <c r="I14" s="9">
        <v>40</v>
      </c>
      <c r="K14" s="148">
        <v>4</v>
      </c>
      <c r="L14" s="144">
        <v>10</v>
      </c>
      <c r="M14" s="144">
        <v>20</v>
      </c>
      <c r="N14" s="144">
        <v>30</v>
      </c>
      <c r="O14" s="146">
        <v>40</v>
      </c>
    </row>
    <row r="15" spans="2:20" x14ac:dyDescent="0.4">
      <c r="B15" s="110"/>
      <c r="C15" s="101"/>
      <c r="D15" s="110"/>
      <c r="F15" s="110"/>
      <c r="G15" s="101"/>
      <c r="H15" s="101"/>
      <c r="I15" s="101"/>
      <c r="J15" s="101"/>
      <c r="K15" s="101"/>
      <c r="L15" s="101"/>
      <c r="M15" s="101"/>
      <c r="N15" s="101"/>
    </row>
    <row r="16" spans="2:20" ht="18" thickBot="1" x14ac:dyDescent="0.45">
      <c r="B16" s="110"/>
      <c r="C16" s="101"/>
      <c r="D16" s="110"/>
      <c r="F16" s="110"/>
      <c r="G16" s="101"/>
      <c r="H16" s="101"/>
      <c r="I16" s="101"/>
      <c r="J16" s="101"/>
      <c r="K16" s="101"/>
      <c r="L16" s="101"/>
      <c r="M16" s="101" t="s">
        <v>226</v>
      </c>
      <c r="N16" s="101"/>
      <c r="Q16" s="112" t="s">
        <v>227</v>
      </c>
    </row>
    <row r="17" spans="2:19" ht="18" thickBot="1" x14ac:dyDescent="0.45">
      <c r="B17" s="110"/>
      <c r="C17" s="110" t="s">
        <v>199</v>
      </c>
      <c r="D17" s="110" t="s">
        <v>206</v>
      </c>
      <c r="E17" s="112" t="s">
        <v>207</v>
      </c>
      <c r="F17" s="101" t="s">
        <v>195</v>
      </c>
      <c r="G17" s="110" t="s">
        <v>196</v>
      </c>
      <c r="I17" s="110" t="s">
        <v>197</v>
      </c>
      <c r="J17" s="311" t="s">
        <v>225</v>
      </c>
      <c r="K17" s="311"/>
      <c r="M17" s="166" t="s">
        <v>222</v>
      </c>
      <c r="N17" s="168" t="s">
        <v>225</v>
      </c>
      <c r="O17" s="167" t="s">
        <v>223</v>
      </c>
      <c r="Q17" s="166" t="s">
        <v>222</v>
      </c>
      <c r="R17" s="167" t="s">
        <v>223</v>
      </c>
    </row>
    <row r="18" spans="2:19" x14ac:dyDescent="0.4">
      <c r="B18" s="50" t="s">
        <v>1</v>
      </c>
      <c r="C18" s="3">
        <v>216</v>
      </c>
      <c r="D18" s="111">
        <v>0</v>
      </c>
      <c r="E18" s="111">
        <f>$O$13*10</f>
        <v>200</v>
      </c>
      <c r="F18" s="110">
        <f>SUM($C$9:$C$14)+$E18+$C18+$D18+SUM($N$3:$N$5,$P$3,$P$4,$P$5)</f>
        <v>762</v>
      </c>
      <c r="G18" s="110">
        <f>SUM($D$9:$D$14)</f>
        <v>200</v>
      </c>
      <c r="H18" s="111" t="s">
        <v>198</v>
      </c>
      <c r="I18" s="110">
        <f>SUM($E$9:$E$14)</f>
        <v>200</v>
      </c>
      <c r="J18" s="163">
        <v>280463</v>
      </c>
      <c r="K18" s="163">
        <v>517896</v>
      </c>
      <c r="L18" s="110"/>
      <c r="M18" s="174" t="s">
        <v>228</v>
      </c>
      <c r="N18" s="101">
        <v>649466</v>
      </c>
      <c r="O18" s="170">
        <v>2486880450</v>
      </c>
      <c r="Q18" s="169" t="s">
        <v>175</v>
      </c>
      <c r="R18" s="101">
        <v>2486880450</v>
      </c>
      <c r="S18" s="164"/>
    </row>
    <row r="19" spans="2:19" x14ac:dyDescent="0.4">
      <c r="B19" s="50" t="s">
        <v>2</v>
      </c>
      <c r="C19" s="3">
        <v>216</v>
      </c>
      <c r="D19" s="111">
        <v>0</v>
      </c>
      <c r="E19" s="111">
        <f t="shared" ref="E19:E29" si="3">$O$13*10</f>
        <v>200</v>
      </c>
      <c r="F19" s="110">
        <f t="shared" ref="F19:F29" si="4">SUM($C$9:$C$14)+$E19+$C19+$D19+SUM($N$3:$N$5,$P$3,$P$4,$P$5)</f>
        <v>762</v>
      </c>
      <c r="G19" s="110">
        <f t="shared" ref="G19:G22" si="5">SUM($D$9:$D$14)</f>
        <v>200</v>
      </c>
      <c r="H19" s="111" t="s">
        <v>198</v>
      </c>
      <c r="I19" s="110">
        <f t="shared" ref="I19:I22" si="6">SUM($E$9:$E$14)</f>
        <v>200</v>
      </c>
      <c r="J19" s="163">
        <v>383308</v>
      </c>
      <c r="K19" s="163">
        <v>531734</v>
      </c>
      <c r="L19" s="110"/>
      <c r="M19" s="169" t="s">
        <v>178</v>
      </c>
      <c r="N19" s="101">
        <v>610413</v>
      </c>
      <c r="O19" s="170">
        <v>1826840640</v>
      </c>
      <c r="Q19" s="169" t="s">
        <v>178</v>
      </c>
      <c r="R19" s="101">
        <v>1826840640</v>
      </c>
      <c r="S19" s="164"/>
    </row>
    <row r="20" spans="2:19" x14ac:dyDescent="0.4">
      <c r="B20" s="50" t="s">
        <v>3</v>
      </c>
      <c r="C20" s="3">
        <v>209</v>
      </c>
      <c r="D20" s="111">
        <v>0</v>
      </c>
      <c r="E20" s="111">
        <f t="shared" si="3"/>
        <v>200</v>
      </c>
      <c r="F20" s="110">
        <f t="shared" si="4"/>
        <v>755</v>
      </c>
      <c r="G20" s="110">
        <f t="shared" si="5"/>
        <v>200</v>
      </c>
      <c r="H20" s="111" t="s">
        <v>198</v>
      </c>
      <c r="I20" s="110">
        <f t="shared" si="6"/>
        <v>200</v>
      </c>
      <c r="J20" s="163">
        <v>216316</v>
      </c>
      <c r="K20" s="163">
        <v>399274</v>
      </c>
      <c r="L20" s="110"/>
      <c r="M20" s="169" t="s">
        <v>179</v>
      </c>
      <c r="N20" s="101">
        <v>4999999</v>
      </c>
      <c r="O20" s="170">
        <v>1659999668</v>
      </c>
      <c r="Q20" s="169" t="s">
        <v>179</v>
      </c>
      <c r="R20" s="101">
        <v>1659999668</v>
      </c>
      <c r="S20" s="164"/>
    </row>
    <row r="21" spans="2:19" x14ac:dyDescent="0.4">
      <c r="B21" s="50" t="s">
        <v>86</v>
      </c>
      <c r="C21" s="3">
        <v>131</v>
      </c>
      <c r="D21" s="111">
        <v>42</v>
      </c>
      <c r="E21" s="111">
        <f t="shared" si="3"/>
        <v>200</v>
      </c>
      <c r="F21" s="110">
        <f t="shared" si="4"/>
        <v>719</v>
      </c>
      <c r="G21" s="110">
        <f t="shared" si="5"/>
        <v>200</v>
      </c>
      <c r="H21" s="111" t="s">
        <v>198</v>
      </c>
      <c r="I21" s="110">
        <f t="shared" si="6"/>
        <v>200</v>
      </c>
      <c r="J21" s="163">
        <v>185548</v>
      </c>
      <c r="K21" s="163">
        <v>342359</v>
      </c>
      <c r="L21" s="110"/>
      <c r="M21" s="169" t="s">
        <v>176</v>
      </c>
      <c r="N21" s="101">
        <v>631638</v>
      </c>
      <c r="O21" s="170">
        <v>1591541450</v>
      </c>
      <c r="Q21" s="169" t="s">
        <v>176</v>
      </c>
      <c r="R21" s="101">
        <v>1533136200</v>
      </c>
      <c r="S21" s="164"/>
    </row>
    <row r="22" spans="2:19" x14ac:dyDescent="0.4">
      <c r="B22" s="50" t="s">
        <v>87</v>
      </c>
      <c r="C22" s="3">
        <v>205</v>
      </c>
      <c r="D22" s="111">
        <v>0</v>
      </c>
      <c r="E22" s="111">
        <f t="shared" si="3"/>
        <v>200</v>
      </c>
      <c r="F22" s="110">
        <f t="shared" si="4"/>
        <v>751</v>
      </c>
      <c r="G22" s="110">
        <f t="shared" si="5"/>
        <v>200</v>
      </c>
      <c r="H22" s="111" t="s">
        <v>198</v>
      </c>
      <c r="I22" s="110">
        <f t="shared" si="6"/>
        <v>200</v>
      </c>
      <c r="J22" s="163">
        <v>193806</v>
      </c>
      <c r="K22" s="163">
        <v>357596</v>
      </c>
      <c r="L22" s="110"/>
      <c r="M22" s="169" t="s">
        <v>181</v>
      </c>
      <c r="N22" s="101">
        <v>948563</v>
      </c>
      <c r="O22" s="170">
        <v>1442638084</v>
      </c>
      <c r="Q22" s="169" t="s">
        <v>180</v>
      </c>
      <c r="R22" s="101">
        <v>1363758075</v>
      </c>
      <c r="S22" s="164"/>
    </row>
    <row r="23" spans="2:19" x14ac:dyDescent="0.4">
      <c r="B23" s="136" t="s">
        <v>32</v>
      </c>
      <c r="C23" s="59">
        <v>280</v>
      </c>
      <c r="D23" s="111">
        <v>0</v>
      </c>
      <c r="E23" s="111">
        <f>$O$14*10</f>
        <v>400</v>
      </c>
      <c r="F23" s="110">
        <f>SUM($G$9:$G$14)+$E23+$C23+$D23+SUM($R$3:$R$5)</f>
        <v>947</v>
      </c>
      <c r="G23" s="110">
        <f>SUM($H$9:$H$14)+SUM($R$3:$R$5,$T$3:$T$5)</f>
        <v>586</v>
      </c>
      <c r="I23" s="110">
        <f t="shared" ref="I23:I25" si="7">SUM($I$9:$I$14)</f>
        <v>240</v>
      </c>
      <c r="J23" s="163">
        <v>4999999</v>
      </c>
      <c r="K23" s="163">
        <v>4999999</v>
      </c>
      <c r="L23" s="110"/>
      <c r="M23" s="169" t="s">
        <v>182</v>
      </c>
      <c r="N23" s="101">
        <v>923769</v>
      </c>
      <c r="O23" s="170">
        <v>1400676048</v>
      </c>
      <c r="Q23" s="169" t="s">
        <v>181</v>
      </c>
      <c r="R23" s="101">
        <v>1331638080</v>
      </c>
      <c r="S23" s="164"/>
    </row>
    <row r="24" spans="2:19" ht="18" thickBot="1" x14ac:dyDescent="0.45">
      <c r="B24" s="136" t="s">
        <v>33</v>
      </c>
      <c r="C24" s="59">
        <v>280</v>
      </c>
      <c r="D24" s="111">
        <v>0</v>
      </c>
      <c r="E24" s="111">
        <f t="shared" ref="E24:E25" si="8">$O$14*10</f>
        <v>400</v>
      </c>
      <c r="F24" s="110">
        <f t="shared" ref="F24:F25" si="9">SUM($G$9:$G$14)+$E24+$C24+$D24+SUM($R$3:$R$5)</f>
        <v>947</v>
      </c>
      <c r="G24" s="110">
        <f t="shared" ref="G24:G25" si="10">SUM($H$9:$H$14)+SUM($R$3:$R$5,$T$3:$T$5)</f>
        <v>586</v>
      </c>
      <c r="I24" s="110">
        <f t="shared" si="7"/>
        <v>240</v>
      </c>
      <c r="J24" s="163">
        <v>2673762</v>
      </c>
      <c r="K24" s="163">
        <v>2753127</v>
      </c>
      <c r="L24" s="110"/>
      <c r="M24" s="169" t="s">
        <v>180</v>
      </c>
      <c r="N24" s="101">
        <v>634321</v>
      </c>
      <c r="O24" s="171">
        <v>1363758075</v>
      </c>
      <c r="Q24" s="169" t="s">
        <v>182</v>
      </c>
      <c r="R24" s="101">
        <v>901579231</v>
      </c>
      <c r="S24" s="164"/>
    </row>
    <row r="25" spans="2:19" x14ac:dyDescent="0.4">
      <c r="B25" s="136" t="s">
        <v>48</v>
      </c>
      <c r="C25" s="59">
        <v>280</v>
      </c>
      <c r="D25" s="111">
        <v>0</v>
      </c>
      <c r="E25" s="111">
        <f t="shared" si="8"/>
        <v>400</v>
      </c>
      <c r="F25" s="110">
        <f t="shared" si="9"/>
        <v>947</v>
      </c>
      <c r="G25" s="110">
        <f t="shared" si="10"/>
        <v>586</v>
      </c>
      <c r="I25" s="110">
        <f t="shared" si="7"/>
        <v>240</v>
      </c>
      <c r="J25" s="163">
        <v>1777732</v>
      </c>
      <c r="K25" s="163">
        <v>1830569</v>
      </c>
      <c r="L25" s="110"/>
      <c r="M25" s="169" t="s">
        <v>186</v>
      </c>
      <c r="N25" s="101">
        <v>712025</v>
      </c>
      <c r="O25" s="170">
        <v>1286113785</v>
      </c>
      <c r="Q25" s="169" t="s">
        <v>177</v>
      </c>
      <c r="R25" s="101">
        <v>869999825</v>
      </c>
      <c r="S25" s="164"/>
    </row>
    <row r="26" spans="2:19" x14ac:dyDescent="0.4">
      <c r="B26" s="50" t="s">
        <v>38</v>
      </c>
      <c r="C26" s="3">
        <v>205</v>
      </c>
      <c r="D26" s="111">
        <v>0</v>
      </c>
      <c r="E26" s="111">
        <f t="shared" si="3"/>
        <v>200</v>
      </c>
      <c r="F26" s="110">
        <f t="shared" si="4"/>
        <v>751</v>
      </c>
      <c r="G26" s="110">
        <f t="shared" ref="G26:G29" si="11">SUM($D$9:$D$14)</f>
        <v>200</v>
      </c>
      <c r="H26" s="111" t="s">
        <v>198</v>
      </c>
      <c r="I26" s="110">
        <f>SUM($E$9:$E$14)</f>
        <v>200</v>
      </c>
      <c r="J26" s="163">
        <v>288510</v>
      </c>
      <c r="K26" s="163">
        <v>355807</v>
      </c>
      <c r="L26" s="110"/>
      <c r="M26" s="169" t="s">
        <v>177</v>
      </c>
      <c r="N26" s="101">
        <v>4999999</v>
      </c>
      <c r="O26" s="170">
        <v>869999825</v>
      </c>
      <c r="Q26" s="169" t="s">
        <v>185</v>
      </c>
      <c r="R26" s="101">
        <v>739999852</v>
      </c>
      <c r="S26" s="164"/>
    </row>
    <row r="27" spans="2:19" x14ac:dyDescent="0.4">
      <c r="B27" s="50" t="s">
        <v>37</v>
      </c>
      <c r="C27" s="3">
        <v>209</v>
      </c>
      <c r="D27" s="111">
        <v>0</v>
      </c>
      <c r="E27" s="111">
        <f t="shared" si="3"/>
        <v>200</v>
      </c>
      <c r="F27" s="110">
        <f t="shared" si="4"/>
        <v>755</v>
      </c>
      <c r="G27" s="110">
        <f t="shared" si="11"/>
        <v>200</v>
      </c>
      <c r="H27" s="111" t="s">
        <v>198</v>
      </c>
      <c r="I27" s="110">
        <f t="shared" ref="I27:I29" si="12">SUM($E$9:$E$14)</f>
        <v>200</v>
      </c>
      <c r="J27" s="163">
        <v>295349</v>
      </c>
      <c r="K27" s="163">
        <v>364262</v>
      </c>
      <c r="L27" s="110"/>
      <c r="M27" s="169" t="s">
        <v>185</v>
      </c>
      <c r="N27" s="101">
        <v>4999999</v>
      </c>
      <c r="O27" s="170">
        <v>739999852</v>
      </c>
      <c r="Q27" s="169" t="s">
        <v>183</v>
      </c>
      <c r="R27" s="101">
        <v>731985754</v>
      </c>
      <c r="S27" s="164"/>
    </row>
    <row r="28" spans="2:19" x14ac:dyDescent="0.4">
      <c r="B28" s="50" t="s">
        <v>22</v>
      </c>
      <c r="C28" s="3">
        <v>173</v>
      </c>
      <c r="D28" s="111">
        <v>0</v>
      </c>
      <c r="E28" s="111">
        <f t="shared" si="3"/>
        <v>200</v>
      </c>
      <c r="F28" s="110">
        <f t="shared" si="4"/>
        <v>719</v>
      </c>
      <c r="G28" s="110">
        <f t="shared" si="11"/>
        <v>200</v>
      </c>
      <c r="H28" s="111" t="s">
        <v>198</v>
      </c>
      <c r="I28" s="110">
        <f t="shared" si="12"/>
        <v>200</v>
      </c>
      <c r="J28" s="163">
        <v>257211</v>
      </c>
      <c r="K28" s="163">
        <v>475015</v>
      </c>
      <c r="L28" s="110"/>
      <c r="M28" s="169" t="s">
        <v>183</v>
      </c>
      <c r="N28" s="101">
        <v>847334</v>
      </c>
      <c r="O28" s="170">
        <v>731985754</v>
      </c>
      <c r="Q28" s="169" t="s">
        <v>184</v>
      </c>
      <c r="R28" s="101">
        <v>685053306</v>
      </c>
      <c r="S28" s="164"/>
    </row>
    <row r="29" spans="2:19" ht="18" thickBot="1" x14ac:dyDescent="0.45">
      <c r="B29" s="50" t="s">
        <v>45</v>
      </c>
      <c r="C29" s="3">
        <v>170</v>
      </c>
      <c r="D29" s="111">
        <v>28</v>
      </c>
      <c r="E29" s="111">
        <f t="shared" si="3"/>
        <v>200</v>
      </c>
      <c r="F29" s="110">
        <f t="shared" si="4"/>
        <v>744</v>
      </c>
      <c r="G29" s="110">
        <f t="shared" si="11"/>
        <v>200</v>
      </c>
      <c r="H29" s="111" t="s">
        <v>198</v>
      </c>
      <c r="I29" s="110">
        <f t="shared" si="12"/>
        <v>200</v>
      </c>
      <c r="J29" s="163">
        <v>192000</v>
      </c>
      <c r="K29" s="163">
        <v>354263</v>
      </c>
      <c r="L29" s="110"/>
      <c r="M29" s="172" t="s">
        <v>184</v>
      </c>
      <c r="N29" s="173">
        <v>637580</v>
      </c>
      <c r="O29" s="171">
        <v>685053306</v>
      </c>
      <c r="Q29" s="172" t="s">
        <v>186</v>
      </c>
      <c r="R29" s="173">
        <v>320417743</v>
      </c>
      <c r="S29" s="165"/>
    </row>
    <row r="30" spans="2:19" x14ac:dyDescent="0.4">
      <c r="I30" s="110"/>
    </row>
    <row r="33" spans="13:13" x14ac:dyDescent="0.4">
      <c r="M33" s="111">
        <v>517896</v>
      </c>
    </row>
    <row r="34" spans="13:13" x14ac:dyDescent="0.4">
      <c r="M34" s="111">
        <v>531734</v>
      </c>
    </row>
    <row r="35" spans="13:13" x14ac:dyDescent="0.4">
      <c r="M35" s="111">
        <v>399274</v>
      </c>
    </row>
    <row r="36" spans="13:13" x14ac:dyDescent="0.4">
      <c r="M36" s="111">
        <v>342359</v>
      </c>
    </row>
    <row r="37" spans="13:13" x14ac:dyDescent="0.4">
      <c r="M37" s="111">
        <v>357596</v>
      </c>
    </row>
    <row r="38" spans="13:13" x14ac:dyDescent="0.4">
      <c r="M38" s="111" t="s">
        <v>224</v>
      </c>
    </row>
    <row r="39" spans="13:13" x14ac:dyDescent="0.4">
      <c r="M39" s="111" t="s">
        <v>224</v>
      </c>
    </row>
    <row r="40" spans="13:13" x14ac:dyDescent="0.4">
      <c r="M40" s="111" t="s">
        <v>224</v>
      </c>
    </row>
    <row r="41" spans="13:13" x14ac:dyDescent="0.4">
      <c r="M41" s="111">
        <v>355807</v>
      </c>
    </row>
    <row r="42" spans="13:13" x14ac:dyDescent="0.4">
      <c r="M42" s="111">
        <v>364262</v>
      </c>
    </row>
    <row r="43" spans="13:13" x14ac:dyDescent="0.4">
      <c r="M43" s="111">
        <v>475015</v>
      </c>
    </row>
    <row r="44" spans="13:13" x14ac:dyDescent="0.4">
      <c r="M44" s="111">
        <v>354263</v>
      </c>
    </row>
  </sheetData>
  <mergeCells count="9">
    <mergeCell ref="Q2:T2"/>
    <mergeCell ref="J17:K17"/>
    <mergeCell ref="B7:E7"/>
    <mergeCell ref="F7:I7"/>
    <mergeCell ref="K7:N7"/>
    <mergeCell ref="K11:O11"/>
    <mergeCell ref="M2:P2"/>
    <mergeCell ref="B3:F3"/>
    <mergeCell ref="B2:K2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6235-E755-4494-9E5D-77EC5BD46449}">
  <dimension ref="A3:L48"/>
  <sheetViews>
    <sheetView topLeftCell="A25" workbookViewId="0">
      <selection activeCell="D41" sqref="D41"/>
    </sheetView>
  </sheetViews>
  <sheetFormatPr defaultRowHeight="17.399999999999999" x14ac:dyDescent="0.4"/>
  <cols>
    <col min="1" max="1" width="8.796875" style="176"/>
    <col min="2" max="2" width="19.296875" style="176" customWidth="1"/>
    <col min="3" max="3" width="15" style="176" customWidth="1"/>
    <col min="4" max="4" width="22.5" style="176" customWidth="1"/>
    <col min="5" max="5" width="18" style="176" customWidth="1"/>
    <col min="6" max="6" width="8.796875" style="176"/>
    <col min="7" max="7" width="8.8984375" style="176" bestFit="1" customWidth="1"/>
    <col min="8" max="8" width="8.796875" style="176"/>
    <col min="9" max="9" width="17.8984375" style="176" customWidth="1"/>
    <col min="10" max="10" width="12.796875" style="176" customWidth="1"/>
    <col min="11" max="11" width="22.5" style="176" customWidth="1"/>
    <col min="12" max="12" width="17.3984375" style="176" customWidth="1"/>
    <col min="13" max="16384" width="8.796875" style="176"/>
  </cols>
  <sheetData>
    <row r="3" spans="2:11" x14ac:dyDescent="0.4">
      <c r="B3" s="175" t="s">
        <v>229</v>
      </c>
    </row>
    <row r="4" spans="2:11" x14ac:dyDescent="0.4">
      <c r="B4" s="163"/>
      <c r="C4" s="163" t="s">
        <v>199</v>
      </c>
      <c r="D4" s="101" t="s">
        <v>195</v>
      </c>
      <c r="E4" s="163" t="s">
        <v>196</v>
      </c>
      <c r="G4" s="163" t="s">
        <v>110</v>
      </c>
      <c r="I4" s="163"/>
      <c r="J4" s="321"/>
      <c r="K4" s="321"/>
    </row>
    <row r="5" spans="2:11" x14ac:dyDescent="0.4">
      <c r="B5" s="49" t="s">
        <v>1</v>
      </c>
      <c r="C5" s="49">
        <f>51+C15</f>
        <v>341</v>
      </c>
      <c r="D5" s="163">
        <f>729+C5</f>
        <v>1070</v>
      </c>
      <c r="E5" s="163">
        <v>471</v>
      </c>
      <c r="F5" s="176" t="s">
        <v>194</v>
      </c>
      <c r="G5" s="163">
        <v>382</v>
      </c>
      <c r="I5" s="163"/>
      <c r="J5" s="163"/>
      <c r="K5" s="163"/>
    </row>
    <row r="6" spans="2:11" x14ac:dyDescent="0.4">
      <c r="B6" s="49" t="s">
        <v>2</v>
      </c>
      <c r="C6" s="49">
        <v>341</v>
      </c>
      <c r="D6" s="163">
        <f t="shared" ref="D6:D16" si="0">729+C6</f>
        <v>1070</v>
      </c>
      <c r="E6" s="163">
        <v>471</v>
      </c>
      <c r="F6" s="176" t="s">
        <v>194</v>
      </c>
      <c r="G6" s="163">
        <v>382</v>
      </c>
      <c r="H6" s="162"/>
      <c r="I6" s="163"/>
      <c r="J6" s="163"/>
      <c r="K6" s="163"/>
    </row>
    <row r="7" spans="2:11" x14ac:dyDescent="0.4">
      <c r="B7" s="49" t="s">
        <v>3</v>
      </c>
      <c r="C7" s="49">
        <f>43+C15</f>
        <v>333</v>
      </c>
      <c r="D7" s="163">
        <f t="shared" si="0"/>
        <v>1062</v>
      </c>
      <c r="E7" s="163">
        <v>471</v>
      </c>
      <c r="F7" s="176" t="s">
        <v>194</v>
      </c>
      <c r="G7" s="163">
        <v>382</v>
      </c>
      <c r="H7" s="162"/>
      <c r="I7" s="163"/>
      <c r="J7" s="163"/>
      <c r="K7" s="163"/>
    </row>
    <row r="8" spans="2:11" x14ac:dyDescent="0.4">
      <c r="B8" s="49" t="s">
        <v>86</v>
      </c>
      <c r="C8" s="49">
        <f>C15-51</f>
        <v>239</v>
      </c>
      <c r="D8" s="163">
        <f t="shared" si="0"/>
        <v>968</v>
      </c>
      <c r="E8" s="163">
        <v>471</v>
      </c>
      <c r="F8" s="176" t="s">
        <v>194</v>
      </c>
      <c r="G8" s="163">
        <v>382</v>
      </c>
      <c r="H8" s="162"/>
      <c r="I8" s="163"/>
      <c r="J8" s="163"/>
      <c r="K8" s="163"/>
    </row>
    <row r="9" spans="2:11" x14ac:dyDescent="0.4">
      <c r="B9" s="49" t="s">
        <v>87</v>
      </c>
      <c r="C9" s="49">
        <f>38+C15</f>
        <v>328</v>
      </c>
      <c r="D9" s="163">
        <f t="shared" si="0"/>
        <v>1057</v>
      </c>
      <c r="E9" s="163">
        <v>471</v>
      </c>
      <c r="F9" s="176" t="s">
        <v>194</v>
      </c>
      <c r="G9" s="163">
        <v>382</v>
      </c>
      <c r="H9" s="162"/>
      <c r="I9" s="163"/>
      <c r="J9" s="163"/>
      <c r="K9" s="163"/>
    </row>
    <row r="10" spans="2:11" x14ac:dyDescent="0.4">
      <c r="B10" s="64" t="s">
        <v>32</v>
      </c>
      <c r="C10" s="64">
        <v>518</v>
      </c>
      <c r="D10" s="163">
        <f>950+C10</f>
        <v>1468</v>
      </c>
      <c r="E10" s="163">
        <v>2904</v>
      </c>
      <c r="F10" s="176" t="s">
        <v>194</v>
      </c>
      <c r="G10" s="163">
        <v>390</v>
      </c>
      <c r="H10" s="163"/>
      <c r="I10" s="163"/>
      <c r="J10" s="163"/>
      <c r="K10" s="163"/>
    </row>
    <row r="11" spans="2:11" x14ac:dyDescent="0.4">
      <c r="B11" s="64" t="s">
        <v>33</v>
      </c>
      <c r="C11" s="64">
        <v>518</v>
      </c>
      <c r="D11" s="163">
        <f t="shared" ref="D11:D12" si="1">950+C11</f>
        <v>1468</v>
      </c>
      <c r="E11" s="163">
        <v>2904</v>
      </c>
      <c r="F11" s="176" t="s">
        <v>194</v>
      </c>
      <c r="G11" s="163">
        <v>390</v>
      </c>
      <c r="H11" s="163"/>
      <c r="I11" s="163"/>
      <c r="J11" s="163"/>
      <c r="K11" s="163"/>
    </row>
    <row r="12" spans="2:11" x14ac:dyDescent="0.4">
      <c r="B12" s="64" t="s">
        <v>48</v>
      </c>
      <c r="C12" s="64">
        <v>518</v>
      </c>
      <c r="D12" s="163">
        <f t="shared" si="1"/>
        <v>1468</v>
      </c>
      <c r="E12" s="163">
        <v>2904</v>
      </c>
      <c r="F12" s="176" t="s">
        <v>194</v>
      </c>
      <c r="G12" s="163">
        <v>390</v>
      </c>
      <c r="H12" s="163"/>
      <c r="I12" s="163"/>
      <c r="J12" s="163"/>
      <c r="K12" s="163"/>
    </row>
    <row r="13" spans="2:11" x14ac:dyDescent="0.4">
      <c r="B13" s="49" t="s">
        <v>38</v>
      </c>
      <c r="C13" s="49">
        <v>328</v>
      </c>
      <c r="D13" s="163">
        <f t="shared" si="0"/>
        <v>1057</v>
      </c>
      <c r="E13" s="163">
        <v>471</v>
      </c>
      <c r="F13" s="176" t="s">
        <v>194</v>
      </c>
      <c r="G13" s="163">
        <v>382</v>
      </c>
      <c r="H13" s="163"/>
      <c r="I13" s="163"/>
      <c r="J13" s="163"/>
      <c r="K13" s="163"/>
    </row>
    <row r="14" spans="2:11" x14ac:dyDescent="0.4">
      <c r="B14" s="49" t="s">
        <v>37</v>
      </c>
      <c r="C14" s="49">
        <f>C15+43</f>
        <v>333</v>
      </c>
      <c r="D14" s="163">
        <f t="shared" si="0"/>
        <v>1062</v>
      </c>
      <c r="E14" s="163">
        <v>471</v>
      </c>
      <c r="F14" s="176" t="s">
        <v>194</v>
      </c>
      <c r="G14" s="163">
        <v>382</v>
      </c>
      <c r="H14" s="163"/>
      <c r="I14" s="163"/>
      <c r="J14" s="163"/>
      <c r="K14" s="163"/>
    </row>
    <row r="15" spans="2:11" x14ac:dyDescent="0.4">
      <c r="B15" s="49" t="s">
        <v>22</v>
      </c>
      <c r="C15" s="49">
        <v>290</v>
      </c>
      <c r="D15" s="163">
        <f t="shared" si="0"/>
        <v>1019</v>
      </c>
      <c r="E15" s="163">
        <v>471</v>
      </c>
      <c r="F15" s="176" t="s">
        <v>194</v>
      </c>
      <c r="G15" s="163">
        <v>382</v>
      </c>
      <c r="H15" s="163"/>
      <c r="I15" s="163"/>
      <c r="J15" s="163"/>
      <c r="K15" s="163"/>
    </row>
    <row r="16" spans="2:11" x14ac:dyDescent="0.4">
      <c r="B16" s="49" t="s">
        <v>45</v>
      </c>
      <c r="C16" s="49">
        <f>C15-4</f>
        <v>286</v>
      </c>
      <c r="D16" s="163">
        <f t="shared" si="0"/>
        <v>1015</v>
      </c>
      <c r="E16" s="163">
        <v>471</v>
      </c>
      <c r="F16" s="176" t="s">
        <v>194</v>
      </c>
      <c r="G16" s="163">
        <v>382</v>
      </c>
      <c r="H16" s="163"/>
      <c r="I16" s="163"/>
      <c r="J16" s="163"/>
      <c r="K16" s="163"/>
    </row>
    <row r="17" spans="1:12" ht="18" thickBot="1" x14ac:dyDescent="0.45">
      <c r="H17" s="163"/>
      <c r="J17" s="163"/>
    </row>
    <row r="18" spans="1:12" x14ac:dyDescent="0.4">
      <c r="A18" s="318" t="s">
        <v>234</v>
      </c>
      <c r="B18" s="322" t="s">
        <v>105</v>
      </c>
      <c r="C18" s="323"/>
      <c r="D18" s="323"/>
      <c r="E18" s="324"/>
      <c r="F18" s="183"/>
      <c r="G18" s="183"/>
      <c r="H18" s="318" t="s">
        <v>235</v>
      </c>
      <c r="I18" s="322" t="s">
        <v>105</v>
      </c>
      <c r="J18" s="323"/>
      <c r="K18" s="323"/>
      <c r="L18" s="324"/>
    </row>
    <row r="19" spans="1:12" x14ac:dyDescent="0.4">
      <c r="A19" s="319"/>
      <c r="B19" s="186" t="s">
        <v>230</v>
      </c>
      <c r="C19" s="185" t="s">
        <v>232</v>
      </c>
      <c r="D19" s="185" t="s">
        <v>233</v>
      </c>
      <c r="E19" s="189" t="s">
        <v>231</v>
      </c>
      <c r="F19" s="183"/>
      <c r="G19" s="183"/>
      <c r="H19" s="319"/>
      <c r="I19" s="186" t="s">
        <v>230</v>
      </c>
      <c r="J19" s="185" t="s">
        <v>232</v>
      </c>
      <c r="K19" s="185" t="s">
        <v>233</v>
      </c>
      <c r="L19" s="189" t="s">
        <v>231</v>
      </c>
    </row>
    <row r="20" spans="1:12" x14ac:dyDescent="0.4">
      <c r="A20" s="319"/>
      <c r="B20" s="187" t="s">
        <v>175</v>
      </c>
      <c r="C20" s="177">
        <v>522852</v>
      </c>
      <c r="D20" s="177">
        <v>2091408</v>
      </c>
      <c r="E20" s="178">
        <v>2003220135</v>
      </c>
      <c r="F20" s="183"/>
      <c r="G20" s="183"/>
      <c r="H20" s="319"/>
      <c r="I20" s="187" t="s">
        <v>175</v>
      </c>
      <c r="J20" s="177">
        <v>522852</v>
      </c>
      <c r="K20" s="177">
        <v>2091408</v>
      </c>
      <c r="L20" s="178">
        <v>2003220135</v>
      </c>
    </row>
    <row r="21" spans="1:12" x14ac:dyDescent="0.4">
      <c r="A21" s="319"/>
      <c r="B21" s="187" t="s">
        <v>178</v>
      </c>
      <c r="C21" s="177">
        <v>472128</v>
      </c>
      <c r="D21" s="177">
        <v>1626360</v>
      </c>
      <c r="E21" s="178">
        <v>1405175200</v>
      </c>
      <c r="F21" s="183"/>
      <c r="G21" s="183"/>
      <c r="H21" s="319"/>
      <c r="I21" s="187" t="s">
        <v>178</v>
      </c>
      <c r="J21" s="177">
        <v>472128</v>
      </c>
      <c r="K21" s="177">
        <v>1626360</v>
      </c>
      <c r="L21" s="178">
        <v>1405175200</v>
      </c>
    </row>
    <row r="22" spans="1:12" x14ac:dyDescent="0.4">
      <c r="A22" s="319"/>
      <c r="B22" s="187" t="s">
        <v>176</v>
      </c>
      <c r="C22" s="177">
        <v>495052</v>
      </c>
      <c r="D22" s="177">
        <v>2970312</v>
      </c>
      <c r="E22" s="178">
        <v>1249437525</v>
      </c>
      <c r="F22" s="183"/>
      <c r="G22" s="183"/>
      <c r="H22" s="319"/>
      <c r="I22" s="187" t="s">
        <v>176</v>
      </c>
      <c r="J22" s="177">
        <v>495052</v>
      </c>
      <c r="K22" s="177">
        <v>2851499</v>
      </c>
      <c r="L22" s="178">
        <v>1203586350</v>
      </c>
    </row>
    <row r="23" spans="1:12" x14ac:dyDescent="0.4">
      <c r="A23" s="319"/>
      <c r="B23" s="187" t="s">
        <v>181</v>
      </c>
      <c r="C23" s="177">
        <v>752287</v>
      </c>
      <c r="D23" s="177">
        <v>3159605</v>
      </c>
      <c r="E23" s="178">
        <v>1203366965</v>
      </c>
      <c r="F23" s="183"/>
      <c r="G23" s="183"/>
      <c r="H23" s="319"/>
      <c r="I23" s="187" t="s">
        <v>181</v>
      </c>
      <c r="J23" s="177">
        <v>752287</v>
      </c>
      <c r="K23" s="177">
        <v>3949506</v>
      </c>
      <c r="L23" s="178">
        <v>1128886176</v>
      </c>
    </row>
    <row r="24" spans="1:12" x14ac:dyDescent="0.4">
      <c r="A24" s="319"/>
      <c r="B24" s="187" t="s">
        <v>186</v>
      </c>
      <c r="C24" s="177">
        <v>575073</v>
      </c>
      <c r="D24" s="177">
        <v>4999999</v>
      </c>
      <c r="E24" s="178">
        <v>1177739713</v>
      </c>
      <c r="F24" s="183"/>
      <c r="G24" s="183"/>
      <c r="H24" s="319"/>
      <c r="I24" s="188" t="s">
        <v>236</v>
      </c>
      <c r="J24" s="177">
        <v>505556</v>
      </c>
      <c r="K24" s="177">
        <v>1516668</v>
      </c>
      <c r="L24" s="178">
        <v>1087584850</v>
      </c>
    </row>
    <row r="25" spans="1:12" x14ac:dyDescent="0.4">
      <c r="A25" s="319"/>
      <c r="B25" s="187" t="s">
        <v>182</v>
      </c>
      <c r="C25" s="177">
        <v>721689</v>
      </c>
      <c r="D25" s="177">
        <v>3428022</v>
      </c>
      <c r="E25" s="178">
        <v>1158143328</v>
      </c>
      <c r="F25" s="183"/>
      <c r="G25" s="183"/>
      <c r="H25" s="319"/>
      <c r="I25" s="187" t="s">
        <v>182</v>
      </c>
      <c r="J25" s="177">
        <v>721689</v>
      </c>
      <c r="K25" s="177">
        <v>4999999</v>
      </c>
      <c r="L25" s="178">
        <v>825037484</v>
      </c>
    </row>
    <row r="26" spans="1:12" x14ac:dyDescent="0.4">
      <c r="A26" s="319"/>
      <c r="B26" s="187" t="s">
        <v>180</v>
      </c>
      <c r="C26" s="177">
        <v>505556</v>
      </c>
      <c r="D26" s="177">
        <v>1516668</v>
      </c>
      <c r="E26" s="178">
        <v>1087584850</v>
      </c>
      <c r="F26" s="183"/>
      <c r="G26" s="183"/>
      <c r="H26" s="319"/>
      <c r="I26" s="187" t="s">
        <v>183</v>
      </c>
      <c r="J26" s="177">
        <v>680830</v>
      </c>
      <c r="K26" s="177">
        <v>3063735</v>
      </c>
      <c r="L26" s="178">
        <v>628286098</v>
      </c>
    </row>
    <row r="27" spans="1:12" x14ac:dyDescent="0.4">
      <c r="A27" s="319"/>
      <c r="B27" s="187" t="s">
        <v>183</v>
      </c>
      <c r="C27" s="177">
        <v>680830</v>
      </c>
      <c r="D27" s="177">
        <v>3063735</v>
      </c>
      <c r="E27" s="178">
        <v>628286098</v>
      </c>
      <c r="F27" s="183"/>
      <c r="G27" s="183"/>
      <c r="H27" s="319"/>
      <c r="I27" s="187" t="s">
        <v>184</v>
      </c>
      <c r="J27" s="177">
        <v>515536</v>
      </c>
      <c r="K27" s="177">
        <v>1211509</v>
      </c>
      <c r="L27" s="178">
        <v>554832979</v>
      </c>
    </row>
    <row r="28" spans="1:12" ht="18" thickBot="1" x14ac:dyDescent="0.45">
      <c r="A28" s="320"/>
      <c r="B28" s="190" t="s">
        <v>184</v>
      </c>
      <c r="C28" s="179">
        <v>515536</v>
      </c>
      <c r="D28" s="179">
        <v>1211509</v>
      </c>
      <c r="E28" s="180">
        <v>554832979</v>
      </c>
      <c r="F28" s="183"/>
      <c r="G28" s="183"/>
      <c r="H28" s="320"/>
      <c r="I28" s="190" t="s">
        <v>186</v>
      </c>
      <c r="J28" s="179">
        <v>575073</v>
      </c>
      <c r="K28" s="179">
        <v>4025511</v>
      </c>
      <c r="L28" s="180">
        <v>271168459</v>
      </c>
    </row>
    <row r="29" spans="1:12" x14ac:dyDescent="0.4">
      <c r="A29" s="181"/>
      <c r="B29" s="183"/>
      <c r="C29" s="183"/>
      <c r="D29" s="183"/>
      <c r="E29" s="183"/>
      <c r="F29" s="183"/>
      <c r="G29" s="183"/>
      <c r="H29" s="181"/>
    </row>
    <row r="30" spans="1:12" x14ac:dyDescent="0.4">
      <c r="A30" s="181"/>
      <c r="B30" s="183"/>
      <c r="C30" s="183"/>
      <c r="D30" s="183"/>
      <c r="E30" s="183"/>
      <c r="F30" s="183"/>
      <c r="G30" s="183"/>
      <c r="H30" s="181"/>
      <c r="I30" s="182"/>
      <c r="J30" s="182"/>
      <c r="K30" s="182"/>
      <c r="L30" s="182"/>
    </row>
    <row r="31" spans="1:12" x14ac:dyDescent="0.4">
      <c r="A31" s="181"/>
      <c r="B31" s="182"/>
      <c r="C31" s="182"/>
      <c r="D31" s="182"/>
      <c r="E31" s="182"/>
      <c r="F31" s="183"/>
      <c r="G31" s="183"/>
      <c r="H31" s="181"/>
    </row>
    <row r="32" spans="1:12" x14ac:dyDescent="0.4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</row>
    <row r="33" spans="1:12" ht="18" thickBot="1" x14ac:dyDescent="0.45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</row>
    <row r="34" spans="1:12" x14ac:dyDescent="0.4">
      <c r="A34" s="318" t="s">
        <v>234</v>
      </c>
      <c r="B34" s="322" t="s">
        <v>28</v>
      </c>
      <c r="C34" s="323"/>
      <c r="D34" s="323"/>
      <c r="E34" s="324"/>
      <c r="F34" s="183"/>
      <c r="G34" s="183"/>
      <c r="H34" s="318" t="s">
        <v>235</v>
      </c>
      <c r="I34" s="322" t="s">
        <v>28</v>
      </c>
      <c r="J34" s="323"/>
      <c r="K34" s="323"/>
      <c r="L34" s="324"/>
    </row>
    <row r="35" spans="1:12" x14ac:dyDescent="0.4">
      <c r="A35" s="319"/>
      <c r="B35" s="186" t="s">
        <v>230</v>
      </c>
      <c r="C35" s="185" t="s">
        <v>232</v>
      </c>
      <c r="D35" s="185" t="s">
        <v>233</v>
      </c>
      <c r="E35" s="189" t="s">
        <v>231</v>
      </c>
      <c r="F35" s="183"/>
      <c r="G35" s="183"/>
      <c r="H35" s="319"/>
      <c r="I35" s="186" t="s">
        <v>230</v>
      </c>
      <c r="J35" s="185" t="s">
        <v>232</v>
      </c>
      <c r="K35" s="185" t="s">
        <v>233</v>
      </c>
      <c r="L35" s="189" t="s">
        <v>231</v>
      </c>
    </row>
    <row r="36" spans="1:12" x14ac:dyDescent="0.4">
      <c r="A36" s="319"/>
      <c r="B36" s="187" t="s">
        <v>179</v>
      </c>
      <c r="C36" s="177"/>
      <c r="D36" s="177">
        <v>3888094</v>
      </c>
      <c r="E36" s="178">
        <v>1390567890</v>
      </c>
      <c r="F36" s="183"/>
      <c r="G36" s="183"/>
      <c r="H36" s="319"/>
      <c r="I36" s="187" t="s">
        <v>179</v>
      </c>
      <c r="J36" s="177"/>
      <c r="K36" s="177">
        <v>3888094</v>
      </c>
      <c r="L36" s="178">
        <v>1390567890</v>
      </c>
    </row>
    <row r="37" spans="1:12" x14ac:dyDescent="0.4">
      <c r="A37" s="319"/>
      <c r="B37" s="187" t="s">
        <v>177</v>
      </c>
      <c r="C37" s="177"/>
      <c r="D37" s="177">
        <v>4999999</v>
      </c>
      <c r="E37" s="178">
        <v>869999825</v>
      </c>
      <c r="F37" s="183"/>
      <c r="G37" s="183"/>
      <c r="H37" s="319"/>
      <c r="I37" s="187" t="s">
        <v>177</v>
      </c>
      <c r="J37" s="177"/>
      <c r="K37" s="177">
        <v>4999999</v>
      </c>
      <c r="L37" s="178">
        <v>869999825</v>
      </c>
    </row>
    <row r="38" spans="1:12" ht="18" thickBot="1" x14ac:dyDescent="0.45">
      <c r="A38" s="320"/>
      <c r="B38" s="190" t="s">
        <v>185</v>
      </c>
      <c r="C38" s="179"/>
      <c r="D38" s="179">
        <v>2586296</v>
      </c>
      <c r="E38" s="180">
        <v>434810961</v>
      </c>
      <c r="F38" s="183"/>
      <c r="G38" s="183"/>
      <c r="H38" s="320"/>
      <c r="I38" s="190" t="s">
        <v>185</v>
      </c>
      <c r="J38" s="179"/>
      <c r="K38" s="179">
        <v>2586296</v>
      </c>
      <c r="L38" s="180">
        <v>434810961</v>
      </c>
    </row>
    <row r="39" spans="1:12" x14ac:dyDescent="0.4">
      <c r="A39" s="181"/>
      <c r="F39" s="183"/>
      <c r="G39" s="183"/>
      <c r="H39" s="181"/>
    </row>
    <row r="40" spans="1:12" x14ac:dyDescent="0.4">
      <c r="A40" s="181"/>
      <c r="F40" s="183"/>
      <c r="G40" s="183"/>
      <c r="H40" s="181"/>
    </row>
    <row r="41" spans="1:12" x14ac:dyDescent="0.4">
      <c r="A41" s="181"/>
      <c r="B41" s="182"/>
      <c r="C41" s="182"/>
      <c r="D41" s="182"/>
      <c r="E41" s="182"/>
      <c r="F41" s="183"/>
      <c r="G41" s="183"/>
      <c r="H41" s="181"/>
      <c r="I41" s="184"/>
      <c r="J41" s="182"/>
      <c r="K41" s="182"/>
      <c r="L41" s="182"/>
    </row>
    <row r="42" spans="1:12" x14ac:dyDescent="0.4">
      <c r="A42" s="181"/>
      <c r="B42" s="182"/>
      <c r="C42" s="182"/>
      <c r="D42" s="182"/>
      <c r="E42" s="182"/>
      <c r="F42" s="183"/>
      <c r="G42" s="183"/>
      <c r="H42" s="181"/>
    </row>
    <row r="43" spans="1:12" x14ac:dyDescent="0.4">
      <c r="A43" s="181"/>
      <c r="B43" s="182"/>
      <c r="C43" s="182"/>
      <c r="D43" s="182"/>
      <c r="E43" s="182"/>
      <c r="F43" s="183"/>
      <c r="G43" s="183"/>
      <c r="H43" s="181"/>
    </row>
    <row r="44" spans="1:12" x14ac:dyDescent="0.4">
      <c r="A44" s="181"/>
      <c r="F44" s="183"/>
      <c r="G44" s="183"/>
      <c r="H44" s="181"/>
      <c r="I44" s="182"/>
      <c r="J44" s="182"/>
      <c r="K44" s="182"/>
      <c r="L44" s="182"/>
    </row>
    <row r="45" spans="1:12" x14ac:dyDescent="0.4">
      <c r="A45" s="181"/>
      <c r="F45" s="183"/>
      <c r="G45" s="183"/>
      <c r="H45" s="181"/>
      <c r="I45" s="182"/>
      <c r="J45" s="182"/>
      <c r="K45" s="182"/>
      <c r="L45" s="182"/>
    </row>
    <row r="46" spans="1:12" x14ac:dyDescent="0.4">
      <c r="A46" s="181"/>
      <c r="B46" s="182"/>
      <c r="C46" s="182"/>
      <c r="D46" s="182"/>
      <c r="E46" s="182"/>
      <c r="F46" s="183"/>
      <c r="G46" s="183"/>
      <c r="H46" s="181"/>
    </row>
    <row r="47" spans="1:12" x14ac:dyDescent="0.4">
      <c r="A47" s="181"/>
      <c r="F47" s="183"/>
      <c r="G47" s="183"/>
      <c r="H47" s="181"/>
      <c r="I47" s="182"/>
      <c r="J47" s="182"/>
      <c r="K47" s="182"/>
      <c r="L47" s="182"/>
    </row>
    <row r="48" spans="1:12" x14ac:dyDescent="0.4">
      <c r="A48" s="183"/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</row>
  </sheetData>
  <mergeCells count="9">
    <mergeCell ref="A18:A28"/>
    <mergeCell ref="H18:H28"/>
    <mergeCell ref="A34:A38"/>
    <mergeCell ref="H34:H38"/>
    <mergeCell ref="J4:K4"/>
    <mergeCell ref="B18:E18"/>
    <mergeCell ref="I18:L18"/>
    <mergeCell ref="B34:E34"/>
    <mergeCell ref="I34:L34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CA08-BBC1-44FB-86EB-82950C6E4733}">
  <dimension ref="A2:S57"/>
  <sheetViews>
    <sheetView topLeftCell="A14" workbookViewId="0">
      <selection activeCell="J21" sqref="J21"/>
    </sheetView>
  </sheetViews>
  <sheetFormatPr defaultRowHeight="17.399999999999999" x14ac:dyDescent="0.4"/>
  <cols>
    <col min="1" max="1" width="9.8984375" bestFit="1" customWidth="1"/>
    <col min="11" max="11" width="14.296875" customWidth="1"/>
    <col min="19" max="19" width="10.69921875" customWidth="1"/>
  </cols>
  <sheetData>
    <row r="2" spans="1:18" ht="18" thickBot="1" x14ac:dyDescent="0.45"/>
    <row r="3" spans="1:18" x14ac:dyDescent="0.4">
      <c r="B3" s="193"/>
      <c r="C3" s="193"/>
      <c r="D3" s="284" t="s">
        <v>242</v>
      </c>
      <c r="E3" s="285"/>
      <c r="F3" s="285"/>
      <c r="G3" s="285" t="s">
        <v>243</v>
      </c>
      <c r="H3" s="285"/>
      <c r="I3" s="286"/>
      <c r="K3" s="284" t="s">
        <v>242</v>
      </c>
      <c r="L3" s="285"/>
      <c r="M3" s="285"/>
      <c r="N3" s="285"/>
      <c r="O3" s="285" t="s">
        <v>243</v>
      </c>
      <c r="P3" s="285"/>
      <c r="Q3" s="285"/>
      <c r="R3" s="286"/>
    </row>
    <row r="4" spans="1:18" ht="18" thickBot="1" x14ac:dyDescent="0.45">
      <c r="B4" s="193"/>
      <c r="C4" s="193"/>
      <c r="D4" s="194" t="s">
        <v>239</v>
      </c>
      <c r="E4" s="195" t="s">
        <v>240</v>
      </c>
      <c r="F4" s="195" t="s">
        <v>241</v>
      </c>
      <c r="G4" s="195" t="s">
        <v>239</v>
      </c>
      <c r="H4" s="195" t="s">
        <v>240</v>
      </c>
      <c r="I4" s="196" t="s">
        <v>245</v>
      </c>
      <c r="K4" s="194" t="s">
        <v>75</v>
      </c>
      <c r="L4" s="195" t="s">
        <v>109</v>
      </c>
      <c r="M4" s="199" t="s">
        <v>111</v>
      </c>
      <c r="N4" s="195" t="s">
        <v>73</v>
      </c>
      <c r="O4" s="195" t="s">
        <v>75</v>
      </c>
      <c r="P4" s="195" t="s">
        <v>109</v>
      </c>
      <c r="Q4" s="199" t="s">
        <v>111</v>
      </c>
      <c r="R4" s="196" t="s">
        <v>56</v>
      </c>
    </row>
    <row r="5" spans="1:18" x14ac:dyDescent="0.4">
      <c r="B5" s="121" t="s">
        <v>244</v>
      </c>
      <c r="C5" s="122" t="s">
        <v>237</v>
      </c>
      <c r="D5" s="194">
        <v>40</v>
      </c>
      <c r="E5" s="195">
        <v>0</v>
      </c>
      <c r="F5" s="195">
        <v>40</v>
      </c>
      <c r="G5" s="195">
        <v>40</v>
      </c>
      <c r="H5" s="195">
        <v>0</v>
      </c>
      <c r="I5" s="196">
        <v>55</v>
      </c>
      <c r="K5" s="194" t="s">
        <v>258</v>
      </c>
      <c r="L5" s="195">
        <v>50</v>
      </c>
      <c r="M5" s="195">
        <v>50</v>
      </c>
      <c r="N5" s="195">
        <v>45</v>
      </c>
      <c r="O5" s="195" t="s">
        <v>258</v>
      </c>
      <c r="P5" s="195">
        <v>90</v>
      </c>
      <c r="Q5" s="195">
        <v>60</v>
      </c>
      <c r="R5" s="196">
        <v>30</v>
      </c>
    </row>
    <row r="6" spans="1:18" x14ac:dyDescent="0.4">
      <c r="B6" s="194" t="s">
        <v>246</v>
      </c>
      <c r="C6" s="196" t="s">
        <v>238</v>
      </c>
      <c r="D6" s="194">
        <v>10</v>
      </c>
      <c r="E6" s="195">
        <v>0</v>
      </c>
      <c r="F6" s="195">
        <v>29</v>
      </c>
      <c r="G6" s="195">
        <v>35</v>
      </c>
      <c r="H6" s="195">
        <v>0</v>
      </c>
      <c r="I6" s="196">
        <v>15</v>
      </c>
      <c r="K6" s="194" t="s">
        <v>259</v>
      </c>
      <c r="L6" s="195">
        <v>30</v>
      </c>
      <c r="M6" s="195">
        <v>30</v>
      </c>
      <c r="N6" s="195">
        <v>30</v>
      </c>
      <c r="O6" s="195" t="s">
        <v>259</v>
      </c>
      <c r="P6" s="195">
        <v>50</v>
      </c>
      <c r="Q6" s="195">
        <v>30</v>
      </c>
      <c r="R6" s="196">
        <v>20</v>
      </c>
    </row>
    <row r="7" spans="1:18" x14ac:dyDescent="0.4">
      <c r="B7" s="194" t="s">
        <v>246</v>
      </c>
      <c r="C7" s="196" t="s">
        <v>238</v>
      </c>
      <c r="D7" s="194">
        <v>10</v>
      </c>
      <c r="E7" s="195">
        <v>0</v>
      </c>
      <c r="F7" s="195">
        <v>29</v>
      </c>
      <c r="G7" s="195">
        <v>35</v>
      </c>
      <c r="H7" s="195">
        <v>0</v>
      </c>
      <c r="I7" s="196">
        <v>15</v>
      </c>
      <c r="K7" s="194" t="s">
        <v>260</v>
      </c>
      <c r="L7" s="195">
        <v>30</v>
      </c>
      <c r="M7" s="195">
        <v>30</v>
      </c>
      <c r="N7" s="195">
        <v>30</v>
      </c>
      <c r="O7" s="195" t="s">
        <v>260</v>
      </c>
      <c r="P7" s="195">
        <v>50</v>
      </c>
      <c r="Q7" s="195">
        <v>30</v>
      </c>
      <c r="R7" s="196">
        <v>20</v>
      </c>
    </row>
    <row r="8" spans="1:18" x14ac:dyDescent="0.4">
      <c r="B8" s="194" t="s">
        <v>246</v>
      </c>
      <c r="C8" s="196" t="s">
        <v>238</v>
      </c>
      <c r="D8" s="194">
        <v>10</v>
      </c>
      <c r="E8" s="195">
        <v>0</v>
      </c>
      <c r="F8" s="195">
        <v>29</v>
      </c>
      <c r="G8" s="195">
        <v>35</v>
      </c>
      <c r="H8" s="195">
        <v>0</v>
      </c>
      <c r="I8" s="196">
        <v>15</v>
      </c>
      <c r="K8" s="194" t="s">
        <v>261</v>
      </c>
      <c r="L8" s="195">
        <v>30</v>
      </c>
      <c r="M8" s="195">
        <v>30</v>
      </c>
      <c r="N8" s="195">
        <v>39</v>
      </c>
      <c r="O8" s="195" t="s">
        <v>261</v>
      </c>
      <c r="P8" s="195">
        <v>67</v>
      </c>
      <c r="Q8" s="195">
        <v>40</v>
      </c>
      <c r="R8" s="196">
        <v>24</v>
      </c>
    </row>
    <row r="9" spans="1:18" x14ac:dyDescent="0.4">
      <c r="B9" s="194" t="s">
        <v>246</v>
      </c>
      <c r="C9" s="196" t="s">
        <v>238</v>
      </c>
      <c r="D9" s="194">
        <v>10</v>
      </c>
      <c r="E9" s="195">
        <v>0</v>
      </c>
      <c r="F9" s="195">
        <v>29</v>
      </c>
      <c r="G9" s="195">
        <v>35</v>
      </c>
      <c r="H9" s="195">
        <v>0</v>
      </c>
      <c r="I9" s="196">
        <v>15</v>
      </c>
      <c r="K9" s="194" t="s">
        <v>262</v>
      </c>
      <c r="L9" s="195">
        <v>30</v>
      </c>
      <c r="M9" s="195">
        <v>30</v>
      </c>
      <c r="N9" s="195">
        <v>39</v>
      </c>
      <c r="O9" s="195" t="s">
        <v>262</v>
      </c>
      <c r="P9" s="195">
        <v>67</v>
      </c>
      <c r="Q9" s="195">
        <v>40</v>
      </c>
      <c r="R9" s="196">
        <v>24</v>
      </c>
    </row>
    <row r="10" spans="1:18" ht="18" thickBot="1" x14ac:dyDescent="0.45">
      <c r="A10" s="247" t="s">
        <v>284</v>
      </c>
      <c r="B10" s="194" t="s">
        <v>253</v>
      </c>
      <c r="C10" s="196" t="s">
        <v>252</v>
      </c>
      <c r="D10" s="194">
        <v>25</v>
      </c>
      <c r="E10" s="195">
        <v>25</v>
      </c>
      <c r="F10" s="195">
        <v>22</v>
      </c>
      <c r="G10" s="195">
        <v>55</v>
      </c>
      <c r="H10" s="195">
        <v>25</v>
      </c>
      <c r="I10" s="196">
        <v>5</v>
      </c>
      <c r="K10" s="197" t="s">
        <v>263</v>
      </c>
      <c r="L10" s="242">
        <v>30</v>
      </c>
      <c r="M10" s="242">
        <v>30</v>
      </c>
      <c r="N10" s="242">
        <v>39</v>
      </c>
      <c r="O10" s="242" t="s">
        <v>263</v>
      </c>
      <c r="P10" s="242">
        <v>67</v>
      </c>
      <c r="Q10" s="242">
        <v>40</v>
      </c>
      <c r="R10" s="198">
        <v>24</v>
      </c>
    </row>
    <row r="11" spans="1:18" ht="18" thickBot="1" x14ac:dyDescent="0.45">
      <c r="A11" t="s">
        <v>285</v>
      </c>
      <c r="B11" s="194" t="s">
        <v>250</v>
      </c>
      <c r="C11" s="196" t="s">
        <v>247</v>
      </c>
      <c r="D11" s="194">
        <v>7</v>
      </c>
      <c r="E11" s="195">
        <v>7</v>
      </c>
      <c r="F11" s="195">
        <v>25</v>
      </c>
      <c r="G11" s="195">
        <v>42</v>
      </c>
      <c r="H11" s="195">
        <v>7</v>
      </c>
      <c r="I11" s="196">
        <v>1</v>
      </c>
    </row>
    <row r="12" spans="1:18" x14ac:dyDescent="0.4">
      <c r="A12" t="s">
        <v>285</v>
      </c>
      <c r="B12" s="194" t="s">
        <v>249</v>
      </c>
      <c r="C12" s="196" t="s">
        <v>248</v>
      </c>
      <c r="D12" s="194">
        <v>10</v>
      </c>
      <c r="E12" s="195">
        <v>10</v>
      </c>
      <c r="F12" s="195">
        <v>35</v>
      </c>
      <c r="G12" s="195">
        <v>45</v>
      </c>
      <c r="H12" s="195">
        <v>10</v>
      </c>
      <c r="I12" s="196">
        <v>10</v>
      </c>
      <c r="K12" s="243" t="s">
        <v>283</v>
      </c>
      <c r="L12" s="244">
        <v>0</v>
      </c>
      <c r="M12" s="244">
        <v>0</v>
      </c>
      <c r="N12" s="244">
        <v>27</v>
      </c>
      <c r="O12" s="236"/>
      <c r="P12" s="244">
        <v>0</v>
      </c>
      <c r="Q12" s="244">
        <v>0</v>
      </c>
      <c r="R12" s="245">
        <v>47</v>
      </c>
    </row>
    <row r="13" spans="1:18" x14ac:dyDescent="0.4">
      <c r="A13" t="s">
        <v>286</v>
      </c>
      <c r="B13" s="194" t="s">
        <v>254</v>
      </c>
      <c r="C13" s="196" t="s">
        <v>251</v>
      </c>
      <c r="D13" s="194">
        <v>22</v>
      </c>
      <c r="E13" s="195">
        <v>22</v>
      </c>
      <c r="F13" s="195">
        <v>22</v>
      </c>
      <c r="G13" s="195">
        <v>43</v>
      </c>
      <c r="H13" s="195">
        <v>22</v>
      </c>
      <c r="I13" s="196">
        <v>12</v>
      </c>
      <c r="K13" s="241" t="s">
        <v>279</v>
      </c>
      <c r="L13" s="199">
        <v>0</v>
      </c>
      <c r="M13" s="199">
        <v>0</v>
      </c>
      <c r="N13" s="195">
        <f>16*4</f>
        <v>64</v>
      </c>
      <c r="O13" s="195"/>
      <c r="P13" s="199">
        <v>0</v>
      </c>
      <c r="Q13" s="199">
        <v>0</v>
      </c>
      <c r="R13" s="196">
        <f>31*4</f>
        <v>124</v>
      </c>
    </row>
    <row r="14" spans="1:18" ht="18" thickBot="1" x14ac:dyDescent="0.45">
      <c r="B14" s="197" t="s">
        <v>256</v>
      </c>
      <c r="C14" s="198" t="s">
        <v>255</v>
      </c>
      <c r="D14" s="246">
        <v>25</v>
      </c>
      <c r="E14" s="200">
        <v>25</v>
      </c>
      <c r="F14" s="200">
        <v>30</v>
      </c>
      <c r="G14" s="200">
        <v>25</v>
      </c>
      <c r="H14" s="242">
        <v>25</v>
      </c>
      <c r="I14" s="201">
        <v>30</v>
      </c>
      <c r="K14" s="197" t="s">
        <v>281</v>
      </c>
      <c r="L14" s="242">
        <v>0</v>
      </c>
      <c r="M14" s="242">
        <v>0</v>
      </c>
      <c r="N14" s="200">
        <v>200</v>
      </c>
      <c r="O14" s="242"/>
      <c r="P14" s="242">
        <v>0</v>
      </c>
      <c r="Q14" s="242">
        <v>0</v>
      </c>
      <c r="R14" s="198">
        <v>400</v>
      </c>
    </row>
    <row r="15" spans="1:18" s="203" customFormat="1" x14ac:dyDescent="0.4">
      <c r="B15" s="204"/>
      <c r="C15" s="223" t="s">
        <v>257</v>
      </c>
      <c r="D15" s="204">
        <f>SUM(D5:D14)</f>
        <v>169</v>
      </c>
      <c r="E15" s="204">
        <f t="shared" ref="E15:I15" si="0">SUM(E5:E14)</f>
        <v>89</v>
      </c>
      <c r="F15" s="204">
        <f t="shared" si="0"/>
        <v>290</v>
      </c>
      <c r="G15" s="204">
        <f t="shared" si="0"/>
        <v>390</v>
      </c>
      <c r="H15" s="204">
        <f t="shared" si="0"/>
        <v>89</v>
      </c>
      <c r="I15" s="204">
        <f t="shared" si="0"/>
        <v>173</v>
      </c>
      <c r="K15" s="204"/>
      <c r="L15" s="204">
        <f>SUM(L5:L14)</f>
        <v>200</v>
      </c>
      <c r="M15" s="204">
        <f>SUM(M5:M14)</f>
        <v>200</v>
      </c>
      <c r="N15" s="204">
        <f>SUM(N5:N14)</f>
        <v>513</v>
      </c>
      <c r="O15" s="204"/>
      <c r="P15" s="204">
        <f>SUM(P5:P14)</f>
        <v>391</v>
      </c>
      <c r="Q15" s="204">
        <f>SUM(Q5:Q14)</f>
        <v>240</v>
      </c>
      <c r="R15" s="204">
        <f>SUM(R5:R14)</f>
        <v>713</v>
      </c>
    </row>
    <row r="17" spans="2:19" x14ac:dyDescent="0.4">
      <c r="L17" s="1"/>
      <c r="M17" s="1"/>
      <c r="N17" s="1"/>
      <c r="O17" s="1"/>
      <c r="P17" s="1"/>
      <c r="Q17" s="1"/>
      <c r="R17" s="1"/>
      <c r="S17" s="1"/>
    </row>
    <row r="18" spans="2:19" x14ac:dyDescent="0.4">
      <c r="C18" s="83" t="s">
        <v>264</v>
      </c>
      <c r="D18" s="83"/>
      <c r="E18" s="83"/>
      <c r="F18" s="83"/>
      <c r="L18" s="98"/>
      <c r="M18" s="98"/>
      <c r="N18" s="207"/>
      <c r="O18" s="1"/>
      <c r="P18" s="98"/>
      <c r="Q18" s="98"/>
      <c r="R18" s="207"/>
      <c r="S18" s="1"/>
    </row>
    <row r="19" spans="2:19" x14ac:dyDescent="0.4">
      <c r="C19" s="325" t="s">
        <v>242</v>
      </c>
      <c r="D19" s="50" t="s">
        <v>239</v>
      </c>
      <c r="E19" s="50" t="s">
        <v>265</v>
      </c>
      <c r="F19" s="50" t="s">
        <v>241</v>
      </c>
      <c r="L19" s="98"/>
      <c r="M19" s="98"/>
      <c r="N19" s="98"/>
      <c r="O19" s="1"/>
      <c r="P19" s="98"/>
      <c r="Q19" s="98"/>
      <c r="R19" s="98"/>
      <c r="S19" s="1"/>
    </row>
    <row r="20" spans="2:19" x14ac:dyDescent="0.4">
      <c r="C20" s="326"/>
      <c r="D20" s="50">
        <f>D15+L15</f>
        <v>369</v>
      </c>
      <c r="E20" s="50">
        <f t="shared" ref="E20:F20" si="1">E15+M15</f>
        <v>289</v>
      </c>
      <c r="F20" s="50">
        <f t="shared" si="1"/>
        <v>803</v>
      </c>
      <c r="L20" s="98"/>
      <c r="M20" s="98"/>
      <c r="N20" s="98"/>
      <c r="O20" s="1"/>
      <c r="P20" s="98"/>
      <c r="Q20" s="98"/>
      <c r="R20" s="98"/>
      <c r="S20" s="1"/>
    </row>
    <row r="21" spans="2:19" x14ac:dyDescent="0.4">
      <c r="C21" s="325" t="s">
        <v>243</v>
      </c>
      <c r="D21" s="50" t="s">
        <v>239</v>
      </c>
      <c r="E21" s="50" t="s">
        <v>265</v>
      </c>
      <c r="F21" s="50" t="s">
        <v>245</v>
      </c>
      <c r="L21" s="98"/>
      <c r="M21" s="98"/>
      <c r="N21" s="98"/>
      <c r="O21" s="1"/>
      <c r="P21" s="98"/>
      <c r="Q21" s="98"/>
      <c r="R21" s="98"/>
      <c r="S21" s="1"/>
    </row>
    <row r="22" spans="2:19" x14ac:dyDescent="0.4">
      <c r="C22" s="326"/>
      <c r="D22" s="50">
        <f>G15+P15</f>
        <v>781</v>
      </c>
      <c r="E22" s="50">
        <f t="shared" ref="E22:F22" si="2">H15+Q15</f>
        <v>329</v>
      </c>
      <c r="F22" s="50">
        <f t="shared" si="2"/>
        <v>886</v>
      </c>
      <c r="L22" s="98"/>
      <c r="M22" s="98"/>
      <c r="N22" s="98"/>
      <c r="O22" s="1"/>
      <c r="P22" s="98"/>
      <c r="Q22" s="98"/>
      <c r="R22" s="98"/>
      <c r="S22" s="1"/>
    </row>
    <row r="23" spans="2:19" ht="18" thickBot="1" x14ac:dyDescent="0.45">
      <c r="H23" s="206">
        <v>0.6</v>
      </c>
      <c r="I23">
        <v>7</v>
      </c>
      <c r="K23" t="s">
        <v>266</v>
      </c>
      <c r="L23" s="98"/>
      <c r="M23" t="s">
        <v>272</v>
      </c>
      <c r="Q23" s="98" t="s">
        <v>270</v>
      </c>
      <c r="R23" s="98"/>
      <c r="S23" s="1"/>
    </row>
    <row r="24" spans="2:19" x14ac:dyDescent="0.4">
      <c r="B24" s="114"/>
      <c r="C24" s="120"/>
      <c r="D24" s="120" t="s">
        <v>239</v>
      </c>
      <c r="E24" s="120" t="s">
        <v>240</v>
      </c>
      <c r="F24" s="123" t="s">
        <v>268</v>
      </c>
      <c r="G24" s="191" t="s">
        <v>269</v>
      </c>
      <c r="H24" s="114" t="s">
        <v>239</v>
      </c>
      <c r="I24" s="120" t="s">
        <v>240</v>
      </c>
      <c r="J24" s="113" t="s">
        <v>268</v>
      </c>
      <c r="K24" s="220" t="s">
        <v>268</v>
      </c>
      <c r="L24" s="98"/>
      <c r="M24" s="210" t="s">
        <v>239</v>
      </c>
      <c r="N24" s="211" t="s">
        <v>240</v>
      </c>
      <c r="O24" s="212" t="s">
        <v>268</v>
      </c>
      <c r="Q24" s="68" t="s">
        <v>239</v>
      </c>
      <c r="R24" s="202" t="s">
        <v>265</v>
      </c>
      <c r="S24" s="209" t="s">
        <v>271</v>
      </c>
    </row>
    <row r="25" spans="2:19" x14ac:dyDescent="0.4">
      <c r="B25" s="115" t="s">
        <v>1</v>
      </c>
      <c r="C25" s="117" t="s">
        <v>88</v>
      </c>
      <c r="D25" s="117">
        <v>60</v>
      </c>
      <c r="E25" s="117">
        <v>60</v>
      </c>
      <c r="F25" s="23">
        <v>205</v>
      </c>
      <c r="G25" s="191"/>
      <c r="H25" s="115">
        <f>D25+1*$I$23</f>
        <v>67</v>
      </c>
      <c r="I25" s="117">
        <f>E25</f>
        <v>60</v>
      </c>
      <c r="J25" s="46">
        <f>F25+2*$I$23</f>
        <v>219</v>
      </c>
      <c r="K25" s="221">
        <f>J25+60</f>
        <v>279</v>
      </c>
      <c r="L25" s="1"/>
      <c r="M25" s="26">
        <v>0</v>
      </c>
      <c r="N25" s="3">
        <v>0</v>
      </c>
      <c r="O25" s="14">
        <v>0</v>
      </c>
      <c r="Q25" s="26">
        <f>$D$20+$H25+M25</f>
        <v>436</v>
      </c>
      <c r="R25" s="3">
        <f>$E$20+$I25</f>
        <v>349</v>
      </c>
      <c r="S25" s="14">
        <f>$F$20+$K25</f>
        <v>1082</v>
      </c>
    </row>
    <row r="26" spans="2:19" x14ac:dyDescent="0.4">
      <c r="B26" s="115" t="s">
        <v>85</v>
      </c>
      <c r="C26" s="117" t="s">
        <v>89</v>
      </c>
      <c r="D26" s="117">
        <v>60</v>
      </c>
      <c r="E26" s="117">
        <v>60</v>
      </c>
      <c r="F26" s="23">
        <v>205</v>
      </c>
      <c r="G26" s="191"/>
      <c r="H26" s="115">
        <f t="shared" ref="H26:H28" si="3">D26+1*$I$23</f>
        <v>67</v>
      </c>
      <c r="I26" s="117">
        <f t="shared" ref="I26:I28" si="4">E26</f>
        <v>60</v>
      </c>
      <c r="J26" s="46">
        <f t="shared" ref="J26:J28" si="5">F26+2*$I$23</f>
        <v>219</v>
      </c>
      <c r="K26" s="221">
        <f t="shared" ref="K26:K29" si="6">J26+60</f>
        <v>279</v>
      </c>
      <c r="L26" s="1"/>
      <c r="M26" s="26">
        <v>0</v>
      </c>
      <c r="N26" s="3">
        <v>0</v>
      </c>
      <c r="O26" s="14">
        <v>0</v>
      </c>
      <c r="Q26" s="26">
        <f t="shared" ref="Q26:Q28" si="7">$D$20+$H26+M26</f>
        <v>436</v>
      </c>
      <c r="R26" s="3">
        <f t="shared" ref="R26:R29" si="8">$E$20+$I26</f>
        <v>349</v>
      </c>
      <c r="S26" s="14">
        <f t="shared" ref="S26:S29" si="9">$F$20+$K26</f>
        <v>1082</v>
      </c>
    </row>
    <row r="27" spans="2:19" x14ac:dyDescent="0.4">
      <c r="B27" s="115" t="s">
        <v>3</v>
      </c>
      <c r="C27" s="117" t="s">
        <v>90</v>
      </c>
      <c r="D27" s="117">
        <v>60</v>
      </c>
      <c r="E27" s="117">
        <v>60</v>
      </c>
      <c r="F27" s="23">
        <v>197</v>
      </c>
      <c r="G27" s="191"/>
      <c r="H27" s="115">
        <f t="shared" si="3"/>
        <v>67</v>
      </c>
      <c r="I27" s="117">
        <f t="shared" si="4"/>
        <v>60</v>
      </c>
      <c r="J27" s="46">
        <f t="shared" si="5"/>
        <v>211</v>
      </c>
      <c r="K27" s="221">
        <f t="shared" si="6"/>
        <v>271</v>
      </c>
      <c r="L27" s="1"/>
      <c r="M27" s="213">
        <v>0</v>
      </c>
      <c r="N27" s="203">
        <v>0</v>
      </c>
      <c r="O27" s="214">
        <v>27</v>
      </c>
      <c r="Q27" s="26">
        <f t="shared" si="7"/>
        <v>436</v>
      </c>
      <c r="R27" s="3">
        <f t="shared" si="8"/>
        <v>349</v>
      </c>
      <c r="S27" s="14">
        <f t="shared" si="9"/>
        <v>1074</v>
      </c>
    </row>
    <row r="28" spans="2:19" x14ac:dyDescent="0.4">
      <c r="B28" s="115" t="s">
        <v>86</v>
      </c>
      <c r="C28" s="117" t="s">
        <v>91</v>
      </c>
      <c r="D28" s="117">
        <v>60</v>
      </c>
      <c r="E28" s="117">
        <v>60</v>
      </c>
      <c r="F28" s="23">
        <v>103</v>
      </c>
      <c r="G28" s="191"/>
      <c r="H28" s="115">
        <f t="shared" si="3"/>
        <v>67</v>
      </c>
      <c r="I28" s="117">
        <f t="shared" si="4"/>
        <v>60</v>
      </c>
      <c r="J28" s="46">
        <f t="shared" si="5"/>
        <v>117</v>
      </c>
      <c r="K28" s="221">
        <f t="shared" si="6"/>
        <v>177</v>
      </c>
      <c r="M28" s="213">
        <v>0</v>
      </c>
      <c r="N28" s="203">
        <v>0</v>
      </c>
      <c r="O28" s="214">
        <v>42</v>
      </c>
      <c r="Q28" s="26">
        <f t="shared" si="7"/>
        <v>436</v>
      </c>
      <c r="R28" s="3">
        <f t="shared" si="8"/>
        <v>349</v>
      </c>
      <c r="S28" s="14">
        <f t="shared" si="9"/>
        <v>980</v>
      </c>
    </row>
    <row r="29" spans="2:19" x14ac:dyDescent="0.4">
      <c r="B29" s="115" t="s">
        <v>87</v>
      </c>
      <c r="C29" s="117" t="s">
        <v>92</v>
      </c>
      <c r="D29" s="117">
        <v>60</v>
      </c>
      <c r="E29" s="117">
        <v>60</v>
      </c>
      <c r="F29" s="23">
        <v>192</v>
      </c>
      <c r="G29" s="191"/>
      <c r="H29" s="115">
        <f>D29+1*$I$23</f>
        <v>67</v>
      </c>
      <c r="I29" s="117">
        <f>E29</f>
        <v>60</v>
      </c>
      <c r="J29" s="46">
        <f>F29+2*$I$23</f>
        <v>206</v>
      </c>
      <c r="K29" s="221">
        <f t="shared" si="6"/>
        <v>266</v>
      </c>
      <c r="M29" s="213">
        <v>0</v>
      </c>
      <c r="N29" s="203">
        <v>0</v>
      </c>
      <c r="O29" s="214">
        <v>27</v>
      </c>
      <c r="Q29" s="26">
        <f>$D$20+$H29+M29</f>
        <v>436</v>
      </c>
      <c r="R29" s="3">
        <f t="shared" si="8"/>
        <v>349</v>
      </c>
      <c r="S29" s="14">
        <f t="shared" si="9"/>
        <v>1069</v>
      </c>
    </row>
    <row r="30" spans="2:19" x14ac:dyDescent="0.4">
      <c r="B30" s="205" t="s">
        <v>32</v>
      </c>
      <c r="C30" s="61" t="s">
        <v>267</v>
      </c>
      <c r="D30" s="117">
        <v>60</v>
      </c>
      <c r="E30" s="117">
        <v>60</v>
      </c>
      <c r="F30" s="23">
        <v>245</v>
      </c>
      <c r="G30" s="191"/>
      <c r="H30" s="115">
        <f t="shared" ref="H30:H32" si="10">D30+1*$I$23</f>
        <v>67</v>
      </c>
      <c r="I30" s="117">
        <f t="shared" ref="I30:I32" si="11">E30</f>
        <v>60</v>
      </c>
      <c r="J30" s="46">
        <f t="shared" ref="J30:J32" si="12">F30+2*$I$23</f>
        <v>259</v>
      </c>
      <c r="K30" s="221">
        <v>379</v>
      </c>
      <c r="M30" s="213">
        <v>32</v>
      </c>
      <c r="N30" s="203">
        <v>0</v>
      </c>
      <c r="O30" s="214">
        <v>14</v>
      </c>
      <c r="Q30" s="218">
        <f>$D$22+$H30+M30</f>
        <v>880</v>
      </c>
      <c r="R30" s="59">
        <f>$E$22+$I30</f>
        <v>389</v>
      </c>
      <c r="S30" s="219">
        <f>$F$22+$K30+O30</f>
        <v>1279</v>
      </c>
    </row>
    <row r="31" spans="2:19" x14ac:dyDescent="0.4">
      <c r="B31" s="205" t="s">
        <v>33</v>
      </c>
      <c r="C31" s="61" t="s">
        <v>267</v>
      </c>
      <c r="D31" s="117">
        <v>60</v>
      </c>
      <c r="E31" s="117">
        <v>60</v>
      </c>
      <c r="F31" s="23">
        <v>245</v>
      </c>
      <c r="G31" s="191"/>
      <c r="H31" s="115">
        <f t="shared" si="10"/>
        <v>67</v>
      </c>
      <c r="I31" s="117">
        <f t="shared" si="11"/>
        <v>60</v>
      </c>
      <c r="J31" s="46">
        <f t="shared" si="12"/>
        <v>259</v>
      </c>
      <c r="K31" s="221">
        <v>379</v>
      </c>
      <c r="M31" s="213">
        <v>32</v>
      </c>
      <c r="N31" s="203">
        <v>0</v>
      </c>
      <c r="O31" s="214">
        <v>14</v>
      </c>
      <c r="Q31" s="218">
        <f t="shared" ref="Q31:Q32" si="13">$D$22+$H31+M31</f>
        <v>880</v>
      </c>
      <c r="R31" s="59">
        <f t="shared" ref="R31:R32" si="14">$E$22+$I31</f>
        <v>389</v>
      </c>
      <c r="S31" s="219">
        <f t="shared" ref="S31:S32" si="15">$F$22+$K31+O31</f>
        <v>1279</v>
      </c>
    </row>
    <row r="32" spans="2:19" x14ac:dyDescent="0.4">
      <c r="B32" s="205" t="s">
        <v>48</v>
      </c>
      <c r="C32" s="61" t="s">
        <v>267</v>
      </c>
      <c r="D32" s="117">
        <v>60</v>
      </c>
      <c r="E32" s="117">
        <v>60</v>
      </c>
      <c r="F32" s="23">
        <v>245</v>
      </c>
      <c r="G32" s="191"/>
      <c r="H32" s="115">
        <f t="shared" si="10"/>
        <v>67</v>
      </c>
      <c r="I32" s="117">
        <f t="shared" si="11"/>
        <v>60</v>
      </c>
      <c r="J32" s="46">
        <f t="shared" si="12"/>
        <v>259</v>
      </c>
      <c r="K32" s="221">
        <v>379</v>
      </c>
      <c r="M32" s="213">
        <v>32</v>
      </c>
      <c r="N32" s="203">
        <v>0</v>
      </c>
      <c r="O32" s="214">
        <v>14</v>
      </c>
      <c r="Q32" s="218">
        <f t="shared" si="13"/>
        <v>880</v>
      </c>
      <c r="R32" s="59">
        <f t="shared" si="14"/>
        <v>389</v>
      </c>
      <c r="S32" s="219">
        <f t="shared" si="15"/>
        <v>1279</v>
      </c>
    </row>
    <row r="33" spans="2:19" x14ac:dyDescent="0.4">
      <c r="B33" s="115" t="s">
        <v>38</v>
      </c>
      <c r="C33" s="117" t="s">
        <v>95</v>
      </c>
      <c r="D33" s="117">
        <v>60</v>
      </c>
      <c r="E33" s="117">
        <v>60</v>
      </c>
      <c r="F33" s="23">
        <v>192</v>
      </c>
      <c r="G33" s="191"/>
      <c r="H33" s="115">
        <f>D33+1*$I$23</f>
        <v>67</v>
      </c>
      <c r="I33" s="117">
        <f>E33</f>
        <v>60</v>
      </c>
      <c r="J33" s="46">
        <f>F33+2*$I$23</f>
        <v>206</v>
      </c>
      <c r="K33" s="221">
        <f t="shared" ref="K33:K36" si="16">J33+60</f>
        <v>266</v>
      </c>
      <c r="M33" s="26">
        <v>0</v>
      </c>
      <c r="N33" s="3">
        <v>0</v>
      </c>
      <c r="O33" s="14">
        <v>0</v>
      </c>
      <c r="Q33" s="26">
        <f>$D$20+$H33+M33</f>
        <v>436</v>
      </c>
      <c r="R33" s="3">
        <f>$E$20+$I33</f>
        <v>349</v>
      </c>
      <c r="S33" s="14">
        <f>$F$20+$K33</f>
        <v>1069</v>
      </c>
    </row>
    <row r="34" spans="2:19" x14ac:dyDescent="0.4">
      <c r="B34" s="115" t="s">
        <v>37</v>
      </c>
      <c r="C34" s="117" t="s">
        <v>96</v>
      </c>
      <c r="D34" s="117">
        <v>60</v>
      </c>
      <c r="E34" s="117">
        <v>60</v>
      </c>
      <c r="F34" s="23">
        <v>197</v>
      </c>
      <c r="G34" s="191"/>
      <c r="H34" s="115">
        <f t="shared" ref="H34:H36" si="17">D34+1*$I$23</f>
        <v>67</v>
      </c>
      <c r="I34" s="117">
        <f t="shared" ref="I34:I36" si="18">E34</f>
        <v>60</v>
      </c>
      <c r="J34" s="46">
        <f t="shared" ref="J34:J36" si="19">F34+2*$I$23</f>
        <v>211</v>
      </c>
      <c r="K34" s="221">
        <f t="shared" si="16"/>
        <v>271</v>
      </c>
      <c r="M34" s="26">
        <v>0</v>
      </c>
      <c r="N34" s="3">
        <v>0</v>
      </c>
      <c r="O34" s="14">
        <v>0</v>
      </c>
      <c r="Q34" s="26">
        <f t="shared" ref="Q34:Q36" si="20">$D$20+$H34+M34</f>
        <v>436</v>
      </c>
      <c r="R34" s="3">
        <f t="shared" ref="R34:R36" si="21">$E$20+$I34</f>
        <v>349</v>
      </c>
      <c r="S34" s="14">
        <f t="shared" ref="S34:S36" si="22">$F$20+$K34</f>
        <v>1074</v>
      </c>
    </row>
    <row r="35" spans="2:19" x14ac:dyDescent="0.4">
      <c r="B35" s="115" t="s">
        <v>22</v>
      </c>
      <c r="C35" s="117" t="s">
        <v>97</v>
      </c>
      <c r="D35" s="117">
        <v>60</v>
      </c>
      <c r="E35" s="117">
        <v>60</v>
      </c>
      <c r="F35" s="23">
        <v>154</v>
      </c>
      <c r="G35" s="191"/>
      <c r="H35" s="115">
        <f t="shared" si="17"/>
        <v>67</v>
      </c>
      <c r="I35" s="117">
        <f t="shared" si="18"/>
        <v>60</v>
      </c>
      <c r="J35" s="46">
        <f t="shared" si="19"/>
        <v>168</v>
      </c>
      <c r="K35" s="221">
        <f t="shared" si="16"/>
        <v>228</v>
      </c>
      <c r="M35" s="26">
        <v>0</v>
      </c>
      <c r="N35" s="3">
        <v>0</v>
      </c>
      <c r="O35" s="14">
        <v>0</v>
      </c>
      <c r="Q35" s="26">
        <f t="shared" si="20"/>
        <v>436</v>
      </c>
      <c r="R35" s="3">
        <f t="shared" si="21"/>
        <v>349</v>
      </c>
      <c r="S35" s="14">
        <f t="shared" si="22"/>
        <v>1031</v>
      </c>
    </row>
    <row r="36" spans="2:19" ht="18" thickBot="1" x14ac:dyDescent="0.45">
      <c r="B36" s="116" t="s">
        <v>45</v>
      </c>
      <c r="C36" s="118" t="s">
        <v>98</v>
      </c>
      <c r="D36" s="118">
        <v>60</v>
      </c>
      <c r="E36" s="118">
        <v>60</v>
      </c>
      <c r="F36" s="124">
        <v>150</v>
      </c>
      <c r="G36" s="191"/>
      <c r="H36" s="116">
        <f t="shared" si="17"/>
        <v>67</v>
      </c>
      <c r="I36" s="118">
        <f t="shared" si="18"/>
        <v>60</v>
      </c>
      <c r="J36" s="119">
        <f t="shared" si="19"/>
        <v>164</v>
      </c>
      <c r="K36" s="222">
        <f t="shared" si="16"/>
        <v>224</v>
      </c>
      <c r="M36" s="215">
        <v>0</v>
      </c>
      <c r="N36" s="216">
        <v>0</v>
      </c>
      <c r="O36" s="217">
        <v>28</v>
      </c>
      <c r="Q36" s="7">
        <f t="shared" si="20"/>
        <v>436</v>
      </c>
      <c r="R36" s="8">
        <f t="shared" si="21"/>
        <v>349</v>
      </c>
      <c r="S36" s="9">
        <f t="shared" si="22"/>
        <v>1027</v>
      </c>
    </row>
    <row r="39" spans="2:19" x14ac:dyDescent="0.4">
      <c r="F39" s="208"/>
    </row>
    <row r="40" spans="2:19" x14ac:dyDescent="0.4">
      <c r="F40" s="208"/>
    </row>
    <row r="41" spans="2:19" x14ac:dyDescent="0.4">
      <c r="F41" s="208"/>
    </row>
    <row r="42" spans="2:19" x14ac:dyDescent="0.4">
      <c r="F42" s="208"/>
    </row>
    <row r="43" spans="2:19" x14ac:dyDescent="0.4">
      <c r="F43" s="208"/>
    </row>
    <row r="44" spans="2:19" x14ac:dyDescent="0.4">
      <c r="F44" s="208"/>
    </row>
    <row r="45" spans="2:19" x14ac:dyDescent="0.4">
      <c r="F45" s="208"/>
    </row>
    <row r="46" spans="2:19" x14ac:dyDescent="0.4">
      <c r="F46" s="208"/>
    </row>
    <row r="47" spans="2:19" x14ac:dyDescent="0.4">
      <c r="F47" s="208"/>
    </row>
    <row r="48" spans="2:19" x14ac:dyDescent="0.4">
      <c r="F48" s="208"/>
    </row>
    <row r="49" spans="6:6" x14ac:dyDescent="0.4">
      <c r="F49" s="208"/>
    </row>
    <row r="50" spans="6:6" x14ac:dyDescent="0.4">
      <c r="F50" s="208"/>
    </row>
    <row r="51" spans="6:6" x14ac:dyDescent="0.4">
      <c r="F51" s="208"/>
    </row>
    <row r="52" spans="6:6" x14ac:dyDescent="0.4">
      <c r="F52" s="208"/>
    </row>
    <row r="53" spans="6:6" x14ac:dyDescent="0.4">
      <c r="F53" s="208"/>
    </row>
    <row r="54" spans="6:6" x14ac:dyDescent="0.4">
      <c r="F54" s="208"/>
    </row>
    <row r="55" spans="6:6" x14ac:dyDescent="0.4">
      <c r="F55" s="208"/>
    </row>
    <row r="56" spans="6:6" x14ac:dyDescent="0.4">
      <c r="F56" s="208"/>
    </row>
    <row r="57" spans="6:6" x14ac:dyDescent="0.4">
      <c r="F57" s="208"/>
    </row>
  </sheetData>
  <mergeCells count="6">
    <mergeCell ref="O3:R3"/>
    <mergeCell ref="C19:C20"/>
    <mergeCell ref="C21:C22"/>
    <mergeCell ref="D3:F3"/>
    <mergeCell ref="G3:I3"/>
    <mergeCell ref="K3:N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2277D-E2C0-4407-AD25-0236AC5C728E}">
  <dimension ref="A1:S57"/>
  <sheetViews>
    <sheetView topLeftCell="A10" workbookViewId="0">
      <selection activeCell="H41" sqref="H41"/>
    </sheetView>
  </sheetViews>
  <sheetFormatPr defaultRowHeight="17.399999999999999" x14ac:dyDescent="0.4"/>
  <cols>
    <col min="8" max="8" width="10.3984375" bestFit="1" customWidth="1"/>
    <col min="11" max="11" width="13.19921875" customWidth="1"/>
    <col min="19" max="19" width="10.69921875" customWidth="1"/>
  </cols>
  <sheetData>
    <row r="1" spans="1:18" x14ac:dyDescent="0.4">
      <c r="B1" t="s">
        <v>282</v>
      </c>
    </row>
    <row r="2" spans="1:18" ht="18" thickBot="1" x14ac:dyDescent="0.45"/>
    <row r="3" spans="1:18" x14ac:dyDescent="0.4">
      <c r="B3" s="193"/>
      <c r="C3" s="193"/>
      <c r="D3" s="284" t="s">
        <v>105</v>
      </c>
      <c r="E3" s="285"/>
      <c r="F3" s="285"/>
      <c r="G3" s="285" t="s">
        <v>243</v>
      </c>
      <c r="H3" s="285"/>
      <c r="I3" s="286"/>
      <c r="K3" s="284" t="s">
        <v>105</v>
      </c>
      <c r="L3" s="285"/>
      <c r="M3" s="285"/>
      <c r="N3" s="285"/>
      <c r="O3" s="285" t="s">
        <v>243</v>
      </c>
      <c r="P3" s="285"/>
      <c r="Q3" s="285"/>
      <c r="R3" s="286"/>
    </row>
    <row r="4" spans="1:18" ht="18" thickBot="1" x14ac:dyDescent="0.45">
      <c r="B4" s="193"/>
      <c r="C4" s="193"/>
      <c r="D4" s="194" t="s">
        <v>109</v>
      </c>
      <c r="E4" s="195" t="s">
        <v>110</v>
      </c>
      <c r="F4" s="195" t="s">
        <v>73</v>
      </c>
      <c r="G4" s="195" t="s">
        <v>109</v>
      </c>
      <c r="H4" s="195" t="s">
        <v>110</v>
      </c>
      <c r="I4" s="196" t="s">
        <v>56</v>
      </c>
      <c r="K4" s="70" t="s">
        <v>75</v>
      </c>
      <c r="L4" s="50" t="s">
        <v>109</v>
      </c>
      <c r="M4" s="89" t="s">
        <v>111</v>
      </c>
      <c r="N4" s="50" t="s">
        <v>73</v>
      </c>
      <c r="O4" s="50" t="s">
        <v>75</v>
      </c>
      <c r="P4" s="50" t="s">
        <v>109</v>
      </c>
      <c r="Q4" s="89" t="s">
        <v>111</v>
      </c>
      <c r="R4" s="71" t="s">
        <v>56</v>
      </c>
    </row>
    <row r="5" spans="1:18" x14ac:dyDescent="0.4">
      <c r="B5" s="235" t="s">
        <v>244</v>
      </c>
      <c r="C5" s="237" t="s">
        <v>237</v>
      </c>
      <c r="D5" s="224"/>
      <c r="E5" s="195"/>
      <c r="F5" s="195"/>
      <c r="G5" s="195">
        <v>40</v>
      </c>
      <c r="H5" s="195">
        <v>0</v>
      </c>
      <c r="I5" s="196">
        <v>55</v>
      </c>
      <c r="K5" s="70" t="s">
        <v>258</v>
      </c>
      <c r="L5" s="50"/>
      <c r="M5" s="50"/>
      <c r="N5" s="50"/>
      <c r="O5" s="50" t="s">
        <v>258</v>
      </c>
      <c r="P5" s="50">
        <v>90</v>
      </c>
      <c r="Q5" s="50">
        <v>0</v>
      </c>
      <c r="R5" s="71">
        <v>30</v>
      </c>
    </row>
    <row r="6" spans="1:18" x14ac:dyDescent="0.4">
      <c r="B6" s="194" t="s">
        <v>246</v>
      </c>
      <c r="C6" s="196" t="s">
        <v>238</v>
      </c>
      <c r="D6" s="224"/>
      <c r="E6" s="195"/>
      <c r="F6" s="195"/>
      <c r="G6" s="195">
        <v>35</v>
      </c>
      <c r="H6" s="195">
        <v>0</v>
      </c>
      <c r="I6" s="196">
        <v>17</v>
      </c>
      <c r="K6" s="70" t="s">
        <v>259</v>
      </c>
      <c r="L6" s="50"/>
      <c r="M6" s="50"/>
      <c r="N6" s="50"/>
      <c r="O6" s="50" t="s">
        <v>259</v>
      </c>
      <c r="P6" s="50">
        <v>57</v>
      </c>
      <c r="Q6" s="50">
        <v>0</v>
      </c>
      <c r="R6" s="71">
        <v>15</v>
      </c>
    </row>
    <row r="7" spans="1:18" x14ac:dyDescent="0.4">
      <c r="B7" s="194" t="s">
        <v>246</v>
      </c>
      <c r="C7" s="196" t="s">
        <v>238</v>
      </c>
      <c r="D7" s="224"/>
      <c r="E7" s="195"/>
      <c r="F7" s="195"/>
      <c r="G7" s="195">
        <v>35</v>
      </c>
      <c r="H7" s="195">
        <v>0</v>
      </c>
      <c r="I7" s="196">
        <v>19</v>
      </c>
      <c r="K7" s="70" t="s">
        <v>260</v>
      </c>
      <c r="L7" s="50"/>
      <c r="M7" s="50"/>
      <c r="N7" s="50"/>
      <c r="O7" s="50" t="s">
        <v>260</v>
      </c>
      <c r="P7" s="50">
        <v>59</v>
      </c>
      <c r="Q7" s="50">
        <v>0</v>
      </c>
      <c r="R7" s="71">
        <v>25</v>
      </c>
    </row>
    <row r="8" spans="1:18" x14ac:dyDescent="0.4">
      <c r="B8" s="194" t="s">
        <v>246</v>
      </c>
      <c r="C8" s="196" t="s">
        <v>238</v>
      </c>
      <c r="D8" s="224"/>
      <c r="E8" s="195"/>
      <c r="F8" s="195"/>
      <c r="G8" s="195">
        <v>35</v>
      </c>
      <c r="H8" s="195">
        <v>0</v>
      </c>
      <c r="I8" s="196">
        <v>15</v>
      </c>
      <c r="K8" s="70" t="s">
        <v>261</v>
      </c>
      <c r="L8" s="50"/>
      <c r="M8" s="50"/>
      <c r="N8" s="50"/>
      <c r="O8" s="50" t="s">
        <v>261</v>
      </c>
      <c r="P8" s="50">
        <v>67</v>
      </c>
      <c r="Q8" s="50">
        <v>0</v>
      </c>
      <c r="R8" s="71">
        <v>24</v>
      </c>
    </row>
    <row r="9" spans="1:18" x14ac:dyDescent="0.4">
      <c r="B9" s="194" t="s">
        <v>246</v>
      </c>
      <c r="C9" s="196" t="s">
        <v>238</v>
      </c>
      <c r="D9" s="224"/>
      <c r="E9" s="195"/>
      <c r="F9" s="195"/>
      <c r="G9" s="195">
        <v>0</v>
      </c>
      <c r="H9" s="195">
        <v>0</v>
      </c>
      <c r="I9" s="196">
        <v>0</v>
      </c>
      <c r="K9" s="70" t="s">
        <v>262</v>
      </c>
      <c r="L9" s="50"/>
      <c r="M9" s="50"/>
      <c r="N9" s="50"/>
      <c r="O9" s="50" t="s">
        <v>262</v>
      </c>
      <c r="P9" s="50">
        <v>67</v>
      </c>
      <c r="Q9" s="50">
        <v>0</v>
      </c>
      <c r="R9" s="71">
        <v>24</v>
      </c>
    </row>
    <row r="10" spans="1:18" ht="18" thickBot="1" x14ac:dyDescent="0.45">
      <c r="A10">
        <v>3</v>
      </c>
      <c r="B10" s="194" t="s">
        <v>253</v>
      </c>
      <c r="C10" s="196" t="s">
        <v>215</v>
      </c>
      <c r="D10" s="224"/>
      <c r="E10" s="195"/>
      <c r="F10" s="195"/>
      <c r="G10" s="195">
        <v>48</v>
      </c>
      <c r="H10" s="195">
        <v>0</v>
      </c>
      <c r="I10" s="196">
        <v>18</v>
      </c>
      <c r="K10" s="72" t="s">
        <v>263</v>
      </c>
      <c r="L10" s="192"/>
      <c r="M10" s="192"/>
      <c r="N10" s="192"/>
      <c r="O10" s="192" t="s">
        <v>263</v>
      </c>
      <c r="P10" s="192">
        <v>67</v>
      </c>
      <c r="Q10" s="192">
        <v>0</v>
      </c>
      <c r="R10" s="73">
        <v>24</v>
      </c>
    </row>
    <row r="11" spans="1:18" x14ac:dyDescent="0.4">
      <c r="A11">
        <v>5</v>
      </c>
      <c r="B11" s="194" t="s">
        <v>250</v>
      </c>
      <c r="C11" s="196" t="s">
        <v>214</v>
      </c>
      <c r="D11" s="224"/>
      <c r="E11" s="195"/>
      <c r="F11" s="195"/>
      <c r="G11" s="195">
        <v>52</v>
      </c>
      <c r="H11" s="195">
        <v>0</v>
      </c>
      <c r="I11" s="196">
        <v>1</v>
      </c>
    </row>
    <row r="12" spans="1:18" x14ac:dyDescent="0.4">
      <c r="A12">
        <v>5</v>
      </c>
      <c r="B12" s="194" t="s">
        <v>249</v>
      </c>
      <c r="C12" s="196" t="s">
        <v>213</v>
      </c>
      <c r="D12" s="224"/>
      <c r="E12" s="195"/>
      <c r="F12" s="195"/>
      <c r="G12" s="195">
        <v>55</v>
      </c>
      <c r="H12" s="195">
        <v>0</v>
      </c>
      <c r="I12" s="196">
        <v>10</v>
      </c>
      <c r="K12" s="207" t="s">
        <v>218</v>
      </c>
      <c r="L12" s="207"/>
      <c r="M12" s="207"/>
      <c r="N12" s="207"/>
      <c r="P12" s="207">
        <v>0</v>
      </c>
      <c r="Q12" s="207">
        <v>0</v>
      </c>
      <c r="R12" s="207">
        <v>46</v>
      </c>
    </row>
    <row r="13" spans="1:18" x14ac:dyDescent="0.4">
      <c r="A13">
        <v>1</v>
      </c>
      <c r="B13" s="194" t="s">
        <v>254</v>
      </c>
      <c r="C13" s="196" t="s">
        <v>216</v>
      </c>
      <c r="D13" s="224"/>
      <c r="E13" s="195"/>
      <c r="F13" s="195"/>
      <c r="G13" s="195">
        <v>46</v>
      </c>
      <c r="H13" s="195">
        <v>0</v>
      </c>
      <c r="I13" s="196">
        <v>13</v>
      </c>
      <c r="K13" s="240" t="s">
        <v>279</v>
      </c>
      <c r="L13" s="240">
        <v>0</v>
      </c>
      <c r="M13" s="240">
        <v>0</v>
      </c>
      <c r="N13" s="191"/>
      <c r="O13" s="191"/>
      <c r="P13" s="240">
        <v>0</v>
      </c>
      <c r="Q13" s="240">
        <v>0</v>
      </c>
      <c r="R13" s="191">
        <f>31*4</f>
        <v>124</v>
      </c>
    </row>
    <row r="14" spans="1:18" ht="18" thickBot="1" x14ac:dyDescent="0.45">
      <c r="B14" s="197" t="s">
        <v>256</v>
      </c>
      <c r="C14" s="198" t="s">
        <v>217</v>
      </c>
      <c r="D14" s="225"/>
      <c r="E14" s="200"/>
      <c r="F14" s="200"/>
      <c r="G14" s="200">
        <v>25</v>
      </c>
      <c r="H14" s="200">
        <v>0</v>
      </c>
      <c r="I14" s="201">
        <v>30</v>
      </c>
      <c r="K14" s="195" t="s">
        <v>281</v>
      </c>
      <c r="L14" s="195"/>
      <c r="M14" s="195"/>
      <c r="N14" s="199"/>
      <c r="O14" s="195"/>
      <c r="P14" s="195">
        <v>0</v>
      </c>
      <c r="Q14" s="195">
        <v>0</v>
      </c>
      <c r="R14" s="195">
        <v>400</v>
      </c>
    </row>
    <row r="15" spans="1:18" s="203" customFormat="1" x14ac:dyDescent="0.4">
      <c r="B15" s="204"/>
      <c r="C15" s="223" t="s">
        <v>64</v>
      </c>
      <c r="D15" s="204">
        <f>SUM(D5:D14)</f>
        <v>0</v>
      </c>
      <c r="E15" s="204">
        <f t="shared" ref="E15:I15" si="0">SUM(E5:E14)</f>
        <v>0</v>
      </c>
      <c r="F15" s="204">
        <f t="shared" si="0"/>
        <v>0</v>
      </c>
      <c r="G15" s="204">
        <f t="shared" si="0"/>
        <v>371</v>
      </c>
      <c r="H15" s="204">
        <f t="shared" si="0"/>
        <v>0</v>
      </c>
      <c r="I15" s="204">
        <f t="shared" si="0"/>
        <v>178</v>
      </c>
      <c r="P15" s="203">
        <f>SUM(P5:P14)</f>
        <v>407</v>
      </c>
      <c r="Q15" s="203">
        <f>SUM(Q5:Q14)</f>
        <v>0</v>
      </c>
      <c r="R15" s="203">
        <f>SUM(R5:R14)</f>
        <v>712</v>
      </c>
    </row>
    <row r="17" spans="2:19" x14ac:dyDescent="0.4">
      <c r="L17" s="1"/>
      <c r="M17" s="1"/>
      <c r="N17" s="1"/>
      <c r="O17" s="1"/>
      <c r="P17" s="1"/>
      <c r="Q17" s="1"/>
      <c r="R17" s="1"/>
      <c r="S17" s="1"/>
    </row>
    <row r="18" spans="2:19" x14ac:dyDescent="0.4">
      <c r="C18" s="83" t="s">
        <v>264</v>
      </c>
      <c r="D18" s="83"/>
      <c r="E18" s="83"/>
      <c r="F18" s="83"/>
      <c r="L18" s="98"/>
      <c r="M18" s="98"/>
      <c r="N18" s="207"/>
      <c r="O18" s="1"/>
      <c r="P18" s="98"/>
      <c r="Q18" s="98"/>
      <c r="R18" s="207"/>
      <c r="S18" s="1"/>
    </row>
    <row r="19" spans="2:19" x14ac:dyDescent="0.4">
      <c r="C19" s="325" t="s">
        <v>105</v>
      </c>
      <c r="D19" s="50" t="s">
        <v>109</v>
      </c>
      <c r="E19" s="50" t="s">
        <v>265</v>
      </c>
      <c r="F19" s="50" t="s">
        <v>73</v>
      </c>
      <c r="L19" s="98"/>
      <c r="M19" s="98"/>
      <c r="N19" s="98"/>
      <c r="O19" s="1"/>
      <c r="P19" s="98"/>
      <c r="Q19" s="98"/>
      <c r="R19" s="98"/>
      <c r="S19" s="1"/>
    </row>
    <row r="20" spans="2:19" x14ac:dyDescent="0.4">
      <c r="C20" s="326"/>
      <c r="D20" s="50">
        <f>D15+L15</f>
        <v>0</v>
      </c>
      <c r="E20" s="50">
        <f t="shared" ref="E20:F20" si="1">E15+M15</f>
        <v>0</v>
      </c>
      <c r="F20" s="50">
        <f t="shared" si="1"/>
        <v>0</v>
      </c>
      <c r="L20" s="98"/>
      <c r="M20" s="98"/>
      <c r="N20" s="98"/>
      <c r="O20" s="1"/>
      <c r="P20" s="98"/>
      <c r="Q20" s="98"/>
      <c r="R20" s="98"/>
      <c r="S20" s="1"/>
    </row>
    <row r="21" spans="2:19" x14ac:dyDescent="0.4">
      <c r="C21" s="325" t="s">
        <v>243</v>
      </c>
      <c r="D21" s="50" t="s">
        <v>109</v>
      </c>
      <c r="E21" s="50" t="s">
        <v>265</v>
      </c>
      <c r="F21" s="50" t="s">
        <v>56</v>
      </c>
      <c r="L21" s="98"/>
      <c r="M21" s="98"/>
      <c r="N21" s="98"/>
      <c r="O21" s="1"/>
      <c r="P21" s="98"/>
      <c r="Q21" s="98"/>
      <c r="R21" s="98"/>
      <c r="S21" s="1"/>
    </row>
    <row r="22" spans="2:19" x14ac:dyDescent="0.4">
      <c r="C22" s="326"/>
      <c r="D22" s="50">
        <f>G15+P15</f>
        <v>778</v>
      </c>
      <c r="E22" s="50">
        <f t="shared" ref="E22:F22" si="2">H15+Q15</f>
        <v>0</v>
      </c>
      <c r="F22" s="50">
        <f t="shared" si="2"/>
        <v>890</v>
      </c>
      <c r="L22" s="98"/>
      <c r="M22" s="98"/>
      <c r="N22" s="98"/>
      <c r="O22" s="1"/>
      <c r="P22" s="98"/>
      <c r="Q22" s="98"/>
      <c r="R22" s="98"/>
      <c r="S22" s="1"/>
    </row>
    <row r="23" spans="2:19" ht="18" thickBot="1" x14ac:dyDescent="0.45">
      <c r="H23" s="206">
        <v>0.6</v>
      </c>
      <c r="I23">
        <v>7</v>
      </c>
      <c r="K23">
        <v>15</v>
      </c>
      <c r="L23" s="98"/>
      <c r="M23" t="s">
        <v>72</v>
      </c>
      <c r="Q23" s="98" t="s">
        <v>270</v>
      </c>
      <c r="R23" s="98"/>
      <c r="S23" s="1"/>
    </row>
    <row r="24" spans="2:19" x14ac:dyDescent="0.4">
      <c r="B24" s="228"/>
      <c r="C24" s="234"/>
      <c r="D24" s="234" t="s">
        <v>109</v>
      </c>
      <c r="E24" s="234" t="s">
        <v>110</v>
      </c>
      <c r="F24" s="238" t="s">
        <v>268</v>
      </c>
      <c r="G24" s="191" t="s">
        <v>269</v>
      </c>
      <c r="H24" s="228" t="s">
        <v>109</v>
      </c>
      <c r="I24" s="234" t="s">
        <v>110</v>
      </c>
      <c r="J24" s="227" t="s">
        <v>268</v>
      </c>
      <c r="K24" s="220" t="s">
        <v>268</v>
      </c>
      <c r="L24" s="98"/>
      <c r="M24" s="210" t="s">
        <v>109</v>
      </c>
      <c r="N24" s="211" t="s">
        <v>110</v>
      </c>
      <c r="O24" s="212" t="s">
        <v>268</v>
      </c>
      <c r="Q24" s="68" t="s">
        <v>109</v>
      </c>
      <c r="R24" s="202" t="s">
        <v>265</v>
      </c>
      <c r="S24" s="209" t="s">
        <v>271</v>
      </c>
    </row>
    <row r="25" spans="2:19" x14ac:dyDescent="0.4">
      <c r="B25" s="229" t="s">
        <v>1</v>
      </c>
      <c r="C25" s="231" t="s">
        <v>88</v>
      </c>
      <c r="D25" s="231">
        <v>60</v>
      </c>
      <c r="E25" s="231">
        <v>60</v>
      </c>
      <c r="F25" s="23">
        <v>205</v>
      </c>
      <c r="G25" s="191"/>
      <c r="H25" s="229"/>
      <c r="I25" s="231"/>
      <c r="J25" s="46"/>
      <c r="K25" s="221"/>
      <c r="L25" s="1"/>
      <c r="M25" s="26">
        <v>0</v>
      </c>
      <c r="N25" s="3">
        <v>0</v>
      </c>
      <c r="O25" s="14">
        <v>0</v>
      </c>
      <c r="Q25" s="26">
        <f>$D$20+$H25+M25</f>
        <v>0</v>
      </c>
      <c r="R25" s="3">
        <f>$E$20+$I25</f>
        <v>0</v>
      </c>
      <c r="S25" s="14">
        <f>$F$20+$K25</f>
        <v>0</v>
      </c>
    </row>
    <row r="26" spans="2:19" x14ac:dyDescent="0.4">
      <c r="B26" s="229" t="s">
        <v>85</v>
      </c>
      <c r="C26" s="231" t="s">
        <v>89</v>
      </c>
      <c r="D26" s="231">
        <v>60</v>
      </c>
      <c r="E26" s="231">
        <v>60</v>
      </c>
      <c r="F26" s="23">
        <v>205</v>
      </c>
      <c r="G26" s="191"/>
      <c r="H26" s="229"/>
      <c r="I26" s="231"/>
      <c r="J26" s="46"/>
      <c r="K26" s="221"/>
      <c r="L26" s="1"/>
      <c r="M26" s="26">
        <v>0</v>
      </c>
      <c r="N26" s="3">
        <v>0</v>
      </c>
      <c r="O26" s="14">
        <v>0</v>
      </c>
      <c r="Q26" s="26">
        <f t="shared" ref="Q26:Q28" si="3">$D$20+$H26+M26</f>
        <v>0</v>
      </c>
      <c r="R26" s="3">
        <f t="shared" ref="R26:R29" si="4">$E$20+$I26</f>
        <v>0</v>
      </c>
      <c r="S26" s="14">
        <f t="shared" ref="S26:S29" si="5">$F$20+$K26</f>
        <v>0</v>
      </c>
    </row>
    <row r="27" spans="2:19" x14ac:dyDescent="0.4">
      <c r="B27" s="229" t="s">
        <v>3</v>
      </c>
      <c r="C27" s="231" t="s">
        <v>90</v>
      </c>
      <c r="D27" s="231">
        <v>60</v>
      </c>
      <c r="E27" s="231">
        <v>60</v>
      </c>
      <c r="F27" s="23">
        <v>197</v>
      </c>
      <c r="G27" s="191"/>
      <c r="H27" s="229"/>
      <c r="I27" s="231"/>
      <c r="J27" s="46"/>
      <c r="K27" s="221"/>
      <c r="L27" s="1"/>
      <c r="M27" s="213">
        <v>0</v>
      </c>
      <c r="N27" s="203">
        <v>0</v>
      </c>
      <c r="O27" s="214">
        <v>27</v>
      </c>
      <c r="Q27" s="26">
        <f t="shared" si="3"/>
        <v>0</v>
      </c>
      <c r="R27" s="3">
        <f t="shared" si="4"/>
        <v>0</v>
      </c>
      <c r="S27" s="14">
        <f t="shared" si="5"/>
        <v>0</v>
      </c>
    </row>
    <row r="28" spans="2:19" x14ac:dyDescent="0.4">
      <c r="B28" s="229" t="s">
        <v>86</v>
      </c>
      <c r="C28" s="231" t="s">
        <v>91</v>
      </c>
      <c r="D28" s="231">
        <v>60</v>
      </c>
      <c r="E28" s="231">
        <v>60</v>
      </c>
      <c r="F28" s="23">
        <v>103</v>
      </c>
      <c r="G28" s="191"/>
      <c r="H28" s="229"/>
      <c r="I28" s="231"/>
      <c r="J28" s="46"/>
      <c r="K28" s="221"/>
      <c r="M28" s="213">
        <v>0</v>
      </c>
      <c r="N28" s="203">
        <v>0</v>
      </c>
      <c r="O28" s="214">
        <v>42</v>
      </c>
      <c r="Q28" s="26">
        <f t="shared" si="3"/>
        <v>0</v>
      </c>
      <c r="R28" s="3">
        <f t="shared" si="4"/>
        <v>0</v>
      </c>
      <c r="S28" s="14">
        <f t="shared" si="5"/>
        <v>0</v>
      </c>
    </row>
    <row r="29" spans="2:19" x14ac:dyDescent="0.4">
      <c r="B29" s="229" t="s">
        <v>87</v>
      </c>
      <c r="C29" s="231" t="s">
        <v>92</v>
      </c>
      <c r="D29" s="231">
        <v>60</v>
      </c>
      <c r="E29" s="231">
        <v>60</v>
      </c>
      <c r="F29" s="23">
        <v>192</v>
      </c>
      <c r="G29" s="191"/>
      <c r="H29" s="229"/>
      <c r="I29" s="231"/>
      <c r="J29" s="46"/>
      <c r="K29" s="221"/>
      <c r="M29" s="213">
        <v>0</v>
      </c>
      <c r="N29" s="203">
        <v>0</v>
      </c>
      <c r="O29" s="214">
        <v>27</v>
      </c>
      <c r="Q29" s="26">
        <f>$D$20+$H29+M29</f>
        <v>0</v>
      </c>
      <c r="R29" s="3">
        <f t="shared" si="4"/>
        <v>0</v>
      </c>
      <c r="S29" s="14">
        <f t="shared" si="5"/>
        <v>0</v>
      </c>
    </row>
    <row r="30" spans="2:19" x14ac:dyDescent="0.4">
      <c r="B30" s="205" t="s">
        <v>32</v>
      </c>
      <c r="C30" s="61" t="s">
        <v>94</v>
      </c>
      <c r="D30" s="231">
        <v>60</v>
      </c>
      <c r="E30" s="231">
        <v>60</v>
      </c>
      <c r="F30" s="23">
        <v>245</v>
      </c>
      <c r="G30" s="191"/>
      <c r="H30" s="229">
        <v>72</v>
      </c>
      <c r="I30" s="231"/>
      <c r="J30" s="46"/>
      <c r="K30" s="221">
        <v>518</v>
      </c>
      <c r="M30" s="213">
        <v>42</v>
      </c>
      <c r="N30" s="203">
        <v>0</v>
      </c>
      <c r="O30" s="214">
        <v>18</v>
      </c>
      <c r="Q30" s="218">
        <f>$D$22+$H30+M30</f>
        <v>892</v>
      </c>
      <c r="R30" s="59">
        <f>$E$22+$I30</f>
        <v>0</v>
      </c>
      <c r="S30" s="219">
        <f>$F$22+$K30+O30</f>
        <v>1426</v>
      </c>
    </row>
    <row r="31" spans="2:19" x14ac:dyDescent="0.4">
      <c r="B31" s="205" t="s">
        <v>33</v>
      </c>
      <c r="C31" s="61" t="s">
        <v>94</v>
      </c>
      <c r="D31" s="231">
        <v>60</v>
      </c>
      <c r="E31" s="231">
        <v>60</v>
      </c>
      <c r="F31" s="23">
        <v>245</v>
      </c>
      <c r="G31" s="191"/>
      <c r="H31" s="229">
        <v>72</v>
      </c>
      <c r="I31" s="231"/>
      <c r="J31" s="46"/>
      <c r="K31" s="221">
        <v>518</v>
      </c>
      <c r="M31" s="213">
        <v>42</v>
      </c>
      <c r="N31" s="203">
        <v>0</v>
      </c>
      <c r="O31" s="214">
        <v>18</v>
      </c>
      <c r="Q31" s="218">
        <f t="shared" ref="Q31:Q32" si="6">$D$22+$H31+M31</f>
        <v>892</v>
      </c>
      <c r="R31" s="59">
        <f t="shared" ref="R31:R32" si="7">$E$22+$I31</f>
        <v>0</v>
      </c>
      <c r="S31" s="219">
        <f t="shared" ref="S31:S32" si="8">$F$22+$K31+O31</f>
        <v>1426</v>
      </c>
    </row>
    <row r="32" spans="2:19" x14ac:dyDescent="0.4">
      <c r="B32" s="205" t="s">
        <v>48</v>
      </c>
      <c r="C32" s="61" t="s">
        <v>94</v>
      </c>
      <c r="D32" s="231">
        <v>60</v>
      </c>
      <c r="E32" s="231">
        <v>60</v>
      </c>
      <c r="F32" s="23">
        <v>245</v>
      </c>
      <c r="G32" s="191"/>
      <c r="H32" s="229">
        <v>72</v>
      </c>
      <c r="I32" s="231"/>
      <c r="J32" s="46"/>
      <c r="K32" s="221">
        <v>518</v>
      </c>
      <c r="M32" s="213">
        <v>42</v>
      </c>
      <c r="N32" s="203">
        <v>0</v>
      </c>
      <c r="O32" s="214">
        <v>18</v>
      </c>
      <c r="Q32" s="218">
        <f t="shared" si="6"/>
        <v>892</v>
      </c>
      <c r="R32" s="59">
        <f t="shared" si="7"/>
        <v>0</v>
      </c>
      <c r="S32" s="219">
        <f t="shared" si="8"/>
        <v>1426</v>
      </c>
    </row>
    <row r="33" spans="2:19" x14ac:dyDescent="0.4">
      <c r="B33" s="229" t="s">
        <v>38</v>
      </c>
      <c r="C33" s="231" t="s">
        <v>95</v>
      </c>
      <c r="D33" s="231">
        <v>60</v>
      </c>
      <c r="E33" s="231">
        <v>60</v>
      </c>
      <c r="F33" s="23">
        <v>192</v>
      </c>
      <c r="G33" s="191"/>
      <c r="H33" s="229"/>
      <c r="I33" s="231"/>
      <c r="J33" s="46"/>
      <c r="K33" s="221"/>
      <c r="M33" s="26">
        <v>0</v>
      </c>
      <c r="N33" s="3">
        <v>0</v>
      </c>
      <c r="O33" s="14">
        <v>0</v>
      </c>
      <c r="Q33" s="26">
        <f>$D$20+$H33+M33</f>
        <v>0</v>
      </c>
      <c r="R33" s="3">
        <f>$E$20+$I33</f>
        <v>0</v>
      </c>
      <c r="S33" s="14">
        <f>$F$20+$K33</f>
        <v>0</v>
      </c>
    </row>
    <row r="34" spans="2:19" x14ac:dyDescent="0.4">
      <c r="B34" s="229" t="s">
        <v>37</v>
      </c>
      <c r="C34" s="231" t="s">
        <v>96</v>
      </c>
      <c r="D34" s="231">
        <v>60</v>
      </c>
      <c r="E34" s="231">
        <v>60</v>
      </c>
      <c r="F34" s="23">
        <v>197</v>
      </c>
      <c r="G34" s="191"/>
      <c r="H34" s="229"/>
      <c r="I34" s="231"/>
      <c r="J34" s="46"/>
      <c r="K34" s="221"/>
      <c r="M34" s="26">
        <v>0</v>
      </c>
      <c r="N34" s="3">
        <v>0</v>
      </c>
      <c r="O34" s="14">
        <v>0</v>
      </c>
      <c r="Q34" s="26">
        <f t="shared" ref="Q34:Q36" si="9">$D$20+$H34+M34</f>
        <v>0</v>
      </c>
      <c r="R34" s="3">
        <f t="shared" ref="R34:R36" si="10">$E$20+$I34</f>
        <v>0</v>
      </c>
      <c r="S34" s="14">
        <f t="shared" ref="S34:S36" si="11">$F$20+$K34</f>
        <v>0</v>
      </c>
    </row>
    <row r="35" spans="2:19" x14ac:dyDescent="0.4">
      <c r="B35" s="229" t="s">
        <v>22</v>
      </c>
      <c r="C35" s="231" t="s">
        <v>97</v>
      </c>
      <c r="D35" s="231">
        <v>60</v>
      </c>
      <c r="E35" s="231">
        <v>60</v>
      </c>
      <c r="F35" s="23">
        <v>154</v>
      </c>
      <c r="G35" s="191"/>
      <c r="H35" s="229"/>
      <c r="I35" s="231"/>
      <c r="J35" s="46"/>
      <c r="K35" s="221"/>
      <c r="M35" s="26">
        <v>0</v>
      </c>
      <c r="N35" s="3">
        <v>0</v>
      </c>
      <c r="O35" s="14">
        <v>0</v>
      </c>
      <c r="Q35" s="26">
        <f t="shared" si="9"/>
        <v>0</v>
      </c>
      <c r="R35" s="3">
        <f t="shared" si="10"/>
        <v>0</v>
      </c>
      <c r="S35" s="14">
        <f t="shared" si="11"/>
        <v>0</v>
      </c>
    </row>
    <row r="36" spans="2:19" ht="18" thickBot="1" x14ac:dyDescent="0.45">
      <c r="B36" s="230" t="s">
        <v>45</v>
      </c>
      <c r="C36" s="232" t="s">
        <v>98</v>
      </c>
      <c r="D36" s="232">
        <v>60</v>
      </c>
      <c r="E36" s="232">
        <v>60</v>
      </c>
      <c r="F36" s="239">
        <v>150</v>
      </c>
      <c r="G36" s="191"/>
      <c r="H36" s="230"/>
      <c r="I36" s="232"/>
      <c r="J36" s="233"/>
      <c r="K36" s="222"/>
      <c r="M36" s="215">
        <v>0</v>
      </c>
      <c r="N36" s="216">
        <v>0</v>
      </c>
      <c r="O36" s="217">
        <v>28</v>
      </c>
      <c r="Q36" s="26">
        <f t="shared" si="9"/>
        <v>0</v>
      </c>
      <c r="R36" s="8">
        <f t="shared" si="10"/>
        <v>0</v>
      </c>
      <c r="S36" s="14">
        <f t="shared" si="11"/>
        <v>0</v>
      </c>
    </row>
    <row r="39" spans="2:19" x14ac:dyDescent="0.4">
      <c r="F39" s="208" t="s">
        <v>203</v>
      </c>
      <c r="G39">
        <v>16545</v>
      </c>
    </row>
    <row r="40" spans="2:19" x14ac:dyDescent="0.4">
      <c r="F40" s="208" t="s">
        <v>56</v>
      </c>
      <c r="G40">
        <v>20802</v>
      </c>
    </row>
    <row r="41" spans="2:19" x14ac:dyDescent="0.4">
      <c r="F41" s="208"/>
    </row>
    <row r="42" spans="2:19" x14ac:dyDescent="0.4">
      <c r="F42" s="208"/>
      <c r="G42">
        <f>INT( (0.0033665*G40^2+3.3*G40+0.5*G39)*450/100*1.5 )</f>
        <v>10352351</v>
      </c>
    </row>
    <row r="43" spans="2:19" x14ac:dyDescent="0.4">
      <c r="F43" s="208"/>
    </row>
    <row r="44" spans="2:19" x14ac:dyDescent="0.4">
      <c r="F44" s="208"/>
    </row>
    <row r="45" spans="2:19" x14ac:dyDescent="0.4">
      <c r="F45" s="208"/>
    </row>
    <row r="46" spans="2:19" x14ac:dyDescent="0.4">
      <c r="F46" s="208"/>
    </row>
    <row r="47" spans="2:19" x14ac:dyDescent="0.4">
      <c r="F47" s="208"/>
    </row>
    <row r="48" spans="2:19" x14ac:dyDescent="0.4">
      <c r="F48" s="208"/>
    </row>
    <row r="49" spans="6:6" x14ac:dyDescent="0.4">
      <c r="F49" s="208"/>
    </row>
    <row r="50" spans="6:6" x14ac:dyDescent="0.4">
      <c r="F50" s="208"/>
    </row>
    <row r="51" spans="6:6" x14ac:dyDescent="0.4">
      <c r="F51" s="208"/>
    </row>
    <row r="52" spans="6:6" x14ac:dyDescent="0.4">
      <c r="F52" s="208"/>
    </row>
    <row r="53" spans="6:6" x14ac:dyDescent="0.4">
      <c r="F53" s="208"/>
    </row>
    <row r="54" spans="6:6" x14ac:dyDescent="0.4">
      <c r="F54" s="208"/>
    </row>
    <row r="55" spans="6:6" x14ac:dyDescent="0.4">
      <c r="F55" s="208"/>
    </row>
    <row r="56" spans="6:6" x14ac:dyDescent="0.4">
      <c r="F56" s="208"/>
    </row>
    <row r="57" spans="6:6" x14ac:dyDescent="0.4">
      <c r="F57" s="208"/>
    </row>
  </sheetData>
  <mergeCells count="6">
    <mergeCell ref="C21:C22"/>
    <mergeCell ref="D3:F3"/>
    <mergeCell ref="G3:I3"/>
    <mergeCell ref="K3:N3"/>
    <mergeCell ref="O3:R3"/>
    <mergeCell ref="C19:C20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90FDC-74B6-4EF1-B026-EDED1AD34231}">
  <dimension ref="B5:L43"/>
  <sheetViews>
    <sheetView tabSelected="1" workbookViewId="0">
      <selection activeCell="F18" sqref="F18"/>
    </sheetView>
  </sheetViews>
  <sheetFormatPr defaultRowHeight="17.399999999999999" x14ac:dyDescent="0.4"/>
  <cols>
    <col min="1" max="2" width="8.796875" style="226"/>
    <col min="3" max="3" width="13.5" style="226" bestFit="1" customWidth="1"/>
    <col min="4" max="4" width="19.5" style="226" customWidth="1"/>
    <col min="5" max="5" width="14.69921875" style="226" customWidth="1"/>
    <col min="6" max="6" width="16" style="226" customWidth="1"/>
    <col min="7" max="7" width="20.09765625" style="226" customWidth="1"/>
    <col min="8" max="8" width="9.796875" style="226" bestFit="1" customWidth="1"/>
    <col min="9" max="16384" width="8.796875" style="226"/>
  </cols>
  <sheetData>
    <row r="5" spans="2:12" x14ac:dyDescent="0.4">
      <c r="B5" s="226" t="s">
        <v>183</v>
      </c>
      <c r="C5" s="226">
        <v>412898</v>
      </c>
      <c r="D5" s="226">
        <v>761310</v>
      </c>
      <c r="E5" s="226">
        <v>1858041</v>
      </c>
      <c r="F5" s="226">
        <v>3425895</v>
      </c>
      <c r="G5" s="254">
        <v>36.654887420000001</v>
      </c>
    </row>
    <row r="6" spans="2:12" x14ac:dyDescent="0.4">
      <c r="B6" s="226" t="s">
        <v>182</v>
      </c>
      <c r="C6" s="226">
        <v>437129</v>
      </c>
      <c r="D6" s="226">
        <v>805836</v>
      </c>
      <c r="E6" s="226">
        <v>3737452</v>
      </c>
      <c r="F6" s="226">
        <v>4999999</v>
      </c>
      <c r="G6" s="254">
        <v>34.622546319999998</v>
      </c>
    </row>
    <row r="7" spans="2:12" x14ac:dyDescent="0.4">
      <c r="B7" s="226" t="s">
        <v>185</v>
      </c>
      <c r="C7" s="226" t="s">
        <v>224</v>
      </c>
      <c r="D7" s="226" t="s">
        <v>224</v>
      </c>
      <c r="E7" s="226">
        <v>4084971</v>
      </c>
      <c r="F7" s="226">
        <v>4191253</v>
      </c>
      <c r="G7" s="254">
        <v>29.018075459999999</v>
      </c>
      <c r="J7" s="248">
        <v>436</v>
      </c>
      <c r="K7" s="226" t="s">
        <v>280</v>
      </c>
      <c r="L7" s="249">
        <v>349</v>
      </c>
    </row>
    <row r="8" spans="2:12" x14ac:dyDescent="0.4">
      <c r="B8" s="226" t="s">
        <v>177</v>
      </c>
      <c r="C8" s="226" t="s">
        <v>224</v>
      </c>
      <c r="D8" s="226" t="s">
        <v>224</v>
      </c>
      <c r="E8" s="226">
        <v>4679929</v>
      </c>
      <c r="F8" s="226">
        <v>4801546</v>
      </c>
      <c r="G8" s="254">
        <v>27.465540910000001</v>
      </c>
      <c r="J8" s="248">
        <v>436</v>
      </c>
      <c r="K8" s="226" t="s">
        <v>280</v>
      </c>
      <c r="L8" s="249">
        <v>349</v>
      </c>
    </row>
    <row r="9" spans="2:12" x14ac:dyDescent="0.4">
      <c r="B9" s="226" t="s">
        <v>177</v>
      </c>
      <c r="C9" s="226" t="s">
        <v>224</v>
      </c>
      <c r="D9" s="226" t="s">
        <v>224</v>
      </c>
      <c r="E9" s="226">
        <v>4679929</v>
      </c>
      <c r="F9" s="226">
        <v>4801546</v>
      </c>
      <c r="G9" s="254">
        <v>27.465540910000001</v>
      </c>
      <c r="J9" s="248">
        <v>436</v>
      </c>
      <c r="K9" s="226" t="s">
        <v>280</v>
      </c>
      <c r="L9" s="249">
        <v>349</v>
      </c>
    </row>
    <row r="10" spans="2:12" x14ac:dyDescent="0.4">
      <c r="B10" s="226" t="s">
        <v>181</v>
      </c>
      <c r="C10" s="226">
        <v>364421</v>
      </c>
      <c r="D10" s="226">
        <v>838155</v>
      </c>
      <c r="E10" s="226">
        <v>3137664</v>
      </c>
      <c r="F10" s="226">
        <v>4999999</v>
      </c>
      <c r="G10" s="254">
        <v>25.955044839999999</v>
      </c>
      <c r="J10" s="248">
        <v>436</v>
      </c>
      <c r="K10" s="226" t="s">
        <v>280</v>
      </c>
      <c r="L10" s="249">
        <v>349</v>
      </c>
    </row>
    <row r="11" spans="2:12" x14ac:dyDescent="0.4">
      <c r="B11" s="226" t="s">
        <v>184</v>
      </c>
      <c r="C11" s="226">
        <v>312900</v>
      </c>
      <c r="D11" s="226">
        <v>576104</v>
      </c>
      <c r="E11" s="226">
        <v>2033850</v>
      </c>
      <c r="F11" s="226">
        <v>3744676</v>
      </c>
      <c r="G11" s="254">
        <v>25.685103560000002</v>
      </c>
      <c r="J11" s="248">
        <v>436</v>
      </c>
      <c r="K11" s="226" t="s">
        <v>280</v>
      </c>
      <c r="L11" s="249">
        <v>349</v>
      </c>
    </row>
    <row r="12" spans="2:12" x14ac:dyDescent="0.4">
      <c r="B12" s="226" t="s">
        <v>176</v>
      </c>
      <c r="C12" s="226">
        <v>300790</v>
      </c>
      <c r="D12" s="226">
        <v>553807</v>
      </c>
      <c r="E12" s="226">
        <v>3609480</v>
      </c>
      <c r="F12" s="226">
        <v>4999999</v>
      </c>
      <c r="G12" s="254">
        <v>21.774637899999998</v>
      </c>
      <c r="J12" s="250">
        <v>880</v>
      </c>
      <c r="K12" s="226" t="s">
        <v>280</v>
      </c>
      <c r="L12" s="251">
        <v>389</v>
      </c>
    </row>
    <row r="13" spans="2:12" x14ac:dyDescent="0.4">
      <c r="B13" s="226" t="s">
        <v>186</v>
      </c>
      <c r="C13" s="226">
        <v>348794</v>
      </c>
      <c r="D13" s="226">
        <v>642559</v>
      </c>
      <c r="E13" s="226">
        <v>1743970</v>
      </c>
      <c r="F13" s="226">
        <v>3212795</v>
      </c>
      <c r="G13" s="254">
        <v>21.611494799999999</v>
      </c>
      <c r="J13" s="250">
        <v>880</v>
      </c>
      <c r="K13" s="226" t="s">
        <v>280</v>
      </c>
      <c r="L13" s="251">
        <v>389</v>
      </c>
    </row>
    <row r="14" spans="2:12" x14ac:dyDescent="0.4">
      <c r="B14" s="226" t="s">
        <v>175</v>
      </c>
      <c r="C14" s="226">
        <v>474120</v>
      </c>
      <c r="D14" s="226">
        <v>584401</v>
      </c>
      <c r="E14" s="226">
        <v>1185300</v>
      </c>
      <c r="F14" s="226">
        <v>1461002</v>
      </c>
      <c r="G14" s="254">
        <v>20.9957794</v>
      </c>
      <c r="J14" s="250">
        <v>880</v>
      </c>
      <c r="K14" s="226" t="s">
        <v>280</v>
      </c>
      <c r="L14" s="251">
        <v>389</v>
      </c>
    </row>
    <row r="15" spans="2:12" x14ac:dyDescent="0.4">
      <c r="B15" s="226" t="s">
        <v>178</v>
      </c>
      <c r="C15" s="226">
        <v>286989</v>
      </c>
      <c r="D15" s="226">
        <v>528398</v>
      </c>
      <c r="E15" s="226">
        <v>573978</v>
      </c>
      <c r="F15" s="226">
        <v>1056796</v>
      </c>
      <c r="G15" s="254">
        <v>14.87265489</v>
      </c>
      <c r="J15" s="248">
        <v>436</v>
      </c>
      <c r="K15" s="226" t="s">
        <v>280</v>
      </c>
      <c r="L15" s="249">
        <v>349</v>
      </c>
    </row>
    <row r="16" spans="2:12" x14ac:dyDescent="0.4">
      <c r="B16" s="226" t="s">
        <v>180</v>
      </c>
      <c r="C16" s="226">
        <v>458337</v>
      </c>
      <c r="D16" s="226">
        <v>564893</v>
      </c>
      <c r="E16" s="226">
        <v>1375011</v>
      </c>
      <c r="F16" s="226">
        <v>1694679</v>
      </c>
      <c r="G16" s="254">
        <v>10.692751960000001</v>
      </c>
      <c r="J16" s="248">
        <v>436</v>
      </c>
      <c r="K16" s="226" t="s">
        <v>280</v>
      </c>
      <c r="L16" s="249">
        <v>349</v>
      </c>
    </row>
    <row r="17" spans="2:12" x14ac:dyDescent="0.4">
      <c r="J17" s="248">
        <v>436</v>
      </c>
      <c r="K17" s="226" t="s">
        <v>280</v>
      </c>
      <c r="L17" s="249">
        <v>349</v>
      </c>
    </row>
    <row r="18" spans="2:12" ht="18" thickBot="1" x14ac:dyDescent="0.45">
      <c r="J18" s="252">
        <v>436</v>
      </c>
      <c r="K18" s="226" t="s">
        <v>280</v>
      </c>
      <c r="L18" s="253">
        <v>349</v>
      </c>
    </row>
    <row r="21" spans="2:12" x14ac:dyDescent="0.4">
      <c r="D21" s="176"/>
      <c r="J21" s="248">
        <v>436</v>
      </c>
      <c r="K21" s="249">
        <v>349</v>
      </c>
    </row>
    <row r="22" spans="2:12" x14ac:dyDescent="0.4">
      <c r="B22" s="226" t="s">
        <v>275</v>
      </c>
      <c r="C22" s="226" t="s">
        <v>278</v>
      </c>
      <c r="J22" s="248">
        <v>436</v>
      </c>
      <c r="K22" s="249">
        <v>349</v>
      </c>
    </row>
    <row r="23" spans="2:12" x14ac:dyDescent="0.4">
      <c r="B23" s="226" t="s">
        <v>273</v>
      </c>
      <c r="C23" s="226">
        <v>13494</v>
      </c>
      <c r="D23" s="226">
        <f>2904-INT(C23*0.15)</f>
        <v>880</v>
      </c>
      <c r="F23" s="226" t="s">
        <v>276</v>
      </c>
      <c r="G23" s="226" t="s">
        <v>277</v>
      </c>
      <c r="J23" s="248">
        <v>436</v>
      </c>
      <c r="K23" s="249">
        <v>349</v>
      </c>
    </row>
    <row r="24" spans="2:12" x14ac:dyDescent="0.4">
      <c r="B24" s="226" t="s">
        <v>274</v>
      </c>
      <c r="C24" s="226">
        <f>SUM(C25:C43)</f>
        <v>1486</v>
      </c>
      <c r="J24" s="248">
        <v>436</v>
      </c>
      <c r="K24" s="249">
        <v>349</v>
      </c>
    </row>
    <row r="25" spans="2:12" x14ac:dyDescent="0.4">
      <c r="C25" s="226">
        <v>518</v>
      </c>
      <c r="J25" s="248">
        <v>436</v>
      </c>
      <c r="K25" s="249">
        <v>349</v>
      </c>
    </row>
    <row r="26" spans="2:12" x14ac:dyDescent="0.4">
      <c r="C26" s="226">
        <v>18</v>
      </c>
      <c r="J26" s="250">
        <v>880</v>
      </c>
      <c r="K26" s="251">
        <v>389</v>
      </c>
    </row>
    <row r="27" spans="2:12" x14ac:dyDescent="0.4">
      <c r="C27" s="226">
        <v>30</v>
      </c>
      <c r="J27" s="250">
        <v>880</v>
      </c>
      <c r="K27" s="251">
        <v>389</v>
      </c>
    </row>
    <row r="28" spans="2:12" x14ac:dyDescent="0.4">
      <c r="C28" s="226">
        <v>15</v>
      </c>
      <c r="J28" s="250">
        <v>880</v>
      </c>
      <c r="K28" s="251">
        <v>389</v>
      </c>
    </row>
    <row r="29" spans="2:12" x14ac:dyDescent="0.4">
      <c r="C29" s="226">
        <v>25</v>
      </c>
      <c r="J29" s="248">
        <v>436</v>
      </c>
      <c r="K29" s="249">
        <v>349</v>
      </c>
    </row>
    <row r="30" spans="2:12" x14ac:dyDescent="0.4">
      <c r="C30" s="226">
        <v>24</v>
      </c>
      <c r="J30" s="248">
        <v>436</v>
      </c>
      <c r="K30" s="249">
        <v>349</v>
      </c>
    </row>
    <row r="31" spans="2:12" x14ac:dyDescent="0.4">
      <c r="C31" s="226">
        <v>24</v>
      </c>
      <c r="J31" s="248">
        <v>436</v>
      </c>
      <c r="K31" s="249">
        <v>349</v>
      </c>
    </row>
    <row r="32" spans="2:12" ht="18" thickBot="1" x14ac:dyDescent="0.45">
      <c r="C32" s="226">
        <v>24</v>
      </c>
      <c r="J32" s="252">
        <v>436</v>
      </c>
      <c r="K32" s="253">
        <v>349</v>
      </c>
    </row>
    <row r="33" spans="3:3" x14ac:dyDescent="0.4">
      <c r="C33" s="226">
        <v>18</v>
      </c>
    </row>
    <row r="34" spans="3:3" x14ac:dyDescent="0.4">
      <c r="C34" s="226">
        <v>13</v>
      </c>
    </row>
    <row r="35" spans="3:3" x14ac:dyDescent="0.4">
      <c r="C35" s="226">
        <v>18</v>
      </c>
    </row>
    <row r="36" spans="3:3" x14ac:dyDescent="0.4">
      <c r="C36" s="226">
        <v>13</v>
      </c>
    </row>
    <row r="37" spans="3:3" x14ac:dyDescent="0.4">
      <c r="C37" s="226">
        <v>55</v>
      </c>
    </row>
    <row r="38" spans="3:3" x14ac:dyDescent="0.4">
      <c r="C38" s="226">
        <v>17</v>
      </c>
    </row>
    <row r="39" spans="3:3" x14ac:dyDescent="0.4">
      <c r="C39" s="226">
        <v>19</v>
      </c>
    </row>
    <row r="40" spans="3:3" x14ac:dyDescent="0.4">
      <c r="C40" s="226">
        <v>15</v>
      </c>
    </row>
    <row r="41" spans="3:3" x14ac:dyDescent="0.4">
      <c r="C41" s="226">
        <v>30</v>
      </c>
    </row>
    <row r="42" spans="3:3" x14ac:dyDescent="0.4">
      <c r="C42" s="226">
        <v>46</v>
      </c>
    </row>
    <row r="43" spans="3:3" x14ac:dyDescent="0.4">
      <c r="C43" s="226">
        <v>564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Npm</vt:lpstr>
      <vt:lpstr>DPM표</vt:lpstr>
      <vt:lpstr>자료 비교</vt:lpstr>
      <vt:lpstr>스펙1</vt:lpstr>
      <vt:lpstr>유저 자료</vt:lpstr>
      <vt:lpstr>졸업템 스펙 정리</vt:lpstr>
      <vt:lpstr>스근님 법사 스펙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jsh</dc:creator>
  <cp:lastModifiedBy>jsh</cp:lastModifiedBy>
  <dcterms:created xsi:type="dcterms:W3CDTF">2020-05-26T02:31:13Z</dcterms:created>
  <dcterms:modified xsi:type="dcterms:W3CDTF">2020-08-20T05:54:41Z</dcterms:modified>
</cp:coreProperties>
</file>