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Sassi\Documents\modOpt\scripts\ParameterTests\resolution\"/>
    </mc:Choice>
  </mc:AlternateContent>
  <xr:revisionPtr revIDLastSave="0" documentId="13_ncr:1_{50BC679A-CA6E-4191-92A1-D9DA1B1AC8F4}" xr6:coauthVersionLast="40" xr6:coauthVersionMax="40" xr10:uidLastSave="{00000000-0000-0000-0000-000000000000}"/>
  <bookViews>
    <workbookView xWindow="-103" yWindow="-103" windowWidth="27634" windowHeight="15034" activeTab="1" xr2:uid="{00000000-000D-0000-FFFF-FFFF00000000}"/>
  </bookViews>
  <sheets>
    <sheet name="ResolutionTests" sheetId="1" r:id="rId1"/>
    <sheet name="Tabelle3" sheetId="4" r:id="rId2"/>
    <sheet name="Tabelle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5" i="1" l="1"/>
  <c r="K45" i="1" s="1"/>
  <c r="H42" i="1"/>
  <c r="H43" i="1"/>
  <c r="H41" i="1"/>
  <c r="H44" i="1"/>
  <c r="G46" i="1"/>
  <c r="G43" i="1"/>
  <c r="G44" i="1"/>
  <c r="G42" i="1"/>
  <c r="G41" i="1"/>
  <c r="G45" i="1"/>
  <c r="E45" i="1"/>
  <c r="E41" i="1"/>
  <c r="I39" i="1"/>
  <c r="I36" i="1"/>
  <c r="I38" i="1"/>
  <c r="I37" i="1"/>
  <c r="I40" i="1"/>
  <c r="H39" i="1"/>
  <c r="H38" i="1"/>
  <c r="H37" i="1"/>
  <c r="H36" i="1"/>
  <c r="H40" i="1"/>
  <c r="G40" i="1"/>
  <c r="G36" i="1"/>
  <c r="G38" i="1"/>
  <c r="G37" i="1"/>
  <c r="G39" i="1"/>
  <c r="I34" i="1"/>
  <c r="I35" i="1"/>
  <c r="I32" i="1"/>
  <c r="I33" i="1"/>
  <c r="I30" i="1"/>
  <c r="I29" i="1"/>
  <c r="I28" i="1"/>
  <c r="I27" i="1"/>
  <c r="I26" i="1"/>
  <c r="I25" i="1"/>
  <c r="I23" i="1"/>
  <c r="I24" i="1"/>
  <c r="I31" i="1"/>
  <c r="H30" i="1"/>
  <c r="H29" i="1"/>
  <c r="H27" i="1"/>
  <c r="H28" i="1"/>
  <c r="H25" i="1"/>
  <c r="H26" i="1"/>
  <c r="H24" i="1"/>
  <c r="H23" i="1"/>
  <c r="H31" i="1"/>
  <c r="H33" i="1"/>
  <c r="H32" i="1"/>
  <c r="H35" i="1"/>
  <c r="H34" i="1"/>
  <c r="G34" i="1"/>
  <c r="G32" i="1"/>
  <c r="G33" i="1"/>
  <c r="G35" i="1"/>
  <c r="G29" i="1"/>
  <c r="G30" i="1"/>
  <c r="G28" i="1"/>
  <c r="G27" i="1"/>
  <c r="G31" i="1"/>
  <c r="G26" i="1"/>
  <c r="G25" i="1"/>
  <c r="G24" i="1"/>
  <c r="K24" i="1" s="1"/>
  <c r="G23" i="1"/>
  <c r="E34" i="1"/>
  <c r="E33" i="1"/>
  <c r="E32" i="1"/>
  <c r="E31" i="1"/>
  <c r="E30" i="1"/>
  <c r="E35" i="1"/>
  <c r="E29" i="1"/>
  <c r="E28" i="1"/>
  <c r="E27" i="1"/>
  <c r="E26" i="1"/>
  <c r="E25" i="1"/>
  <c r="E24" i="1"/>
  <c r="E23" i="1"/>
  <c r="K27" i="1"/>
  <c r="K28" i="1"/>
  <c r="K29" i="1"/>
  <c r="K30" i="1"/>
  <c r="K31" i="1"/>
  <c r="K32" i="1"/>
  <c r="K33" i="1"/>
  <c r="K34" i="1"/>
  <c r="K35" i="1"/>
  <c r="K18" i="1"/>
  <c r="K19" i="1"/>
  <c r="K20" i="1"/>
  <c r="K21" i="1"/>
  <c r="K22" i="1"/>
  <c r="K23" i="1"/>
  <c r="K25" i="1"/>
  <c r="K26" i="1"/>
  <c r="K36" i="1"/>
  <c r="K37" i="1"/>
  <c r="K38" i="1"/>
  <c r="K39" i="1"/>
  <c r="K40" i="1"/>
  <c r="K41" i="1"/>
  <c r="K42" i="1"/>
  <c r="K43" i="1"/>
  <c r="K44" i="1"/>
  <c r="K46" i="1"/>
  <c r="K47" i="1"/>
  <c r="K48" i="1"/>
  <c r="K49" i="1"/>
  <c r="K50" i="1"/>
  <c r="K51" i="1"/>
  <c r="K52" i="1"/>
  <c r="K53" i="1"/>
  <c r="K54" i="1"/>
  <c r="K55" i="1"/>
  <c r="K14" i="1"/>
  <c r="K15" i="1"/>
  <c r="K16" i="1"/>
  <c r="K17" i="1"/>
  <c r="K13" i="1"/>
  <c r="E36" i="1" l="1"/>
  <c r="E37" i="1"/>
  <c r="E38" i="1"/>
  <c r="E39" i="1"/>
  <c r="E40" i="1"/>
  <c r="E22" i="1"/>
  <c r="E21" i="1"/>
  <c r="E20" i="1"/>
  <c r="E19" i="1"/>
  <c r="E18" i="1"/>
  <c r="E17" i="1"/>
  <c r="E16" i="1"/>
  <c r="E15" i="1"/>
  <c r="E14" i="1"/>
  <c r="E1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CF79A9-83B9-4983-B70E-5FA88221F703}" keepAlive="1" name="Abfrage - Reactor_r3_analysis" description="Verbindung mit der Abfrage 'Reactor_r3_analysis' in der Arbeitsmappe." type="5" refreshedVersion="6" background="1">
    <dbPr connection="Provider=Microsoft.Mashup.OleDb.1;Data Source=$Workbook$;Location=Reactor_r3_analysis;Extended Properties=&quot;&quot;" command="SELECT * FROM [Reactor_r3_analysis]"/>
  </connection>
  <connection id="2" xr16:uid="{B99D3BA2-0E84-42BC-979D-0DB513FCB70C}" keepAlive="1" name="Abfrage - Reactor_r3_analysis (2)" description="Verbindung mit der Abfrage 'Reactor_r3_analysis (2)' in der Arbeitsmappe." type="5" refreshedVersion="6" background="1">
    <dbPr connection="Provider=Microsoft.Mashup.OleDb.1;Data Source=$Workbook$;Location=Reactor_r3_analysis (2);Extended Properties=&quot;&quot;" command="SELECT * FROM [Reactor_r3_analysis (2)]"/>
  </connection>
</connections>
</file>

<file path=xl/sharedStrings.xml><?xml version="1.0" encoding="utf-8"?>
<sst xmlns="http://schemas.openxmlformats.org/spreadsheetml/2006/main" count="310" uniqueCount="151">
  <si>
    <t>Model</t>
  </si>
  <si>
    <t>MBFlash</t>
  </si>
  <si>
    <t>ID</t>
  </si>
  <si>
    <t>Quadratic</t>
  </si>
  <si>
    <t>VanDerWaals</t>
  </si>
  <si>
    <t>HeatEx</t>
  </si>
  <si>
    <t>Reactor</t>
  </si>
  <si>
    <t>Deiso20</t>
  </si>
  <si>
    <t>Dimension</t>
  </si>
  <si>
    <t>Model-Data</t>
  </si>
  <si>
    <t>Efficiency</t>
  </si>
  <si>
    <t>Reduction</t>
  </si>
  <si>
    <t>Resolution</t>
  </si>
  <si>
    <t>hyperCubeLengthFraction</t>
  </si>
  <si>
    <t>SolvedVariables</t>
  </si>
  <si>
    <t>Time 1</t>
  </si>
  <si>
    <t>Time 3</t>
  </si>
  <si>
    <t>Time 2</t>
  </si>
  <si>
    <t>Flash</t>
  </si>
  <si>
    <t>iterNo</t>
  </si>
  <si>
    <t>in seconds</t>
  </si>
  <si>
    <t>Settings</t>
  </si>
  <si>
    <t>iterMax</t>
  </si>
  <si>
    <t>absX</t>
  </si>
  <si>
    <t>absF</t>
  </si>
  <si>
    <t>absOut</t>
  </si>
  <si>
    <t>relF</t>
  </si>
  <si>
    <t>relOut</t>
  </si>
  <si>
    <t>relX</t>
  </si>
  <si>
    <t>***** Results of Analysis *****</t>
  </si>
  <si>
    <t>Variables</t>
  </si>
  <si>
    <t>VarBounds_0</t>
  </si>
  <si>
    <t>VarBoundFraction</t>
  </si>
  <si>
    <t>VarboundSetFraction</t>
  </si>
  <si>
    <t>HypercubicLengthFraction</t>
  </si>
  <si>
    <t>lmax</t>
  </si>
  <si>
    <t>Average</t>
  </si>
  <si>
    <t>PC</t>
  </si>
  <si>
    <t>Home</t>
  </si>
  <si>
    <t>3,3</t>
  </si>
  <si>
    <t>Cluster</t>
  </si>
  <si>
    <t>e0_greek_DeltaT_logsh</t>
  </si>
  <si>
    <t>e0_Q_sh</t>
  </si>
  <si>
    <t>e0_HU_hnph2_i1</t>
  </si>
  <si>
    <t>e0_HU_hnph2_i2</t>
  </si>
  <si>
    <t>e0_K_hinph2_i1</t>
  </si>
  <si>
    <t>e0_K_hinph2_i2</t>
  </si>
  <si>
    <t>e0_K_houtph2_i1</t>
  </si>
  <si>
    <t>e0_K_houtph2_i2</t>
  </si>
  <si>
    <t>e0_Q_ph2</t>
  </si>
  <si>
    <t>e0_T_coutsc</t>
  </si>
  <si>
    <t>e0_T_hinsc</t>
  </si>
  <si>
    <t>e0_U_hph2</t>
  </si>
  <si>
    <t>e0_T_coutph2</t>
  </si>
  <si>
    <t>e0_V_Lhph2</t>
  </si>
  <si>
    <t>e0_V_Vhph2</t>
  </si>
  <si>
    <t>e0_h_Lhinnph2</t>
  </si>
  <si>
    <t>e0_h_hinnsc</t>
  </si>
  <si>
    <t>e0_T_coutsh</t>
  </si>
  <si>
    <t>e0_h_Vhnoutph2</t>
  </si>
  <si>
    <t>e0_h_cnoutsc</t>
  </si>
  <si>
    <t>e0_T_hinph2</t>
  </si>
  <si>
    <t>e0_x_coutsc_k1</t>
  </si>
  <si>
    <t xml:space="preserve">solved </t>
  </si>
  <si>
    <t>solved</t>
  </si>
  <si>
    <t>e0_x_hinph2_i1</t>
  </si>
  <si>
    <t>e0_x_hinph2_i2</t>
  </si>
  <si>
    <t>e0_x_hinsc_i1</t>
  </si>
  <si>
    <t>e0_x_hinsc_i2</t>
  </si>
  <si>
    <t>e0_y_houtph2_i1</t>
  </si>
  <si>
    <t>e0_y_houtph2_i2</t>
  </si>
  <si>
    <t>e0_U_hsh</t>
  </si>
  <si>
    <t>e0_V_hsh</t>
  </si>
  <si>
    <t>e0_greek_DeltaT_logsc</t>
  </si>
  <si>
    <t>e0_greek_rho_Lhnoutsc</t>
  </si>
  <si>
    <t>e0_A_sc</t>
  </si>
  <si>
    <t>e0_F_hnoutsc</t>
  </si>
  <si>
    <t>e0_HU_hnsc</t>
  </si>
  <si>
    <t>e0_HU_hnsc_i1</t>
  </si>
  <si>
    <t>e0_HU_hnsc_i2</t>
  </si>
  <si>
    <t>e0_Q_sc</t>
  </si>
  <si>
    <t>e0_T_houtsc</t>
  </si>
  <si>
    <t>e0_U_hsc</t>
  </si>
  <si>
    <t>e0_V_hsc</t>
  </si>
  <si>
    <t>e0_A_sh</t>
  </si>
  <si>
    <t>e0_h_cnoutph2</t>
  </si>
  <si>
    <t>e0_h_cinnsc</t>
  </si>
  <si>
    <t>e0_h_hnoutsc</t>
  </si>
  <si>
    <t>e0_h_cnoutsh</t>
  </si>
  <si>
    <t>e0_h_hinnsh</t>
  </si>
  <si>
    <t>e0_x_houtsc_i1</t>
  </si>
  <si>
    <t>e0_x_houtsc_i2</t>
  </si>
  <si>
    <t>e0_A</t>
  </si>
  <si>
    <t>e0_A_V</t>
  </si>
  <si>
    <t>e0_A_aux</t>
  </si>
  <si>
    <t>e0_A_auxsc</t>
  </si>
  <si>
    <t>e0_A_auxsh</t>
  </si>
  <si>
    <t>e0_H_sctotal</t>
  </si>
  <si>
    <t>e0_H_shtotal</t>
  </si>
  <si>
    <t>e0_N_Lpph2</t>
  </si>
  <si>
    <t>e0_N_psc</t>
  </si>
  <si>
    <t>e0_N_psh</t>
  </si>
  <si>
    <t>e0_V</t>
  </si>
  <si>
    <t>e0_V_L</t>
  </si>
  <si>
    <t>e0_V_Lpph2</t>
  </si>
  <si>
    <t>e0_V_Lph2total</t>
  </si>
  <si>
    <t>e0_V_Ltotal</t>
  </si>
  <si>
    <t>e0_V_Vh</t>
  </si>
  <si>
    <t>e0_V_Vpph2</t>
  </si>
  <si>
    <t>e0_V_Vph2total</t>
  </si>
  <si>
    <t>e0_V_Vtotal</t>
  </si>
  <si>
    <t>e0_V_psc</t>
  </si>
  <si>
    <t>e0_V_psh</t>
  </si>
  <si>
    <t>e0_V_sctotal</t>
  </si>
  <si>
    <t>e0_V_shtotal</t>
  </si>
  <si>
    <t>e0_h_Vhinnph2</t>
  </si>
  <si>
    <t>e0_F_cnoutph2</t>
  </si>
  <si>
    <t>e0_x_coutph2_k1</t>
  </si>
  <si>
    <t>e0_x_coutsh_k1</t>
  </si>
  <si>
    <t>e0_y_hinph2_i1</t>
  </si>
  <si>
    <t>e0_y_hinph2_i2</t>
  </si>
  <si>
    <t>e0_F_cnoutsh</t>
  </si>
  <si>
    <t>e0_F_Vhinnph2</t>
  </si>
  <si>
    <t>e0_HU_hnsh</t>
  </si>
  <si>
    <t>e0_greek_DeltaT_logph2</t>
  </si>
  <si>
    <t>e0_greek_alpha_hinph2wilson_i1</t>
  </si>
  <si>
    <t>e0_greek_alpha_hinph2wilson_i2</t>
  </si>
  <si>
    <t>e0_greek_alpha_houtph2wilson_i1</t>
  </si>
  <si>
    <t>e0_HU_hnsh_i1</t>
  </si>
  <si>
    <t>e0_greek_alpha_houtph2wilson_i2</t>
  </si>
  <si>
    <t>e0_greek_gamma_hinph2_i1</t>
  </si>
  <si>
    <t>e0_greek_gamma_hinph2_i2</t>
  </si>
  <si>
    <t>e0_greek_gamma_houtph2_i1</t>
  </si>
  <si>
    <t>e0_greek_gamma_houtph2_i2</t>
  </si>
  <si>
    <t>e0_HU_hnsh_i2</t>
  </si>
  <si>
    <t>e0_greek_rho_Lhnoutph2</t>
  </si>
  <si>
    <t>e0_A_ph2</t>
  </si>
  <si>
    <t>e0_F_hinnsc</t>
  </si>
  <si>
    <t>e0_F_cnoutsc</t>
  </si>
  <si>
    <t>e0_HU_Lhnph2</t>
  </si>
  <si>
    <t>e0_HU_Vhnph2</t>
  </si>
  <si>
    <t>Following Variables have been solved:</t>
  </si>
  <si>
    <t>e0_x_coutsc_k1 (VarBound_0)</t>
  </si>
  <si>
    <t>e0_x_coutph2_k1 (VarBound_0)</t>
  </si>
  <si>
    <t>e0_x_coutsh_k1 (VarBound_0)</t>
  </si>
  <si>
    <t>r=10</t>
  </si>
  <si>
    <t>r=50</t>
  </si>
  <si>
    <t>VarBounds_1</t>
  </si>
  <si>
    <t>e0_x_coutsc_k1 (VarBound_1)</t>
  </si>
  <si>
    <t>e0_x_coutph2_k1 (VarBound_1)</t>
  </si>
  <si>
    <t>e0_x_coutsh_k1 (VarBound_1)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</si>
</sst>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E+00"/>
    <numFmt numFmtId="166" formatCode="0.000000000000000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Fill="1" applyBorder="1"/>
    <xf numFmtId="0" fontId="2" fillId="0" borderId="3" xfId="0" applyFont="1" applyFill="1" applyBorder="1"/>
    <xf numFmtId="0" fontId="2" fillId="0" borderId="4" xfId="0" applyFont="1" applyFill="1" applyBorder="1"/>
    <xf numFmtId="0" fontId="0" fillId="0" borderId="0" xfId="0" applyFill="1" applyBorder="1"/>
    <xf numFmtId="0" fontId="0" fillId="0" borderId="6" xfId="0" applyBorder="1"/>
    <xf numFmtId="0" fontId="0" fillId="0" borderId="7" xfId="0" applyBorder="1"/>
    <xf numFmtId="11" fontId="0" fillId="0" borderId="0" xfId="0" applyNumberFormat="1"/>
    <xf numFmtId="164" fontId="0" fillId="0" borderId="0" xfId="0" applyNumberFormat="1"/>
    <xf numFmtId="164" fontId="0" fillId="0" borderId="2" xfId="0" applyNumberFormat="1" applyBorder="1"/>
    <xf numFmtId="164" fontId="0" fillId="0" borderId="0" xfId="0" applyNumberFormat="1" applyFill="1" applyBorder="1"/>
    <xf numFmtId="0" fontId="2" fillId="0" borderId="6" xfId="0" applyFont="1" applyBorder="1"/>
    <xf numFmtId="0" fontId="0" fillId="0" borderId="8" xfId="0" applyBorder="1"/>
    <xf numFmtId="0" fontId="2" fillId="0" borderId="0" xfId="0" applyFont="1"/>
    <xf numFmtId="11" fontId="0" fillId="0" borderId="2" xfId="0" applyNumberFormat="1" applyBorder="1"/>
    <xf numFmtId="11" fontId="0" fillId="0" borderId="9" xfId="0" applyNumberFormat="1" applyBorder="1"/>
    <xf numFmtId="11" fontId="0" fillId="0" borderId="0" xfId="0" applyNumberFormat="1" applyBorder="1"/>
    <xf numFmtId="0" fontId="3" fillId="0" borderId="0" xfId="0" applyFont="1" applyBorder="1"/>
    <xf numFmtId="164" fontId="4" fillId="0" borderId="2" xfId="0" applyNumberFormat="1" applyFont="1" applyBorder="1"/>
    <xf numFmtId="3" fontId="0" fillId="0" borderId="0" xfId="0" applyNumberFormat="1"/>
    <xf numFmtId="0" fontId="0" fillId="0" borderId="2" xfId="0" applyFill="1" applyBorder="1"/>
    <xf numFmtId="0" fontId="3" fillId="0" borderId="0" xfId="0" applyFont="1" applyFill="1" applyBorder="1"/>
    <xf numFmtId="0" fontId="0" fillId="0" borderId="9" xfId="0" applyBorder="1"/>
    <xf numFmtId="0" fontId="1" fillId="0" borderId="0" xfId="0" applyFont="1" applyBorder="1"/>
    <xf numFmtId="0" fontId="0" fillId="0" borderId="0" xfId="0" applyNumberFormat="1"/>
    <xf numFmtId="166" fontId="0" fillId="0" borderId="0" xfId="0" applyNumberFormat="1"/>
    <xf numFmtId="16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5"/>
  <sheetViews>
    <sheetView topLeftCell="A12" zoomScale="80" zoomScaleNormal="80" workbookViewId="0">
      <selection activeCell="B43" sqref="B43"/>
    </sheetView>
  </sheetViews>
  <sheetFormatPr baseColWidth="10" defaultRowHeight="14.6" x14ac:dyDescent="0.4"/>
  <cols>
    <col min="1" max="1" width="13.15234375" customWidth="1"/>
    <col min="5" max="5" width="26.3046875" style="13" customWidth="1"/>
    <col min="6" max="6" width="16.69140625" customWidth="1"/>
    <col min="14" max="14" width="12" bestFit="1" customWidth="1"/>
  </cols>
  <sheetData>
    <row r="1" spans="1:21" x14ac:dyDescent="0.4">
      <c r="A1" s="16"/>
      <c r="B1" s="3"/>
      <c r="C1" s="1"/>
      <c r="E1"/>
    </row>
    <row r="2" spans="1:21" x14ac:dyDescent="0.4">
      <c r="A2" s="2"/>
      <c r="B2" s="1"/>
      <c r="C2" s="1"/>
      <c r="E2"/>
    </row>
    <row r="3" spans="1:21" x14ac:dyDescent="0.4">
      <c r="A3" s="2"/>
      <c r="B3" s="12"/>
    </row>
    <row r="4" spans="1:21" x14ac:dyDescent="0.4">
      <c r="A4" s="2"/>
      <c r="B4" s="12"/>
    </row>
    <row r="5" spans="1:21" x14ac:dyDescent="0.4">
      <c r="A5" s="2"/>
      <c r="B5" s="12"/>
    </row>
    <row r="6" spans="1:21" x14ac:dyDescent="0.4">
      <c r="A6" s="2"/>
      <c r="B6" s="12"/>
    </row>
    <row r="7" spans="1:21" x14ac:dyDescent="0.4">
      <c r="A7" s="2"/>
      <c r="B7" s="12"/>
    </row>
    <row r="8" spans="1:21" x14ac:dyDescent="0.4">
      <c r="A8" s="2"/>
      <c r="B8" s="12"/>
    </row>
    <row r="10" spans="1:21" x14ac:dyDescent="0.4">
      <c r="A10" s="1" t="s">
        <v>9</v>
      </c>
      <c r="B10" s="1"/>
      <c r="C10" s="2"/>
      <c r="D10" t="s">
        <v>11</v>
      </c>
      <c r="E10"/>
      <c r="F10" s="2"/>
      <c r="G10" t="s">
        <v>10</v>
      </c>
      <c r="H10" t="s">
        <v>20</v>
      </c>
      <c r="K10" s="12"/>
      <c r="M10" s="18" t="s">
        <v>21</v>
      </c>
    </row>
    <row r="11" spans="1:21" x14ac:dyDescent="0.4">
      <c r="A11" s="1"/>
      <c r="B11" s="1"/>
      <c r="C11" s="2"/>
      <c r="E11"/>
      <c r="F11" s="2"/>
    </row>
    <row r="12" spans="1:21" x14ac:dyDescent="0.4">
      <c r="A12" s="4" t="s">
        <v>0</v>
      </c>
      <c r="B12" s="4" t="s">
        <v>2</v>
      </c>
      <c r="C12" s="5" t="s">
        <v>8</v>
      </c>
      <c r="D12" s="7" t="s">
        <v>12</v>
      </c>
      <c r="E12" s="7" t="s">
        <v>13</v>
      </c>
      <c r="F12" s="8" t="s">
        <v>14</v>
      </c>
      <c r="G12" s="6" t="s">
        <v>15</v>
      </c>
      <c r="H12" s="7" t="s">
        <v>17</v>
      </c>
      <c r="I12" s="7" t="s">
        <v>16</v>
      </c>
      <c r="J12" s="7" t="s">
        <v>19</v>
      </c>
      <c r="K12" s="7" t="s">
        <v>36</v>
      </c>
      <c r="M12" s="7" t="s">
        <v>22</v>
      </c>
      <c r="N12" s="7" t="s">
        <v>24</v>
      </c>
      <c r="O12" s="7" t="s">
        <v>25</v>
      </c>
      <c r="P12" s="5" t="s">
        <v>23</v>
      </c>
      <c r="Q12" s="7" t="s">
        <v>26</v>
      </c>
      <c r="R12" s="7" t="s">
        <v>27</v>
      </c>
      <c r="S12" s="7" t="s">
        <v>28</v>
      </c>
      <c r="T12" s="7" t="s">
        <v>35</v>
      </c>
      <c r="U12" s="7" t="s">
        <v>37</v>
      </c>
    </row>
    <row r="13" spans="1:21" x14ac:dyDescent="0.4">
      <c r="A13" s="22" t="s">
        <v>1</v>
      </c>
      <c r="B13" s="1">
        <v>108873</v>
      </c>
      <c r="C13" s="2">
        <v>5</v>
      </c>
      <c r="D13" s="1">
        <v>3</v>
      </c>
      <c r="E13" s="13">
        <f>1.96058479876E-11</f>
        <v>1.9605847987599999E-11</v>
      </c>
      <c r="F13" s="2">
        <v>0</v>
      </c>
      <c r="G13" s="9">
        <v>0.118933669526</v>
      </c>
      <c r="H13">
        <v>0.11427651360799999</v>
      </c>
      <c r="I13">
        <v>0.113651710596</v>
      </c>
      <c r="J13">
        <v>4</v>
      </c>
      <c r="K13">
        <f>AVERAGE(G13:I13)</f>
        <v>0.11562063124333333</v>
      </c>
      <c r="M13">
        <v>15</v>
      </c>
      <c r="N13" s="12">
        <v>2.2199999999999999E-14</v>
      </c>
      <c r="O13" s="12">
        <v>2.2199999999999999E-14</v>
      </c>
      <c r="P13" s="12">
        <v>2.2199999999999999E-14</v>
      </c>
      <c r="Q13" s="12">
        <v>2.2200000000000001E-2</v>
      </c>
      <c r="R13" s="12">
        <v>2.2199999999999999E-14</v>
      </c>
      <c r="S13" s="12">
        <v>2.2199999999999999E-14</v>
      </c>
      <c r="T13" s="12">
        <v>3</v>
      </c>
      <c r="U13" t="s">
        <v>38</v>
      </c>
    </row>
    <row r="14" spans="1:21" x14ac:dyDescent="0.4">
      <c r="C14" s="2"/>
      <c r="D14">
        <v>10</v>
      </c>
      <c r="E14" s="13">
        <f>1.96058479876E-11</f>
        <v>1.9605847987599999E-11</v>
      </c>
      <c r="F14" s="2">
        <v>0</v>
      </c>
      <c r="G14" s="9">
        <v>0.14964866056600001</v>
      </c>
      <c r="H14">
        <v>0.15940260107900001</v>
      </c>
      <c r="I14">
        <v>0.24457253167599999</v>
      </c>
      <c r="J14">
        <v>4</v>
      </c>
      <c r="K14">
        <f t="shared" ref="K14:K47" si="0">AVERAGE(G14:I14)</f>
        <v>0.18454126444033334</v>
      </c>
      <c r="M14">
        <v>15</v>
      </c>
      <c r="N14" s="12">
        <v>2.2199999999999999E-14</v>
      </c>
      <c r="O14" s="12">
        <v>2.2199999999999999E-14</v>
      </c>
      <c r="P14" s="12">
        <v>2.2199999999999999E-14</v>
      </c>
      <c r="Q14" s="12">
        <v>2.2200000000000001E-2</v>
      </c>
      <c r="R14" s="12">
        <v>2.2199999999999999E-14</v>
      </c>
      <c r="S14" s="12">
        <v>2.2199999999999999E-14</v>
      </c>
      <c r="T14" s="12">
        <v>3</v>
      </c>
      <c r="U14" t="s">
        <v>38</v>
      </c>
    </row>
    <row r="15" spans="1:21" x14ac:dyDescent="0.4">
      <c r="C15" s="2"/>
      <c r="D15">
        <v>50</v>
      </c>
      <c r="E15" s="13">
        <f>1.96058479876E-11</f>
        <v>1.9605847987599999E-11</v>
      </c>
      <c r="F15" s="2">
        <v>0</v>
      </c>
      <c r="G15">
        <v>0.164243648371</v>
      </c>
      <c r="H15">
        <v>0.17048996787099999</v>
      </c>
      <c r="I15">
        <v>0.20437387767500001</v>
      </c>
      <c r="J15">
        <v>4</v>
      </c>
      <c r="K15">
        <f t="shared" si="0"/>
        <v>0.17970249797233331</v>
      </c>
      <c r="M15">
        <v>15</v>
      </c>
      <c r="N15" s="12">
        <v>2.2199999999999999E-14</v>
      </c>
      <c r="O15" s="12">
        <v>2.2199999999999999E-14</v>
      </c>
      <c r="P15" s="12">
        <v>2.2199999999999999E-14</v>
      </c>
      <c r="Q15" s="12">
        <v>2.2200000000000001E-2</v>
      </c>
      <c r="R15" s="12">
        <v>2.2199999999999999E-14</v>
      </c>
      <c r="S15" s="12">
        <v>2.2199999999999999E-14</v>
      </c>
      <c r="T15" s="12">
        <v>3</v>
      </c>
      <c r="U15" t="s">
        <v>38</v>
      </c>
    </row>
    <row r="16" spans="1:21" x14ac:dyDescent="0.4">
      <c r="C16" s="2"/>
      <c r="D16">
        <v>100</v>
      </c>
      <c r="E16" s="13">
        <f>1.96058479876E-11</f>
        <v>1.9605847987599999E-11</v>
      </c>
      <c r="F16" s="2">
        <v>0</v>
      </c>
      <c r="G16">
        <v>0.15603182945800001</v>
      </c>
      <c r="H16">
        <v>0.20231985381100001</v>
      </c>
      <c r="I16">
        <v>0.17786743313699999</v>
      </c>
      <c r="J16">
        <v>4</v>
      </c>
      <c r="K16">
        <f t="shared" si="0"/>
        <v>0.17873970546866666</v>
      </c>
      <c r="M16">
        <v>15</v>
      </c>
      <c r="N16" s="12">
        <v>2.2199999999999999E-14</v>
      </c>
      <c r="O16" s="12">
        <v>2.2199999999999999E-14</v>
      </c>
      <c r="P16" s="12">
        <v>2.2199999999999999E-14</v>
      </c>
      <c r="Q16" s="12">
        <v>2.2200000000000001E-2</v>
      </c>
      <c r="R16" s="12">
        <v>2.2199999999999999E-14</v>
      </c>
      <c r="S16" s="12">
        <v>2.2199999999999999E-14</v>
      </c>
      <c r="T16" s="12">
        <v>3</v>
      </c>
      <c r="U16" t="s">
        <v>38</v>
      </c>
    </row>
    <row r="17" spans="1:21" x14ac:dyDescent="0.4">
      <c r="A17" s="3"/>
      <c r="B17" s="3"/>
      <c r="C17" s="10"/>
      <c r="D17" s="3">
        <v>500</v>
      </c>
      <c r="E17" s="14">
        <f>1.96058479876E-11</f>
        <v>1.9605847987599999E-11</v>
      </c>
      <c r="F17" s="10">
        <v>0</v>
      </c>
      <c r="G17" s="3">
        <v>0.162792617147</v>
      </c>
      <c r="H17" s="3">
        <v>0.203511298842</v>
      </c>
      <c r="I17" s="3">
        <v>0.24778763711099999</v>
      </c>
      <c r="J17" s="3">
        <v>4</v>
      </c>
      <c r="K17" s="3">
        <f t="shared" si="0"/>
        <v>0.20469718436666665</v>
      </c>
      <c r="M17" s="3">
        <v>15</v>
      </c>
      <c r="N17" s="19">
        <v>2.2199999999999999E-14</v>
      </c>
      <c r="O17" s="19">
        <v>2.2199999999999999E-14</v>
      </c>
      <c r="P17" s="19">
        <v>2.2199999999999999E-14</v>
      </c>
      <c r="Q17" s="19">
        <v>2.2200000000000001E-2</v>
      </c>
      <c r="R17" s="19">
        <v>2.2199999999999999E-14</v>
      </c>
      <c r="S17" s="19">
        <v>2.2199999999999999E-14</v>
      </c>
      <c r="T17" s="19">
        <v>3</v>
      </c>
      <c r="U17" t="s">
        <v>38</v>
      </c>
    </row>
    <row r="18" spans="1:21" x14ac:dyDescent="0.4">
      <c r="A18" s="22" t="s">
        <v>3</v>
      </c>
      <c r="B18" s="1">
        <v>108880</v>
      </c>
      <c r="C18" s="11">
        <v>2</v>
      </c>
      <c r="D18" s="1">
        <v>3</v>
      </c>
      <c r="E18" s="15">
        <f>4.67476737808E-10</f>
        <v>4.6747673780799999E-10</v>
      </c>
      <c r="F18" s="11">
        <v>0</v>
      </c>
      <c r="G18" s="9">
        <v>0.22725808983099999</v>
      </c>
      <c r="H18">
        <v>0.22420506539500001</v>
      </c>
      <c r="I18">
        <v>0.226817178191</v>
      </c>
      <c r="J18" s="9">
        <v>15</v>
      </c>
      <c r="K18">
        <f t="shared" si="0"/>
        <v>0.22609344447233334</v>
      </c>
      <c r="M18">
        <v>15</v>
      </c>
      <c r="N18" s="12">
        <v>2.2199999999999999E-14</v>
      </c>
      <c r="O18" s="12">
        <v>2.2199999999999999E-14</v>
      </c>
      <c r="P18" s="12">
        <v>2.2199999999999999E-14</v>
      </c>
      <c r="Q18" s="12">
        <v>2.2200000000000001E-2</v>
      </c>
      <c r="R18" s="12">
        <v>2.2199999999999999E-14</v>
      </c>
      <c r="S18" s="12">
        <v>2.2199999999999999E-14</v>
      </c>
      <c r="T18" s="12">
        <v>3</v>
      </c>
      <c r="U18" s="27" t="s">
        <v>38</v>
      </c>
    </row>
    <row r="19" spans="1:21" x14ac:dyDescent="0.4">
      <c r="C19" s="2"/>
      <c r="D19">
        <v>10</v>
      </c>
      <c r="E19" s="15">
        <f>4.67476737808E-10</f>
        <v>4.6747673780799999E-10</v>
      </c>
      <c r="F19" s="2">
        <v>0</v>
      </c>
      <c r="G19" s="9">
        <v>0.31151112949100002</v>
      </c>
      <c r="H19">
        <v>0.326428568679</v>
      </c>
      <c r="I19">
        <v>0.43429710944200001</v>
      </c>
      <c r="J19" s="9">
        <v>15</v>
      </c>
      <c r="K19">
        <f t="shared" si="0"/>
        <v>0.35741226920400004</v>
      </c>
      <c r="M19">
        <v>15</v>
      </c>
      <c r="N19" s="12">
        <v>2.2199999999999999E-14</v>
      </c>
      <c r="O19" s="12">
        <v>2.2199999999999999E-14</v>
      </c>
      <c r="P19" s="12">
        <v>2.2199999999999999E-14</v>
      </c>
      <c r="Q19" s="12">
        <v>2.2200000000000001E-2</v>
      </c>
      <c r="R19" s="12">
        <v>2.2199999999999999E-14</v>
      </c>
      <c r="S19" s="12">
        <v>2.2199999999999999E-14</v>
      </c>
      <c r="T19" s="12">
        <v>3</v>
      </c>
      <c r="U19" t="s">
        <v>38</v>
      </c>
    </row>
    <row r="20" spans="1:21" x14ac:dyDescent="0.4">
      <c r="C20" s="2"/>
      <c r="D20">
        <v>50</v>
      </c>
      <c r="E20" s="13">
        <f>4.67476737808E-10</f>
        <v>4.6747673780799999E-10</v>
      </c>
      <c r="F20" s="2">
        <v>0</v>
      </c>
      <c r="G20" s="9">
        <v>0.32086435787500001</v>
      </c>
      <c r="H20">
        <v>0.35068170242399999</v>
      </c>
      <c r="I20">
        <v>0.39352924749500001</v>
      </c>
      <c r="J20" s="9">
        <v>15</v>
      </c>
      <c r="K20">
        <f t="shared" si="0"/>
        <v>0.35502510259800002</v>
      </c>
      <c r="M20">
        <v>15</v>
      </c>
      <c r="N20" s="12">
        <v>2.2199999999999999E-14</v>
      </c>
      <c r="O20" s="12">
        <v>2.2199999999999999E-14</v>
      </c>
      <c r="P20" s="12">
        <v>2.2199999999999999E-14</v>
      </c>
      <c r="Q20" s="12">
        <v>2.2200000000000001E-2</v>
      </c>
      <c r="R20" s="12">
        <v>2.2199999999999999E-14</v>
      </c>
      <c r="S20" s="12">
        <v>2.2199999999999999E-14</v>
      </c>
      <c r="T20" s="12">
        <v>3</v>
      </c>
      <c r="U20" t="s">
        <v>38</v>
      </c>
    </row>
    <row r="21" spans="1:21" x14ac:dyDescent="0.4">
      <c r="C21" s="2"/>
      <c r="D21">
        <v>100</v>
      </c>
      <c r="E21" s="13">
        <f>4.67476737808E-10</f>
        <v>4.6747673780799999E-10</v>
      </c>
      <c r="F21" s="2">
        <v>0</v>
      </c>
      <c r="G21" s="9">
        <v>0.37545272559100001</v>
      </c>
      <c r="H21">
        <v>0.44601483875100001</v>
      </c>
      <c r="I21">
        <v>0.76429830259700005</v>
      </c>
      <c r="J21" s="9">
        <v>15</v>
      </c>
      <c r="K21">
        <f t="shared" si="0"/>
        <v>0.52858862231299997</v>
      </c>
      <c r="M21">
        <v>15</v>
      </c>
      <c r="N21" s="12">
        <v>2.2199999999999999E-14</v>
      </c>
      <c r="O21" s="12">
        <v>2.2199999999999999E-14</v>
      </c>
      <c r="P21" s="12">
        <v>2.2199999999999999E-14</v>
      </c>
      <c r="Q21" s="12">
        <v>2.2200000000000001E-2</v>
      </c>
      <c r="R21" s="12">
        <v>2.2199999999999999E-14</v>
      </c>
      <c r="S21" s="12">
        <v>2.2199999999999999E-14</v>
      </c>
      <c r="T21" s="12">
        <v>3</v>
      </c>
      <c r="U21" t="s">
        <v>38</v>
      </c>
    </row>
    <row r="22" spans="1:21" x14ac:dyDescent="0.4">
      <c r="A22" s="3"/>
      <c r="B22" s="3"/>
      <c r="C22" s="10"/>
      <c r="D22" s="3">
        <v>500</v>
      </c>
      <c r="E22" s="14">
        <f>4.67476737808E-10</f>
        <v>4.6747673780799999E-10</v>
      </c>
      <c r="F22" s="10">
        <v>0</v>
      </c>
      <c r="G22" s="3">
        <v>0.31142901985499999</v>
      </c>
      <c r="H22" s="3">
        <v>0.87147361565100001</v>
      </c>
      <c r="I22" s="3">
        <v>0.54123550198299997</v>
      </c>
      <c r="J22" s="3">
        <v>15</v>
      </c>
      <c r="K22" s="3">
        <f t="shared" si="0"/>
        <v>0.57471271249633327</v>
      </c>
      <c r="M22" s="3">
        <v>15</v>
      </c>
      <c r="N22" s="19">
        <v>2.2199999999999999E-14</v>
      </c>
      <c r="O22" s="19">
        <v>2.2199999999999999E-14</v>
      </c>
      <c r="P22" s="19">
        <v>2.2199999999999999E-14</v>
      </c>
      <c r="Q22" s="19">
        <v>2.2200000000000001E-2</v>
      </c>
      <c r="R22" s="19">
        <v>2.2199999999999999E-14</v>
      </c>
      <c r="S22" s="19">
        <v>2.2199999999999999E-14</v>
      </c>
      <c r="T22" s="19">
        <v>3</v>
      </c>
      <c r="U22" t="s">
        <v>38</v>
      </c>
    </row>
    <row r="23" spans="1:21" x14ac:dyDescent="0.4">
      <c r="A23" s="22" t="s">
        <v>4</v>
      </c>
      <c r="B23" s="1">
        <v>111182</v>
      </c>
      <c r="C23" s="2">
        <v>3</v>
      </c>
      <c r="D23" s="1">
        <v>3</v>
      </c>
      <c r="E23" s="13">
        <f>0.0000000514378626785</f>
        <v>5.1437862678500002E-8</v>
      </c>
      <c r="F23" s="2">
        <v>0</v>
      </c>
      <c r="G23" s="24">
        <f>1.49490727812</f>
        <v>1.4949072781199999</v>
      </c>
      <c r="H23">
        <f>1.50825094929</f>
        <v>1.50825094929</v>
      </c>
      <c r="I23">
        <f>1.54595894433</f>
        <v>1.5459589443299999</v>
      </c>
      <c r="J23" s="9">
        <v>15</v>
      </c>
      <c r="K23">
        <f t="shared" si="0"/>
        <v>1.51637239058</v>
      </c>
      <c r="M23">
        <v>15</v>
      </c>
      <c r="N23" s="20">
        <v>2.2200000000000001E-16</v>
      </c>
      <c r="O23" s="20">
        <v>2.2200000000000001E-16</v>
      </c>
      <c r="P23" s="20">
        <v>2.2200000000000001E-16</v>
      </c>
      <c r="Q23" s="12">
        <v>2.2200000000000001E-2</v>
      </c>
      <c r="R23" s="20">
        <v>2.2200000000000001E-16</v>
      </c>
      <c r="S23" s="20">
        <v>2.2200000000000001E-16</v>
      </c>
      <c r="T23" s="12">
        <v>3</v>
      </c>
      <c r="U23" s="27" t="s">
        <v>38</v>
      </c>
    </row>
    <row r="24" spans="1:21" x14ac:dyDescent="0.4">
      <c r="C24" s="2"/>
      <c r="D24">
        <v>10</v>
      </c>
      <c r="E24" s="13">
        <f>8.0059848567E-12</f>
        <v>8.0059848567000003E-12</v>
      </c>
      <c r="F24" s="2">
        <v>0</v>
      </c>
      <c r="G24">
        <f>2.85205981858</f>
        <v>2.8520598185799999</v>
      </c>
      <c r="H24">
        <f xml:space="preserve"> 2.56352655755</f>
        <v>2.5635265575499999</v>
      </c>
      <c r="I24">
        <f>2.72763977134</f>
        <v>2.7276397713399998</v>
      </c>
      <c r="J24" s="9">
        <v>15</v>
      </c>
      <c r="K24">
        <f t="shared" si="0"/>
        <v>2.7144087158233332</v>
      </c>
      <c r="M24">
        <v>15</v>
      </c>
      <c r="N24" s="21">
        <v>2.2200000000000001E-16</v>
      </c>
      <c r="O24" s="21">
        <v>2.2200000000000001E-16</v>
      </c>
      <c r="P24" s="21">
        <v>2.2200000000000001E-16</v>
      </c>
      <c r="Q24" s="12">
        <v>2.2200000000000001E-2</v>
      </c>
      <c r="R24" s="21">
        <v>2.2200000000000001E-16</v>
      </c>
      <c r="S24" s="21">
        <v>2.2200000000000001E-16</v>
      </c>
      <c r="T24" s="12">
        <v>3</v>
      </c>
      <c r="U24" t="s">
        <v>38</v>
      </c>
    </row>
    <row r="25" spans="1:21" x14ac:dyDescent="0.4">
      <c r="C25" s="2"/>
      <c r="D25">
        <v>20</v>
      </c>
      <c r="E25" s="13">
        <f>2.73645652133E-12</f>
        <v>2.7364565213299998E-12</v>
      </c>
      <c r="F25" s="2">
        <v>0</v>
      </c>
      <c r="G25">
        <f>2.69522485424</f>
        <v>2.6952248542400001</v>
      </c>
      <c r="H25">
        <f>2.69735500058</f>
        <v>2.69735500058</v>
      </c>
      <c r="I25">
        <f>2.74113868104</f>
        <v>2.7411386810399998</v>
      </c>
      <c r="J25" s="9">
        <v>15</v>
      </c>
      <c r="K25">
        <f t="shared" si="0"/>
        <v>2.7112395119533335</v>
      </c>
      <c r="M25">
        <v>15</v>
      </c>
      <c r="N25" s="21">
        <v>2.2200000000000001E-16</v>
      </c>
      <c r="O25" s="21">
        <v>2.2200000000000001E-16</v>
      </c>
      <c r="P25" s="21">
        <v>2.2200000000000001E-16</v>
      </c>
      <c r="Q25" s="12">
        <v>2.2200000000000001E-2</v>
      </c>
      <c r="R25" s="21">
        <v>2.2200000000000001E-16</v>
      </c>
      <c r="S25" s="21">
        <v>2.2200000000000001E-16</v>
      </c>
      <c r="T25" s="12">
        <v>3</v>
      </c>
      <c r="U25" t="s">
        <v>38</v>
      </c>
    </row>
    <row r="26" spans="1:21" x14ac:dyDescent="0.4">
      <c r="C26" s="2"/>
      <c r="D26">
        <v>30</v>
      </c>
      <c r="E26" s="13">
        <f>1.10531585773E-11</f>
        <v>1.10531585773E-11</v>
      </c>
      <c r="F26" s="2">
        <v>0</v>
      </c>
      <c r="G26">
        <f>3.19444930307</f>
        <v>3.1944493030699999</v>
      </c>
      <c r="H26">
        <f>3.23306178707</f>
        <v>3.23306178707</v>
      </c>
      <c r="I26">
        <f>3.24684294864</f>
        <v>3.2468429486399999</v>
      </c>
      <c r="J26" s="9">
        <v>15</v>
      </c>
      <c r="K26">
        <f t="shared" si="0"/>
        <v>3.2247846795933328</v>
      </c>
      <c r="M26">
        <v>15</v>
      </c>
      <c r="N26" s="21">
        <v>2.2200000000000001E-16</v>
      </c>
      <c r="O26" s="21">
        <v>2.2200000000000001E-16</v>
      </c>
      <c r="P26" s="21">
        <v>2.2200000000000001E-16</v>
      </c>
      <c r="Q26" s="12">
        <v>2.2200000000000001E-2</v>
      </c>
      <c r="R26" s="21">
        <v>2.2200000000000001E-16</v>
      </c>
      <c r="S26" s="21">
        <v>2.2200000000000001E-16</v>
      </c>
      <c r="T26" s="12">
        <v>3</v>
      </c>
      <c r="U26" t="s">
        <v>38</v>
      </c>
    </row>
    <row r="27" spans="1:21" x14ac:dyDescent="0.4">
      <c r="C27" s="2"/>
      <c r="D27">
        <v>40</v>
      </c>
      <c r="E27" s="13">
        <f>6.95061306274E-12</f>
        <v>6.9506130627400001E-12</v>
      </c>
      <c r="F27" s="2">
        <v>0</v>
      </c>
      <c r="G27">
        <f>3.44285062418</f>
        <v>3.4428506241800001</v>
      </c>
      <c r="H27">
        <f>3.06309141924</f>
        <v>3.0630914192400001</v>
      </c>
      <c r="I27">
        <f>3.18440669587</f>
        <v>3.1844066958699999</v>
      </c>
      <c r="J27" s="9">
        <v>15</v>
      </c>
      <c r="K27">
        <f t="shared" si="0"/>
        <v>3.2301162464300002</v>
      </c>
      <c r="M27">
        <v>15</v>
      </c>
      <c r="N27" s="21">
        <v>2.2200000000000001E-16</v>
      </c>
      <c r="O27" s="21">
        <v>2.2200000000000001E-16</v>
      </c>
      <c r="P27" s="21">
        <v>2.2200000000000001E-16</v>
      </c>
      <c r="Q27" s="12">
        <v>2.2200000000000001E-2</v>
      </c>
      <c r="R27" s="21">
        <v>2.2200000000000001E-16</v>
      </c>
      <c r="S27" s="21">
        <v>2.2200000000000001E-16</v>
      </c>
      <c r="T27" s="12">
        <v>3</v>
      </c>
      <c r="U27" t="s">
        <v>38</v>
      </c>
    </row>
    <row r="28" spans="1:21" x14ac:dyDescent="0.4">
      <c r="C28" s="2"/>
      <c r="D28">
        <v>50</v>
      </c>
      <c r="E28" s="13">
        <f>3.18549367064E-12</f>
        <v>3.1854936706400001E-12</v>
      </c>
      <c r="F28" s="2">
        <v>0</v>
      </c>
      <c r="G28">
        <f>3.80404492595</f>
        <v>3.80404492595</v>
      </c>
      <c r="H28">
        <f>3.24839618926</f>
        <v>3.2483961892600002</v>
      </c>
      <c r="I28">
        <f>3.32398281343</f>
        <v>3.3239828134299998</v>
      </c>
      <c r="J28" s="9">
        <v>15</v>
      </c>
      <c r="K28">
        <f t="shared" si="0"/>
        <v>3.458807976213333</v>
      </c>
      <c r="M28">
        <v>15</v>
      </c>
      <c r="N28" s="21">
        <v>2.2200000000000001E-16</v>
      </c>
      <c r="O28" s="21">
        <v>2.2200000000000001E-16</v>
      </c>
      <c r="P28" s="21">
        <v>2.2200000000000001E-16</v>
      </c>
      <c r="Q28" s="12">
        <v>2.2200000000000001E-2</v>
      </c>
      <c r="R28" s="21">
        <v>2.2200000000000001E-16</v>
      </c>
      <c r="S28" s="21">
        <v>2.2200000000000001E-16</v>
      </c>
      <c r="T28" s="12">
        <v>3</v>
      </c>
      <c r="U28" t="s">
        <v>38</v>
      </c>
    </row>
    <row r="29" spans="1:21" x14ac:dyDescent="0.4">
      <c r="C29" s="2"/>
      <c r="D29">
        <v>60</v>
      </c>
      <c r="E29" s="13">
        <f>9.37122374274E-12</f>
        <v>9.37122374274E-12</v>
      </c>
      <c r="F29" s="2">
        <v>0</v>
      </c>
      <c r="G29">
        <f>5.38446297518</f>
        <v>5.3844629751799999</v>
      </c>
      <c r="H29">
        <f>3.74511543888</f>
        <v>3.7451154388800001</v>
      </c>
      <c r="I29">
        <f>3.899630806</f>
        <v>3.8996308059999998</v>
      </c>
      <c r="J29" s="9">
        <v>15</v>
      </c>
      <c r="K29">
        <f t="shared" si="0"/>
        <v>4.3430697400199998</v>
      </c>
      <c r="M29">
        <v>15</v>
      </c>
      <c r="N29" s="21">
        <v>2.2200000000000001E-16</v>
      </c>
      <c r="O29" s="21">
        <v>2.2200000000000001E-16</v>
      </c>
      <c r="P29" s="21">
        <v>2.2200000000000001E-16</v>
      </c>
      <c r="Q29" s="12">
        <v>2.2200000000000001E-2</v>
      </c>
      <c r="R29" s="21">
        <v>2.2200000000000001E-16</v>
      </c>
      <c r="S29" s="21">
        <v>2.2200000000000001E-16</v>
      </c>
      <c r="T29" s="12">
        <v>3</v>
      </c>
      <c r="U29" t="s">
        <v>38</v>
      </c>
    </row>
    <row r="30" spans="1:21" x14ac:dyDescent="0.4">
      <c r="C30" s="2"/>
      <c r="D30">
        <v>70</v>
      </c>
      <c r="E30" s="13">
        <f>1.56206073574E-11</f>
        <v>1.56206073574E-11</v>
      </c>
      <c r="F30" s="2">
        <v>0</v>
      </c>
      <c r="G30">
        <f>6.83305058253</f>
        <v>6.8330505825300003</v>
      </c>
      <c r="H30">
        <f>3.9917505475</f>
        <v>3.9917505475000001</v>
      </c>
      <c r="I30">
        <f>4.14552906617</f>
        <v>4.1455290661699999</v>
      </c>
      <c r="J30" s="9">
        <v>15</v>
      </c>
      <c r="K30">
        <f t="shared" si="0"/>
        <v>4.9901100653999997</v>
      </c>
      <c r="M30">
        <v>15</v>
      </c>
      <c r="N30" s="21">
        <v>2.2200000000000001E-16</v>
      </c>
      <c r="O30" s="21">
        <v>2.2200000000000001E-16</v>
      </c>
      <c r="P30" s="21">
        <v>2.2200000000000001E-16</v>
      </c>
      <c r="Q30" s="12">
        <v>2.2200000000000001E-2</v>
      </c>
      <c r="R30" s="21">
        <v>2.2200000000000001E-16</v>
      </c>
      <c r="S30" s="21">
        <v>2.2200000000000001E-16</v>
      </c>
      <c r="T30" s="12">
        <v>3</v>
      </c>
      <c r="U30" t="s">
        <v>38</v>
      </c>
    </row>
    <row r="31" spans="1:21" x14ac:dyDescent="0.4">
      <c r="C31" s="2"/>
      <c r="D31">
        <v>80</v>
      </c>
      <c r="E31" s="13">
        <f>1.07198952087E-11</f>
        <v>1.07198952087E-11</v>
      </c>
      <c r="F31" s="2">
        <v>0</v>
      </c>
      <c r="G31">
        <f>5.41264625244</f>
        <v>5.4126462524400001</v>
      </c>
      <c r="H31">
        <f>3.70034900872</f>
        <v>3.7003490087199999</v>
      </c>
      <c r="I31">
        <f>3.85007293645</f>
        <v>3.8500729364500001</v>
      </c>
      <c r="J31" s="9">
        <v>15</v>
      </c>
      <c r="K31">
        <f t="shared" si="0"/>
        <v>4.3210227325366661</v>
      </c>
      <c r="M31">
        <v>15</v>
      </c>
      <c r="N31" s="21">
        <v>2.2200000000000001E-16</v>
      </c>
      <c r="O31" s="21">
        <v>2.2200000000000001E-16</v>
      </c>
      <c r="P31" s="21">
        <v>2.2200000000000001E-16</v>
      </c>
      <c r="Q31" s="12">
        <v>2.2200000000000001E-2</v>
      </c>
      <c r="R31" s="21">
        <v>2.2200000000000001E-16</v>
      </c>
      <c r="S31" s="21">
        <v>2.2200000000000001E-16</v>
      </c>
      <c r="T31" s="12">
        <v>3</v>
      </c>
      <c r="U31" t="s">
        <v>38</v>
      </c>
    </row>
    <row r="32" spans="1:21" x14ac:dyDescent="0.4">
      <c r="C32" s="2"/>
      <c r="D32">
        <v>90</v>
      </c>
      <c r="E32" s="13">
        <f>5.58864318521E-12</f>
        <v>5.5886431852099999E-12</v>
      </c>
      <c r="F32" s="2">
        <v>0</v>
      </c>
      <c r="G32">
        <f>6.77203542518</f>
        <v>6.7720354251800003</v>
      </c>
      <c r="H32">
        <f>4.16775682889</f>
        <v>4.16775682889</v>
      </c>
      <c r="I32">
        <f>4.2649395703</f>
        <v>4.2649395703000001</v>
      </c>
      <c r="J32" s="9">
        <v>15</v>
      </c>
      <c r="K32">
        <f t="shared" si="0"/>
        <v>5.0682439414566671</v>
      </c>
      <c r="M32">
        <v>15</v>
      </c>
      <c r="N32" s="21">
        <v>2.2200000000000001E-16</v>
      </c>
      <c r="O32" s="21">
        <v>2.2200000000000001E-16</v>
      </c>
      <c r="P32" s="21">
        <v>2.2200000000000001E-16</v>
      </c>
      <c r="Q32" s="12">
        <v>2.2200000000000001E-2</v>
      </c>
      <c r="R32" s="21">
        <v>2.2200000000000001E-16</v>
      </c>
      <c r="S32" s="21">
        <v>2.2200000000000001E-16</v>
      </c>
      <c r="T32" s="12">
        <v>3</v>
      </c>
      <c r="U32" t="s">
        <v>38</v>
      </c>
    </row>
    <row r="33" spans="1:21" x14ac:dyDescent="0.4">
      <c r="C33" s="2"/>
      <c r="D33">
        <v>100</v>
      </c>
      <c r="E33" s="13">
        <f>8.33614263909E-12</f>
        <v>8.3361426390899998E-12</v>
      </c>
      <c r="F33" s="2">
        <v>0</v>
      </c>
      <c r="G33">
        <f>4.57527935452</f>
        <v>4.5752793545200001</v>
      </c>
      <c r="H33">
        <f>3.8478333106</f>
        <v>3.8478333106</v>
      </c>
      <c r="I33">
        <f>3.90399929523</f>
        <v>3.9039992952300002</v>
      </c>
      <c r="J33" s="9">
        <v>15</v>
      </c>
      <c r="K33">
        <f t="shared" si="0"/>
        <v>4.1090373201166663</v>
      </c>
      <c r="M33">
        <v>15</v>
      </c>
      <c r="N33" s="21">
        <v>2.2200000000000001E-16</v>
      </c>
      <c r="O33" s="21">
        <v>2.2200000000000001E-16</v>
      </c>
      <c r="P33" s="21">
        <v>2.2200000000000001E-16</v>
      </c>
      <c r="Q33" s="12">
        <v>2.2200000000000001E-2</v>
      </c>
      <c r="R33" s="21">
        <v>2.2200000000000001E-16</v>
      </c>
      <c r="S33" s="21">
        <v>2.2200000000000001E-16</v>
      </c>
      <c r="T33" s="12">
        <v>3</v>
      </c>
      <c r="U33" t="s">
        <v>38</v>
      </c>
    </row>
    <row r="34" spans="1:21" x14ac:dyDescent="0.4">
      <c r="C34" s="2"/>
      <c r="D34">
        <v>500</v>
      </c>
      <c r="E34" s="13">
        <f>9.21138946066E-12</f>
        <v>9.2113894606599998E-12</v>
      </c>
      <c r="F34" s="2">
        <v>0</v>
      </c>
      <c r="G34">
        <f>11.0594328362</f>
        <v>11.059432836199999</v>
      </c>
      <c r="H34">
        <f>9.58356002578</f>
        <v>9.5835600257800007</v>
      </c>
      <c r="I34" s="1">
        <f>9.67428347582</f>
        <v>9.6742834758199994</v>
      </c>
      <c r="J34" s="9">
        <v>15</v>
      </c>
      <c r="K34" s="1">
        <f t="shared" si="0"/>
        <v>10.105758779266665</v>
      </c>
      <c r="M34">
        <v>15</v>
      </c>
      <c r="N34" s="21">
        <v>2.2200000000000001E-16</v>
      </c>
      <c r="O34" s="21">
        <v>2.2200000000000001E-16</v>
      </c>
      <c r="P34" s="21">
        <v>2.2200000000000001E-16</v>
      </c>
      <c r="Q34" s="12">
        <v>2.2200000000000001E-2</v>
      </c>
      <c r="R34" s="21">
        <v>2.2200000000000001E-16</v>
      </c>
      <c r="S34" s="21">
        <v>2.2200000000000001E-16</v>
      </c>
      <c r="T34" s="12">
        <v>3</v>
      </c>
      <c r="U34" t="s">
        <v>38</v>
      </c>
    </row>
    <row r="35" spans="1:21" x14ac:dyDescent="0.4">
      <c r="A35" s="3"/>
      <c r="B35" s="3"/>
      <c r="C35" s="10"/>
      <c r="D35" s="3">
        <v>1000</v>
      </c>
      <c r="E35" s="23">
        <f>2.35314956797E-11</f>
        <v>2.3531495679700001E-11</v>
      </c>
      <c r="F35" s="10">
        <v>0</v>
      </c>
      <c r="G35" s="3">
        <f>14.9376993137</f>
        <v>14.9376993137</v>
      </c>
      <c r="H35" s="3">
        <f>15.1311825455</f>
        <v>15.1311825455</v>
      </c>
      <c r="I35" s="3">
        <f>15.3226515254</f>
        <v>15.3226515254</v>
      </c>
      <c r="J35" s="25">
        <v>15</v>
      </c>
      <c r="K35" s="3">
        <f>AVERAGE(G35:I35)</f>
        <v>15.130511128199998</v>
      </c>
      <c r="M35" s="3">
        <v>15</v>
      </c>
      <c r="N35" s="19">
        <v>2.2200000000000001E-16</v>
      </c>
      <c r="O35" s="19">
        <v>2.2200000000000001E-16</v>
      </c>
      <c r="P35" s="19">
        <v>2.2200000000000001E-16</v>
      </c>
      <c r="Q35" s="19">
        <v>2.2200000000000001E-2</v>
      </c>
      <c r="R35" s="19">
        <v>2.2200000000000001E-16</v>
      </c>
      <c r="S35" s="19">
        <v>2.2200000000000001E-16</v>
      </c>
      <c r="T35" s="19">
        <v>3</v>
      </c>
      <c r="U35" t="s">
        <v>38</v>
      </c>
    </row>
    <row r="36" spans="1:21" x14ac:dyDescent="0.4">
      <c r="A36" s="26" t="s">
        <v>18</v>
      </c>
      <c r="B36" s="9">
        <v>84536</v>
      </c>
      <c r="C36" s="2">
        <v>28</v>
      </c>
      <c r="D36" s="1">
        <v>3</v>
      </c>
      <c r="E36" s="13">
        <f>0.0000129087488344</f>
        <v>1.29087488344E-5</v>
      </c>
      <c r="F36" s="2">
        <v>1</v>
      </c>
      <c r="G36">
        <f>31.1762936651</f>
        <v>31.176293665100001</v>
      </c>
      <c r="H36">
        <f>28.6630973209</f>
        <v>28.6630973209</v>
      </c>
      <c r="I36">
        <f>26.0657467251</f>
        <v>26.065746725099999</v>
      </c>
      <c r="J36" s="9">
        <v>15</v>
      </c>
      <c r="K36">
        <f>AVERAGE(G36:I36)</f>
        <v>28.6350459037</v>
      </c>
      <c r="M36">
        <v>15</v>
      </c>
      <c r="N36" s="12">
        <v>2.2199999999999999E-14</v>
      </c>
      <c r="O36" s="12">
        <v>2.2199999999999999E-14</v>
      </c>
      <c r="P36" s="12">
        <v>2.2199999999999999E-14</v>
      </c>
      <c r="Q36" s="12">
        <v>2.2200000000000001E-2</v>
      </c>
      <c r="R36" s="12">
        <v>2.2199999999999999E-14</v>
      </c>
      <c r="S36" s="12">
        <v>2.2199999999999999E-14</v>
      </c>
      <c r="T36" s="12">
        <v>3</v>
      </c>
      <c r="U36" s="27" t="s">
        <v>38</v>
      </c>
    </row>
    <row r="37" spans="1:21" x14ac:dyDescent="0.4">
      <c r="C37" s="2"/>
      <c r="D37">
        <v>10</v>
      </c>
      <c r="E37" s="13">
        <f>0.0000129087488344</f>
        <v>1.29087488344E-5</v>
      </c>
      <c r="F37" s="2">
        <v>1</v>
      </c>
      <c r="G37">
        <f>27.635225376</f>
        <v>27.635225376000001</v>
      </c>
      <c r="H37">
        <f>29.1944129525</f>
        <v>29.194412952499999</v>
      </c>
      <c r="I37">
        <f>41.0686629002</f>
        <v>41.068662900200003</v>
      </c>
      <c r="J37" s="9">
        <v>15</v>
      </c>
      <c r="K37">
        <f>AVERAGE(G37:I37)</f>
        <v>32.632767076233336</v>
      </c>
      <c r="M37">
        <v>15</v>
      </c>
      <c r="N37" s="12">
        <v>2.2199999999999999E-14</v>
      </c>
      <c r="O37" s="12">
        <v>2.2199999999999999E-14</v>
      </c>
      <c r="P37" s="12">
        <v>2.2199999999999999E-14</v>
      </c>
      <c r="Q37" s="12">
        <v>2.2200000000000001E-2</v>
      </c>
      <c r="R37" s="12">
        <v>2.2199999999999999E-14</v>
      </c>
      <c r="S37" s="12">
        <v>2.2199999999999999E-14</v>
      </c>
      <c r="T37" s="12">
        <v>3</v>
      </c>
      <c r="U37" t="s">
        <v>38</v>
      </c>
    </row>
    <row r="38" spans="1:21" x14ac:dyDescent="0.4">
      <c r="C38" s="2"/>
      <c r="D38">
        <v>50</v>
      </c>
      <c r="E38" s="13">
        <f>0.0000129087488344</f>
        <v>1.29087488344E-5</v>
      </c>
      <c r="F38" s="2">
        <v>1</v>
      </c>
      <c r="G38">
        <f>25.3176565226</f>
        <v>25.3176565226</v>
      </c>
      <c r="H38">
        <f>29.8564475523</f>
        <v>29.856447552300001</v>
      </c>
      <c r="I38">
        <f>29.0047503846</f>
        <v>29.004750384600001</v>
      </c>
      <c r="J38" s="9">
        <v>15</v>
      </c>
      <c r="K38">
        <f>AVERAGE(G38:I38)</f>
        <v>28.059618153166667</v>
      </c>
      <c r="M38">
        <v>15</v>
      </c>
      <c r="N38" s="12">
        <v>2.2199999999999999E-14</v>
      </c>
      <c r="O38" s="12">
        <v>2.2199999999999999E-14</v>
      </c>
      <c r="P38" s="12">
        <v>2.2199999999999999E-14</v>
      </c>
      <c r="Q38" s="12">
        <v>2.2200000000000001E-2</v>
      </c>
      <c r="R38" s="12">
        <v>2.2199999999999999E-14</v>
      </c>
      <c r="S38" s="12">
        <v>2.2199999999999999E-14</v>
      </c>
      <c r="T38" s="12">
        <v>3</v>
      </c>
      <c r="U38" t="s">
        <v>38</v>
      </c>
    </row>
    <row r="39" spans="1:21" x14ac:dyDescent="0.4">
      <c r="C39" s="2"/>
      <c r="D39">
        <v>100</v>
      </c>
      <c r="E39" s="13">
        <f>0.0000129087488344</f>
        <v>1.29087488344E-5</v>
      </c>
      <c r="F39" s="2">
        <v>1</v>
      </c>
      <c r="G39">
        <f>26.8671667086</f>
        <v>26.867166708599999</v>
      </c>
      <c r="H39">
        <f>28.5813097086</f>
        <v>28.581309708599999</v>
      </c>
      <c r="I39">
        <f>31.3041866934</f>
        <v>31.304186693399998</v>
      </c>
      <c r="J39" s="9">
        <v>15</v>
      </c>
      <c r="K39">
        <f>AVERAGE(G39:I39)</f>
        <v>28.917554370199998</v>
      </c>
      <c r="M39">
        <v>15</v>
      </c>
      <c r="N39" s="12">
        <v>2.2199999999999999E-14</v>
      </c>
      <c r="O39" s="12">
        <v>2.2199999999999999E-14</v>
      </c>
      <c r="P39" s="12">
        <v>2.2199999999999999E-14</v>
      </c>
      <c r="Q39" s="12">
        <v>2.2200000000000001E-2</v>
      </c>
      <c r="R39" s="12">
        <v>2.2199999999999999E-14</v>
      </c>
      <c r="S39" s="12">
        <v>2.2199999999999999E-14</v>
      </c>
      <c r="T39" s="12">
        <v>3</v>
      </c>
      <c r="U39" t="s">
        <v>38</v>
      </c>
    </row>
    <row r="40" spans="1:21" x14ac:dyDescent="0.4">
      <c r="A40" s="3"/>
      <c r="B40" s="3"/>
      <c r="C40" s="10"/>
      <c r="D40" s="3">
        <v>500</v>
      </c>
      <c r="E40" s="14">
        <f>0.0000129087488344</f>
        <v>1.29087488344E-5</v>
      </c>
      <c r="F40" s="10">
        <v>1</v>
      </c>
      <c r="G40" s="3">
        <f>38.2421053937</f>
        <v>38.242105393700001</v>
      </c>
      <c r="H40" s="3">
        <f>39.5104525139</f>
        <v>39.510452513899999</v>
      </c>
      <c r="I40" s="3">
        <f>49.2406855812</f>
        <v>49.240685581199998</v>
      </c>
      <c r="J40" s="3">
        <v>15</v>
      </c>
      <c r="K40" s="3">
        <f>AVERAGE(G40:I40)</f>
        <v>42.33108116293333</v>
      </c>
      <c r="M40" s="3">
        <v>15</v>
      </c>
      <c r="N40" s="19">
        <v>2.2199999999999999E-14</v>
      </c>
      <c r="O40" s="19">
        <v>2.2199999999999999E-14</v>
      </c>
      <c r="P40" s="19">
        <v>2.2199999999999999E-14</v>
      </c>
      <c r="Q40" s="19">
        <v>2.2200000000000001E-2</v>
      </c>
      <c r="R40" s="19">
        <v>2.2199999999999999E-14</v>
      </c>
      <c r="S40" s="19">
        <v>2.2199999999999999E-14</v>
      </c>
      <c r="T40" s="19">
        <v>3</v>
      </c>
      <c r="U40" s="3" t="s">
        <v>38</v>
      </c>
    </row>
    <row r="41" spans="1:21" x14ac:dyDescent="0.4">
      <c r="A41" s="28" t="s">
        <v>5</v>
      </c>
      <c r="B41" s="1">
        <v>80814</v>
      </c>
      <c r="C41" s="2">
        <v>98</v>
      </c>
      <c r="D41" s="1">
        <v>3</v>
      </c>
      <c r="E41" s="13">
        <f>0.00756063813111</f>
        <v>7.5606381311100002E-3</v>
      </c>
      <c r="F41" s="2">
        <v>3</v>
      </c>
      <c r="G41">
        <f>439.11239013</f>
        <v>439.11239012999999</v>
      </c>
      <c r="H41">
        <f>372.179886389</f>
        <v>372.17988638899999</v>
      </c>
      <c r="J41" s="9">
        <v>15</v>
      </c>
      <c r="K41">
        <f>AVERAGE(G41:I41)</f>
        <v>405.64613825949999</v>
      </c>
      <c r="M41">
        <v>15</v>
      </c>
      <c r="N41" s="12">
        <v>2.2199999999999999E-14</v>
      </c>
      <c r="O41" s="12">
        <v>2.2199999999999999E-14</v>
      </c>
      <c r="P41" s="12">
        <v>2.2199999999999999E-14</v>
      </c>
      <c r="Q41" s="12">
        <v>2.2200000000000001E-2</v>
      </c>
      <c r="R41" s="12">
        <v>2.2199999999999999E-14</v>
      </c>
      <c r="S41" s="12">
        <v>2.2199999999999999E-14</v>
      </c>
      <c r="T41" s="12">
        <v>3</v>
      </c>
      <c r="U41" s="27" t="s">
        <v>38</v>
      </c>
    </row>
    <row r="42" spans="1:21" x14ac:dyDescent="0.4">
      <c r="C42" s="2"/>
      <c r="D42">
        <v>10</v>
      </c>
      <c r="E42" s="31">
        <v>7.4640423212299998E-3</v>
      </c>
      <c r="F42" s="2">
        <v>3</v>
      </c>
      <c r="G42">
        <f>439.442835656</f>
        <v>439.442835656</v>
      </c>
      <c r="H42">
        <f>380.493304002</f>
        <v>380.493304002</v>
      </c>
      <c r="J42" s="9">
        <v>15</v>
      </c>
      <c r="K42">
        <f>AVERAGE(G42:I42)</f>
        <v>409.968069829</v>
      </c>
      <c r="M42">
        <v>15</v>
      </c>
      <c r="N42" s="12">
        <v>2.2199999999999999E-14</v>
      </c>
      <c r="O42" s="12">
        <v>2.2199999999999999E-14</v>
      </c>
      <c r="P42" s="12">
        <v>2.2199999999999999E-14</v>
      </c>
      <c r="Q42" s="12">
        <v>2.2200000000000001E-2</v>
      </c>
      <c r="R42" s="12">
        <v>2.2199999999999999E-14</v>
      </c>
      <c r="S42" s="12">
        <v>2.2199999999999999E-14</v>
      </c>
      <c r="T42" s="12">
        <v>3</v>
      </c>
      <c r="U42" t="s">
        <v>38</v>
      </c>
    </row>
    <row r="43" spans="1:21" x14ac:dyDescent="0.4">
      <c r="C43" s="2"/>
      <c r="D43">
        <v>50</v>
      </c>
      <c r="E43" s="31">
        <v>1.23826479622E-2</v>
      </c>
      <c r="F43" s="2" t="s">
        <v>39</v>
      </c>
      <c r="G43">
        <f>778.731743543</f>
        <v>778.73174354299999</v>
      </c>
      <c r="H43">
        <f>847.123177284</f>
        <v>847.12317728400001</v>
      </c>
      <c r="J43" s="9">
        <v>15</v>
      </c>
      <c r="K43">
        <f>AVERAGE(G43:H43)</f>
        <v>812.92746041350006</v>
      </c>
      <c r="M43">
        <v>15</v>
      </c>
      <c r="N43" s="12">
        <v>2.2199999999999999E-14</v>
      </c>
      <c r="O43" s="12">
        <v>2.2199999999999999E-14</v>
      </c>
      <c r="P43" s="12">
        <v>2.2199999999999999E-14</v>
      </c>
      <c r="Q43" s="12">
        <v>2.2200000000000001E-2</v>
      </c>
      <c r="R43" s="12">
        <v>2.2199999999999999E-14</v>
      </c>
      <c r="S43" s="12">
        <v>2.2199999999999999E-14</v>
      </c>
      <c r="T43" s="12">
        <v>3</v>
      </c>
      <c r="U43" t="s">
        <v>38</v>
      </c>
    </row>
    <row r="44" spans="1:21" x14ac:dyDescent="0.4">
      <c r="C44" s="2"/>
      <c r="D44">
        <v>100</v>
      </c>
      <c r="E44" s="13">
        <v>1.17212909735E-2</v>
      </c>
      <c r="F44" s="2" t="s">
        <v>39</v>
      </c>
      <c r="G44">
        <f>844.907653602</f>
        <v>844.90765360199998</v>
      </c>
      <c r="H44">
        <f>851.452377908</f>
        <v>851.45237790800002</v>
      </c>
      <c r="J44" s="9">
        <v>15</v>
      </c>
      <c r="K44">
        <f>AVERAGE(G44:I44)</f>
        <v>848.180015755</v>
      </c>
      <c r="M44">
        <v>15</v>
      </c>
      <c r="N44" s="12">
        <v>2.2199999999999999E-14</v>
      </c>
      <c r="O44" s="12">
        <v>2.2199999999999999E-14</v>
      </c>
      <c r="P44" s="12">
        <v>2.2199999999999999E-14</v>
      </c>
      <c r="Q44" s="12">
        <v>2.2200000000000001E-2</v>
      </c>
      <c r="R44" s="12">
        <v>2.2199999999999999E-14</v>
      </c>
      <c r="S44" s="12">
        <v>2.2199999999999999E-14</v>
      </c>
      <c r="T44" s="12">
        <v>3</v>
      </c>
      <c r="U44" t="s">
        <v>38</v>
      </c>
    </row>
    <row r="45" spans="1:21" x14ac:dyDescent="0.4">
      <c r="A45" s="3"/>
      <c r="B45" s="3"/>
      <c r="C45" s="10"/>
      <c r="D45" s="3">
        <v>500</v>
      </c>
      <c r="E45" s="14">
        <f>0.0102421748352</f>
        <v>1.0242174835199999E-2</v>
      </c>
      <c r="F45" s="10" t="s">
        <v>39</v>
      </c>
      <c r="G45" s="3">
        <f>1424.01962378</f>
        <v>1424.0196237800001</v>
      </c>
      <c r="H45" s="3">
        <f>1475.78389856</f>
        <v>1475.7838985599999</v>
      </c>
      <c r="I45" s="3"/>
      <c r="J45" s="3">
        <v>15</v>
      </c>
      <c r="K45" s="3">
        <f>AVERAGE(G45:I45)</f>
        <v>1449.9017611700001</v>
      </c>
      <c r="M45" s="3">
        <v>15</v>
      </c>
      <c r="N45" s="19">
        <v>2.2199999999999999E-14</v>
      </c>
      <c r="O45" s="19">
        <v>2.2199999999999999E-14</v>
      </c>
      <c r="P45" s="19">
        <v>2.2199999999999999E-14</v>
      </c>
      <c r="Q45" s="19">
        <v>2.2200000000000001E-2</v>
      </c>
      <c r="R45" s="19">
        <v>2.2199999999999999E-14</v>
      </c>
      <c r="S45" s="19">
        <v>2.2199999999999999E-14</v>
      </c>
      <c r="T45" s="19">
        <v>3</v>
      </c>
      <c r="U45" s="3" t="s">
        <v>38</v>
      </c>
    </row>
    <row r="46" spans="1:21" x14ac:dyDescent="0.4">
      <c r="A46" s="28" t="s">
        <v>6</v>
      </c>
      <c r="B46" s="1">
        <v>110887</v>
      </c>
      <c r="C46" s="2">
        <v>93</v>
      </c>
      <c r="D46" s="1">
        <v>3</v>
      </c>
      <c r="E46" s="13">
        <v>3.13255733670222E-2</v>
      </c>
      <c r="F46" s="2">
        <v>0</v>
      </c>
      <c r="G46">
        <f>11629</f>
        <v>11629</v>
      </c>
      <c r="J46">
        <v>13</v>
      </c>
      <c r="K46">
        <f>AVERAGE(G46:I46)</f>
        <v>11629</v>
      </c>
      <c r="M46">
        <v>15</v>
      </c>
      <c r="U46" s="9" t="s">
        <v>40</v>
      </c>
    </row>
    <row r="47" spans="1:21" x14ac:dyDescent="0.4">
      <c r="C47" s="2"/>
      <c r="D47">
        <v>10</v>
      </c>
      <c r="E47" s="13">
        <v>2.6499796133723733E-2</v>
      </c>
      <c r="F47" s="2">
        <v>0</v>
      </c>
      <c r="G47">
        <v>11965.26</v>
      </c>
      <c r="J47">
        <v>13</v>
      </c>
      <c r="K47">
        <f>AVERAGE(G47:I47)</f>
        <v>11965.26</v>
      </c>
      <c r="M47">
        <v>15</v>
      </c>
      <c r="U47" s="9" t="s">
        <v>40</v>
      </c>
    </row>
    <row r="48" spans="1:21" x14ac:dyDescent="0.4">
      <c r="C48" s="2"/>
      <c r="D48">
        <v>50</v>
      </c>
      <c r="F48" s="2"/>
      <c r="K48" t="e">
        <f>AVERAGE(G48:I48)</f>
        <v>#DIV/0!</v>
      </c>
      <c r="M48">
        <v>15</v>
      </c>
      <c r="U48" s="9" t="s">
        <v>40</v>
      </c>
    </row>
    <row r="49" spans="1:21" x14ac:dyDescent="0.4">
      <c r="C49" s="2"/>
      <c r="D49">
        <v>100</v>
      </c>
      <c r="F49" s="2"/>
      <c r="K49" t="e">
        <f>AVERAGE(G49:I49)</f>
        <v>#DIV/0!</v>
      </c>
      <c r="M49">
        <v>15</v>
      </c>
      <c r="U49" s="9" t="s">
        <v>40</v>
      </c>
    </row>
    <row r="50" spans="1:21" x14ac:dyDescent="0.4">
      <c r="A50" s="3"/>
      <c r="B50" s="3"/>
      <c r="C50" s="10"/>
      <c r="D50" s="3">
        <v>500</v>
      </c>
      <c r="E50" s="14"/>
      <c r="F50" s="10"/>
      <c r="G50" s="17"/>
      <c r="H50" s="3"/>
      <c r="I50" s="3"/>
      <c r="J50" s="3"/>
      <c r="K50" t="e">
        <f>AVERAGE(G50:I50)</f>
        <v>#DIV/0!</v>
      </c>
      <c r="M50" s="3">
        <v>15</v>
      </c>
      <c r="U50" s="3" t="s">
        <v>40</v>
      </c>
    </row>
    <row r="51" spans="1:21" x14ac:dyDescent="0.4">
      <c r="A51" s="1" t="s">
        <v>7</v>
      </c>
      <c r="B51" s="1">
        <v>94703</v>
      </c>
      <c r="C51" s="2">
        <v>554</v>
      </c>
      <c r="D51" s="1">
        <v>3</v>
      </c>
      <c r="E51" s="13">
        <v>0.65647502610599995</v>
      </c>
      <c r="F51" s="2">
        <v>62</v>
      </c>
      <c r="G51">
        <v>48807.67</v>
      </c>
      <c r="J51" s="9">
        <v>20</v>
      </c>
      <c r="K51">
        <f>AVERAGE(G51:I51)</f>
        <v>48807.67</v>
      </c>
    </row>
    <row r="52" spans="1:21" x14ac:dyDescent="0.4">
      <c r="C52" s="2"/>
      <c r="D52">
        <v>10</v>
      </c>
      <c r="F52" s="2"/>
      <c r="K52" t="e">
        <f>AVERAGE(G52:I52)</f>
        <v>#DIV/0!</v>
      </c>
    </row>
    <row r="53" spans="1:21" x14ac:dyDescent="0.4">
      <c r="C53" s="2"/>
      <c r="D53">
        <v>50</v>
      </c>
      <c r="F53" s="2"/>
      <c r="K53" t="e">
        <f>AVERAGE(G53:I53)</f>
        <v>#DIV/0!</v>
      </c>
    </row>
    <row r="54" spans="1:21" x14ac:dyDescent="0.4">
      <c r="C54" s="2"/>
      <c r="D54">
        <v>100</v>
      </c>
      <c r="F54" s="2"/>
      <c r="K54" t="e">
        <f>AVERAGE(G54:I54)</f>
        <v>#DIV/0!</v>
      </c>
    </row>
    <row r="55" spans="1:21" x14ac:dyDescent="0.4">
      <c r="C55" s="2"/>
      <c r="D55">
        <v>500</v>
      </c>
      <c r="F55" s="2"/>
      <c r="K55" t="e">
        <f>AVERAGE(G55:I55)</f>
        <v>#DIV/0!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ACC9D-DF6C-4029-A981-9CA53A70B30F}">
  <dimension ref="A1:H170"/>
  <sheetViews>
    <sheetView tabSelected="1" workbookViewId="0">
      <selection activeCell="G102" sqref="G102"/>
    </sheetView>
  </sheetViews>
  <sheetFormatPr baseColWidth="10" defaultRowHeight="14.6" x14ac:dyDescent="0.4"/>
  <cols>
    <col min="1" max="1" width="30.07421875" bestFit="1" customWidth="1"/>
    <col min="2" max="2" width="21.53515625" bestFit="1" customWidth="1"/>
    <col min="3" max="3" width="17.4609375" bestFit="1" customWidth="1"/>
    <col min="4" max="4" width="11.84375" bestFit="1" customWidth="1"/>
    <col min="6" max="6" width="17.61328125" customWidth="1"/>
    <col min="7" max="7" width="18.15234375" customWidth="1"/>
  </cols>
  <sheetData>
    <row r="1" spans="1:8" x14ac:dyDescent="0.4">
      <c r="A1" t="s">
        <v>145</v>
      </c>
      <c r="E1" t="s">
        <v>146</v>
      </c>
    </row>
    <row r="2" spans="1:8" x14ac:dyDescent="0.4">
      <c r="A2" s="29" t="s">
        <v>29</v>
      </c>
      <c r="B2" s="29"/>
      <c r="C2" s="29"/>
      <c r="D2" s="29"/>
      <c r="E2" t="s">
        <v>29</v>
      </c>
    </row>
    <row r="3" spans="1:8" x14ac:dyDescent="0.4">
      <c r="A3" s="29"/>
      <c r="B3" s="29"/>
      <c r="C3" s="29"/>
      <c r="D3" s="29"/>
    </row>
    <row r="4" spans="1:8" x14ac:dyDescent="0.4">
      <c r="A4" s="29" t="s">
        <v>30</v>
      </c>
      <c r="B4" s="12" t="s">
        <v>31</v>
      </c>
      <c r="C4" s="12" t="s">
        <v>32</v>
      </c>
      <c r="D4" s="29"/>
      <c r="E4" t="s">
        <v>30</v>
      </c>
      <c r="F4" t="s">
        <v>31</v>
      </c>
      <c r="G4" t="s">
        <v>147</v>
      </c>
      <c r="H4" t="s">
        <v>32</v>
      </c>
    </row>
    <row r="5" spans="1:8" x14ac:dyDescent="0.4">
      <c r="A5" s="29" t="s">
        <v>41</v>
      </c>
      <c r="B5" s="12">
        <v>1</v>
      </c>
      <c r="C5" s="12">
        <v>1</v>
      </c>
      <c r="D5" s="29"/>
      <c r="E5" t="s">
        <v>41</v>
      </c>
      <c r="F5" s="12">
        <v>1</v>
      </c>
      <c r="G5">
        <v>1</v>
      </c>
      <c r="H5">
        <v>2</v>
      </c>
    </row>
    <row r="6" spans="1:8" x14ac:dyDescent="0.4">
      <c r="A6" s="29" t="s">
        <v>42</v>
      </c>
      <c r="B6" s="12">
        <v>0.15707963268</v>
      </c>
      <c r="C6" s="12">
        <v>0.15707963268</v>
      </c>
      <c r="D6" s="29"/>
      <c r="E6" t="s">
        <v>42</v>
      </c>
      <c r="F6">
        <v>0.15707963268</v>
      </c>
      <c r="G6">
        <v>1.0710501156099999E-3</v>
      </c>
      <c r="H6">
        <v>0.158150682795</v>
      </c>
    </row>
    <row r="7" spans="1:8" x14ac:dyDescent="0.4">
      <c r="A7" s="29" t="s">
        <v>43</v>
      </c>
      <c r="B7" s="12">
        <v>0.17245564918</v>
      </c>
      <c r="C7" s="12">
        <v>0.17245564918</v>
      </c>
      <c r="D7" s="29"/>
      <c r="E7" t="s">
        <v>43</v>
      </c>
      <c r="F7">
        <v>0.16954923208799999</v>
      </c>
      <c r="G7">
        <v>0.16767432218600001</v>
      </c>
      <c r="H7">
        <v>0.33722355427400003</v>
      </c>
    </row>
    <row r="8" spans="1:8" x14ac:dyDescent="0.4">
      <c r="A8" s="29" t="s">
        <v>44</v>
      </c>
      <c r="B8" s="12">
        <v>0.17809625386200001</v>
      </c>
      <c r="C8" s="12">
        <v>0.17809625386200001</v>
      </c>
      <c r="D8" s="29"/>
      <c r="E8" t="s">
        <v>44</v>
      </c>
      <c r="F8">
        <v>0.181322244395</v>
      </c>
      <c r="G8">
        <v>0.17733090553799999</v>
      </c>
      <c r="H8">
        <v>0.35865314993300002</v>
      </c>
    </row>
    <row r="9" spans="1:8" x14ac:dyDescent="0.4">
      <c r="A9" s="29" t="s">
        <v>45</v>
      </c>
      <c r="B9" s="29">
        <v>0.85881833884100001</v>
      </c>
      <c r="C9" s="29">
        <v>0.85881833884100001</v>
      </c>
      <c r="D9" s="29"/>
      <c r="E9" t="s">
        <v>45</v>
      </c>
      <c r="F9">
        <v>0.86213346829100002</v>
      </c>
      <c r="G9">
        <v>0.85521562724800004</v>
      </c>
      <c r="H9" s="24">
        <v>171734909554</v>
      </c>
    </row>
    <row r="10" spans="1:8" x14ac:dyDescent="0.4">
      <c r="A10" s="29" t="s">
        <v>46</v>
      </c>
      <c r="B10" s="29">
        <v>0.80342936033000001</v>
      </c>
      <c r="C10" s="29">
        <v>0.80342936033000001</v>
      </c>
      <c r="D10" s="29"/>
      <c r="E10" t="s">
        <v>46</v>
      </c>
      <c r="F10">
        <v>0.80027865695599998</v>
      </c>
      <c r="G10">
        <v>0.80162712807799996</v>
      </c>
      <c r="H10" s="24">
        <v>160190578503</v>
      </c>
    </row>
    <row r="11" spans="1:8" x14ac:dyDescent="0.4">
      <c r="A11" s="29" t="s">
        <v>47</v>
      </c>
      <c r="B11" s="29">
        <v>0.99878566767300003</v>
      </c>
      <c r="C11" s="29">
        <v>0.99878566767300003</v>
      </c>
      <c r="D11" s="29"/>
      <c r="E11" t="s">
        <v>47</v>
      </c>
      <c r="F11">
        <v>0.99881059042300002</v>
      </c>
      <c r="G11">
        <v>0.99859227687399998</v>
      </c>
      <c r="H11" s="24">
        <v>19974028673</v>
      </c>
    </row>
    <row r="12" spans="1:8" x14ac:dyDescent="0.4">
      <c r="A12" s="29" t="s">
        <v>48</v>
      </c>
      <c r="B12" s="29">
        <v>0.99865561559100002</v>
      </c>
      <c r="C12" s="29">
        <v>0.99865561559100002</v>
      </c>
      <c r="D12" s="29"/>
      <c r="E12" t="s">
        <v>48</v>
      </c>
      <c r="F12">
        <v>0.99879891036500001</v>
      </c>
      <c r="G12">
        <v>0.99858337269599995</v>
      </c>
      <c r="H12" s="24">
        <v>199738228306</v>
      </c>
    </row>
    <row r="13" spans="1:8" x14ac:dyDescent="0.4">
      <c r="A13" s="29" t="s">
        <v>49</v>
      </c>
      <c r="B13" s="29">
        <v>1</v>
      </c>
      <c r="C13" s="29">
        <v>1</v>
      </c>
      <c r="D13" s="29"/>
      <c r="E13" t="s">
        <v>49</v>
      </c>
      <c r="F13">
        <v>1</v>
      </c>
      <c r="G13">
        <v>1</v>
      </c>
      <c r="H13">
        <v>2</v>
      </c>
    </row>
    <row r="14" spans="1:8" x14ac:dyDescent="0.4">
      <c r="A14" s="29" t="s">
        <v>50</v>
      </c>
      <c r="B14" s="29">
        <v>1</v>
      </c>
      <c r="C14" s="29">
        <v>1</v>
      </c>
      <c r="D14" s="29"/>
      <c r="E14" t="s">
        <v>50</v>
      </c>
      <c r="F14">
        <v>1</v>
      </c>
      <c r="G14">
        <v>1</v>
      </c>
      <c r="H14">
        <v>2</v>
      </c>
    </row>
    <row r="15" spans="1:8" x14ac:dyDescent="0.4">
      <c r="A15" s="29" t="s">
        <v>51</v>
      </c>
      <c r="B15" s="29">
        <v>0.6015625</v>
      </c>
      <c r="C15" s="29">
        <v>0.6015625</v>
      </c>
      <c r="D15" s="29"/>
      <c r="E15" t="s">
        <v>51</v>
      </c>
      <c r="F15">
        <v>0.6015625</v>
      </c>
      <c r="G15">
        <v>0.6015625</v>
      </c>
      <c r="H15" s="24">
        <v>1203125</v>
      </c>
    </row>
    <row r="16" spans="1:8" x14ac:dyDescent="0.4">
      <c r="A16" s="29" t="s">
        <v>52</v>
      </c>
      <c r="B16" s="29">
        <v>1</v>
      </c>
      <c r="C16" s="29">
        <v>1</v>
      </c>
      <c r="D16" s="29"/>
      <c r="E16" t="s">
        <v>52</v>
      </c>
      <c r="F16">
        <v>1</v>
      </c>
      <c r="G16">
        <v>1</v>
      </c>
      <c r="H16">
        <v>2</v>
      </c>
    </row>
    <row r="17" spans="1:8" x14ac:dyDescent="0.4">
      <c r="A17" s="29" t="s">
        <v>53</v>
      </c>
      <c r="B17" s="29">
        <v>1</v>
      </c>
      <c r="C17" s="29">
        <v>1</v>
      </c>
      <c r="D17" s="29"/>
      <c r="E17" t="s">
        <v>53</v>
      </c>
      <c r="F17">
        <v>1</v>
      </c>
      <c r="G17">
        <v>1</v>
      </c>
      <c r="H17">
        <v>2</v>
      </c>
    </row>
    <row r="18" spans="1:8" x14ac:dyDescent="0.4">
      <c r="A18" s="29" t="s">
        <v>54</v>
      </c>
      <c r="B18" s="29">
        <v>1.14821999744E-2</v>
      </c>
      <c r="C18" s="29">
        <v>1.14821999744E-2</v>
      </c>
      <c r="D18" s="29"/>
      <c r="E18" t="s">
        <v>54</v>
      </c>
      <c r="F18">
        <v>1.14821999744E-2</v>
      </c>
      <c r="G18">
        <v>1.14821999744E-2</v>
      </c>
      <c r="H18">
        <v>2.29643999488E-2</v>
      </c>
    </row>
    <row r="19" spans="1:8" x14ac:dyDescent="0.4">
      <c r="A19" s="29" t="s">
        <v>55</v>
      </c>
      <c r="B19" s="29">
        <v>0.13509722057500001</v>
      </c>
      <c r="C19" s="29">
        <v>0.13509722057500001</v>
      </c>
      <c r="D19" s="29"/>
      <c r="E19" t="s">
        <v>55</v>
      </c>
      <c r="F19">
        <v>0.13509722057500001</v>
      </c>
      <c r="G19">
        <v>3.8909968844599997E-2</v>
      </c>
      <c r="H19">
        <v>0.17400718942000001</v>
      </c>
    </row>
    <row r="20" spans="1:8" x14ac:dyDescent="0.4">
      <c r="A20" s="29" t="s">
        <v>56</v>
      </c>
      <c r="B20" s="29">
        <v>1</v>
      </c>
      <c r="C20" s="29">
        <v>1</v>
      </c>
      <c r="D20" s="29"/>
      <c r="E20" t="s">
        <v>56</v>
      </c>
      <c r="F20">
        <v>1</v>
      </c>
      <c r="G20">
        <v>1</v>
      </c>
      <c r="H20">
        <v>2</v>
      </c>
    </row>
    <row r="21" spans="1:8" x14ac:dyDescent="0.4">
      <c r="A21" s="29" t="s">
        <v>57</v>
      </c>
      <c r="B21" s="29">
        <v>1</v>
      </c>
      <c r="C21" s="29">
        <v>1</v>
      </c>
      <c r="D21" s="29"/>
      <c r="E21" t="s">
        <v>57</v>
      </c>
      <c r="F21">
        <v>1</v>
      </c>
      <c r="G21">
        <v>1</v>
      </c>
      <c r="H21">
        <v>2</v>
      </c>
    </row>
    <row r="22" spans="1:8" x14ac:dyDescent="0.4">
      <c r="A22" s="29" t="s">
        <v>58</v>
      </c>
      <c r="B22" s="29">
        <v>1</v>
      </c>
      <c r="C22" s="29">
        <v>1</v>
      </c>
      <c r="D22" s="29"/>
      <c r="E22" t="s">
        <v>58</v>
      </c>
      <c r="F22">
        <v>1</v>
      </c>
      <c r="G22">
        <v>1</v>
      </c>
      <c r="H22">
        <v>2</v>
      </c>
    </row>
    <row r="23" spans="1:8" x14ac:dyDescent="0.4">
      <c r="A23" s="29" t="s">
        <v>59</v>
      </c>
      <c r="B23" s="29">
        <v>1</v>
      </c>
      <c r="C23" s="29">
        <v>1</v>
      </c>
      <c r="D23" s="29"/>
      <c r="E23" t="s">
        <v>59</v>
      </c>
      <c r="F23">
        <v>1</v>
      </c>
      <c r="G23">
        <v>1</v>
      </c>
      <c r="H23">
        <v>2</v>
      </c>
    </row>
    <row r="24" spans="1:8" x14ac:dyDescent="0.4">
      <c r="A24" s="29" t="s">
        <v>60</v>
      </c>
      <c r="B24" s="29">
        <v>4.5915607507800004E-3</v>
      </c>
      <c r="C24" s="29">
        <v>4.5915607507800004E-3</v>
      </c>
      <c r="D24" s="29"/>
      <c r="E24" t="s">
        <v>60</v>
      </c>
      <c r="F24">
        <v>4.5915607507800004E-3</v>
      </c>
      <c r="G24">
        <v>0.109375</v>
      </c>
      <c r="H24">
        <v>0.11396656075100001</v>
      </c>
    </row>
    <row r="25" spans="1:8" x14ac:dyDescent="0.4">
      <c r="A25" s="29" t="s">
        <v>61</v>
      </c>
      <c r="B25" s="29">
        <v>0.50718298483099999</v>
      </c>
      <c r="C25" s="29">
        <v>0.50718298483099999</v>
      </c>
      <c r="D25" s="29"/>
      <c r="E25" t="s">
        <v>61</v>
      </c>
      <c r="F25">
        <v>0.50391029848299995</v>
      </c>
      <c r="G25">
        <v>0.49876862992999998</v>
      </c>
      <c r="H25" s="24">
        <v>100267892841</v>
      </c>
    </row>
    <row r="26" spans="1:8" x14ac:dyDescent="0.4">
      <c r="A26" s="29" t="s">
        <v>62</v>
      </c>
      <c r="B26" s="29" t="s">
        <v>63</v>
      </c>
      <c r="C26" s="29" t="s">
        <v>64</v>
      </c>
      <c r="D26" s="29"/>
      <c r="E26" t="s">
        <v>62</v>
      </c>
      <c r="F26" t="s">
        <v>63</v>
      </c>
      <c r="G26" t="s">
        <v>63</v>
      </c>
      <c r="H26" t="s">
        <v>64</v>
      </c>
    </row>
    <row r="27" spans="1:8" x14ac:dyDescent="0.4">
      <c r="A27" s="29" t="s">
        <v>65</v>
      </c>
      <c r="B27" s="29">
        <v>0.70848763377699997</v>
      </c>
      <c r="C27" s="29">
        <v>0.70848763377699997</v>
      </c>
      <c r="D27" s="29"/>
      <c r="E27" t="s">
        <v>65</v>
      </c>
      <c r="F27">
        <v>0.72506480691499997</v>
      </c>
      <c r="G27">
        <v>0.71482076112299997</v>
      </c>
      <c r="H27" s="24">
        <v>143988556804</v>
      </c>
    </row>
    <row r="28" spans="1:8" x14ac:dyDescent="0.4">
      <c r="A28" s="29" t="s">
        <v>66</v>
      </c>
      <c r="B28" s="12">
        <v>0.70957959723999997</v>
      </c>
      <c r="C28" s="12">
        <v>0.70957959723999997</v>
      </c>
      <c r="D28" s="29"/>
      <c r="E28" t="s">
        <v>66</v>
      </c>
      <c r="F28">
        <v>0.70679153276600004</v>
      </c>
      <c r="G28">
        <v>0.70922520650099996</v>
      </c>
      <c r="H28" s="24">
        <v>141601673927</v>
      </c>
    </row>
    <row r="29" spans="1:8" x14ac:dyDescent="0.4">
      <c r="A29" s="29" t="s">
        <v>67</v>
      </c>
      <c r="B29" s="12">
        <v>0.59154068830700002</v>
      </c>
      <c r="C29" s="12">
        <v>0.59154068830700002</v>
      </c>
      <c r="D29" s="29"/>
      <c r="E29" t="s">
        <v>67</v>
      </c>
      <c r="F29">
        <v>0.58943579919300004</v>
      </c>
      <c r="G29">
        <v>0.55044587081600005</v>
      </c>
      <c r="H29" s="24">
        <v>113988167001</v>
      </c>
    </row>
    <row r="30" spans="1:8" x14ac:dyDescent="0.4">
      <c r="A30" s="29" t="s">
        <v>68</v>
      </c>
      <c r="B30" s="12">
        <v>0.58288282131699998</v>
      </c>
      <c r="C30" s="12">
        <v>0.58288282131699998</v>
      </c>
      <c r="D30" s="29"/>
      <c r="E30" t="s">
        <v>68</v>
      </c>
      <c r="F30">
        <v>0.592884966254</v>
      </c>
      <c r="G30">
        <v>0.56308409942299997</v>
      </c>
      <c r="H30" s="24">
        <v>115596906568</v>
      </c>
    </row>
    <row r="31" spans="1:8" x14ac:dyDescent="0.4">
      <c r="A31" s="29" t="s">
        <v>69</v>
      </c>
      <c r="B31" s="12">
        <v>0.99930971077099995</v>
      </c>
      <c r="C31" s="12">
        <v>0.99930971077099995</v>
      </c>
      <c r="D31" s="29"/>
      <c r="E31" t="s">
        <v>69</v>
      </c>
      <c r="F31">
        <v>0.99933258610800002</v>
      </c>
      <c r="G31">
        <v>0.99921935346099999</v>
      </c>
      <c r="H31" s="24">
        <v>199855193957</v>
      </c>
    </row>
    <row r="32" spans="1:8" x14ac:dyDescent="0.4">
      <c r="A32" s="29" t="s">
        <v>70</v>
      </c>
      <c r="B32" s="12">
        <v>0.99877444622199996</v>
      </c>
      <c r="C32" s="12">
        <v>0.99877444622199996</v>
      </c>
      <c r="D32" s="29"/>
      <c r="E32" t="s">
        <v>70</v>
      </c>
      <c r="F32">
        <v>0.99887549565300005</v>
      </c>
      <c r="G32">
        <v>0.99881722093500003</v>
      </c>
      <c r="H32" s="24">
        <v>199769271659</v>
      </c>
    </row>
    <row r="33" spans="1:8" x14ac:dyDescent="0.4">
      <c r="A33" s="29" t="s">
        <v>71</v>
      </c>
      <c r="B33" s="29">
        <v>1</v>
      </c>
      <c r="C33" s="29">
        <v>1</v>
      </c>
      <c r="D33" s="29"/>
      <c r="E33" t="s">
        <v>71</v>
      </c>
      <c r="F33">
        <v>1</v>
      </c>
      <c r="G33">
        <v>1</v>
      </c>
      <c r="H33">
        <v>2</v>
      </c>
    </row>
    <row r="34" spans="1:8" x14ac:dyDescent="0.4">
      <c r="A34" s="29" t="s">
        <v>72</v>
      </c>
      <c r="B34" s="29">
        <v>8.4604001690500003E-2</v>
      </c>
      <c r="C34" s="29">
        <v>8.4604001690500003E-2</v>
      </c>
      <c r="D34" s="29"/>
      <c r="E34" t="s">
        <v>72</v>
      </c>
      <c r="F34">
        <v>8.4604001690500003E-2</v>
      </c>
      <c r="G34">
        <v>8.0517040447500004E-3</v>
      </c>
      <c r="H34">
        <v>9.2655705735200003E-2</v>
      </c>
    </row>
    <row r="35" spans="1:8" x14ac:dyDescent="0.4">
      <c r="A35" s="29" t="s">
        <v>73</v>
      </c>
      <c r="B35" s="12">
        <v>1</v>
      </c>
      <c r="C35" s="12">
        <v>1</v>
      </c>
      <c r="D35" s="29"/>
      <c r="E35" t="s">
        <v>73</v>
      </c>
      <c r="F35">
        <v>1</v>
      </c>
      <c r="G35">
        <v>1</v>
      </c>
      <c r="H35">
        <v>2</v>
      </c>
    </row>
    <row r="36" spans="1:8" x14ac:dyDescent="0.4">
      <c r="A36" s="29" t="s">
        <v>74</v>
      </c>
      <c r="B36" s="12">
        <v>1</v>
      </c>
      <c r="C36" s="12">
        <v>1</v>
      </c>
      <c r="D36" s="29"/>
      <c r="E36" t="s">
        <v>74</v>
      </c>
      <c r="F36">
        <v>1</v>
      </c>
      <c r="G36">
        <v>1</v>
      </c>
      <c r="H36">
        <v>2</v>
      </c>
    </row>
    <row r="37" spans="1:8" x14ac:dyDescent="0.4">
      <c r="A37" s="29" t="s">
        <v>75</v>
      </c>
      <c r="B37" s="12">
        <v>1.1938057952E-2</v>
      </c>
      <c r="C37" s="12">
        <v>1.1938057952E-2</v>
      </c>
      <c r="D37" s="29"/>
      <c r="E37" t="s">
        <v>75</v>
      </c>
      <c r="F37">
        <v>1.1938057952E-2</v>
      </c>
      <c r="G37">
        <v>1.1938057952E-2</v>
      </c>
      <c r="H37">
        <v>2.38761159041E-2</v>
      </c>
    </row>
    <row r="38" spans="1:8" x14ac:dyDescent="0.4">
      <c r="A38" s="29" t="s">
        <v>76</v>
      </c>
      <c r="B38" s="12">
        <v>8.3117175937699999E-3</v>
      </c>
      <c r="C38" s="12">
        <v>8.3117175937699999E-3</v>
      </c>
      <c r="D38" s="29"/>
      <c r="E38" t="s">
        <v>76</v>
      </c>
      <c r="F38">
        <v>8.4840561318899992E-3</v>
      </c>
      <c r="G38">
        <v>7.8918080002100006E-3</v>
      </c>
      <c r="H38">
        <v>1.6375864132100001E-2</v>
      </c>
    </row>
    <row r="39" spans="1:8" x14ac:dyDescent="0.4">
      <c r="A39" s="29" t="s">
        <v>77</v>
      </c>
      <c r="B39" s="12">
        <v>0.116668961142</v>
      </c>
      <c r="C39" s="12">
        <v>0.116668961142</v>
      </c>
      <c r="D39" s="29"/>
      <c r="E39" t="s">
        <v>77</v>
      </c>
      <c r="F39">
        <v>0.116668961142</v>
      </c>
      <c r="G39">
        <v>0.116668961142</v>
      </c>
      <c r="H39">
        <v>0.23333792228399999</v>
      </c>
    </row>
    <row r="40" spans="1:8" x14ac:dyDescent="0.4">
      <c r="A40" s="29" t="s">
        <v>78</v>
      </c>
      <c r="B40" s="29">
        <v>0.23113356479899999</v>
      </c>
      <c r="C40" s="29">
        <v>0.23113356479899999</v>
      </c>
      <c r="D40" s="29"/>
      <c r="E40" t="s">
        <v>78</v>
      </c>
      <c r="F40">
        <v>0.23105083316300001</v>
      </c>
      <c r="G40">
        <v>0.230964790379</v>
      </c>
      <c r="H40">
        <v>0.46201562354300002</v>
      </c>
    </row>
    <row r="41" spans="1:8" x14ac:dyDescent="0.4">
      <c r="A41" s="29" t="s">
        <v>79</v>
      </c>
      <c r="B41" s="29">
        <v>0.23592744510200001</v>
      </c>
      <c r="C41" s="29">
        <v>0.23592744510200001</v>
      </c>
      <c r="D41" s="29"/>
      <c r="E41" t="s">
        <v>79</v>
      </c>
      <c r="F41">
        <v>0.234245616691</v>
      </c>
      <c r="G41">
        <v>0.233131531069</v>
      </c>
      <c r="H41">
        <v>0.46737714775900002</v>
      </c>
    </row>
    <row r="42" spans="1:8" x14ac:dyDescent="0.4">
      <c r="A42" s="29" t="s">
        <v>80</v>
      </c>
      <c r="B42" s="12">
        <v>0.11938057952</v>
      </c>
      <c r="C42" s="12">
        <v>0.11938057952</v>
      </c>
      <c r="D42" s="29"/>
      <c r="E42" t="s">
        <v>80</v>
      </c>
      <c r="F42">
        <v>0.11938057952</v>
      </c>
      <c r="G42">
        <v>0.11938057952</v>
      </c>
      <c r="H42">
        <v>0.23876115904100001</v>
      </c>
    </row>
    <row r="43" spans="1:8" x14ac:dyDescent="0.4">
      <c r="A43" s="29" t="s">
        <v>81</v>
      </c>
      <c r="B43" s="12">
        <v>1</v>
      </c>
      <c r="C43" s="12">
        <v>1</v>
      </c>
      <c r="D43" s="29"/>
      <c r="E43" t="s">
        <v>81</v>
      </c>
      <c r="F43">
        <v>1</v>
      </c>
      <c r="G43">
        <v>1</v>
      </c>
      <c r="H43">
        <v>2</v>
      </c>
    </row>
    <row r="44" spans="1:8" x14ac:dyDescent="0.4">
      <c r="A44" s="29" t="s">
        <v>82</v>
      </c>
      <c r="B44" s="12">
        <v>1</v>
      </c>
      <c r="C44" s="12">
        <v>1</v>
      </c>
      <c r="D44" s="29"/>
      <c r="E44" t="s">
        <v>82</v>
      </c>
      <c r="F44">
        <v>1</v>
      </c>
      <c r="G44">
        <v>1</v>
      </c>
      <c r="H44">
        <v>2</v>
      </c>
    </row>
    <row r="45" spans="1:8" x14ac:dyDescent="0.4">
      <c r="A45" s="29" t="s">
        <v>83</v>
      </c>
      <c r="B45" s="12">
        <v>1.1333502891E-2</v>
      </c>
      <c r="C45" s="12">
        <v>1.1333502891E-2</v>
      </c>
      <c r="D45" s="29"/>
      <c r="E45" t="s">
        <v>83</v>
      </c>
      <c r="F45">
        <v>1.1333502891E-2</v>
      </c>
      <c r="G45">
        <v>1.1333502891E-2</v>
      </c>
      <c r="H45">
        <v>2.26670057821E-2</v>
      </c>
    </row>
    <row r="46" spans="1:8" x14ac:dyDescent="0.4">
      <c r="A46" s="29" t="s">
        <v>84</v>
      </c>
      <c r="B46" s="12">
        <v>1.5707963267999999E-2</v>
      </c>
      <c r="C46" s="12">
        <v>1.5707963267999999E-2</v>
      </c>
      <c r="D46" s="29"/>
      <c r="E46" t="s">
        <v>84</v>
      </c>
      <c r="F46">
        <v>1.5707963267999999E-2</v>
      </c>
      <c r="G46">
        <v>1.07105011561E-4</v>
      </c>
      <c r="H46">
        <v>1.5815068279500001E-2</v>
      </c>
    </row>
    <row r="47" spans="1:8" x14ac:dyDescent="0.4">
      <c r="A47" s="29" t="s">
        <v>85</v>
      </c>
      <c r="B47" s="29">
        <v>8.6359730554099998E-2</v>
      </c>
      <c r="C47" s="29">
        <v>8.6359730554099998E-2</v>
      </c>
      <c r="D47" s="29"/>
      <c r="E47" t="s">
        <v>85</v>
      </c>
      <c r="F47">
        <v>8.6359730554099998E-2</v>
      </c>
      <c r="G47">
        <v>0.3515625</v>
      </c>
      <c r="H47">
        <v>0.43792223055399998</v>
      </c>
    </row>
    <row r="48" spans="1:8" x14ac:dyDescent="0.4">
      <c r="A48" s="29" t="s">
        <v>86</v>
      </c>
      <c r="B48" s="12">
        <v>5.8207660913500001E-5</v>
      </c>
      <c r="C48" s="12">
        <v>5.8207660913500001E-5</v>
      </c>
      <c r="D48" s="29"/>
      <c r="E48" t="s">
        <v>86</v>
      </c>
      <c r="F48" s="12">
        <v>5.8207660913500001E-5</v>
      </c>
      <c r="G48" s="12">
        <v>5.8207660913500001E-5</v>
      </c>
      <c r="H48" s="12">
        <v>1.16415321827E-4</v>
      </c>
    </row>
    <row r="49" spans="1:8" x14ac:dyDescent="0.4">
      <c r="A49" s="29" t="s">
        <v>87</v>
      </c>
      <c r="B49" s="29">
        <v>1</v>
      </c>
      <c r="C49" s="29">
        <v>1</v>
      </c>
      <c r="D49" s="29"/>
      <c r="E49" t="s">
        <v>87</v>
      </c>
      <c r="F49">
        <v>1</v>
      </c>
      <c r="G49">
        <v>1</v>
      </c>
      <c r="H49">
        <v>2</v>
      </c>
    </row>
    <row r="50" spans="1:8" x14ac:dyDescent="0.4">
      <c r="A50" s="29" t="s">
        <v>88</v>
      </c>
      <c r="B50" s="29">
        <v>0.17030350052900001</v>
      </c>
      <c r="C50" s="29">
        <v>0.17030350052900001</v>
      </c>
      <c r="D50" s="29"/>
      <c r="E50" t="s">
        <v>88</v>
      </c>
      <c r="F50">
        <v>0.17030350052900001</v>
      </c>
      <c r="G50">
        <v>0.49246418834900002</v>
      </c>
      <c r="H50">
        <v>0.66276768887799997</v>
      </c>
    </row>
    <row r="51" spans="1:8" x14ac:dyDescent="0.4">
      <c r="A51" s="29" t="s">
        <v>89</v>
      </c>
      <c r="B51" s="12">
        <v>2.9103830456699998E-5</v>
      </c>
      <c r="C51" s="12">
        <v>2.9103830456699998E-5</v>
      </c>
      <c r="D51" s="29"/>
      <c r="E51" t="s">
        <v>89</v>
      </c>
      <c r="F51" s="12">
        <v>2.9103830456699998E-5</v>
      </c>
      <c r="G51" s="12">
        <v>2.9103830456699998E-5</v>
      </c>
      <c r="H51" s="12">
        <v>5.8207660913500001E-5</v>
      </c>
    </row>
    <row r="52" spans="1:8" x14ac:dyDescent="0.4">
      <c r="A52" s="29" t="s">
        <v>90</v>
      </c>
      <c r="B52" s="29">
        <v>0.90753386984100004</v>
      </c>
      <c r="C52" s="29">
        <v>0.90753386984100004</v>
      </c>
      <c r="D52" s="29"/>
      <c r="E52" t="s">
        <v>90</v>
      </c>
      <c r="F52">
        <v>0.908125326008</v>
      </c>
      <c r="G52">
        <v>0.90262228629700003</v>
      </c>
      <c r="H52" s="24">
        <v>18107476123</v>
      </c>
    </row>
    <row r="53" spans="1:8" x14ac:dyDescent="0.4">
      <c r="A53" s="29" t="s">
        <v>91</v>
      </c>
      <c r="B53" s="29">
        <v>0.91459918168400001</v>
      </c>
      <c r="C53" s="29">
        <v>0.91459918168400001</v>
      </c>
      <c r="D53" s="29"/>
      <c r="E53" t="s">
        <v>91</v>
      </c>
      <c r="F53">
        <v>0.90321474632300003</v>
      </c>
      <c r="G53">
        <v>0.90252861868800005</v>
      </c>
      <c r="H53" s="24">
        <v>180574336501</v>
      </c>
    </row>
    <row r="54" spans="1:8" x14ac:dyDescent="0.4">
      <c r="A54" s="29" t="s">
        <v>92</v>
      </c>
      <c r="B54" s="12">
        <v>1.7763568394000001E-7</v>
      </c>
      <c r="C54" s="12">
        <v>1.7763568394000001E-7</v>
      </c>
      <c r="D54" s="29"/>
      <c r="E54" t="s">
        <v>92</v>
      </c>
      <c r="F54" s="12">
        <v>1.7763568394000001E-7</v>
      </c>
      <c r="G54" s="12">
        <v>1.7763568394000001E-7</v>
      </c>
      <c r="H54" s="12">
        <v>3.5527136788000001E-7</v>
      </c>
    </row>
    <row r="55" spans="1:8" x14ac:dyDescent="0.4">
      <c r="A55" s="29" t="s">
        <v>93</v>
      </c>
      <c r="B55" s="29">
        <v>1.37444678595E-2</v>
      </c>
      <c r="C55" s="29">
        <v>1.37444678595E-2</v>
      </c>
      <c r="D55" s="29"/>
      <c r="E55" t="s">
        <v>93</v>
      </c>
      <c r="F55">
        <v>1.37444678595E-2</v>
      </c>
      <c r="G55">
        <v>1.37444678595E-2</v>
      </c>
      <c r="H55">
        <v>2.7488935718900001E-2</v>
      </c>
    </row>
    <row r="56" spans="1:8" x14ac:dyDescent="0.4">
      <c r="A56" s="29" t="s">
        <v>94</v>
      </c>
      <c r="B56" s="12">
        <v>1.11022302463E-7</v>
      </c>
      <c r="C56" s="12">
        <v>1.11022302463E-7</v>
      </c>
      <c r="D56" s="29"/>
      <c r="E56" t="s">
        <v>94</v>
      </c>
      <c r="F56" s="12">
        <v>1.11022302463E-7</v>
      </c>
      <c r="G56" s="12">
        <v>1.11022302463E-7</v>
      </c>
      <c r="H56" s="12">
        <v>2.2204460492499999E-7</v>
      </c>
    </row>
    <row r="57" spans="1:8" x14ac:dyDescent="0.4">
      <c r="A57" s="29" t="s">
        <v>95</v>
      </c>
      <c r="B57" s="29">
        <v>2.9420674869499999E-3</v>
      </c>
      <c r="C57" s="29">
        <v>2.9420674869499999E-3</v>
      </c>
      <c r="D57" s="29"/>
      <c r="E57" t="s">
        <v>95</v>
      </c>
      <c r="F57">
        <v>3.1058459457600001E-3</v>
      </c>
      <c r="G57">
        <v>3.1058459457600001E-3</v>
      </c>
      <c r="H57">
        <v>6.2116918915200003E-3</v>
      </c>
    </row>
    <row r="58" spans="1:8" x14ac:dyDescent="0.4">
      <c r="A58" s="29" t="s">
        <v>96</v>
      </c>
      <c r="B58" s="29">
        <v>3.72856077554E-3</v>
      </c>
      <c r="C58" s="29">
        <v>3.72856077554E-3</v>
      </c>
      <c r="D58" s="29"/>
      <c r="E58" t="s">
        <v>96</v>
      </c>
      <c r="F58">
        <v>3.6810026023800001E-3</v>
      </c>
      <c r="G58" s="12">
        <v>3424188.4673299999</v>
      </c>
      <c r="H58">
        <v>3.7152444870599999E-3</v>
      </c>
    </row>
    <row r="59" spans="1:8" x14ac:dyDescent="0.4">
      <c r="A59" s="29" t="s">
        <v>97</v>
      </c>
      <c r="B59" s="29">
        <v>0.438368055556</v>
      </c>
      <c r="C59" s="29">
        <v>0.438368055556</v>
      </c>
      <c r="D59" s="29"/>
      <c r="E59" t="s">
        <v>97</v>
      </c>
      <c r="F59">
        <v>0.44563137755100002</v>
      </c>
      <c r="G59">
        <v>0.44563137755100002</v>
      </c>
      <c r="H59">
        <v>0.89126275510200004</v>
      </c>
    </row>
    <row r="60" spans="1:8" x14ac:dyDescent="0.4">
      <c r="A60" s="29" t="s">
        <v>98</v>
      </c>
      <c r="B60" s="29">
        <v>0.555555555556</v>
      </c>
      <c r="C60" s="29">
        <v>0.555555555556</v>
      </c>
      <c r="D60" s="29"/>
      <c r="E60" t="s">
        <v>98</v>
      </c>
      <c r="F60">
        <v>0.54846938775499998</v>
      </c>
      <c r="G60">
        <v>5.1020408163299997E-3</v>
      </c>
      <c r="H60">
        <v>0.55357142857099995</v>
      </c>
    </row>
    <row r="61" spans="1:8" x14ac:dyDescent="0.4">
      <c r="A61" s="29" t="s">
        <v>99</v>
      </c>
      <c r="B61" s="29">
        <v>0.76000037359299999</v>
      </c>
      <c r="C61" s="29">
        <v>0.76000037359299999</v>
      </c>
      <c r="D61" s="29"/>
      <c r="E61" t="s">
        <v>99</v>
      </c>
      <c r="F61">
        <v>0.76000037359299999</v>
      </c>
      <c r="G61">
        <v>0.76000037359299999</v>
      </c>
      <c r="H61" s="24">
        <v>152000074719</v>
      </c>
    </row>
    <row r="62" spans="1:8" x14ac:dyDescent="0.4">
      <c r="A62" s="29" t="s">
        <v>100</v>
      </c>
      <c r="B62" s="29">
        <v>0.76000037359299999</v>
      </c>
      <c r="C62" s="29">
        <v>0.76000037359299999</v>
      </c>
      <c r="D62" s="29"/>
      <c r="E62" t="s">
        <v>100</v>
      </c>
      <c r="F62">
        <v>0.76000037359299999</v>
      </c>
      <c r="G62">
        <v>0.76000037359299999</v>
      </c>
      <c r="H62" s="24">
        <v>152000074719</v>
      </c>
    </row>
    <row r="63" spans="1:8" x14ac:dyDescent="0.4">
      <c r="A63" s="29" t="s">
        <v>101</v>
      </c>
      <c r="B63" s="29">
        <v>1</v>
      </c>
      <c r="C63" s="29">
        <v>1</v>
      </c>
      <c r="D63" s="29"/>
      <c r="E63" t="s">
        <v>101</v>
      </c>
      <c r="F63">
        <v>1</v>
      </c>
      <c r="G63">
        <v>6.8185168079100003E-3</v>
      </c>
      <c r="H63" s="24">
        <v>100681851681</v>
      </c>
    </row>
    <row r="64" spans="1:8" x14ac:dyDescent="0.4">
      <c r="A64" s="29" t="s">
        <v>102</v>
      </c>
      <c r="B64" s="12">
        <v>5.5511151231300001E-6</v>
      </c>
      <c r="C64" s="12">
        <v>5.5511151231300001E-6</v>
      </c>
      <c r="D64" s="29"/>
      <c r="E64" t="s">
        <v>102</v>
      </c>
      <c r="F64" s="12">
        <v>5.5511151231300001E-6</v>
      </c>
      <c r="G64" s="12">
        <v>5.5511151231300001E-6</v>
      </c>
      <c r="H64" s="12">
        <v>1.11022302463E-5</v>
      </c>
    </row>
    <row r="65" spans="1:8" x14ac:dyDescent="0.4">
      <c r="A65" s="29" t="s">
        <v>103</v>
      </c>
      <c r="B65" s="29">
        <v>2.2815702865399998E-2</v>
      </c>
      <c r="C65" s="29">
        <v>2.2815702865399998E-2</v>
      </c>
      <c r="D65" s="29"/>
      <c r="E65" t="s">
        <v>103</v>
      </c>
      <c r="F65">
        <v>2.2815702865399998E-2</v>
      </c>
      <c r="G65">
        <v>2.2815702865399998E-2</v>
      </c>
      <c r="H65">
        <v>4.56314057309E-2</v>
      </c>
    </row>
    <row r="66" spans="1:8" x14ac:dyDescent="0.4">
      <c r="A66" s="29" t="s">
        <v>104</v>
      </c>
      <c r="B66" s="29">
        <v>1.50330117213E-2</v>
      </c>
      <c r="C66" s="29">
        <v>1.50330117213E-2</v>
      </c>
      <c r="D66" s="29"/>
      <c r="E66" t="s">
        <v>104</v>
      </c>
      <c r="F66">
        <v>1.50330117213E-2</v>
      </c>
      <c r="G66">
        <v>1.50330117213E-2</v>
      </c>
      <c r="H66">
        <v>3.0066023442599999E-2</v>
      </c>
    </row>
    <row r="67" spans="1:8" x14ac:dyDescent="0.4">
      <c r="A67" s="29" t="s">
        <v>105</v>
      </c>
      <c r="B67" s="29">
        <v>2.1051728943599999E-2</v>
      </c>
      <c r="C67" s="29">
        <v>2.1051728943599999E-2</v>
      </c>
      <c r="D67" s="29"/>
      <c r="E67" t="s">
        <v>105</v>
      </c>
      <c r="F67">
        <v>2.1051728943599999E-2</v>
      </c>
      <c r="G67">
        <v>2.1051728943599999E-2</v>
      </c>
      <c r="H67">
        <v>4.2103457887199998E-2</v>
      </c>
    </row>
    <row r="68" spans="1:8" x14ac:dyDescent="0.4">
      <c r="A68" s="29" t="s">
        <v>106</v>
      </c>
      <c r="B68" s="29">
        <v>1.01311991978E-3</v>
      </c>
      <c r="C68" s="29">
        <v>1.01311991978E-3</v>
      </c>
      <c r="D68" s="29"/>
      <c r="E68" t="s">
        <v>106</v>
      </c>
      <c r="F68">
        <v>1.01311991978E-3</v>
      </c>
      <c r="G68">
        <v>1.01311991978E-3</v>
      </c>
      <c r="H68">
        <v>2.0262398395600001E-3</v>
      </c>
    </row>
    <row r="69" spans="1:8" x14ac:dyDescent="0.4">
      <c r="A69" s="29" t="s">
        <v>107</v>
      </c>
      <c r="B69" s="29">
        <v>0.219701222266</v>
      </c>
      <c r="C69" s="29">
        <v>0.219701222266</v>
      </c>
      <c r="D69" s="29"/>
      <c r="E69" t="s">
        <v>107</v>
      </c>
      <c r="F69">
        <v>0.219701222266</v>
      </c>
      <c r="G69">
        <v>4.6961672889400001E-2</v>
      </c>
      <c r="H69">
        <v>0.26666289515500002</v>
      </c>
    </row>
    <row r="70" spans="1:8" x14ac:dyDescent="0.4">
      <c r="A70" s="29" t="s">
        <v>108</v>
      </c>
      <c r="B70" s="29">
        <v>4.9480098964999997E-2</v>
      </c>
      <c r="C70" s="29">
        <v>4.9480098964999997E-2</v>
      </c>
      <c r="D70" s="29"/>
      <c r="E70" t="s">
        <v>108</v>
      </c>
      <c r="F70">
        <v>4.9480098964999997E-2</v>
      </c>
      <c r="G70">
        <v>2.9979026144500001E-2</v>
      </c>
      <c r="H70">
        <v>7.9459125109600001E-2</v>
      </c>
    </row>
    <row r="71" spans="1:8" x14ac:dyDescent="0.4">
      <c r="A71" s="29" t="s">
        <v>109</v>
      </c>
      <c r="B71" s="12">
        <v>8.5617121610200006E-2</v>
      </c>
      <c r="C71" s="12">
        <v>8.5617121610200006E-2</v>
      </c>
      <c r="D71" s="29"/>
      <c r="E71" t="s">
        <v>109</v>
      </c>
      <c r="F71">
        <v>8.5617121610200006E-2</v>
      </c>
      <c r="G71">
        <v>8.9309427000799999E-3</v>
      </c>
      <c r="H71">
        <v>9.4548064310299995E-2</v>
      </c>
    </row>
    <row r="72" spans="1:8" x14ac:dyDescent="0.4">
      <c r="A72" s="29" t="s">
        <v>110</v>
      </c>
      <c r="B72" s="29">
        <v>1.01311991978E-3</v>
      </c>
      <c r="C72" s="29">
        <v>1.01311991978E-3</v>
      </c>
      <c r="D72" s="29"/>
      <c r="E72" t="s">
        <v>110</v>
      </c>
      <c r="F72">
        <v>1.01311991978E-3</v>
      </c>
      <c r="G72">
        <v>1.01311991978E-3</v>
      </c>
      <c r="H72">
        <v>2.0262398395600001E-3</v>
      </c>
    </row>
    <row r="73" spans="1:8" x14ac:dyDescent="0.4">
      <c r="A73" s="29" t="s">
        <v>111</v>
      </c>
      <c r="B73" s="29">
        <v>1.50330117213E-2</v>
      </c>
      <c r="C73" s="29">
        <v>1.50330117213E-2</v>
      </c>
      <c r="D73" s="29"/>
      <c r="E73" t="s">
        <v>111</v>
      </c>
      <c r="F73">
        <v>1.50330117213E-2</v>
      </c>
      <c r="G73">
        <v>1.50330117213E-2</v>
      </c>
      <c r="H73">
        <v>3.0066023442599999E-2</v>
      </c>
    </row>
    <row r="74" spans="1:8" x14ac:dyDescent="0.4">
      <c r="A74" s="29" t="s">
        <v>112</v>
      </c>
      <c r="B74" s="29">
        <v>1.96349540849E-2</v>
      </c>
      <c r="C74" s="29">
        <v>1.96349540849E-2</v>
      </c>
      <c r="D74" s="29"/>
      <c r="E74" t="s">
        <v>112</v>
      </c>
      <c r="F74">
        <v>1.96349540849E-2</v>
      </c>
      <c r="G74">
        <v>1.33881264451E-4</v>
      </c>
      <c r="H74">
        <v>1.97688353494E-2</v>
      </c>
    </row>
    <row r="75" spans="1:8" x14ac:dyDescent="0.4">
      <c r="A75" s="29" t="s">
        <v>113</v>
      </c>
      <c r="B75" s="29">
        <v>2.1051728943599999E-2</v>
      </c>
      <c r="C75" s="29">
        <v>2.1051728943599999E-2</v>
      </c>
      <c r="D75" s="29"/>
      <c r="E75" t="s">
        <v>113</v>
      </c>
      <c r="F75">
        <v>2.1051728943599999E-2</v>
      </c>
      <c r="G75">
        <v>2.1051728943599999E-2</v>
      </c>
      <c r="H75">
        <v>4.2103457887199998E-2</v>
      </c>
    </row>
    <row r="76" spans="1:8" x14ac:dyDescent="0.4">
      <c r="A76" s="29" t="s">
        <v>114</v>
      </c>
      <c r="B76" s="12">
        <v>8.4604001690500003E-2</v>
      </c>
      <c r="C76" s="12">
        <v>8.4604001690500003E-2</v>
      </c>
      <c r="D76" s="29"/>
      <c r="E76" t="s">
        <v>114</v>
      </c>
      <c r="F76">
        <v>8.4604001690500003E-2</v>
      </c>
      <c r="G76">
        <v>7.9178227802999997E-3</v>
      </c>
      <c r="H76">
        <v>9.2521824470699995E-2</v>
      </c>
    </row>
    <row r="77" spans="1:8" x14ac:dyDescent="0.4">
      <c r="A77" s="29" t="s">
        <v>115</v>
      </c>
      <c r="B77" s="29">
        <v>0.61521801097399997</v>
      </c>
      <c r="C77" s="29">
        <v>0.61521801097399997</v>
      </c>
      <c r="D77" s="29"/>
      <c r="E77" t="s">
        <v>115</v>
      </c>
      <c r="F77">
        <v>0.66404931072100004</v>
      </c>
      <c r="G77">
        <v>0.55451460185000001</v>
      </c>
      <c r="H77" s="24">
        <v>121856391257</v>
      </c>
    </row>
    <row r="78" spans="1:8" x14ac:dyDescent="0.4">
      <c r="A78" s="29" t="s">
        <v>116</v>
      </c>
      <c r="B78" s="12">
        <v>8.881784197E-9</v>
      </c>
      <c r="C78" s="12">
        <v>8.881784197E-9</v>
      </c>
      <c r="D78" s="29"/>
      <c r="E78" t="s">
        <v>116</v>
      </c>
      <c r="F78" s="12">
        <v>8.881784197E-9</v>
      </c>
      <c r="G78">
        <v>1.6249999999999999E-3</v>
      </c>
      <c r="H78">
        <v>1.6249999999999999E-3</v>
      </c>
    </row>
    <row r="79" spans="1:8" x14ac:dyDescent="0.4">
      <c r="A79" s="29" t="s">
        <v>117</v>
      </c>
      <c r="B79" s="12" t="s">
        <v>63</v>
      </c>
      <c r="C79" s="12" t="s">
        <v>64</v>
      </c>
      <c r="D79" s="29"/>
      <c r="E79" t="s">
        <v>117</v>
      </c>
      <c r="F79" t="s">
        <v>63</v>
      </c>
      <c r="G79" t="s">
        <v>63</v>
      </c>
      <c r="H79" t="s">
        <v>64</v>
      </c>
    </row>
    <row r="80" spans="1:8" x14ac:dyDescent="0.4">
      <c r="A80" s="29" t="s">
        <v>118</v>
      </c>
      <c r="B80" s="12" t="s">
        <v>63</v>
      </c>
      <c r="C80" s="12" t="s">
        <v>64</v>
      </c>
      <c r="D80" s="29"/>
      <c r="E80" t="s">
        <v>118</v>
      </c>
      <c r="F80" t="s">
        <v>63</v>
      </c>
      <c r="G80" t="s">
        <v>63</v>
      </c>
      <c r="H80" t="s">
        <v>64</v>
      </c>
    </row>
    <row r="81" spans="1:8" x14ac:dyDescent="0.4">
      <c r="A81" s="29" t="s">
        <v>119</v>
      </c>
      <c r="B81" s="12">
        <v>0.109780038664</v>
      </c>
      <c r="C81" s="12">
        <v>0.109780038664</v>
      </c>
      <c r="D81" s="29"/>
      <c r="E81" t="s">
        <v>119</v>
      </c>
      <c r="F81">
        <v>0.117098707908</v>
      </c>
      <c r="G81">
        <v>8.7029487413299994E-2</v>
      </c>
      <c r="H81">
        <v>0.20412819532099999</v>
      </c>
    </row>
    <row r="82" spans="1:8" x14ac:dyDescent="0.4">
      <c r="A82" s="29" t="s">
        <v>120</v>
      </c>
      <c r="B82" s="12">
        <v>0.12546290132999999</v>
      </c>
      <c r="C82" s="12">
        <v>0.12546290132999999</v>
      </c>
      <c r="D82" s="29"/>
      <c r="E82" t="s">
        <v>120</v>
      </c>
      <c r="F82">
        <v>0.117098707908</v>
      </c>
      <c r="G82">
        <v>0.106093089418</v>
      </c>
      <c r="H82">
        <v>0.223191797326</v>
      </c>
    </row>
    <row r="83" spans="1:8" x14ac:dyDescent="0.4">
      <c r="A83" s="29" t="s">
        <v>121</v>
      </c>
      <c r="B83" s="12">
        <v>8.881784197E-9</v>
      </c>
      <c r="C83" s="12">
        <v>8.881784197E-9</v>
      </c>
      <c r="D83" s="29"/>
      <c r="E83" t="s">
        <v>121</v>
      </c>
      <c r="F83" s="12">
        <v>8.881784197E-9</v>
      </c>
      <c r="G83">
        <v>1.6249999999999999E-3</v>
      </c>
      <c r="H83">
        <v>1.6249999999999999E-3</v>
      </c>
    </row>
    <row r="84" spans="1:8" x14ac:dyDescent="0.4">
      <c r="A84" s="29" t="s">
        <v>122</v>
      </c>
      <c r="B84" s="29">
        <v>7.5196259318300001E-4</v>
      </c>
      <c r="C84" s="29">
        <v>7.5196259318300001E-4</v>
      </c>
      <c r="D84" s="29"/>
      <c r="E84" t="s">
        <v>122</v>
      </c>
      <c r="F84">
        <v>7.2235768560199995E-4</v>
      </c>
      <c r="G84">
        <v>6.5758640076400005E-4</v>
      </c>
      <c r="H84">
        <v>1.37994408637E-3</v>
      </c>
    </row>
    <row r="85" spans="1:8" x14ac:dyDescent="0.4">
      <c r="A85" s="29" t="s">
        <v>123</v>
      </c>
      <c r="B85" s="29">
        <v>1</v>
      </c>
      <c r="C85" s="29">
        <v>1</v>
      </c>
      <c r="D85" s="29"/>
      <c r="E85" t="s">
        <v>123</v>
      </c>
      <c r="F85">
        <v>1</v>
      </c>
      <c r="G85">
        <v>1</v>
      </c>
      <c r="H85">
        <v>2</v>
      </c>
    </row>
    <row r="86" spans="1:8" x14ac:dyDescent="0.4">
      <c r="A86" s="29" t="s">
        <v>124</v>
      </c>
      <c r="B86" s="12">
        <v>1</v>
      </c>
      <c r="C86" s="12">
        <v>1</v>
      </c>
      <c r="D86" s="29"/>
      <c r="E86" t="s">
        <v>124</v>
      </c>
      <c r="F86">
        <v>1</v>
      </c>
      <c r="G86">
        <v>1</v>
      </c>
      <c r="H86">
        <v>2</v>
      </c>
    </row>
    <row r="87" spans="1:8" x14ac:dyDescent="0.4">
      <c r="A87" s="29" t="s">
        <v>125</v>
      </c>
      <c r="B87" s="29">
        <v>1.2323664767299999E-2</v>
      </c>
      <c r="C87" s="29">
        <v>1.2323664767299999E-2</v>
      </c>
      <c r="D87" s="29"/>
      <c r="E87" t="s">
        <v>125</v>
      </c>
      <c r="F87">
        <v>1.22300779551E-2</v>
      </c>
      <c r="G87">
        <v>1.20834779531E-2</v>
      </c>
      <c r="H87">
        <v>2.4313555908199998E-2</v>
      </c>
    </row>
    <row r="88" spans="1:8" x14ac:dyDescent="0.4">
      <c r="A88" s="29" t="s">
        <v>126</v>
      </c>
      <c r="B88" s="29">
        <v>0.21221387349599999</v>
      </c>
      <c r="C88" s="29">
        <v>0.21221387349599999</v>
      </c>
      <c r="D88" s="29"/>
      <c r="E88" t="s">
        <v>126</v>
      </c>
      <c r="F88">
        <v>0.21928766927900001</v>
      </c>
      <c r="G88">
        <v>0.21928766927900001</v>
      </c>
      <c r="H88">
        <v>0.43857533855800002</v>
      </c>
    </row>
    <row r="89" spans="1:8" x14ac:dyDescent="0.4">
      <c r="A89" s="29" t="s">
        <v>127</v>
      </c>
      <c r="B89" s="12">
        <v>1.51181785379E-2</v>
      </c>
      <c r="C89" s="12">
        <v>1.51181785379E-2</v>
      </c>
      <c r="D89" s="29"/>
      <c r="E89" t="s">
        <v>127</v>
      </c>
      <c r="F89">
        <v>1.51181785379E-2</v>
      </c>
      <c r="G89">
        <v>1.51181785379E-2</v>
      </c>
      <c r="H89">
        <v>3.02363570757E-2</v>
      </c>
    </row>
    <row r="90" spans="1:8" x14ac:dyDescent="0.4">
      <c r="A90" s="29" t="s">
        <v>128</v>
      </c>
      <c r="B90" s="29">
        <v>0.46598655767800001</v>
      </c>
      <c r="C90" s="29">
        <v>0.46598655767800001</v>
      </c>
      <c r="D90" s="29"/>
      <c r="E90" t="s">
        <v>128</v>
      </c>
      <c r="F90">
        <v>0.46494103349999999</v>
      </c>
      <c r="G90">
        <v>0.46576777087799998</v>
      </c>
      <c r="H90">
        <v>0.93070880437799997</v>
      </c>
    </row>
    <row r="91" spans="1:8" x14ac:dyDescent="0.4">
      <c r="A91" s="29" t="s">
        <v>129</v>
      </c>
      <c r="B91" s="12">
        <v>0.257549044693</v>
      </c>
      <c r="C91" s="12">
        <v>0.257549044693</v>
      </c>
      <c r="D91" s="29"/>
      <c r="E91" t="s">
        <v>129</v>
      </c>
      <c r="F91">
        <v>0.257549044693</v>
      </c>
      <c r="G91">
        <v>0.257549044693</v>
      </c>
      <c r="H91">
        <v>0.51509808938699997</v>
      </c>
    </row>
    <row r="92" spans="1:8" x14ac:dyDescent="0.4">
      <c r="A92" s="29" t="s">
        <v>130</v>
      </c>
      <c r="B92" s="12">
        <v>0.98894778249899995</v>
      </c>
      <c r="C92" s="12">
        <v>0.98894778249899995</v>
      </c>
      <c r="D92" s="29"/>
      <c r="E92" t="s">
        <v>130</v>
      </c>
      <c r="F92">
        <v>0.99109045694599995</v>
      </c>
      <c r="G92">
        <v>0.990098592098</v>
      </c>
      <c r="H92" s="24">
        <v>198118904904</v>
      </c>
    </row>
    <row r="93" spans="1:8" x14ac:dyDescent="0.4">
      <c r="A93" s="29" t="s">
        <v>131</v>
      </c>
      <c r="B93" s="29">
        <v>0.95187489003100001</v>
      </c>
      <c r="C93" s="29">
        <v>0.95187489003100001</v>
      </c>
      <c r="D93" s="29"/>
      <c r="E93" t="s">
        <v>131</v>
      </c>
      <c r="F93">
        <v>0.95166740219199997</v>
      </c>
      <c r="G93">
        <v>0.951114392192</v>
      </c>
      <c r="H93" s="24">
        <v>190278179438</v>
      </c>
    </row>
    <row r="94" spans="1:8" x14ac:dyDescent="0.4">
      <c r="A94" s="29" t="s">
        <v>132</v>
      </c>
      <c r="B94" s="29">
        <v>0.96859962873600003</v>
      </c>
      <c r="C94" s="29">
        <v>0.96859962873600003</v>
      </c>
      <c r="D94" s="29"/>
      <c r="E94" t="s">
        <v>132</v>
      </c>
      <c r="F94">
        <v>0.96800796961699997</v>
      </c>
      <c r="G94">
        <v>0.96354861386400004</v>
      </c>
      <c r="H94" s="24">
        <v>193155658348</v>
      </c>
    </row>
    <row r="95" spans="1:8" x14ac:dyDescent="0.4">
      <c r="A95" s="29" t="s">
        <v>133</v>
      </c>
      <c r="B95" s="12">
        <v>0.91764988198399999</v>
      </c>
      <c r="C95" s="12">
        <v>0.91764988198399999</v>
      </c>
      <c r="D95" s="29"/>
      <c r="E95" t="s">
        <v>133</v>
      </c>
      <c r="F95">
        <v>0.92363435217199996</v>
      </c>
      <c r="G95">
        <v>0.91631234072099998</v>
      </c>
      <c r="H95" s="24">
        <v>183994669289</v>
      </c>
    </row>
    <row r="96" spans="1:8" x14ac:dyDescent="0.4">
      <c r="A96" s="29" t="s">
        <v>134</v>
      </c>
      <c r="B96" s="29">
        <v>0.65215767440799999</v>
      </c>
      <c r="C96" s="29">
        <v>0.65215767440799999</v>
      </c>
      <c r="D96" s="29"/>
      <c r="E96" t="s">
        <v>134</v>
      </c>
      <c r="F96">
        <v>0.65215767440799999</v>
      </c>
      <c r="G96">
        <v>0.64032531853999997</v>
      </c>
      <c r="H96" s="24">
        <v>129248299295</v>
      </c>
    </row>
    <row r="97" spans="1:8" x14ac:dyDescent="0.4">
      <c r="A97" s="29" t="s">
        <v>135</v>
      </c>
      <c r="B97" s="29">
        <v>1</v>
      </c>
      <c r="C97" s="29">
        <v>1</v>
      </c>
      <c r="D97" s="29"/>
      <c r="E97" t="s">
        <v>135</v>
      </c>
      <c r="F97">
        <v>1</v>
      </c>
      <c r="G97">
        <v>1</v>
      </c>
      <c r="H97">
        <v>2</v>
      </c>
    </row>
    <row r="98" spans="1:8" x14ac:dyDescent="0.4">
      <c r="A98" s="29" t="s">
        <v>136</v>
      </c>
      <c r="B98" s="30">
        <v>2.9452431127400001E-2</v>
      </c>
      <c r="C98" s="29">
        <v>2.9452431127400001E-2</v>
      </c>
      <c r="D98" s="29"/>
      <c r="E98" t="s">
        <v>136</v>
      </c>
      <c r="F98">
        <v>2.9452431127400001E-2</v>
      </c>
      <c r="G98">
        <v>1.3851572871000001E-2</v>
      </c>
      <c r="H98">
        <v>4.3304003998400002E-2</v>
      </c>
    </row>
    <row r="99" spans="1:8" x14ac:dyDescent="0.4">
      <c r="A99" s="29" t="s">
        <v>137</v>
      </c>
      <c r="B99" s="29">
        <v>4.2760815874500003E-3</v>
      </c>
      <c r="C99" s="29">
        <v>4.2760815874500003E-3</v>
      </c>
      <c r="D99" s="29"/>
      <c r="E99" t="s">
        <v>137</v>
      </c>
      <c r="F99">
        <v>4.3639676863800004E-3</v>
      </c>
      <c r="G99">
        <v>3.8127967956899998E-3</v>
      </c>
      <c r="H99">
        <v>8.1767644820699998E-3</v>
      </c>
    </row>
    <row r="100" spans="1:8" x14ac:dyDescent="0.4">
      <c r="A100" s="29" t="s">
        <v>138</v>
      </c>
      <c r="B100" s="12">
        <v>8.881784197E-9</v>
      </c>
      <c r="C100" s="12">
        <v>8.881784197E-9</v>
      </c>
      <c r="D100" s="29"/>
      <c r="E100" t="s">
        <v>138</v>
      </c>
      <c r="F100" s="12">
        <v>8.881784197E-9</v>
      </c>
      <c r="G100">
        <v>8.1249999999999996E-4</v>
      </c>
      <c r="H100">
        <v>8.1249999999999996E-4</v>
      </c>
    </row>
    <row r="101" spans="1:8" x14ac:dyDescent="0.4">
      <c r="A101" t="s">
        <v>139</v>
      </c>
      <c r="B101">
        <v>0.12038638822599999</v>
      </c>
      <c r="C101">
        <v>0.12038638822599999</v>
      </c>
      <c r="E101" t="s">
        <v>139</v>
      </c>
      <c r="F101">
        <v>0.12038638822599999</v>
      </c>
      <c r="G101">
        <v>0.12038638822599999</v>
      </c>
      <c r="H101">
        <v>0.24077277645299999</v>
      </c>
    </row>
    <row r="102" spans="1:8" x14ac:dyDescent="0.4">
      <c r="A102" t="s">
        <v>140</v>
      </c>
      <c r="B102">
        <v>1.9798402611700002E-3</v>
      </c>
      <c r="C102">
        <v>1.9798402611700002E-3</v>
      </c>
      <c r="E102" t="s">
        <v>140</v>
      </c>
      <c r="F102">
        <v>1.9798402611700002E-3</v>
      </c>
      <c r="G102">
        <v>7.9545696958700004E-4</v>
      </c>
      <c r="H102">
        <v>2.77529723076E-3</v>
      </c>
    </row>
    <row r="103" spans="1:8" x14ac:dyDescent="0.4">
      <c r="B103" s="12"/>
      <c r="C103" s="12"/>
    </row>
    <row r="104" spans="1:8" x14ac:dyDescent="0.4">
      <c r="A104" t="s">
        <v>33</v>
      </c>
      <c r="B104" s="12">
        <v>8.5612830179499998E-192</v>
      </c>
      <c r="C104" s="12">
        <v>8.5612830179499998E-192</v>
      </c>
      <c r="E104" t="s">
        <v>33</v>
      </c>
      <c r="F104" s="12">
        <v>1.00093233122E-191</v>
      </c>
      <c r="G104" s="12">
        <v>3.4581545981700002E-165</v>
      </c>
      <c r="H104" s="12">
        <v>3.4581545981700002E-165</v>
      </c>
    </row>
    <row r="105" spans="1:8" x14ac:dyDescent="0.4">
      <c r="A105" t="s">
        <v>34</v>
      </c>
      <c r="B105" s="12">
        <v>7.4640423212299998E-3</v>
      </c>
      <c r="C105" s="12"/>
      <c r="E105" t="s">
        <v>34</v>
      </c>
      <c r="F105">
        <v>1.23826479622E-2</v>
      </c>
    </row>
    <row r="106" spans="1:8" x14ac:dyDescent="0.4">
      <c r="B106" s="12"/>
      <c r="C106" s="12"/>
    </row>
    <row r="107" spans="1:8" x14ac:dyDescent="0.4">
      <c r="A107" t="s">
        <v>141</v>
      </c>
      <c r="B107" s="12"/>
      <c r="C107" s="12"/>
      <c r="E107" t="s">
        <v>141</v>
      </c>
    </row>
    <row r="108" spans="1:8" x14ac:dyDescent="0.4">
      <c r="A108" t="s">
        <v>142</v>
      </c>
      <c r="E108" t="s">
        <v>142</v>
      </c>
    </row>
    <row r="109" spans="1:8" x14ac:dyDescent="0.4">
      <c r="A109" t="s">
        <v>143</v>
      </c>
      <c r="E109" t="s">
        <v>148</v>
      </c>
    </row>
    <row r="110" spans="1:8" x14ac:dyDescent="0.4">
      <c r="A110" t="s">
        <v>144</v>
      </c>
      <c r="B110" s="12"/>
      <c r="C110" s="12"/>
      <c r="E110" t="s">
        <v>143</v>
      </c>
    </row>
    <row r="111" spans="1:8" x14ac:dyDescent="0.4">
      <c r="B111" s="12"/>
      <c r="C111" s="12"/>
      <c r="E111" t="s">
        <v>149</v>
      </c>
    </row>
    <row r="112" spans="1:8" x14ac:dyDescent="0.4">
      <c r="B112" s="12"/>
      <c r="C112" s="12"/>
      <c r="E112" t="s">
        <v>144</v>
      </c>
    </row>
    <row r="113" spans="2:5" x14ac:dyDescent="0.4">
      <c r="B113" s="12"/>
      <c r="C113" s="12"/>
      <c r="E113" t="s">
        <v>150</v>
      </c>
    </row>
    <row r="114" spans="2:5" x14ac:dyDescent="0.4">
      <c r="B114" s="12"/>
      <c r="C114" s="12"/>
    </row>
    <row r="117" spans="2:5" x14ac:dyDescent="0.4">
      <c r="B117" s="12"/>
      <c r="C117" s="12"/>
    </row>
    <row r="118" spans="2:5" x14ac:dyDescent="0.4">
      <c r="B118" s="12"/>
      <c r="C118" s="12"/>
    </row>
    <row r="119" spans="2:5" x14ac:dyDescent="0.4">
      <c r="B119" s="12"/>
      <c r="C119" s="12"/>
    </row>
    <row r="120" spans="2:5" x14ac:dyDescent="0.4">
      <c r="B120" s="12"/>
      <c r="C120" s="12"/>
    </row>
    <row r="121" spans="2:5" x14ac:dyDescent="0.4">
      <c r="B121" s="12"/>
      <c r="C121" s="12"/>
    </row>
    <row r="146" spans="2:3" x14ac:dyDescent="0.4">
      <c r="B146" s="12"/>
      <c r="C146" s="12"/>
    </row>
    <row r="151" spans="2:3" x14ac:dyDescent="0.4">
      <c r="B151" s="12"/>
      <c r="C151" s="12"/>
    </row>
    <row r="161" spans="2:3" x14ac:dyDescent="0.4">
      <c r="B161" s="12"/>
      <c r="C161" s="12"/>
    </row>
    <row r="164" spans="2:3" x14ac:dyDescent="0.4">
      <c r="B164" s="12"/>
      <c r="C164" s="12"/>
    </row>
    <row r="166" spans="2:3" x14ac:dyDescent="0.4">
      <c r="B166" s="12"/>
      <c r="C166" s="12"/>
    </row>
    <row r="167" spans="2:3" x14ac:dyDescent="0.4">
      <c r="B167" s="12"/>
      <c r="C167" s="12"/>
    </row>
    <row r="170" spans="2:3" x14ac:dyDescent="0.4">
      <c r="B170" s="12"/>
      <c r="C170" s="1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C245"/>
  <sheetViews>
    <sheetView workbookViewId="0"/>
  </sheetViews>
  <sheetFormatPr baseColWidth="10" defaultRowHeight="14.6" x14ac:dyDescent="0.4"/>
  <cols>
    <col min="1" max="1" width="32.69140625" customWidth="1"/>
    <col min="2" max="2" width="12.53515625" bestFit="1" customWidth="1"/>
    <col min="3" max="3" width="17" bestFit="1" customWidth="1"/>
  </cols>
  <sheetData>
    <row r="4" spans="2:3" x14ac:dyDescent="0.4">
      <c r="B4" s="12"/>
      <c r="C4" s="12"/>
    </row>
    <row r="5" spans="2:3" x14ac:dyDescent="0.4">
      <c r="B5" s="12"/>
      <c r="C5" s="12"/>
    </row>
    <row r="6" spans="2:3" x14ac:dyDescent="0.4">
      <c r="B6" s="12"/>
      <c r="C6" s="12"/>
    </row>
    <row r="7" spans="2:3" x14ac:dyDescent="0.4">
      <c r="B7" s="12"/>
      <c r="C7" s="12"/>
    </row>
    <row r="8" spans="2:3" x14ac:dyDescent="0.4">
      <c r="B8" s="12"/>
      <c r="C8" s="12"/>
    </row>
    <row r="9" spans="2:3" x14ac:dyDescent="0.4">
      <c r="B9" s="12"/>
      <c r="C9" s="12"/>
    </row>
    <row r="10" spans="2:3" x14ac:dyDescent="0.4">
      <c r="B10" s="12"/>
      <c r="C10" s="12"/>
    </row>
    <row r="13" spans="2:3" x14ac:dyDescent="0.4">
      <c r="B13" s="12"/>
      <c r="C13" s="12"/>
    </row>
    <row r="14" spans="2:3" x14ac:dyDescent="0.4">
      <c r="B14" s="12"/>
      <c r="C14" s="12"/>
    </row>
    <row r="17" spans="2:3" x14ac:dyDescent="0.4">
      <c r="B17" s="12"/>
      <c r="C17" s="12"/>
    </row>
    <row r="26" spans="2:3" x14ac:dyDescent="0.4">
      <c r="B26" s="12"/>
      <c r="C26" s="12"/>
    </row>
    <row r="28" spans="2:3" x14ac:dyDescent="0.4">
      <c r="B28" s="12"/>
      <c r="C28" s="12"/>
    </row>
    <row r="29" spans="2:3" x14ac:dyDescent="0.4">
      <c r="B29" s="12"/>
      <c r="C29" s="12"/>
    </row>
    <row r="30" spans="2:3" x14ac:dyDescent="0.4">
      <c r="B30" s="12"/>
      <c r="C30" s="12"/>
    </row>
    <row r="31" spans="2:3" x14ac:dyDescent="0.4">
      <c r="B31" s="12"/>
      <c r="C31" s="12"/>
    </row>
    <row r="32" spans="2:3" x14ac:dyDescent="0.4">
      <c r="B32" s="12"/>
      <c r="C32" s="12"/>
    </row>
    <row r="33" spans="2:3" x14ac:dyDescent="0.4">
      <c r="B33" s="12"/>
      <c r="C33" s="12"/>
    </row>
    <row r="34" spans="2:3" x14ac:dyDescent="0.4">
      <c r="B34" s="12"/>
    </row>
    <row r="35" spans="2:3" x14ac:dyDescent="0.4">
      <c r="B35" s="12"/>
      <c r="C35" s="12"/>
    </row>
    <row r="36" spans="2:3" x14ac:dyDescent="0.4">
      <c r="B36" s="12"/>
      <c r="C36" s="12"/>
    </row>
    <row r="37" spans="2:3" x14ac:dyDescent="0.4">
      <c r="B37" s="12"/>
      <c r="C37" s="12"/>
    </row>
    <row r="38" spans="2:3" x14ac:dyDescent="0.4">
      <c r="B38" s="12"/>
      <c r="C38" s="12"/>
    </row>
    <row r="39" spans="2:3" x14ac:dyDescent="0.4">
      <c r="B39" s="12"/>
      <c r="C39" s="12"/>
    </row>
    <row r="40" spans="2:3" x14ac:dyDescent="0.4">
      <c r="B40" s="12"/>
      <c r="C40" s="12"/>
    </row>
    <row r="42" spans="2:3" x14ac:dyDescent="0.4">
      <c r="B42" s="12"/>
      <c r="C42" s="12"/>
    </row>
    <row r="43" spans="2:3" x14ac:dyDescent="0.4">
      <c r="B43" s="12"/>
      <c r="C43" s="12"/>
    </row>
    <row r="44" spans="2:3" x14ac:dyDescent="0.4">
      <c r="B44" s="12"/>
      <c r="C44" s="12"/>
    </row>
    <row r="45" spans="2:3" x14ac:dyDescent="0.4">
      <c r="B45" s="12"/>
      <c r="C45" s="12"/>
    </row>
    <row r="46" spans="2:3" x14ac:dyDescent="0.4">
      <c r="B46" s="12"/>
      <c r="C46" s="12"/>
    </row>
    <row r="47" spans="2:3" x14ac:dyDescent="0.4">
      <c r="B47" s="12"/>
      <c r="C47" s="12"/>
    </row>
    <row r="71" spans="2:3" x14ac:dyDescent="0.4">
      <c r="B71" s="12"/>
      <c r="C71" s="12"/>
    </row>
    <row r="72" spans="2:3" x14ac:dyDescent="0.4">
      <c r="B72" s="12"/>
      <c r="C72" s="12"/>
    </row>
    <row r="76" spans="2:3" x14ac:dyDescent="0.4">
      <c r="B76" s="12"/>
      <c r="C76" s="12"/>
    </row>
    <row r="77" spans="2:3" x14ac:dyDescent="0.4">
      <c r="B77" s="12"/>
      <c r="C77" s="12"/>
    </row>
    <row r="85" spans="2:3" x14ac:dyDescent="0.4">
      <c r="B85" s="12"/>
      <c r="C85" s="12"/>
    </row>
    <row r="86" spans="2:3" x14ac:dyDescent="0.4">
      <c r="B86" s="12"/>
      <c r="C86" s="12"/>
    </row>
    <row r="87" spans="2:3" x14ac:dyDescent="0.4">
      <c r="B87" s="12"/>
      <c r="C87" s="12"/>
    </row>
    <row r="88" spans="2:3" x14ac:dyDescent="0.4">
      <c r="B88" s="12"/>
      <c r="C88" s="12"/>
    </row>
    <row r="89" spans="2:3" x14ac:dyDescent="0.4">
      <c r="B89" s="12"/>
      <c r="C89" s="12"/>
    </row>
    <row r="90" spans="2:3" x14ac:dyDescent="0.4">
      <c r="B90" s="12"/>
      <c r="C90" s="12"/>
    </row>
    <row r="91" spans="2:3" x14ac:dyDescent="0.4">
      <c r="B91" s="12"/>
      <c r="C91" s="12"/>
    </row>
    <row r="92" spans="2:3" x14ac:dyDescent="0.4">
      <c r="B92" s="12"/>
      <c r="C92" s="12"/>
    </row>
    <row r="93" spans="2:3" x14ac:dyDescent="0.4">
      <c r="B93" s="12"/>
      <c r="C93" s="12"/>
    </row>
    <row r="95" spans="2:3" x14ac:dyDescent="0.4">
      <c r="B95" s="12"/>
      <c r="C95" s="12"/>
    </row>
    <row r="96" spans="2:3" x14ac:dyDescent="0.4">
      <c r="B96" s="12"/>
      <c r="C96" s="12"/>
    </row>
    <row r="109" spans="2:3" x14ac:dyDescent="0.4">
      <c r="B109" s="12"/>
      <c r="C109" s="12"/>
    </row>
    <row r="110" spans="2:3" x14ac:dyDescent="0.4">
      <c r="B110" s="12"/>
      <c r="C110" s="12"/>
    </row>
    <row r="111" spans="2:3" x14ac:dyDescent="0.4">
      <c r="B111" s="12"/>
      <c r="C111" s="12"/>
    </row>
    <row r="112" spans="2:3" x14ac:dyDescent="0.4">
      <c r="B112" s="12"/>
      <c r="C112" s="12"/>
    </row>
    <row r="113" spans="2:3" x14ac:dyDescent="0.4">
      <c r="B113" s="12"/>
      <c r="C113" s="12"/>
    </row>
    <row r="116" spans="2:3" x14ac:dyDescent="0.4">
      <c r="B116" s="12"/>
      <c r="C116" s="12"/>
    </row>
    <row r="117" spans="2:3" x14ac:dyDescent="0.4">
      <c r="B117" s="12"/>
      <c r="C117" s="12"/>
    </row>
    <row r="118" spans="2:3" x14ac:dyDescent="0.4">
      <c r="B118" s="12"/>
      <c r="C118" s="12"/>
    </row>
    <row r="119" spans="2:3" x14ac:dyDescent="0.4">
      <c r="B119" s="12"/>
      <c r="C119" s="12"/>
    </row>
    <row r="120" spans="2:3" x14ac:dyDescent="0.4">
      <c r="B120" s="12"/>
      <c r="C120" s="12"/>
    </row>
    <row r="123" spans="2:3" x14ac:dyDescent="0.4">
      <c r="B123" s="12"/>
      <c r="C123" s="12"/>
    </row>
    <row r="124" spans="2:3" x14ac:dyDescent="0.4">
      <c r="B124" s="12"/>
      <c r="C124" s="12"/>
    </row>
    <row r="125" spans="2:3" x14ac:dyDescent="0.4">
      <c r="B125" s="12"/>
      <c r="C125" s="12"/>
    </row>
    <row r="126" spans="2:3" x14ac:dyDescent="0.4">
      <c r="B126" s="12"/>
      <c r="C126" s="12"/>
    </row>
    <row r="127" spans="2:3" x14ac:dyDescent="0.4">
      <c r="B127" s="12"/>
      <c r="C127" s="12"/>
    </row>
    <row r="152" spans="2:3" x14ac:dyDescent="0.4">
      <c r="B152" s="12"/>
      <c r="C152" s="12"/>
    </row>
    <row r="154" spans="2:3" x14ac:dyDescent="0.4">
      <c r="B154" s="12"/>
      <c r="C154" s="12"/>
    </row>
    <row r="155" spans="2:3" x14ac:dyDescent="0.4">
      <c r="B155" s="12"/>
      <c r="C155" s="12"/>
    </row>
    <row r="156" spans="2:3" x14ac:dyDescent="0.4">
      <c r="B156" s="12"/>
      <c r="C156" s="12"/>
    </row>
    <row r="157" spans="2:3" x14ac:dyDescent="0.4">
      <c r="B157" s="12"/>
      <c r="C157" s="12"/>
    </row>
    <row r="158" spans="2:3" x14ac:dyDescent="0.4">
      <c r="B158" s="12"/>
      <c r="C158" s="12"/>
    </row>
    <row r="167" spans="2:3" x14ac:dyDescent="0.4">
      <c r="B167" s="12"/>
      <c r="C167" s="12"/>
    </row>
    <row r="170" spans="2:3" x14ac:dyDescent="0.4">
      <c r="B170" s="12"/>
      <c r="C170" s="12"/>
    </row>
    <row r="172" spans="2:3" x14ac:dyDescent="0.4">
      <c r="B172" s="12"/>
      <c r="C172" s="12"/>
    </row>
    <row r="173" spans="2:3" x14ac:dyDescent="0.4">
      <c r="B173" s="12"/>
      <c r="C173" s="12"/>
    </row>
    <row r="176" spans="2:3" x14ac:dyDescent="0.4">
      <c r="B176" s="12"/>
      <c r="C176" s="12"/>
    </row>
    <row r="178" spans="2:3" x14ac:dyDescent="0.4">
      <c r="B178" s="12"/>
      <c r="C178" s="12"/>
    </row>
    <row r="179" spans="2:3" x14ac:dyDescent="0.4">
      <c r="B179" s="12"/>
      <c r="C179" s="12"/>
    </row>
    <row r="180" spans="2:3" x14ac:dyDescent="0.4">
      <c r="B180" s="12"/>
      <c r="C180" s="12"/>
    </row>
    <row r="181" spans="2:3" x14ac:dyDescent="0.4">
      <c r="B181" s="12"/>
      <c r="C181" s="12"/>
    </row>
    <row r="182" spans="2:3" x14ac:dyDescent="0.4">
      <c r="B182" s="12"/>
      <c r="C182" s="12"/>
    </row>
    <row r="185" spans="2:3" x14ac:dyDescent="0.4">
      <c r="B185" s="12"/>
      <c r="C185" s="12"/>
    </row>
    <row r="186" spans="2:3" x14ac:dyDescent="0.4">
      <c r="B186" s="12"/>
      <c r="C186" s="12"/>
    </row>
    <row r="187" spans="2:3" x14ac:dyDescent="0.4">
      <c r="B187" s="12"/>
      <c r="C187" s="12"/>
    </row>
    <row r="188" spans="2:3" x14ac:dyDescent="0.4">
      <c r="B188" s="12"/>
      <c r="C188" s="12"/>
    </row>
    <row r="189" spans="2:3" x14ac:dyDescent="0.4">
      <c r="B189" s="12"/>
      <c r="C189" s="12"/>
    </row>
    <row r="192" spans="2:3" x14ac:dyDescent="0.4">
      <c r="B192" s="12"/>
      <c r="C192" s="12"/>
    </row>
    <row r="193" spans="2:3" x14ac:dyDescent="0.4">
      <c r="B193" s="12"/>
      <c r="C193" s="12"/>
    </row>
    <row r="194" spans="2:3" x14ac:dyDescent="0.4">
      <c r="B194" s="12"/>
      <c r="C194" s="12"/>
    </row>
    <row r="195" spans="2:3" x14ac:dyDescent="0.4">
      <c r="B195" s="12"/>
      <c r="C195" s="12"/>
    </row>
    <row r="196" spans="2:3" x14ac:dyDescent="0.4">
      <c r="B196" s="12"/>
      <c r="C196" s="12"/>
    </row>
    <row r="221" spans="2:3" x14ac:dyDescent="0.4">
      <c r="B221" s="12"/>
      <c r="C221" s="12"/>
    </row>
    <row r="226" spans="2:3" x14ac:dyDescent="0.4">
      <c r="B226" s="12"/>
      <c r="C226" s="12"/>
    </row>
    <row r="236" spans="2:3" x14ac:dyDescent="0.4">
      <c r="B236" s="12"/>
      <c r="C236" s="12"/>
    </row>
    <row r="239" spans="2:3" x14ac:dyDescent="0.4">
      <c r="B239" s="12"/>
      <c r="C239" s="12"/>
    </row>
    <row r="241" spans="2:3" x14ac:dyDescent="0.4">
      <c r="B241" s="12"/>
      <c r="C241" s="12"/>
    </row>
    <row r="242" spans="2:3" x14ac:dyDescent="0.4">
      <c r="B242" s="12"/>
      <c r="C242" s="12"/>
    </row>
    <row r="245" spans="2:3" x14ac:dyDescent="0.4">
      <c r="B245" s="12"/>
      <c r="C245" s="12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EF4479-E86B-4262-9690-C09A28179A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ResolutionTests</vt:lpstr>
      <vt:lpstr>Tabelle3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Bublitz, Saskia</dc:creator>
  <cp:lastModifiedBy>Sassi</cp:lastModifiedBy>
  <dcterms:created xsi:type="dcterms:W3CDTF">2019-02-19T13:40:15Z</dcterms:created>
  <dcterms:modified xsi:type="dcterms:W3CDTF">2019-03-05T06:45:45Z</dcterms:modified>
</cp:coreProperties>
</file>