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20060" windowHeight="8050"/>
  </bookViews>
  <sheets>
    <sheet name="Tabelle1" sheetId="1" r:id="rId1"/>
    <sheet name="Tabelle2" sheetId="2" r:id="rId2"/>
    <sheet name="Tabelle3" sheetId="3" r:id="rId3"/>
  </sheets>
  <definedNames>
    <definedName name="varA11">Tabelle1!$A$6</definedName>
    <definedName name="varA27">Tabelle1!$A$27</definedName>
    <definedName name="varA32">Tabelle1!$A$32</definedName>
    <definedName name="varA6">Tabelle1!$A$6</definedName>
    <definedName name="varA8">Tabelle1!$A$11</definedName>
    <definedName name="varE_0">Tabelle1!$A$30</definedName>
    <definedName name="varE_0sz">Tabelle1!$A$9</definedName>
    <definedName name="varm">Tabelle1!$A$25</definedName>
    <definedName name="varmsz">Tabelle1!$A$4</definedName>
  </definedNames>
  <calcPr calcId="124519"/>
</workbook>
</file>

<file path=xl/calcChain.xml><?xml version="1.0" encoding="utf-8"?>
<calcChain xmlns="http://schemas.openxmlformats.org/spreadsheetml/2006/main">
  <c r="AA19" i="1"/>
  <c r="AA20"/>
  <c r="AA21"/>
  <c r="J19"/>
  <c r="F27"/>
  <c r="S27" s="1"/>
  <c r="F31"/>
  <c r="F35"/>
  <c r="F38"/>
  <c r="F26"/>
  <c r="S31"/>
  <c r="O38"/>
  <c r="L31"/>
  <c r="N31" s="1"/>
  <c r="K27"/>
  <c r="M27" s="1"/>
  <c r="K31"/>
  <c r="M31" s="1"/>
  <c r="K35"/>
  <c r="M35" s="1"/>
  <c r="K38"/>
  <c r="M38" s="1"/>
  <c r="T38" s="1"/>
  <c r="K26"/>
  <c r="M26" s="1"/>
  <c r="K16"/>
  <c r="J38"/>
  <c r="L38" s="1"/>
  <c r="N38" s="1"/>
  <c r="J26"/>
  <c r="L26" s="1"/>
  <c r="N26" s="1"/>
  <c r="J27"/>
  <c r="L27" s="1"/>
  <c r="N27" s="1"/>
  <c r="J31"/>
  <c r="J35"/>
  <c r="L35" s="1"/>
  <c r="N35" s="1"/>
  <c r="I26"/>
  <c r="I27"/>
  <c r="I31"/>
  <c r="I35"/>
  <c r="I38"/>
  <c r="J5"/>
  <c r="J9"/>
  <c r="J13"/>
  <c r="J16"/>
  <c r="J20"/>
  <c r="J21"/>
  <c r="J4"/>
  <c r="I5"/>
  <c r="I9"/>
  <c r="I13"/>
  <c r="I16"/>
  <c r="I19"/>
  <c r="I20"/>
  <c r="I21"/>
  <c r="I4"/>
  <c r="R16"/>
  <c r="O16"/>
  <c r="A4"/>
  <c r="A25"/>
  <c r="A30" s="1"/>
  <c r="U38" l="1"/>
  <c r="Y38" s="1"/>
  <c r="S35"/>
  <c r="W38"/>
  <c r="V38"/>
  <c r="P38"/>
  <c r="S26"/>
  <c r="L19"/>
  <c r="N19" s="1"/>
  <c r="L21"/>
  <c r="N21" s="1"/>
  <c r="L13"/>
  <c r="N13" s="1"/>
  <c r="L9"/>
  <c r="N9" s="1"/>
  <c r="L5"/>
  <c r="N5" s="1"/>
  <c r="L4"/>
  <c r="N4" s="1"/>
  <c r="K4"/>
  <c r="M4" s="1"/>
  <c r="L20"/>
  <c r="N20" s="1"/>
  <c r="L16"/>
  <c r="N16" s="1"/>
  <c r="F5"/>
  <c r="F19"/>
  <c r="F4"/>
  <c r="F16"/>
  <c r="F13"/>
  <c r="F21"/>
  <c r="F9"/>
  <c r="F20"/>
  <c r="K5"/>
  <c r="M5" s="1"/>
  <c r="E26"/>
  <c r="W26" s="1"/>
  <c r="A9"/>
  <c r="E5" s="1"/>
  <c r="E31"/>
  <c r="V31" s="1"/>
  <c r="E27"/>
  <c r="E35"/>
  <c r="P35" s="1"/>
  <c r="Q38"/>
  <c r="T31" l="1"/>
  <c r="W35"/>
  <c r="U27"/>
  <c r="O27"/>
  <c r="R27"/>
  <c r="R35"/>
  <c r="U35"/>
  <c r="O35"/>
  <c r="U26"/>
  <c r="O26"/>
  <c r="R26"/>
  <c r="S38"/>
  <c r="R38"/>
  <c r="T35"/>
  <c r="Y35" s="1"/>
  <c r="P26"/>
  <c r="W27"/>
  <c r="V35"/>
  <c r="T26"/>
  <c r="O31"/>
  <c r="R31"/>
  <c r="P31"/>
  <c r="U31"/>
  <c r="Y31" s="1"/>
  <c r="V27"/>
  <c r="P27"/>
  <c r="T27"/>
  <c r="Y27" s="1"/>
  <c r="W31"/>
  <c r="V26"/>
  <c r="W5"/>
  <c r="S13"/>
  <c r="S4"/>
  <c r="S16"/>
  <c r="P16"/>
  <c r="S5"/>
  <c r="P5"/>
  <c r="S9"/>
  <c r="U5"/>
  <c r="M16"/>
  <c r="K20"/>
  <c r="M20" s="1"/>
  <c r="K9"/>
  <c r="M9" s="1"/>
  <c r="K19"/>
  <c r="M19" s="1"/>
  <c r="W19" s="1"/>
  <c r="K13"/>
  <c r="M13" s="1"/>
  <c r="K21"/>
  <c r="M21" s="1"/>
  <c r="E4"/>
  <c r="R4" s="1"/>
  <c r="E9"/>
  <c r="U9" s="1"/>
  <c r="O5"/>
  <c r="R5"/>
  <c r="V5"/>
  <c r="E20"/>
  <c r="P20" s="1"/>
  <c r="T5"/>
  <c r="E19"/>
  <c r="E21"/>
  <c r="E13"/>
  <c r="U13" l="1"/>
  <c r="Y26"/>
  <c r="U4"/>
  <c r="Y5"/>
  <c r="T16"/>
  <c r="V16"/>
  <c r="W16"/>
  <c r="W13"/>
  <c r="W21"/>
  <c r="W20"/>
  <c r="W4"/>
  <c r="W9"/>
  <c r="V4"/>
  <c r="O19"/>
  <c r="U19"/>
  <c r="P9"/>
  <c r="U16"/>
  <c r="P13"/>
  <c r="O21"/>
  <c r="U21"/>
  <c r="P21"/>
  <c r="O20"/>
  <c r="U20"/>
  <c r="T4"/>
  <c r="O4"/>
  <c r="P19"/>
  <c r="P4"/>
  <c r="O13"/>
  <c r="R13"/>
  <c r="O9"/>
  <c r="R9"/>
  <c r="T19"/>
  <c r="V19"/>
  <c r="V13"/>
  <c r="T13"/>
  <c r="Y13" s="1"/>
  <c r="V20"/>
  <c r="T20"/>
  <c r="V21"/>
  <c r="T21"/>
  <c r="V9"/>
  <c r="T9"/>
  <c r="Y9" s="1"/>
  <c r="Y19" l="1"/>
  <c r="Y4"/>
  <c r="Y21"/>
  <c r="Y16"/>
  <c r="Y20"/>
</calcChain>
</file>

<file path=xl/sharedStrings.xml><?xml version="1.0" encoding="utf-8"?>
<sst xmlns="http://schemas.openxmlformats.org/spreadsheetml/2006/main" count="79" uniqueCount="42">
  <si>
    <t>Mischquelle</t>
  </si>
  <si>
    <t>Full Energy Peak</t>
  </si>
  <si>
    <t>Co60</t>
  </si>
  <si>
    <t>Name</t>
  </si>
  <si>
    <t>Cs137</t>
  </si>
  <si>
    <t>Na22</t>
  </si>
  <si>
    <t>Sigma</t>
  </si>
  <si>
    <t>Delta E</t>
  </si>
  <si>
    <t>Szintillator</t>
  </si>
  <si>
    <t>Halbleiter</t>
  </si>
  <si>
    <t>Detektor-Channel</t>
  </si>
  <si>
    <t>m</t>
  </si>
  <si>
    <t>Kalibration</t>
  </si>
  <si>
    <t>E_0</t>
  </si>
  <si>
    <t>u(m)</t>
  </si>
  <si>
    <t>u(E_0)</t>
  </si>
  <si>
    <t>Referenzpeak</t>
  </si>
  <si>
    <t>FWHM-Chanel</t>
  </si>
  <si>
    <t>FWHM-Energie</t>
  </si>
  <si>
    <t>u(sigma)</t>
  </si>
  <si>
    <t>Erste Annahme ist, dass die Unsicherheit der Kalibration vernachlässigt werden kann daeinmal Literaturwerte genommen werden und einmal das Programm uns den Chanel auf 6 Nachkommastellen genau angibt.</t>
  </si>
  <si>
    <t>1-E_m/E_r</t>
  </si>
  <si>
    <t>Berechnet keV</t>
  </si>
  <si>
    <t>u(1-E/E)</t>
  </si>
  <si>
    <t>sigma/E</t>
  </si>
  <si>
    <t>u(sigma/E)</t>
  </si>
  <si>
    <t>sigma^2/E</t>
  </si>
  <si>
    <t xml:space="preserve">u(sigma^2/E) </t>
  </si>
  <si>
    <t>epsilon</t>
  </si>
  <si>
    <t>u(epsilon)</t>
  </si>
  <si>
    <t>Die Effizienz muss nochmal separat ausgerechnet werden</t>
  </si>
  <si>
    <t>u(Full energy)</t>
  </si>
  <si>
    <t>u(channel)</t>
  </si>
  <si>
    <t>hwhm-Chanel</t>
  </si>
  <si>
    <t>u(hwhm)</t>
  </si>
  <si>
    <t>u(FWHM)-Chanel</t>
  </si>
  <si>
    <t>u(FWHM)-Energie</t>
  </si>
  <si>
    <t>u(Delta E)</t>
  </si>
  <si>
    <t>area</t>
  </si>
  <si>
    <t>u(area)</t>
  </si>
  <si>
    <t>Cs 137</t>
  </si>
  <si>
    <t>Aktivität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</si>
</sst>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topLeftCell="T1" zoomScale="82" zoomScaleNormal="82" workbookViewId="0">
      <selection activeCell="Z22" sqref="Z22"/>
    </sheetView>
  </sheetViews>
  <sheetFormatPr baseColWidth="10" defaultRowHeight="14.5"/>
  <cols>
    <col min="1" max="1" width="17.54296875" customWidth="1"/>
    <col min="2" max="2" width="20.36328125" customWidth="1"/>
    <col min="3" max="3" width="16.90625" customWidth="1"/>
    <col min="5" max="5" width="18.453125" customWidth="1"/>
    <col min="6" max="6" width="12.26953125" customWidth="1"/>
    <col min="7" max="7" width="12.90625" customWidth="1"/>
    <col min="8" max="8" width="12.26953125" customWidth="1"/>
    <col min="9" max="9" width="13.453125" customWidth="1"/>
    <col min="10" max="10" width="17" customWidth="1"/>
    <col min="11" max="11" width="13.6328125" customWidth="1"/>
    <col min="12" max="12" width="16.6328125" customWidth="1"/>
    <col min="14" max="14" width="14.453125" customWidth="1"/>
    <col min="17" max="17" width="14.90625" customWidth="1"/>
    <col min="18" max="18" width="12.26953125" bestFit="1" customWidth="1"/>
    <col min="20" max="20" width="13.453125" customWidth="1"/>
    <col min="21" max="21" width="11.81640625" bestFit="1" customWidth="1"/>
    <col min="23" max="23" width="11.81640625" bestFit="1" customWidth="1"/>
  </cols>
  <sheetData>
    <row r="1" spans="1:28">
      <c r="A1" t="s">
        <v>12</v>
      </c>
      <c r="B1" t="s">
        <v>8</v>
      </c>
    </row>
    <row r="2" spans="1:28">
      <c r="B2" t="s">
        <v>3</v>
      </c>
      <c r="Q2" t="s">
        <v>22</v>
      </c>
      <c r="R2" t="s">
        <v>21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38</v>
      </c>
      <c r="Y2" t="s">
        <v>39</v>
      </c>
      <c r="Z2" t="s">
        <v>41</v>
      </c>
      <c r="AA2" t="s">
        <v>28</v>
      </c>
      <c r="AB2" t="s">
        <v>29</v>
      </c>
    </row>
    <row r="3" spans="1:28">
      <c r="A3" t="s">
        <v>11</v>
      </c>
      <c r="B3" t="s">
        <v>2</v>
      </c>
      <c r="C3" t="s">
        <v>10</v>
      </c>
      <c r="D3" t="s">
        <v>32</v>
      </c>
      <c r="E3" t="s">
        <v>1</v>
      </c>
      <c r="F3" t="s">
        <v>31</v>
      </c>
      <c r="G3" t="s">
        <v>33</v>
      </c>
      <c r="H3" t="s">
        <v>34</v>
      </c>
      <c r="I3" t="s">
        <v>17</v>
      </c>
      <c r="J3" t="s">
        <v>35</v>
      </c>
      <c r="K3" t="s">
        <v>18</v>
      </c>
      <c r="L3" t="s">
        <v>36</v>
      </c>
      <c r="M3" t="s">
        <v>6</v>
      </c>
      <c r="N3" t="s">
        <v>19</v>
      </c>
      <c r="O3" t="s">
        <v>7</v>
      </c>
      <c r="P3" t="s">
        <v>37</v>
      </c>
    </row>
    <row r="4" spans="1:28">
      <c r="A4">
        <f>(1274-511)/(C13-C16)</f>
        <v>0.18756954537298234</v>
      </c>
      <c r="C4">
        <v>7260.5226739999998</v>
      </c>
      <c r="D4">
        <v>0.70236299999999996</v>
      </c>
      <c r="E4">
        <f>varmsz*C4+varE_0sz</f>
        <v>1335.7544076892489</v>
      </c>
      <c r="F4">
        <f>((C4*A6)^2 + (varmsz*D4)^2 + A11^2)^0.5</f>
        <v>0.77215409472072505</v>
      </c>
      <c r="G4" s="1">
        <v>189.62700000000001</v>
      </c>
      <c r="H4">
        <v>0.75422599999999995</v>
      </c>
      <c r="I4" s="1">
        <f>G4/2</f>
        <v>94.813500000000005</v>
      </c>
      <c r="J4">
        <f>H4</f>
        <v>0.75422599999999995</v>
      </c>
      <c r="K4">
        <f>varmsz*I4</f>
        <v>17.784125090221263</v>
      </c>
      <c r="L4">
        <f>varmsz*J4 + I4*varA11</f>
        <v>0.1481302336747905</v>
      </c>
      <c r="M4">
        <f>K4/(2*(2*LOG(2))^0.5)</f>
        <v>11.459947413487441</v>
      </c>
      <c r="N4">
        <f>1/(2*(2*LOG(2))^0.5)*L4</f>
        <v>9.545393319315576E-2</v>
      </c>
      <c r="O4">
        <f>E4/C4</f>
        <v>0.18397496539368963</v>
      </c>
      <c r="P4">
        <f>((1/C4*F4)^2 + (E4/C4^2*D4)^2)^0.5</f>
        <v>1.0782852583305989E-4</v>
      </c>
      <c r="Q4" s="1">
        <v>1332</v>
      </c>
      <c r="R4">
        <f>1-E4/Q4</f>
        <v>-2.8186243913279618E-3</v>
      </c>
      <c r="S4">
        <f>1/Q4*F4</f>
        <v>5.7969526630685067E-4</v>
      </c>
      <c r="T4">
        <f>M4/E4</f>
        <v>8.5793820686785212E-3</v>
      </c>
      <c r="U4">
        <f>((1/E4*N4)^2 + (M4/E4^2*F4)^2)^0.5</f>
        <v>7.1632579940799127E-5</v>
      </c>
      <c r="V4">
        <f>M4^2/E4</f>
        <v>9.8319267347272962E-2</v>
      </c>
      <c r="W4">
        <f>((2*M4/E4*N4)^2 + (M4^2/E4^2*F4)^2)^0.5</f>
        <v>1.6388573317126819E-3</v>
      </c>
      <c r="X4">
        <v>89804</v>
      </c>
      <c r="Y4">
        <f>3.1415926535^0.5/T4^2*U4</f>
        <v>1.7249380876333287</v>
      </c>
    </row>
    <row r="5" spans="1:28">
      <c r="A5" t="s">
        <v>14</v>
      </c>
      <c r="C5">
        <v>6409.5524729999997</v>
      </c>
      <c r="D5">
        <v>0.70987599999999995</v>
      </c>
      <c r="E5">
        <f>varmsz*C5+varE_0sz</f>
        <v>1176.1383139617235</v>
      </c>
      <c r="F5">
        <f>((C5*A6)^2 + (varmsz*D5)^2 + A11^2)^0.5</f>
        <v>0.7342960520086802</v>
      </c>
      <c r="G5">
        <v>172.203</v>
      </c>
      <c r="H5">
        <v>0.82423599999999997</v>
      </c>
      <c r="I5" s="1">
        <f t="shared" ref="I5:I38" si="0">G5/2</f>
        <v>86.101500000000001</v>
      </c>
      <c r="J5">
        <f t="shared" ref="J5:J38" si="1">H5</f>
        <v>0.82423599999999997</v>
      </c>
      <c r="K5">
        <f>varmsz*I5</f>
        <v>16.150019210931841</v>
      </c>
      <c r="L5">
        <f>varmsz*J5 + I5*varA11</f>
        <v>0.1606499818404479</v>
      </c>
      <c r="M5">
        <f>K5/(2*(2*LOG(2))^0.5)</f>
        <v>10.406942705652559</v>
      </c>
      <c r="N5">
        <f>1/(2*(2*LOG(2))^0.5)*L5</f>
        <v>0.10352155838588627</v>
      </c>
      <c r="O5">
        <f>E5/C5</f>
        <v>0.18349772763639305</v>
      </c>
      <c r="P5">
        <f t="shared" ref="P5:P38" si="2">((1/C5*F5)^2 + (E5/C5^2*D5)^2)^0.5</f>
        <v>1.1635139423554171E-4</v>
      </c>
      <c r="Q5" s="1">
        <v>1173</v>
      </c>
      <c r="R5">
        <f>1-E5/Q5</f>
        <v>-2.6754594729101466E-3</v>
      </c>
      <c r="S5">
        <f>1/Q5*F5</f>
        <v>6.2599833930833773E-4</v>
      </c>
      <c r="T5">
        <f>M5/E5</f>
        <v>8.8484003812422732E-3</v>
      </c>
      <c r="U5">
        <f t="shared" ref="U5:U38" si="3">((1/E5*N5)^2 + (M5/E5^2*F5)^2)^0.5</f>
        <v>8.8191375014394562E-5</v>
      </c>
      <c r="V5">
        <f>M5^2/E5</f>
        <v>9.2084795804262612E-2</v>
      </c>
      <c r="W5">
        <f t="shared" ref="W5:W38" si="4">((2*M5/E5*N5)^2 + (M5^2/E5^2*F5)^2)^0.5</f>
        <v>1.8329022531313802E-3</v>
      </c>
      <c r="X5">
        <v>95615.15</v>
      </c>
      <c r="Y5">
        <f>3.1415926535^0.5/T5^2*U5</f>
        <v>1.9965101323958541</v>
      </c>
    </row>
    <row r="6" spans="1:28">
      <c r="A6">
        <v>7.0247440990022799E-5</v>
      </c>
      <c r="I6" s="1"/>
    </row>
    <row r="7" spans="1:28">
      <c r="I7" s="1"/>
    </row>
    <row r="8" spans="1:28">
      <c r="A8" t="s">
        <v>13</v>
      </c>
      <c r="B8" t="s">
        <v>4</v>
      </c>
      <c r="I8" s="1"/>
    </row>
    <row r="9" spans="1:28">
      <c r="A9">
        <f>1274 -A4*C13</f>
        <v>-26.098529443161169</v>
      </c>
      <c r="C9" s="1">
        <v>3676.3480629999999</v>
      </c>
      <c r="D9">
        <v>0.33487</v>
      </c>
      <c r="E9">
        <f>varmsz*C9+varE_0sz</f>
        <v>663.47240536659308</v>
      </c>
      <c r="F9">
        <f>((C9*A6)^2 + (varmsz*D9)^2 + A11^2)^0.5</f>
        <v>0.62399730631120254</v>
      </c>
      <c r="G9">
        <v>132.91200000000001</v>
      </c>
      <c r="H9">
        <v>0.48059499999999999</v>
      </c>
      <c r="I9" s="1">
        <f t="shared" si="0"/>
        <v>66.456000000000003</v>
      </c>
      <c r="J9">
        <f t="shared" si="1"/>
        <v>0.48059499999999999</v>
      </c>
      <c r="K9">
        <f>varmsz*I9+varE_0sz</f>
        <v>-13.633407735854254</v>
      </c>
      <c r="L9">
        <f>varmsz*J9 + I9*varA11</f>
        <v>9.4813349596961402E-2</v>
      </c>
      <c r="M9">
        <f>K9/(2*(2*LOG(2))^0.5)</f>
        <v>-8.7852584778225253</v>
      </c>
      <c r="N9">
        <f t="shared" ref="N9:N38" si="5">1/(2*(2*LOG(2))^0.5)*L9</f>
        <v>6.1096961192385529E-2</v>
      </c>
      <c r="O9">
        <f>E9/C9</f>
        <v>0.1804705087758153</v>
      </c>
      <c r="P9">
        <f t="shared" si="2"/>
        <v>1.70527107351032E-4</v>
      </c>
      <c r="Q9">
        <v>662</v>
      </c>
      <c r="R9">
        <f>1-E9/Q9</f>
        <v>-2.2241772909261659E-3</v>
      </c>
      <c r="S9">
        <f>1/Q9*F9</f>
        <v>9.4259411829486787E-4</v>
      </c>
      <c r="T9">
        <f>M9/E9</f>
        <v>-1.3241332128904961E-2</v>
      </c>
      <c r="U9">
        <f t="shared" si="3"/>
        <v>9.2924935430696925E-5</v>
      </c>
      <c r="V9">
        <f>M9^2/E9</f>
        <v>0.1163285253431261</v>
      </c>
      <c r="W9">
        <f t="shared" si="4"/>
        <v>1.6217050623983725E-3</v>
      </c>
      <c r="X9">
        <v>421669</v>
      </c>
      <c r="Y9">
        <f t="shared" ref="Y6:Y38" si="6">3.1415926535^0.5/T9^2*U9</f>
        <v>0.93938548713577019</v>
      </c>
    </row>
    <row r="10" spans="1:28">
      <c r="A10" t="s">
        <v>15</v>
      </c>
      <c r="I10" s="1"/>
    </row>
    <row r="11" spans="1:28">
      <c r="A11">
        <v>0.56456373737126597</v>
      </c>
      <c r="I11" s="1"/>
    </row>
    <row r="12" spans="1:28">
      <c r="B12" t="s">
        <v>5</v>
      </c>
      <c r="I12" s="1"/>
    </row>
    <row r="13" spans="1:28">
      <c r="C13">
        <v>6931.2879489999996</v>
      </c>
      <c r="D13">
        <v>1.5224599999999999</v>
      </c>
      <c r="E13">
        <f>varmsz*C13+varE_0sz</f>
        <v>1274</v>
      </c>
      <c r="F13">
        <f>((C13*A6)^2 + (varmsz*D13)^2 + A11^2)^0.5</f>
        <v>0.79834673745779583</v>
      </c>
      <c r="G13">
        <v>188.952</v>
      </c>
      <c r="H13">
        <v>1.4061699999999999</v>
      </c>
      <c r="I13" s="1">
        <f t="shared" si="0"/>
        <v>94.475999999999999</v>
      </c>
      <c r="J13">
        <f t="shared" si="1"/>
        <v>1.4061699999999999</v>
      </c>
      <c r="K13">
        <f>varmsz*I13+varE_0sz</f>
        <v>-8.3777090745032901</v>
      </c>
      <c r="L13">
        <f>varmsz*J13 + I13*varA11</f>
        <v>0.27039136485209997</v>
      </c>
      <c r="M13">
        <f>K13/(2*(2*LOG(2))^0.5)</f>
        <v>-5.3985284601993175</v>
      </c>
      <c r="N13">
        <f t="shared" si="5"/>
        <v>0.17423802444855666</v>
      </c>
      <c r="O13">
        <f>E13/C13</f>
        <v>0.18380422359798287</v>
      </c>
      <c r="P13">
        <f t="shared" si="2"/>
        <v>1.2205088106853948E-4</v>
      </c>
      <c r="Q13">
        <v>1274</v>
      </c>
      <c r="R13">
        <f>1-E13/Q13</f>
        <v>0</v>
      </c>
      <c r="S13">
        <f>1/Q13*F13</f>
        <v>6.2664579078319923E-4</v>
      </c>
      <c r="T13">
        <f>M13/E13</f>
        <v>-4.2374634695442051E-3</v>
      </c>
      <c r="U13">
        <f t="shared" si="3"/>
        <v>1.3679031616006557E-4</v>
      </c>
      <c r="V13">
        <f>M13^2/E13</f>
        <v>2.2876067139389337E-2</v>
      </c>
      <c r="W13">
        <f t="shared" si="4"/>
        <v>1.4767241077614194E-3</v>
      </c>
      <c r="X13">
        <v>14925</v>
      </c>
      <c r="Y13">
        <f t="shared" si="6"/>
        <v>13.502629624338178</v>
      </c>
    </row>
    <row r="14" spans="1:28">
      <c r="I14" s="1"/>
    </row>
    <row r="15" spans="1:28">
      <c r="C15" t="s">
        <v>16</v>
      </c>
      <c r="I15" s="1"/>
    </row>
    <row r="16" spans="1:28">
      <c r="C16">
        <v>2863.4634070000002</v>
      </c>
      <c r="D16">
        <v>0.40313900000000003</v>
      </c>
      <c r="E16">
        <v>511</v>
      </c>
      <c r="F16">
        <f>((C16*A6)^2 + (varmsz*D16)^2 + A11^2)^0.5</f>
        <v>0.60407929862164111</v>
      </c>
      <c r="G16">
        <v>115.41800000000001</v>
      </c>
      <c r="H16">
        <v>0.41212399999999999</v>
      </c>
      <c r="I16" s="1">
        <f t="shared" si="0"/>
        <v>57.709000000000003</v>
      </c>
      <c r="J16">
        <f t="shared" si="1"/>
        <v>0.41212399999999999</v>
      </c>
      <c r="K16">
        <f>varmsz*I16+varE_0sz</f>
        <v>-15.27407854923173</v>
      </c>
      <c r="L16">
        <f>varmsz*J16 + I16*varA11</f>
        <v>8.1355820889388197E-2</v>
      </c>
      <c r="M16">
        <f>K16/(2*(2*LOG(2))^0.5)</f>
        <v>-9.8424935764717105</v>
      </c>
      <c r="N16">
        <f t="shared" si="5"/>
        <v>5.2425037748196138E-2</v>
      </c>
      <c r="O16">
        <f>E16/C16</f>
        <v>0.17845522270367187</v>
      </c>
      <c r="P16">
        <f t="shared" si="2"/>
        <v>2.1245187272912668E-4</v>
      </c>
      <c r="Q16">
        <v>511</v>
      </c>
      <c r="R16">
        <f>1-E16/Q16</f>
        <v>0</v>
      </c>
      <c r="S16">
        <f>1/Q16*F16</f>
        <v>1.1821512693182799E-3</v>
      </c>
      <c r="T16">
        <f>M16/E16</f>
        <v>-1.9261239875678494E-2</v>
      </c>
      <c r="U16">
        <f t="shared" si="3"/>
        <v>1.0508943225249103E-4</v>
      </c>
      <c r="V16">
        <f t="shared" ref="V16" si="7">M16^2/E16</f>
        <v>0.18957862975124637</v>
      </c>
      <c r="W16">
        <f t="shared" si="4"/>
        <v>2.031939294623994E-3</v>
      </c>
      <c r="X16">
        <v>96607.5</v>
      </c>
      <c r="Y16">
        <f t="shared" si="6"/>
        <v>0.5020714224170324</v>
      </c>
    </row>
    <row r="17" spans="1:28">
      <c r="I17" s="1"/>
    </row>
    <row r="18" spans="1:28">
      <c r="B18" t="s">
        <v>0</v>
      </c>
      <c r="I18" s="1"/>
    </row>
    <row r="19" spans="1:28">
      <c r="B19" t="s">
        <v>40</v>
      </c>
      <c r="C19" s="1">
        <v>3669.564613</v>
      </c>
      <c r="D19">
        <v>0.73722399999999999</v>
      </c>
      <c r="E19">
        <f>varmsz*C19+varE_0sz</f>
        <v>662.20003673403278</v>
      </c>
      <c r="F19">
        <f>((C19*A6)^2 + (varmsz*D19)^2 + A11^2)^0.5</f>
        <v>0.6358482812185553</v>
      </c>
      <c r="G19">
        <v>547.75</v>
      </c>
      <c r="H19">
        <v>0.97294800000000004</v>
      </c>
      <c r="I19" s="1">
        <f t="shared" si="0"/>
        <v>273.875</v>
      </c>
      <c r="J19">
        <f t="shared" si="1"/>
        <v>0.97294800000000004</v>
      </c>
      <c r="K19">
        <f>varmsz*I19+varE_0sz</f>
        <v>25.272079795864371</v>
      </c>
      <c r="L19">
        <f>varmsz*J19 + I19*varA11</f>
        <v>0.20173443193269491</v>
      </c>
      <c r="M19">
        <f>K19/(2*(2*LOG(2))^0.5)</f>
        <v>16.285125302526808</v>
      </c>
      <c r="N19">
        <f t="shared" si="5"/>
        <v>0.12999604814462548</v>
      </c>
      <c r="O19">
        <f>E19/C19</f>
        <v>0.18045738570403877</v>
      </c>
      <c r="P19">
        <f t="shared" si="2"/>
        <v>1.7702831043079202E-4</v>
      </c>
      <c r="T19">
        <f>M19/E19</f>
        <v>2.4592456054283784E-2</v>
      </c>
      <c r="U19">
        <f t="shared" si="3"/>
        <v>1.9772447237209452E-4</v>
      </c>
      <c r="V19">
        <f>M19^2/E19</f>
        <v>0.40049122834089546</v>
      </c>
      <c r="W19">
        <f>((2*M19/E19*N19)^2 + (M19^2/E19^2*F19)^2)^0.5</f>
        <v>6.4053981490783309E-3</v>
      </c>
      <c r="X19">
        <v>112638</v>
      </c>
      <c r="Y19">
        <f t="shared" si="6"/>
        <v>0.57947079632731435</v>
      </c>
      <c r="Z19">
        <v>1</v>
      </c>
      <c r="AA19">
        <f t="shared" ref="AA5:AA21" si="8">(X19/Z19)/ABS(X19/Z19)</f>
        <v>1</v>
      </c>
    </row>
    <row r="20" spans="1:28">
      <c r="B20" t="s">
        <v>2</v>
      </c>
      <c r="C20">
        <v>6391.9117370000004</v>
      </c>
      <c r="D20">
        <v>3.1415000000000002</v>
      </c>
      <c r="E20">
        <f>varmsz*C20+varE_0sz</f>
        <v>1172.8294491301588</v>
      </c>
      <c r="F20">
        <f>((C20*A6)^2 + (varmsz*D20)^2 + A11^2)^0.5</f>
        <v>0.93143025596748275</v>
      </c>
      <c r="G20">
        <v>132.40199999999999</v>
      </c>
      <c r="H20">
        <v>7.1668200000000004</v>
      </c>
      <c r="I20" s="1">
        <f t="shared" si="0"/>
        <v>66.200999999999993</v>
      </c>
      <c r="J20">
        <f>H19</f>
        <v>0.97294800000000004</v>
      </c>
      <c r="K20">
        <f>varmsz*I20+varE_0sz</f>
        <v>-13.681237969924366</v>
      </c>
      <c r="L20">
        <f>varmsz*J20 + I20*varA11</f>
        <v>0.18714586487253293</v>
      </c>
      <c r="M20">
        <f>K20/(2*(2*LOG(2))^0.5)</f>
        <v>-8.8160798966124592</v>
      </c>
      <c r="N20">
        <f t="shared" si="5"/>
        <v>0.12059529266751073</v>
      </c>
      <c r="O20">
        <f>E20/C20</f>
        <v>0.18348649001849612</v>
      </c>
      <c r="P20">
        <f t="shared" si="2"/>
        <v>1.7136743180774591E-4</v>
      </c>
      <c r="T20">
        <f>M20/E20</f>
        <v>-7.5169325797122483E-3</v>
      </c>
      <c r="U20">
        <f t="shared" si="3"/>
        <v>1.0299738602494799E-4</v>
      </c>
      <c r="V20">
        <f>M20^2/E20</f>
        <v>6.6269878200192381E-2</v>
      </c>
      <c r="W20">
        <f t="shared" si="4"/>
        <v>1.8137771005589738E-3</v>
      </c>
      <c r="X20">
        <v>25601.4</v>
      </c>
      <c r="Y20">
        <f t="shared" si="6"/>
        <v>3.230872569774796</v>
      </c>
      <c r="Z20">
        <v>1</v>
      </c>
      <c r="AA20">
        <f t="shared" si="8"/>
        <v>1</v>
      </c>
    </row>
    <row r="21" spans="1:28">
      <c r="C21">
        <v>7226.144491</v>
      </c>
      <c r="D21">
        <v>3.26485</v>
      </c>
      <c r="E21">
        <f>varmsz*C21+varE_0sz</f>
        <v>1329.3061075331898</v>
      </c>
      <c r="F21">
        <f>((C21*A6)^2 + (varmsz*D21)^2 + A11^2)^0.5</f>
        <v>0.97541045130770343</v>
      </c>
      <c r="G21">
        <v>171.81299999999999</v>
      </c>
      <c r="H21">
        <v>11.5311</v>
      </c>
      <c r="I21" s="1">
        <f t="shared" si="0"/>
        <v>85.906499999999994</v>
      </c>
      <c r="J21">
        <f t="shared" si="1"/>
        <v>11.5311</v>
      </c>
      <c r="K21">
        <f>varmsz*I21+varE_0sz</f>
        <v>-9.9850862935770621</v>
      </c>
      <c r="L21">
        <f>varmsz*J21 + I21*varA11</f>
        <v>2.1689178964398059</v>
      </c>
      <c r="M21">
        <f>K21/(2*(2*LOG(2))^0.5)</f>
        <v>-6.4343094340045308</v>
      </c>
      <c r="N21">
        <f t="shared" si="5"/>
        <v>1.3976332775031517</v>
      </c>
      <c r="O21">
        <f>E21/C21</f>
        <v>0.18395786427863581</v>
      </c>
      <c r="P21">
        <f t="shared" si="2"/>
        <v>1.585197566295712E-4</v>
      </c>
      <c r="T21">
        <f>M21/E21</f>
        <v>-4.8403519682496312E-3</v>
      </c>
      <c r="U21">
        <f t="shared" si="3"/>
        <v>1.0514066279367514E-3</v>
      </c>
      <c r="V21">
        <f>M21^2/E21</f>
        <v>3.1144322333211003E-2</v>
      </c>
      <c r="W21">
        <f t="shared" si="4"/>
        <v>1.3530093271075806E-2</v>
      </c>
      <c r="X21">
        <v>25490</v>
      </c>
      <c r="Y21">
        <f t="shared" si="6"/>
        <v>79.541130893230232</v>
      </c>
      <c r="Z21">
        <v>1</v>
      </c>
      <c r="AA21">
        <f t="shared" si="8"/>
        <v>1</v>
      </c>
    </row>
    <row r="22" spans="1:28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B23" t="s">
        <v>9</v>
      </c>
      <c r="I23" s="1"/>
    </row>
    <row r="24" spans="1:28">
      <c r="A24" t="s">
        <v>11</v>
      </c>
      <c r="B24" t="s">
        <v>3</v>
      </c>
      <c r="Q24" t="s">
        <v>22</v>
      </c>
      <c r="R24" t="s">
        <v>21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38</v>
      </c>
      <c r="Y24" t="s">
        <v>39</v>
      </c>
      <c r="AA24" t="s">
        <v>28</v>
      </c>
      <c r="AB24" t="s">
        <v>29</v>
      </c>
    </row>
    <row r="25" spans="1:28">
      <c r="A25">
        <f>(1274-511)/(C35-C38)</f>
        <v>0.16975702507910861</v>
      </c>
      <c r="B25" t="s">
        <v>2</v>
      </c>
      <c r="C25" t="s">
        <v>10</v>
      </c>
      <c r="D25" t="s">
        <v>32</v>
      </c>
      <c r="E25" t="s">
        <v>1</v>
      </c>
      <c r="F25" t="s">
        <v>31</v>
      </c>
      <c r="G25" t="s">
        <v>33</v>
      </c>
      <c r="H25" t="s">
        <v>34</v>
      </c>
      <c r="I25" t="s">
        <v>17</v>
      </c>
      <c r="J25" t="s">
        <v>35</v>
      </c>
      <c r="K25" t="s">
        <v>18</v>
      </c>
      <c r="L25" t="s">
        <v>36</v>
      </c>
      <c r="M25" t="s">
        <v>6</v>
      </c>
      <c r="N25" t="s">
        <v>19</v>
      </c>
      <c r="O25" t="s">
        <v>7</v>
      </c>
      <c r="P25" t="s">
        <v>37</v>
      </c>
    </row>
    <row r="26" spans="1:28">
      <c r="A26" t="s">
        <v>14</v>
      </c>
      <c r="C26">
        <v>7842.8590340000001</v>
      </c>
      <c r="D26">
        <v>2.7184699999999999E-2</v>
      </c>
      <c r="E26">
        <f>varm*C26+varE_0</f>
        <v>1331.7230468680568</v>
      </c>
      <c r="F26">
        <f>((C26*varA27)^2 + (varm*D26)^2 + varA32^2)^0.5</f>
        <v>0.10236652201476996</v>
      </c>
      <c r="G26">
        <v>-6.0176499999999997</v>
      </c>
      <c r="H26">
        <v>2.4513799999999999E-2</v>
      </c>
      <c r="I26" s="1">
        <f t="shared" si="0"/>
        <v>-3.0088249999999999</v>
      </c>
      <c r="J26">
        <f t="shared" si="1"/>
        <v>2.4513799999999999E-2</v>
      </c>
      <c r="K26">
        <f>varm*I26+varE_0</f>
        <v>-0.16814003957838053</v>
      </c>
      <c r="L26">
        <f>varm*J26 + I26*varA27</f>
        <v>4.1330916297246641E-3</v>
      </c>
      <c r="M26">
        <f t="shared" ref="M22:M38" si="9">K26/(2*(2*LOG(2))^0.5)</f>
        <v>-0.10834809145204705</v>
      </c>
      <c r="N26">
        <f t="shared" si="5"/>
        <v>2.6633310602281902E-3</v>
      </c>
      <c r="O26">
        <f t="shared" ref="O22:O38" si="10">E26/C26</f>
        <v>0.16980071184434561</v>
      </c>
      <c r="P26">
        <f t="shared" si="2"/>
        <v>1.3065457662755019E-5</v>
      </c>
      <c r="Q26" s="1">
        <v>1332</v>
      </c>
      <c r="R26">
        <f t="shared" ref="R17:R38" si="11">1-E26/Q26</f>
        <v>2.0792277172909657E-4</v>
      </c>
      <c r="S26">
        <f t="shared" ref="S17:S38" si="12">1/Q26*F26</f>
        <v>7.6851743254331806E-5</v>
      </c>
      <c r="T26">
        <f t="shared" ref="T22:T38" si="13">M26/E26</f>
        <v>-8.1359327456906173E-5</v>
      </c>
      <c r="U26">
        <f>((1/E26*N26)^2 + (M26/E26^2*F26)^2)^0.5</f>
        <v>1.9999233987822735E-6</v>
      </c>
      <c r="V26">
        <f t="shared" ref="V22:V38" si="14">M26^2/E26</f>
        <v>8.8151278517779125E-6</v>
      </c>
      <c r="W26">
        <f t="shared" si="4"/>
        <v>4.3337417743802814E-7</v>
      </c>
      <c r="X26">
        <v>57119.8</v>
      </c>
      <c r="Y26">
        <f t="shared" si="6"/>
        <v>535.51741437720432</v>
      </c>
    </row>
    <row r="27" spans="1:28">
      <c r="A27">
        <v>9.4050440486198192E-6</v>
      </c>
      <c r="C27">
        <v>6905.4877070000002</v>
      </c>
      <c r="D27">
        <v>2.4167899999999999E-2</v>
      </c>
      <c r="E27">
        <f>varm*C27+varE_0</f>
        <v>1172.5976790020804</v>
      </c>
      <c r="F27">
        <f>((C27*varA27)^2 + (varm*D27)^2 + varA32^2)^0.5</f>
        <v>9.618513712820484E-2</v>
      </c>
      <c r="G27">
        <v>5.56386</v>
      </c>
      <c r="H27">
        <v>2.22697E-2</v>
      </c>
      <c r="I27" s="1">
        <f t="shared" si="0"/>
        <v>2.78193</v>
      </c>
      <c r="J27">
        <f t="shared" si="1"/>
        <v>2.22697E-2</v>
      </c>
      <c r="K27">
        <f>varm*I27+varE_0</f>
        <v>0.814881302183593</v>
      </c>
      <c r="L27">
        <f>varm*J27 + I27*varA27</f>
        <v>3.8066021955944023E-3</v>
      </c>
      <c r="M27">
        <f t="shared" si="9"/>
        <v>0.52510296817429536</v>
      </c>
      <c r="N27">
        <f t="shared" si="5"/>
        <v>2.4529438903668293E-3</v>
      </c>
      <c r="O27">
        <f t="shared" si="10"/>
        <v>0.16980664201507939</v>
      </c>
      <c r="P27">
        <f t="shared" si="2"/>
        <v>1.3941469452582452E-5</v>
      </c>
      <c r="Q27" s="1">
        <v>1173</v>
      </c>
      <c r="R27">
        <f t="shared" si="11"/>
        <v>3.4298465295790059E-4</v>
      </c>
      <c r="S27">
        <f t="shared" si="12"/>
        <v>8.1999264388921426E-5</v>
      </c>
      <c r="T27">
        <f t="shared" si="13"/>
        <v>4.4781170692847989E-4</v>
      </c>
      <c r="U27">
        <f t="shared" si="3"/>
        <v>2.0922112306846317E-6</v>
      </c>
      <c r="V27">
        <f t="shared" si="14"/>
        <v>2.3514725649134246E-4</v>
      </c>
      <c r="W27">
        <f t="shared" si="4"/>
        <v>2.1969986543519306E-6</v>
      </c>
      <c r="X27">
        <v>64896.3</v>
      </c>
      <c r="Y27">
        <f t="shared" si="6"/>
        <v>18.492242477628331</v>
      </c>
    </row>
    <row r="28" spans="1:28">
      <c r="I28" s="1"/>
    </row>
    <row r="29" spans="1:28">
      <c r="A29" t="s">
        <v>13</v>
      </c>
      <c r="I29" s="1"/>
    </row>
    <row r="30" spans="1:28">
      <c r="A30">
        <f>1274 -  A25*C35</f>
        <v>0.34262914140526846</v>
      </c>
      <c r="B30" t="s">
        <v>4</v>
      </c>
      <c r="C30" t="s">
        <v>1</v>
      </c>
      <c r="I30" s="1"/>
    </row>
    <row r="31" spans="1:28">
      <c r="A31" t="s">
        <v>15</v>
      </c>
      <c r="C31" s="1">
        <v>3894.7007039999999</v>
      </c>
      <c r="D31">
        <v>1.51155E-2</v>
      </c>
      <c r="E31">
        <f>varm*C31+varE_0</f>
        <v>661.49543422595525</v>
      </c>
      <c r="F31">
        <f>((C31*varA27)^2 + (varm*D31)^2 + varA32^2)^0.5</f>
        <v>7.9781203730485001E-2</v>
      </c>
      <c r="G31">
        <v>4.6917400000000002</v>
      </c>
      <c r="H31">
        <v>1.37757E-2</v>
      </c>
      <c r="I31" s="1">
        <f t="shared" si="0"/>
        <v>2.3458700000000001</v>
      </c>
      <c r="J31">
        <f t="shared" si="1"/>
        <v>1.37757E-2</v>
      </c>
      <c r="K31">
        <f>varm*I31+varE_0</f>
        <v>0.74085705382759692</v>
      </c>
      <c r="L31">
        <f>varm*J31 + I31*varA27</f>
        <v>2.3605848610646122E-3</v>
      </c>
      <c r="M31">
        <f t="shared" si="9"/>
        <v>0.47740233689898454</v>
      </c>
      <c r="N31">
        <f t="shared" si="5"/>
        <v>1.5211419305496147E-3</v>
      </c>
      <c r="O31">
        <f t="shared" si="10"/>
        <v>0.16984499824250301</v>
      </c>
      <c r="P31">
        <f t="shared" si="2"/>
        <v>2.0495156305892142E-5</v>
      </c>
      <c r="Q31">
        <v>662</v>
      </c>
      <c r="R31">
        <f t="shared" si="11"/>
        <v>7.6218394870808392E-4</v>
      </c>
      <c r="S31">
        <f t="shared" si="12"/>
        <v>1.2051541349015861E-4</v>
      </c>
      <c r="T31">
        <f t="shared" si="13"/>
        <v>7.2170163571516394E-4</v>
      </c>
      <c r="U31">
        <f t="shared" si="3"/>
        <v>2.3011969342293924E-6</v>
      </c>
      <c r="V31">
        <f t="shared" si="14"/>
        <v>3.4454204743423886E-4</v>
      </c>
      <c r="W31">
        <f t="shared" si="4"/>
        <v>2.1960144317259582E-6</v>
      </c>
      <c r="X31">
        <v>984065</v>
      </c>
      <c r="Y31">
        <f t="shared" si="6"/>
        <v>7.8309300362915373</v>
      </c>
    </row>
    <row r="32" spans="1:28">
      <c r="A32">
        <v>7.0828749370488303E-2</v>
      </c>
      <c r="I32" s="1"/>
    </row>
    <row r="33" spans="1:25">
      <c r="I33" s="1"/>
    </row>
    <row r="34" spans="1:25">
      <c r="B34" t="s">
        <v>5</v>
      </c>
      <c r="C34" t="s">
        <v>1</v>
      </c>
      <c r="I34" s="1"/>
    </row>
    <row r="35" spans="1:25">
      <c r="C35">
        <v>7502.8257020000001</v>
      </c>
      <c r="D35">
        <v>3.5987600000000002E-2</v>
      </c>
      <c r="E35">
        <f>varm*C35+varE_0</f>
        <v>1274</v>
      </c>
      <c r="F35">
        <f>((C35*varA27)^2 + (varm*D35)^2 + varA32^2)^0.5</f>
        <v>0.10016670529832111</v>
      </c>
      <c r="G35">
        <v>-6.3838100000000004</v>
      </c>
      <c r="H35">
        <v>3.3881300000000003E-2</v>
      </c>
      <c r="I35" s="1">
        <f t="shared" si="0"/>
        <v>-3.1919050000000002</v>
      </c>
      <c r="J35">
        <f t="shared" si="1"/>
        <v>3.3881300000000003E-2</v>
      </c>
      <c r="K35">
        <f>varm*I35+varE_0</f>
        <v>-0.19921915572986382</v>
      </c>
      <c r="L35">
        <f>varm*J35 + I35*varA27</f>
        <v>5.7215686866887933E-3</v>
      </c>
      <c r="M35">
        <f t="shared" si="9"/>
        <v>-0.12837522435550974</v>
      </c>
      <c r="N35">
        <f t="shared" si="5"/>
        <v>3.6869329213256334E-3</v>
      </c>
      <c r="O35">
        <f t="shared" si="10"/>
        <v>0.16980269175923873</v>
      </c>
      <c r="P35">
        <f t="shared" si="2"/>
        <v>1.3375351406665028E-5</v>
      </c>
      <c r="Q35">
        <v>1274</v>
      </c>
      <c r="R35">
        <f t="shared" si="11"/>
        <v>0</v>
      </c>
      <c r="S35">
        <f t="shared" si="12"/>
        <v>7.8623787518305432E-5</v>
      </c>
      <c r="T35">
        <f t="shared" si="13"/>
        <v>-1.0076548222567484E-4</v>
      </c>
      <c r="U35">
        <f t="shared" si="3"/>
        <v>2.89399272925479E-6</v>
      </c>
      <c r="V35">
        <f t="shared" si="14"/>
        <v>1.2935791388012137E-5</v>
      </c>
      <c r="W35">
        <f t="shared" si="4"/>
        <v>7.4303184357826719E-7</v>
      </c>
      <c r="X35">
        <v>186188</v>
      </c>
      <c r="Y35">
        <f t="shared" si="6"/>
        <v>505.18308050074091</v>
      </c>
    </row>
    <row r="36" spans="1:25">
      <c r="I36" s="1"/>
    </row>
    <row r="37" spans="1:25">
      <c r="C37" t="s">
        <v>16</v>
      </c>
      <c r="I37" s="1"/>
    </row>
    <row r="38" spans="1:25">
      <c r="C38">
        <v>3008.1663520000002</v>
      </c>
      <c r="D38">
        <v>2.2177800000000001E-2</v>
      </c>
      <c r="E38">
        <v>511</v>
      </c>
      <c r="F38">
        <f>((C38*varA27)^2 + (varm*D38)^2 + varA32^2)^0.5</f>
        <v>7.6363076414507708E-2</v>
      </c>
      <c r="G38">
        <v>9.1521600000000003</v>
      </c>
      <c r="H38">
        <v>2.09792E-2</v>
      </c>
      <c r="I38" s="1">
        <f t="shared" si="0"/>
        <v>4.5760800000000001</v>
      </c>
      <c r="J38">
        <f t="shared" si="1"/>
        <v>2.09792E-2</v>
      </c>
      <c r="K38">
        <f>varm*I38+varE_0</f>
        <v>1.1194508687292757</v>
      </c>
      <c r="L38">
        <f>varm*J38 + I38*varA27</f>
        <v>3.6044048145096436E-3</v>
      </c>
      <c r="M38">
        <f t="shared" si="9"/>
        <v>0.72136515136605572</v>
      </c>
      <c r="N38">
        <f t="shared" si="5"/>
        <v>2.3226495215057865E-3</v>
      </c>
      <c r="O38">
        <f t="shared" si="10"/>
        <v>0.16987092474465654</v>
      </c>
      <c r="P38">
        <f t="shared" si="2"/>
        <v>2.5416131358686076E-5</v>
      </c>
      <c r="Q38">
        <f>varm*C38+varE_0</f>
        <v>511</v>
      </c>
      <c r="R38">
        <f t="shared" si="11"/>
        <v>0</v>
      </c>
      <c r="S38">
        <f t="shared" si="12"/>
        <v>1.4943850570353759E-4</v>
      </c>
      <c r="T38">
        <f t="shared" si="13"/>
        <v>1.4116734860392479E-3</v>
      </c>
      <c r="U38">
        <f t="shared" si="3"/>
        <v>4.5501952987654871E-6</v>
      </c>
      <c r="V38">
        <f t="shared" si="14"/>
        <v>1.0183320579361496E-3</v>
      </c>
      <c r="W38">
        <f t="shared" si="4"/>
        <v>6.5594109927414243E-6</v>
      </c>
      <c r="X38">
        <v>1019500</v>
      </c>
      <c r="Y38">
        <f t="shared" si="6"/>
        <v>4.0470303184841887</v>
      </c>
    </row>
    <row r="39" spans="1:25">
      <c r="B39" s="1"/>
    </row>
    <row r="41" spans="1:25">
      <c r="A41" t="s">
        <v>20</v>
      </c>
      <c r="U41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9</vt:i4>
      </vt:variant>
    </vt:vector>
  </HeadingPairs>
  <TitlesOfParts>
    <vt:vector size="12" baseType="lpstr">
      <vt:lpstr>Tabelle1</vt:lpstr>
      <vt:lpstr>Tabelle2</vt:lpstr>
      <vt:lpstr>Tabelle3</vt:lpstr>
      <vt:lpstr>varA11</vt:lpstr>
      <vt:lpstr>varA27</vt:lpstr>
      <vt:lpstr>varA32</vt:lpstr>
      <vt:lpstr>varA6</vt:lpstr>
      <vt:lpstr>varA8</vt:lpstr>
      <vt:lpstr>varE_0</vt:lpstr>
      <vt:lpstr>varE_0sz</vt:lpstr>
      <vt:lpstr>varm</vt:lpstr>
      <vt:lpstr>varmsz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a_pie</dc:creator>
  <cp:lastModifiedBy>a_pie</cp:lastModifiedBy>
  <dcterms:created xsi:type="dcterms:W3CDTF">2019-06-16T13:01:54Z</dcterms:created>
  <dcterms:modified xsi:type="dcterms:W3CDTF">2019-06-20T23:35:07Z</dcterms:modified>
</cp:coreProperties>
</file>