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threadedComments/threadedComment1.xml" ContentType="application/vnd.ms-excel.threaded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drawings/drawing4.xml" ContentType="application/vnd.openxmlformats-officedocument.drawing+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drawings/drawing5.xml" ContentType="application/vnd.openxmlformats-officedocument.drawing+xml"/>
  <Override PartName="/xl/comments29.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30.xml" ContentType="application/vnd.openxmlformats-officedocument.spreadsheetml.comments+xml"/>
  <Override PartName="/xl/drawings/drawing6.xml" ContentType="application/vnd.openxmlformats-officedocument.drawing+xml"/>
  <Override PartName="/xl/comments31.xml" ContentType="application/vnd.openxmlformats-officedocument.spreadsheetml.comments+xml"/>
  <Override PartName="/xl/drawings/drawing7.xml" ContentType="application/vnd.openxmlformats-officedocument.drawing+xml"/>
  <Override PartName="/xl/comments32.xml" ContentType="application/vnd.openxmlformats-officedocument.spreadsheetml.comment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omments33.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omments34.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D:\CTCLSA\Kuhan Bro\Quarterly_Company_Analysis\"/>
    </mc:Choice>
  </mc:AlternateContent>
  <xr:revisionPtr revIDLastSave="0" documentId="13_ncr:1_{DD348548-60E0-4E2C-A16C-421394DBE9D1}" xr6:coauthVersionLast="47" xr6:coauthVersionMax="47" xr10:uidLastSave="{00000000-0000-0000-0000-000000000000}"/>
  <bookViews>
    <workbookView xWindow="30" yWindow="30" windowWidth="20460" windowHeight="10890" firstSheet="1" activeTab="4" xr2:uid="{00000000-000D-0000-FFFF-FFFF00000000}"/>
  </bookViews>
  <sheets>
    <sheet name="Sheet1" sheetId="48" r:id="rId1"/>
    <sheet name="Valuation Sheet" sheetId="44" r:id="rId2"/>
    <sheet name="MGT" sheetId="2" r:id="rId3"/>
    <sheet name="TJL" sheetId="3" r:id="rId4"/>
    <sheet name="BPPL" sheetId="4" r:id="rId5"/>
    <sheet name="HAYL" sheetId="15" r:id="rId6"/>
    <sheet name="HAYC" sheetId="8" r:id="rId7"/>
    <sheet name="HELA" sheetId="11" r:id="rId8"/>
    <sheet name="EXPO" sheetId="22" r:id="rId9"/>
    <sheet name="GLAS" sheetId="5" r:id="rId10"/>
    <sheet name="TKYO" sheetId="18" r:id="rId11"/>
    <sheet name="TILE" sheetId="30" r:id="rId12"/>
    <sheet name="JAT" sheetId="33" r:id="rId13"/>
    <sheet name="CARG" sheetId="6" r:id="rId14"/>
    <sheet name="CCS" sheetId="28" r:id="rId15"/>
    <sheet name="LMF" sheetId="37" r:id="rId16"/>
    <sheet name="LLUB" sheetId="7" r:id="rId17"/>
    <sheet name="LIOC" sheetId="20" r:id="rId18"/>
    <sheet name="CTC" sheetId="10" r:id="rId19"/>
    <sheet name="DIST" sheetId="31" r:id="rId20"/>
    <sheet name="HHL" sheetId="29" r:id="rId21"/>
    <sheet name="SUN" sheetId="32" r:id="rId22"/>
    <sheet name="DIAL" sheetId="13" r:id="rId23"/>
    <sheet name="PLR" sheetId="14" r:id="rId24"/>
    <sheet name="SAMP" sheetId="24" r:id="rId25"/>
    <sheet name="AAIC" sheetId="43" r:id="rId26"/>
    <sheet name="KHL" sheetId="25" r:id="rId27"/>
    <sheet name="AHUN" sheetId="34" r:id="rId28"/>
    <sheet name="AGPL" sheetId="41" r:id="rId29"/>
    <sheet name="WATA" sheetId="45" r:id="rId30"/>
    <sheet name="HBS - Valuation Guide" sheetId="42" r:id="rId31"/>
    <sheet name="High Frequency Data" sheetId="21" r:id="rId32"/>
    <sheet name="Leisure" sheetId="26" r:id="rId33"/>
    <sheet name="Banks - 3Q2023E" sheetId="27" r:id="rId34"/>
    <sheet name="Banks - 4Q2023" sheetId="46" r:id="rId35"/>
    <sheet name="FBX" sheetId="23" r:id="rId36"/>
    <sheet name="Cotton" sheetId="1" state="hidden" r:id="rId37"/>
    <sheet name="Auto Fuel Prices" sheetId="35" r:id="rId38"/>
    <sheet name="Commodities" sheetId="36" r:id="rId39"/>
    <sheet name="Total Market Earnings" sheetId="40" r:id="rId40"/>
    <sheet name="Corporate Earnings" sheetId="38" r:id="rId41"/>
    <sheet name="Additional" sheetId="16" state="hidden" r:id="rId42"/>
    <sheet name="HNB Retirement Fund" sheetId="39" r:id="rId43"/>
    <sheet name="Top 10 Holdings" sheetId="47" r:id="rId44"/>
  </sheets>
  <externalReferences>
    <externalReference r:id="rId45"/>
  </externalReferences>
  <definedNames>
    <definedName name="L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3" l="1"/>
  <c r="H3" i="3"/>
  <c r="H22" i="3"/>
  <c r="H19" i="3"/>
  <c r="H25" i="3"/>
  <c r="H16" i="3"/>
  <c r="H13" i="3"/>
  <c r="H10" i="3"/>
  <c r="H6" i="3"/>
  <c r="H7" i="3" s="1"/>
  <c r="H4" i="3"/>
  <c r="G4" i="3"/>
  <c r="F13" i="3"/>
  <c r="E13" i="3"/>
  <c r="C13" i="3"/>
  <c r="D10" i="3"/>
  <c r="G10" i="3"/>
  <c r="F10" i="3"/>
  <c r="E10" i="3"/>
  <c r="C10" i="3"/>
  <c r="D6" i="3"/>
  <c r="D7" i="3" s="1"/>
  <c r="E6" i="3"/>
  <c r="E7" i="3" s="1"/>
  <c r="F6" i="3"/>
  <c r="F7" i="3" s="1"/>
  <c r="G6" i="3"/>
  <c r="G7" i="3" s="1"/>
  <c r="C6" i="3"/>
  <c r="C7" i="3" s="1"/>
  <c r="F3" i="3"/>
  <c r="F50" i="44"/>
  <c r="I3" i="44"/>
  <c r="D3" i="44"/>
  <c r="AM24" i="2"/>
  <c r="AM38" i="30"/>
  <c r="AL38" i="30"/>
  <c r="AM37" i="30"/>
  <c r="AL37" i="30"/>
  <c r="AI37" i="30"/>
  <c r="AM43" i="30"/>
  <c r="AM57" i="30"/>
  <c r="AM68" i="30"/>
  <c r="AM67" i="30"/>
  <c r="AM66" i="30"/>
  <c r="AM62" i="30"/>
  <c r="AM61" i="30"/>
  <c r="AM52" i="30"/>
  <c r="AM51" i="30"/>
  <c r="AM49" i="30"/>
  <c r="AM45" i="30"/>
  <c r="AM39" i="30"/>
  <c r="AM31" i="30"/>
  <c r="AM24" i="30"/>
  <c r="AM21" i="30"/>
  <c r="AM18" i="30"/>
  <c r="AM15" i="30"/>
  <c r="AM12" i="30"/>
  <c r="AM9" i="30"/>
  <c r="AM8" i="30"/>
  <c r="AM5" i="30"/>
  <c r="AM4" i="30"/>
  <c r="AO4" i="5"/>
  <c r="AM4" i="5"/>
  <c r="AO3" i="5"/>
  <c r="AL43" i="22"/>
  <c r="AL39" i="22"/>
  <c r="AL40" i="22" s="1"/>
  <c r="AH39" i="22"/>
  <c r="AK39" i="22"/>
  <c r="AL38" i="22"/>
  <c r="AH38" i="22"/>
  <c r="AK14" i="22"/>
  <c r="AL18" i="22"/>
  <c r="AL14" i="22"/>
  <c r="AL19" i="22" s="1"/>
  <c r="AL7" i="22"/>
  <c r="AM72" i="22"/>
  <c r="AM71" i="22"/>
  <c r="AM68" i="22"/>
  <c r="AM67" i="22"/>
  <c r="AM63" i="22"/>
  <c r="AM61" i="22"/>
  <c r="AM62" i="22" s="1"/>
  <c r="AM57" i="22"/>
  <c r="AM53" i="22"/>
  <c r="AM52" i="22"/>
  <c r="AM51" i="22"/>
  <c r="AM49" i="22"/>
  <c r="AM7" i="22"/>
  <c r="AM43" i="22"/>
  <c r="AM29" i="22"/>
  <c r="AM36" i="22" s="1"/>
  <c r="AM25" i="22"/>
  <c r="AM22" i="22"/>
  <c r="AM14" i="22"/>
  <c r="AM12" i="22"/>
  <c r="AM5" i="22"/>
  <c r="AM4" i="22"/>
  <c r="AL72" i="22"/>
  <c r="AL71" i="22"/>
  <c r="AL68" i="22"/>
  <c r="AL67" i="22"/>
  <c r="AL61" i="22"/>
  <c r="AL63" i="22" s="1"/>
  <c r="AL57" i="22"/>
  <c r="AL52" i="22"/>
  <c r="AL51" i="22"/>
  <c r="AL49" i="22"/>
  <c r="AL29" i="22"/>
  <c r="AL36" i="22" s="1"/>
  <c r="AL25" i="22"/>
  <c r="AL22" i="22"/>
  <c r="AL12" i="22"/>
  <c r="AL5" i="22"/>
  <c r="AL4" i="22"/>
  <c r="AN35" i="11"/>
  <c r="AM32" i="11"/>
  <c r="AM37" i="11"/>
  <c r="AI37" i="11"/>
  <c r="AL37" i="11"/>
  <c r="AM53" i="30" l="1"/>
  <c r="AM33" i="30"/>
  <c r="AM32" i="30"/>
  <c r="AM29" i="30"/>
  <c r="AM35" i="30"/>
  <c r="AL53" i="22"/>
  <c r="AM32" i="22"/>
  <c r="AM33" i="22" s="1"/>
  <c r="AM9" i="22"/>
  <c r="AM19" i="22"/>
  <c r="AM15" i="22"/>
  <c r="AM16" i="22"/>
  <c r="AM40" i="22"/>
  <c r="AM30" i="22"/>
  <c r="AL62" i="22"/>
  <c r="AL32" i="22"/>
  <c r="AL30" i="22"/>
  <c r="AM31" i="11"/>
  <c r="AM28" i="11"/>
  <c r="AM56" i="11"/>
  <c r="AM35" i="11"/>
  <c r="AM51" i="11"/>
  <c r="AM50" i="11"/>
  <c r="AM52" i="11" s="1"/>
  <c r="AM48" i="11"/>
  <c r="AM44" i="11"/>
  <c r="AM42" i="11"/>
  <c r="AM39" i="11"/>
  <c r="AM24" i="11"/>
  <c r="AM21" i="11"/>
  <c r="AM18" i="11"/>
  <c r="AM15" i="11"/>
  <c r="AM12" i="11"/>
  <c r="AM9" i="11"/>
  <c r="AM8" i="11"/>
  <c r="AM5" i="11"/>
  <c r="AM4" i="11"/>
  <c r="AM28" i="15"/>
  <c r="AI28" i="15"/>
  <c r="AN36" i="15"/>
  <c r="AN37" i="15" s="1"/>
  <c r="AM51" i="8"/>
  <c r="AP17" i="8"/>
  <c r="AL61" i="8"/>
  <c r="AK61" i="8"/>
  <c r="AJ61" i="8"/>
  <c r="AL4" i="8"/>
  <c r="AM38" i="8"/>
  <c r="AM43" i="8" s="1"/>
  <c r="AI38" i="8"/>
  <c r="AL38" i="8"/>
  <c r="AM29" i="8"/>
  <c r="AM64" i="8"/>
  <c r="AM61" i="8"/>
  <c r="AM45" i="8"/>
  <c r="AM7" i="8" s="1"/>
  <c r="AM71" i="8"/>
  <c r="AM72" i="8" s="1"/>
  <c r="AM68" i="8"/>
  <c r="AM70" i="8" s="1"/>
  <c r="AM65" i="8"/>
  <c r="AM63" i="8"/>
  <c r="AM57" i="8"/>
  <c r="AM52" i="8"/>
  <c r="AM49" i="8"/>
  <c r="AM36" i="8"/>
  <c r="AM24" i="8"/>
  <c r="AM21" i="8"/>
  <c r="AM18" i="8"/>
  <c r="AM15" i="8"/>
  <c r="AM12" i="8"/>
  <c r="AM5" i="8"/>
  <c r="AM4" i="8"/>
  <c r="AI29" i="15"/>
  <c r="AL5" i="15"/>
  <c r="AM34" i="22" l="1"/>
  <c r="AL34" i="22"/>
  <c r="AL33" i="22"/>
  <c r="AL16" i="22"/>
  <c r="AL15" i="22"/>
  <c r="AM29" i="11"/>
  <c r="AM33" i="11"/>
  <c r="AM53" i="8"/>
  <c r="AM32" i="8"/>
  <c r="AM34" i="8" s="1"/>
  <c r="AM30" i="8"/>
  <c r="AM40" i="8"/>
  <c r="AM38" i="15"/>
  <c r="AM39" i="15" s="1"/>
  <c r="AI38" i="15"/>
  <c r="AL38" i="15"/>
  <c r="AM37" i="15"/>
  <c r="AI37" i="15"/>
  <c r="AL37" i="15"/>
  <c r="AM21" i="15"/>
  <c r="AM24" i="18"/>
  <c r="AM38" i="18"/>
  <c r="AL38" i="18"/>
  <c r="AM37" i="18"/>
  <c r="AM43" i="18" s="1"/>
  <c r="AH37" i="18"/>
  <c r="AL37" i="18"/>
  <c r="AI35" i="2"/>
  <c r="X35" i="2"/>
  <c r="AK37" i="18"/>
  <c r="AJ37" i="18"/>
  <c r="AI37" i="18"/>
  <c r="AD62" i="18"/>
  <c r="AM17" i="18"/>
  <c r="AM20" i="18" s="1"/>
  <c r="AM28" i="18" s="1"/>
  <c r="X14" i="2"/>
  <c r="Z14" i="2"/>
  <c r="AJ14" i="2"/>
  <c r="AL17" i="18"/>
  <c r="AM57" i="18"/>
  <c r="AM76" i="18"/>
  <c r="AM74" i="18"/>
  <c r="AM72" i="18"/>
  <c r="AM71" i="18"/>
  <c r="AM67" i="18"/>
  <c r="AM65" i="18"/>
  <c r="AM63" i="18"/>
  <c r="AM62" i="18"/>
  <c r="AM52" i="18"/>
  <c r="AM51" i="18"/>
  <c r="AM47" i="18"/>
  <c r="AM49" i="18" s="1"/>
  <c r="AM45" i="18"/>
  <c r="AM12" i="18"/>
  <c r="AM9" i="18"/>
  <c r="AM8" i="18"/>
  <c r="AM5" i="18"/>
  <c r="AM4" i="18"/>
  <c r="AM56" i="15"/>
  <c r="AM50" i="15"/>
  <c r="AM44" i="15"/>
  <c r="AM7" i="15" s="1"/>
  <c r="AM75" i="15"/>
  <c r="AM73" i="15"/>
  <c r="AM71" i="15"/>
  <c r="AM70" i="15"/>
  <c r="AM66" i="15"/>
  <c r="AM64" i="15"/>
  <c r="AM62" i="15"/>
  <c r="AM61" i="15"/>
  <c r="AM51" i="15"/>
  <c r="AM48" i="15"/>
  <c r="AM42" i="15"/>
  <c r="AM24" i="15"/>
  <c r="AM18" i="15"/>
  <c r="AM15" i="15"/>
  <c r="AM12" i="15"/>
  <c r="AM5" i="15"/>
  <c r="AM4" i="15"/>
  <c r="AM33" i="2"/>
  <c r="AM12" i="2"/>
  <c r="AM37" i="2"/>
  <c r="AM4" i="2"/>
  <c r="G22" i="3"/>
  <c r="G48" i="3"/>
  <c r="F48" i="3"/>
  <c r="G47" i="3"/>
  <c r="F47" i="3"/>
  <c r="E47" i="3"/>
  <c r="C48" i="3"/>
  <c r="B48" i="3"/>
  <c r="G45" i="3"/>
  <c r="AM33" i="8" l="1"/>
  <c r="AM31" i="15"/>
  <c r="AM33" i="15" s="1"/>
  <c r="AM39" i="18"/>
  <c r="AM53" i="18"/>
  <c r="AM52" i="15"/>
  <c r="G12" i="3"/>
  <c r="G16" i="3" s="1"/>
  <c r="F16" i="3"/>
  <c r="G13" i="3" l="1"/>
  <c r="AM35" i="15"/>
  <c r="AM29" i="15"/>
  <c r="AM32" i="15"/>
  <c r="G53" i="3"/>
  <c r="G41" i="3"/>
  <c r="G39" i="3"/>
  <c r="G24" i="3"/>
  <c r="G19" i="3"/>
  <c r="G25" i="3" l="1"/>
  <c r="G31" i="3"/>
  <c r="G49" i="3"/>
  <c r="G27" i="3"/>
  <c r="AO2" i="8"/>
  <c r="BD11" i="8"/>
  <c r="BC11" i="8"/>
  <c r="BB11" i="8"/>
  <c r="BA11" i="8"/>
  <c r="AZ11" i="8"/>
  <c r="AY11" i="8"/>
  <c r="AX11" i="8"/>
  <c r="AW11" i="8"/>
  <c r="AV11" i="8"/>
  <c r="AU11" i="8"/>
  <c r="AT11" i="8"/>
  <c r="AS11" i="8"/>
  <c r="AR11" i="8"/>
  <c r="AQ11" i="8"/>
  <c r="AP11" i="8"/>
  <c r="E5" i="44"/>
  <c r="H29" i="3" l="1"/>
  <c r="AM35" i="2"/>
  <c r="AM40" i="2" s="1"/>
  <c r="AM14" i="2"/>
  <c r="AM15" i="2" s="1"/>
  <c r="AM54" i="2"/>
  <c r="AM49" i="2"/>
  <c r="AM48" i="2"/>
  <c r="AM46" i="2"/>
  <c r="AM42" i="2"/>
  <c r="AM26" i="2"/>
  <c r="AM29" i="2" s="1"/>
  <c r="AM21" i="2"/>
  <c r="AM9" i="2"/>
  <c r="AM8" i="2"/>
  <c r="AM5" i="2"/>
  <c r="AM50" i="2" l="1"/>
  <c r="AM27" i="2"/>
  <c r="AM18" i="2"/>
  <c r="AM35" i="5" l="1"/>
  <c r="AM37" i="5" s="1"/>
  <c r="AM17" i="5"/>
  <c r="AM14" i="5" s="1"/>
  <c r="AM18" i="5" s="1"/>
  <c r="AM54" i="5"/>
  <c r="AM49" i="5"/>
  <c r="AM48" i="5"/>
  <c r="AM46" i="5"/>
  <c r="AM42" i="5"/>
  <c r="AM26" i="5"/>
  <c r="AM27" i="5" s="1"/>
  <c r="AM24" i="5"/>
  <c r="AM21" i="5"/>
  <c r="AM12" i="5"/>
  <c r="AM9" i="5"/>
  <c r="AM8" i="5"/>
  <c r="AM5" i="5"/>
  <c r="AM36" i="4"/>
  <c r="AM37" i="4" s="1"/>
  <c r="AM35" i="4"/>
  <c r="AM23" i="4"/>
  <c r="AM73" i="4"/>
  <c r="AM71" i="4"/>
  <c r="AM69" i="4"/>
  <c r="AM68" i="4"/>
  <c r="AM64" i="4"/>
  <c r="AM62" i="4"/>
  <c r="AM60" i="4"/>
  <c r="AM59" i="4"/>
  <c r="AM54" i="4"/>
  <c r="AM49" i="4"/>
  <c r="AM48" i="4"/>
  <c r="AM46" i="4"/>
  <c r="AM42" i="4"/>
  <c r="AM7" i="4" s="1"/>
  <c r="AM40" i="4"/>
  <c r="AM26" i="4"/>
  <c r="AM21" i="4"/>
  <c r="AM14" i="4"/>
  <c r="AM18" i="4" s="1"/>
  <c r="AM12" i="4"/>
  <c r="AM5" i="4"/>
  <c r="AM4" i="4"/>
  <c r="G5" i="44" l="1"/>
  <c r="AM50" i="4"/>
  <c r="AM50" i="5"/>
  <c r="AM29" i="5"/>
  <c r="AM33" i="5"/>
  <c r="AM15" i="5"/>
  <c r="AM40" i="5"/>
  <c r="AM15" i="4"/>
  <c r="AM27" i="4"/>
  <c r="AM33" i="4"/>
  <c r="AM29" i="4"/>
  <c r="AM24" i="4"/>
  <c r="BE9" i="20" l="1"/>
  <c r="BD9" i="20"/>
  <c r="BC9" i="20"/>
  <c r="BB9" i="20"/>
  <c r="BA9" i="20"/>
  <c r="J53" i="35"/>
  <c r="I53" i="35"/>
  <c r="H53" i="35"/>
  <c r="G53" i="35"/>
  <c r="X1" i="20"/>
  <c r="AM38" i="20"/>
  <c r="AM37" i="20"/>
  <c r="AM17" i="20"/>
  <c r="AM20" i="20" s="1"/>
  <c r="AM57" i="20"/>
  <c r="AM52" i="20"/>
  <c r="AM51" i="20"/>
  <c r="AM49" i="20"/>
  <c r="AM45" i="20"/>
  <c r="AM15" i="20"/>
  <c r="AM12" i="20"/>
  <c r="AM9" i="20"/>
  <c r="AM8" i="20"/>
  <c r="AM5" i="20"/>
  <c r="AM4" i="20"/>
  <c r="BD11" i="20" l="1"/>
  <c r="BE11" i="20"/>
  <c r="AM39" i="20"/>
  <c r="AM43" i="20"/>
  <c r="AM53" i="20"/>
  <c r="AM21" i="20"/>
  <c r="AM28" i="20"/>
  <c r="AM24" i="20"/>
  <c r="AM18" i="20"/>
  <c r="AM35" i="20" l="1"/>
  <c r="AM31" i="20"/>
  <c r="AM29" i="20"/>
  <c r="E34" i="44" l="1"/>
  <c r="AC31" i="44"/>
  <c r="E31" i="44"/>
  <c r="E23" i="44"/>
  <c r="E18" i="44"/>
  <c r="B54" i="40"/>
  <c r="B55" i="40" s="1"/>
  <c r="K46" i="40"/>
  <c r="J46" i="40"/>
  <c r="K47" i="40"/>
  <c r="J47" i="40"/>
  <c r="K48" i="40"/>
  <c r="J48" i="40"/>
  <c r="K49" i="40"/>
  <c r="J49" i="40"/>
  <c r="K50" i="40"/>
  <c r="J50" i="40"/>
  <c r="E18" i="47"/>
  <c r="D18" i="47"/>
  <c r="E15" i="47"/>
  <c r="D15" i="47"/>
  <c r="AB13" i="47"/>
  <c r="R13" i="47"/>
  <c r="F13" i="47" s="1"/>
  <c r="G13" i="47"/>
  <c r="AB12" i="47"/>
  <c r="G12" i="47" s="1"/>
  <c r="R12" i="47"/>
  <c r="F12" i="47" s="1"/>
  <c r="AB11" i="47"/>
  <c r="G11" i="47" s="1"/>
  <c r="R11" i="47"/>
  <c r="F11" i="47" s="1"/>
  <c r="AB10" i="47"/>
  <c r="G10" i="47" s="1"/>
  <c r="R10" i="47"/>
  <c r="F10" i="47"/>
  <c r="AB9" i="47"/>
  <c r="G9" i="47" s="1"/>
  <c r="R9" i="47"/>
  <c r="F9" i="47" s="1"/>
  <c r="AB8" i="47"/>
  <c r="G8" i="47" s="1"/>
  <c r="R8" i="47"/>
  <c r="F8" i="47" s="1"/>
  <c r="AB7" i="47"/>
  <c r="R7" i="47"/>
  <c r="F7" i="47" s="1"/>
  <c r="G7" i="47"/>
  <c r="AB6" i="47"/>
  <c r="R6" i="47"/>
  <c r="G6" i="47"/>
  <c r="F6" i="47"/>
  <c r="AB5" i="47"/>
  <c r="G5" i="47" s="1"/>
  <c r="R5" i="47"/>
  <c r="F5" i="47" s="1"/>
  <c r="AB4" i="47"/>
  <c r="G4" i="47" s="1"/>
  <c r="R4" i="47"/>
  <c r="F4" i="47" s="1"/>
  <c r="AB3" i="47"/>
  <c r="G3" i="47" s="1"/>
  <c r="R3" i="47"/>
  <c r="F3" i="47" s="1"/>
  <c r="E17" i="44" l="1"/>
  <c r="BA11" i="28" l="1"/>
  <c r="AZ11" i="28"/>
  <c r="AY11" i="28"/>
  <c r="BB11" i="28"/>
  <c r="BD11" i="18"/>
  <c r="BC11" i="18"/>
  <c r="BB11" i="18"/>
  <c r="BA11" i="18"/>
  <c r="AZ11" i="18"/>
  <c r="BC11" i="28" l="1"/>
  <c r="X1" i="13"/>
  <c r="AM38" i="13"/>
  <c r="AM37" i="13"/>
  <c r="AM57" i="13"/>
  <c r="AM52" i="13"/>
  <c r="AM51" i="13"/>
  <c r="AM49" i="13"/>
  <c r="AM45" i="13"/>
  <c r="AM39" i="13"/>
  <c r="AM28" i="13"/>
  <c r="AM29" i="13" s="1"/>
  <c r="AM24" i="13"/>
  <c r="AM21" i="13"/>
  <c r="AM18" i="13"/>
  <c r="AM15" i="13"/>
  <c r="AM12" i="13"/>
  <c r="AM9" i="13"/>
  <c r="AM8" i="13"/>
  <c r="AM5" i="13"/>
  <c r="AM4" i="13"/>
  <c r="AM53" i="13" l="1"/>
  <c r="AM35" i="13"/>
  <c r="AM43" i="13"/>
  <c r="AM31" i="13"/>
  <c r="BH4" i="4" l="1"/>
  <c r="BG4" i="4"/>
  <c r="BF4" i="4"/>
  <c r="BE4" i="4"/>
  <c r="BH3" i="4"/>
  <c r="BG3" i="4"/>
  <c r="BF3" i="4"/>
  <c r="BE3" i="4"/>
  <c r="AL72" i="4"/>
  <c r="AL63" i="4"/>
  <c r="AN82" i="4"/>
  <c r="AO81" i="4" s="1"/>
  <c r="AL84" i="4"/>
  <c r="AL20" i="4" s="1"/>
  <c r="BE11" i="2"/>
  <c r="Z3" i="44" s="1"/>
  <c r="BD11" i="2"/>
  <c r="W3" i="44" s="1"/>
  <c r="N3" i="44" s="1"/>
  <c r="BC11" i="2"/>
  <c r="T3" i="44" s="1"/>
  <c r="BB11" i="2"/>
  <c r="BA11" i="2"/>
  <c r="Q3" i="44" s="1"/>
  <c r="X1" i="10"/>
  <c r="X1" i="31"/>
  <c r="BG9" i="4" l="1"/>
  <c r="BE9" i="4"/>
  <c r="BF9" i="4"/>
  <c r="BH9" i="4"/>
  <c r="AO80" i="4"/>
  <c r="D56" i="40"/>
  <c r="C50" i="40"/>
  <c r="C49" i="40"/>
  <c r="C48" i="40"/>
  <c r="C47" i="40"/>
  <c r="E24" i="44" l="1"/>
  <c r="AL38" i="14"/>
  <c r="AL43" i="14" s="1"/>
  <c r="AL17" i="14"/>
  <c r="AL18" i="14" s="1"/>
  <c r="AL61" i="14"/>
  <c r="AL57" i="14"/>
  <c r="AL52" i="14"/>
  <c r="AL51" i="14"/>
  <c r="AL49" i="14"/>
  <c r="AL65" i="14" s="1"/>
  <c r="AL45" i="14"/>
  <c r="AL15" i="14"/>
  <c r="AL12" i="14"/>
  <c r="AL9" i="14"/>
  <c r="AL8" i="14"/>
  <c r="AL5" i="14"/>
  <c r="AL62" i="14" s="1"/>
  <c r="AL4" i="14"/>
  <c r="X1" i="45"/>
  <c r="G24" i="44" l="1"/>
  <c r="AL53" i="14"/>
  <c r="AL20" i="14"/>
  <c r="AL40" i="14"/>
  <c r="AL29" i="14" l="1"/>
  <c r="AL24" i="14"/>
  <c r="AL21" i="14"/>
  <c r="AL30" i="14" l="1"/>
  <c r="AL32" i="14"/>
  <c r="AL36" i="14"/>
  <c r="AL63" i="14" l="1"/>
  <c r="AL56" i="45" l="1"/>
  <c r="AL38" i="45"/>
  <c r="AL37" i="45"/>
  <c r="AL43" i="45" s="1"/>
  <c r="AL77" i="45"/>
  <c r="AL75" i="45"/>
  <c r="AL73" i="45"/>
  <c r="AL72" i="45"/>
  <c r="AL67" i="45"/>
  <c r="AL65" i="45"/>
  <c r="AL63" i="45"/>
  <c r="AL62" i="45"/>
  <c r="AL51" i="45"/>
  <c r="AL49" i="45"/>
  <c r="AL45" i="45"/>
  <c r="AL28" i="45"/>
  <c r="AL29" i="45" s="1"/>
  <c r="AL24" i="45"/>
  <c r="AL21" i="45"/>
  <c r="AL18" i="45"/>
  <c r="AL15" i="45"/>
  <c r="AL12" i="45"/>
  <c r="AL9" i="45"/>
  <c r="AL8" i="45"/>
  <c r="AL5" i="45"/>
  <c r="AL4" i="45"/>
  <c r="AL39" i="45" l="1"/>
  <c r="AL31" i="45"/>
  <c r="AL35" i="45"/>
  <c r="AL57" i="45"/>
  <c r="G16" i="44"/>
  <c r="E16" i="44"/>
  <c r="AL37" i="37"/>
  <c r="AL39" i="37" s="1"/>
  <c r="AL57" i="37"/>
  <c r="AL52" i="37"/>
  <c r="AL51" i="37"/>
  <c r="AL49" i="37"/>
  <c r="AL45" i="37"/>
  <c r="AL20" i="37"/>
  <c r="AL21" i="37" s="1"/>
  <c r="AL18" i="37"/>
  <c r="AL15" i="37"/>
  <c r="AL12" i="37"/>
  <c r="AL9" i="37"/>
  <c r="AL8" i="37"/>
  <c r="AL5" i="37"/>
  <c r="AL4" i="37"/>
  <c r="AL43" i="37" l="1"/>
  <c r="AL53" i="37"/>
  <c r="AL24" i="37"/>
  <c r="AL28" i="37"/>
  <c r="AL35" i="37" s="1"/>
  <c r="AL29" i="37" l="1"/>
  <c r="AL31" i="37"/>
  <c r="E8" i="44" l="1"/>
  <c r="AL38" i="11" l="1"/>
  <c r="AL42" i="11"/>
  <c r="X1" i="11"/>
  <c r="AL56" i="11"/>
  <c r="AL51" i="11"/>
  <c r="AL50" i="11"/>
  <c r="AL52" i="11" s="1"/>
  <c r="AL48" i="11"/>
  <c r="G8" i="44" s="1"/>
  <c r="AL44" i="11"/>
  <c r="AL28" i="11"/>
  <c r="AL31" i="11" s="1"/>
  <c r="AL24" i="11"/>
  <c r="AL21" i="11"/>
  <c r="AL18" i="11"/>
  <c r="AL15" i="11"/>
  <c r="AL12" i="11"/>
  <c r="AL9" i="11"/>
  <c r="AL8" i="11"/>
  <c r="AL5" i="11"/>
  <c r="AL4" i="11"/>
  <c r="G14" i="44"/>
  <c r="E14" i="44"/>
  <c r="AL38" i="6"/>
  <c r="AL37" i="6"/>
  <c r="AL87" i="6"/>
  <c r="AL85" i="6"/>
  <c r="AL83" i="6"/>
  <c r="AL82" i="6"/>
  <c r="AL77" i="6"/>
  <c r="AL75" i="6"/>
  <c r="AL73" i="6"/>
  <c r="AL72" i="6"/>
  <c r="AL67" i="6"/>
  <c r="AL65" i="6"/>
  <c r="AL63" i="6"/>
  <c r="AL62" i="6"/>
  <c r="AL57" i="6"/>
  <c r="AL52" i="6"/>
  <c r="AL51" i="6"/>
  <c r="AL49" i="6"/>
  <c r="AL45" i="6"/>
  <c r="AL28" i="6"/>
  <c r="AL31" i="6" s="1"/>
  <c r="AL24" i="6"/>
  <c r="AL21" i="6"/>
  <c r="AL18" i="6"/>
  <c r="AL15" i="6"/>
  <c r="AL12" i="6"/>
  <c r="AL9" i="6"/>
  <c r="AL8" i="6"/>
  <c r="AL5" i="6"/>
  <c r="AL4" i="6"/>
  <c r="AL35" i="11" l="1"/>
  <c r="AL29" i="11"/>
  <c r="AL39" i="11"/>
  <c r="AL39" i="6"/>
  <c r="AL53" i="6"/>
  <c r="AL35" i="6"/>
  <c r="AL43" i="6"/>
  <c r="AL29" i="6"/>
  <c r="E13" i="44" l="1"/>
  <c r="X1" i="33"/>
  <c r="AL37" i="33"/>
  <c r="AL38" i="33"/>
  <c r="AL17" i="33"/>
  <c r="AL18" i="33" s="1"/>
  <c r="AL57" i="33"/>
  <c r="AL52" i="33"/>
  <c r="AL51" i="33"/>
  <c r="AL49" i="33"/>
  <c r="G13" i="44" s="1"/>
  <c r="AL45" i="33"/>
  <c r="AL43" i="33"/>
  <c r="AL28" i="33"/>
  <c r="AL29" i="33" s="1"/>
  <c r="AL24" i="33"/>
  <c r="AL21" i="33"/>
  <c r="AL15" i="33"/>
  <c r="AL12" i="33"/>
  <c r="AL9" i="33"/>
  <c r="AL8" i="33"/>
  <c r="AL5" i="33"/>
  <c r="AL4" i="33"/>
  <c r="E12" i="44"/>
  <c r="AL43" i="30"/>
  <c r="AL18" i="30"/>
  <c r="AL68" i="30"/>
  <c r="AL67" i="30"/>
  <c r="AL66" i="30"/>
  <c r="AL62" i="30"/>
  <c r="AL61" i="30"/>
  <c r="AL57" i="30"/>
  <c r="AL52" i="30"/>
  <c r="AL53" i="30" s="1"/>
  <c r="AL51" i="30"/>
  <c r="AL49" i="30"/>
  <c r="G12" i="44" s="1"/>
  <c r="AL45" i="30"/>
  <c r="AL28" i="30"/>
  <c r="AL35" i="30" s="1"/>
  <c r="AL24" i="30"/>
  <c r="AL21" i="30"/>
  <c r="AL15" i="30"/>
  <c r="AL12" i="30"/>
  <c r="AL9" i="30"/>
  <c r="AL8" i="30"/>
  <c r="AL5" i="30"/>
  <c r="AL4" i="30"/>
  <c r="E11" i="44"/>
  <c r="AL43" i="18"/>
  <c r="AL20" i="18"/>
  <c r="AL47" i="18"/>
  <c r="AL49" i="18" s="1"/>
  <c r="G11" i="44" s="1"/>
  <c r="AL76" i="18"/>
  <c r="AL74" i="18"/>
  <c r="AL72" i="18"/>
  <c r="AL71" i="18"/>
  <c r="AL67" i="18"/>
  <c r="AL65" i="18"/>
  <c r="AL63" i="18"/>
  <c r="AL62" i="18"/>
  <c r="AL57" i="18"/>
  <c r="AL52" i="18"/>
  <c r="AL51" i="18"/>
  <c r="AL45" i="18"/>
  <c r="AL15" i="18"/>
  <c r="AL12" i="18"/>
  <c r="AL9" i="18"/>
  <c r="AL8" i="18"/>
  <c r="AL5" i="18"/>
  <c r="AL4" i="18"/>
  <c r="X1" i="18"/>
  <c r="E6" i="44"/>
  <c r="AL42" i="15"/>
  <c r="X1" i="15"/>
  <c r="AL75" i="15"/>
  <c r="AL73" i="15"/>
  <c r="AL71" i="15"/>
  <c r="AL70" i="15"/>
  <c r="AL66" i="15"/>
  <c r="AL64" i="15"/>
  <c r="AL62" i="15"/>
  <c r="AL61" i="15"/>
  <c r="AL56" i="15"/>
  <c r="AL51" i="15"/>
  <c r="AL52" i="15" s="1"/>
  <c r="AL50" i="15"/>
  <c r="AL48" i="15"/>
  <c r="AL28" i="15"/>
  <c r="AL29" i="15" s="1"/>
  <c r="AL24" i="15"/>
  <c r="AL21" i="15"/>
  <c r="AL18" i="15"/>
  <c r="AL15" i="15"/>
  <c r="AL12" i="15"/>
  <c r="AL4" i="15"/>
  <c r="X1" i="4"/>
  <c r="AL35" i="4"/>
  <c r="AL37" i="4" s="1"/>
  <c r="AL73" i="4"/>
  <c r="AL71" i="4"/>
  <c r="AL69" i="4"/>
  <c r="AL68" i="4"/>
  <c r="AL64" i="4"/>
  <c r="AL62" i="4"/>
  <c r="AL60" i="4"/>
  <c r="AL59" i="4"/>
  <c r="AL54" i="4"/>
  <c r="AL49" i="4"/>
  <c r="AL48" i="4"/>
  <c r="AL46" i="4"/>
  <c r="AL40" i="4"/>
  <c r="AL21" i="4"/>
  <c r="AL14" i="4"/>
  <c r="AL12" i="4"/>
  <c r="AL5" i="4"/>
  <c r="AL4" i="4"/>
  <c r="G6" i="44" l="1"/>
  <c r="BC13" i="18"/>
  <c r="BD13" i="18"/>
  <c r="AL50" i="4"/>
  <c r="AL15" i="4"/>
  <c r="BH5" i="4"/>
  <c r="BH10" i="4" s="1"/>
  <c r="AL53" i="33"/>
  <c r="AL31" i="33"/>
  <c r="AL35" i="33"/>
  <c r="AL39" i="33"/>
  <c r="AL29" i="30"/>
  <c r="AL31" i="30"/>
  <c r="AL39" i="30"/>
  <c r="AL53" i="18"/>
  <c r="AL24" i="18"/>
  <c r="AL21" i="18"/>
  <c r="AL28" i="18"/>
  <c r="AL18" i="18"/>
  <c r="AL39" i="18"/>
  <c r="AL31" i="15"/>
  <c r="AL35" i="15"/>
  <c r="AL39" i="15"/>
  <c r="AL18" i="4"/>
  <c r="AL35" i="18" l="1"/>
  <c r="AL31" i="18"/>
  <c r="AL29" i="18"/>
  <c r="E52" i="40" l="1"/>
  <c r="G50" i="40"/>
  <c r="H52" i="40" s="1"/>
  <c r="E21" i="44"/>
  <c r="G21" i="44"/>
  <c r="X1" i="29"/>
  <c r="AL56" i="29"/>
  <c r="AL57" i="29" s="1"/>
  <c r="AL38" i="29"/>
  <c r="AL37" i="29"/>
  <c r="AL17" i="29"/>
  <c r="AL20" i="29" s="1"/>
  <c r="AL87" i="29"/>
  <c r="AL85" i="29"/>
  <c r="AL83" i="29"/>
  <c r="AL82" i="29"/>
  <c r="AL77" i="29"/>
  <c r="AL75" i="29"/>
  <c r="AL73" i="29"/>
  <c r="AL72" i="29"/>
  <c r="AL67" i="29"/>
  <c r="AL65" i="29"/>
  <c r="AL63" i="29"/>
  <c r="AL62" i="29"/>
  <c r="AL51" i="29"/>
  <c r="AL49" i="29"/>
  <c r="AL45" i="29"/>
  <c r="AL43" i="29"/>
  <c r="AL15" i="29"/>
  <c r="AL12" i="29"/>
  <c r="AL9" i="29"/>
  <c r="AL8" i="29"/>
  <c r="AL5" i="29"/>
  <c r="AL4" i="29"/>
  <c r="E50" i="40" l="1"/>
  <c r="H50" i="40"/>
  <c r="AL28" i="29"/>
  <c r="AL24" i="29"/>
  <c r="AL21" i="29"/>
  <c r="AL39" i="29"/>
  <c r="AL18" i="29"/>
  <c r="AL29" i="29" l="1"/>
  <c r="AL31" i="29"/>
  <c r="AL35" i="29"/>
  <c r="E7" i="44" l="1"/>
  <c r="X1" i="8"/>
  <c r="AL57" i="8"/>
  <c r="AL52" i="8"/>
  <c r="AL51" i="8"/>
  <c r="AL53" i="8" s="1"/>
  <c r="AL49" i="8"/>
  <c r="G7" i="44" s="1"/>
  <c r="AL43" i="8"/>
  <c r="AL29" i="8"/>
  <c r="AL32" i="8" s="1"/>
  <c r="AL24" i="8"/>
  <c r="AL21" i="8"/>
  <c r="AL18" i="8"/>
  <c r="AL15" i="8"/>
  <c r="AL12" i="8"/>
  <c r="AL5" i="8"/>
  <c r="E4" i="44"/>
  <c r="F39" i="3"/>
  <c r="F53" i="3"/>
  <c r="F45" i="3"/>
  <c r="G4" i="44" s="1"/>
  <c r="F41" i="3"/>
  <c r="F24" i="3"/>
  <c r="F22" i="3"/>
  <c r="F19" i="3"/>
  <c r="F4" i="3"/>
  <c r="E3" i="44"/>
  <c r="AL35" i="2"/>
  <c r="AL37" i="2" s="1"/>
  <c r="AL54" i="2"/>
  <c r="AL49" i="2"/>
  <c r="AL48" i="2"/>
  <c r="AL50" i="2" s="1"/>
  <c r="AL46" i="2"/>
  <c r="G3" i="44" s="1"/>
  <c r="AL42" i="2"/>
  <c r="AL45" i="8" s="1"/>
  <c r="AL7" i="8" s="1"/>
  <c r="AM9" i="8" s="1"/>
  <c r="AL26" i="2"/>
  <c r="AL33" i="2" s="1"/>
  <c r="AL24" i="2"/>
  <c r="AL21" i="2"/>
  <c r="AL14" i="2"/>
  <c r="AL18" i="2" s="1"/>
  <c r="AL12" i="2"/>
  <c r="AL9" i="2"/>
  <c r="AL8" i="2"/>
  <c r="AL5" i="2"/>
  <c r="AL4" i="2"/>
  <c r="F27" i="3" l="1"/>
  <c r="G29" i="3" s="1"/>
  <c r="F31" i="3"/>
  <c r="AS13" i="8"/>
  <c r="BC13" i="8"/>
  <c r="BD13" i="8"/>
  <c r="AT13" i="8"/>
  <c r="AY13" i="8"/>
  <c r="AX13" i="8"/>
  <c r="AL27" i="2"/>
  <c r="AL42" i="4"/>
  <c r="AL7" i="4" s="1"/>
  <c r="AM9" i="4" s="1"/>
  <c r="AL44" i="15"/>
  <c r="AL7" i="15" s="1"/>
  <c r="AM9" i="15" s="1"/>
  <c r="AL36" i="8"/>
  <c r="AL40" i="8"/>
  <c r="AL30" i="8"/>
  <c r="F49" i="3"/>
  <c r="F25" i="3"/>
  <c r="AL40" i="2"/>
  <c r="AL29" i="2"/>
  <c r="AM31" i="2" s="1"/>
  <c r="AL15" i="2"/>
  <c r="AL95" i="43" l="1"/>
  <c r="AK95" i="43"/>
  <c r="AJ95" i="43"/>
  <c r="AI95" i="43"/>
  <c r="AH95" i="43"/>
  <c r="AG95" i="43"/>
  <c r="AF95" i="43"/>
  <c r="AE95" i="43"/>
  <c r="AD95" i="43"/>
  <c r="AM95" i="43"/>
  <c r="AL81" i="43"/>
  <c r="AM91" i="43"/>
  <c r="AM93" i="43" s="1"/>
  <c r="AM88" i="43"/>
  <c r="AM83" i="43"/>
  <c r="AM75" i="43"/>
  <c r="AM74" i="43"/>
  <c r="AM71" i="43"/>
  <c r="AM70" i="43"/>
  <c r="AM67" i="43"/>
  <c r="AM66" i="43"/>
  <c r="AM63" i="43"/>
  <c r="AM62" i="43"/>
  <c r="AM59" i="43"/>
  <c r="AM58" i="43"/>
  <c r="AM48" i="43"/>
  <c r="AM55" i="43" s="1"/>
  <c r="AM44" i="43"/>
  <c r="AM41" i="43"/>
  <c r="AM38" i="43"/>
  <c r="AM37" i="43"/>
  <c r="AM34" i="43"/>
  <c r="AM33" i="43"/>
  <c r="AM30" i="43"/>
  <c r="AM29" i="43"/>
  <c r="AM26" i="43"/>
  <c r="AM25" i="43"/>
  <c r="AM22" i="43"/>
  <c r="AM21" i="43"/>
  <c r="AM18" i="43"/>
  <c r="AM17" i="43"/>
  <c r="AM14" i="43"/>
  <c r="AM13" i="43"/>
  <c r="AM10" i="43"/>
  <c r="AM9" i="43"/>
  <c r="AM8" i="43"/>
  <c r="AM5" i="43"/>
  <c r="AM4" i="43"/>
  <c r="AM49" i="43" l="1"/>
  <c r="AM51" i="43"/>
  <c r="X1" i="43" l="1"/>
  <c r="AO38" i="5"/>
  <c r="AO40" i="7"/>
  <c r="AM37" i="7"/>
  <c r="AM17" i="7"/>
  <c r="AM65" i="7" l="1"/>
  <c r="AM63" i="7"/>
  <c r="AM61" i="7"/>
  <c r="AM57" i="7"/>
  <c r="AM52" i="7"/>
  <c r="AM51" i="7"/>
  <c r="AM49" i="7"/>
  <c r="AM45" i="7"/>
  <c r="AM39" i="7"/>
  <c r="AM43" i="7"/>
  <c r="AM28" i="7"/>
  <c r="AM35" i="7" s="1"/>
  <c r="AM24" i="7"/>
  <c r="AM21" i="7"/>
  <c r="AM12" i="7"/>
  <c r="AM9" i="7"/>
  <c r="AM8" i="7"/>
  <c r="AM5" i="7"/>
  <c r="AM4" i="7"/>
  <c r="X1" i="7"/>
  <c r="X1" i="28"/>
  <c r="X1" i="6"/>
  <c r="X1" i="14"/>
  <c r="G17" i="44" l="1"/>
  <c r="BB13" i="28"/>
  <c r="BC13" i="28"/>
  <c r="AM53" i="7"/>
  <c r="AM29" i="7"/>
  <c r="AM31" i="7"/>
  <c r="AM14" i="7"/>
  <c r="AM15" i="7" s="1"/>
  <c r="AM18" i="7" l="1"/>
  <c r="X1" i="37" l="1"/>
  <c r="AC10" i="44" l="1"/>
  <c r="E10" i="44"/>
  <c r="X1" i="5"/>
  <c r="AL35" i="5"/>
  <c r="AL40" i="5" s="1"/>
  <c r="AL17" i="5"/>
  <c r="AL14" i="5" s="1"/>
  <c r="AL18" i="5" s="1"/>
  <c r="AL54" i="5"/>
  <c r="AL49" i="5"/>
  <c r="AL50" i="5" s="1"/>
  <c r="AL48" i="5"/>
  <c r="AL46" i="5"/>
  <c r="G10" i="44" s="1"/>
  <c r="AL42" i="5"/>
  <c r="AL26" i="5"/>
  <c r="AL29" i="5" s="1"/>
  <c r="AM31" i="5" s="1"/>
  <c r="AL24" i="5"/>
  <c r="AL21" i="5"/>
  <c r="AL12" i="5"/>
  <c r="AL9" i="5"/>
  <c r="AL8" i="5"/>
  <c r="AL5" i="5"/>
  <c r="AL4" i="5"/>
  <c r="AL37" i="5" l="1"/>
  <c r="AL15" i="5"/>
  <c r="AL33" i="5"/>
  <c r="AL27" i="5"/>
  <c r="BE11" i="13" l="1"/>
  <c r="BE13" i="13" s="1"/>
  <c r="BD11" i="13"/>
  <c r="BD13" i="13" s="1"/>
  <c r="BC11" i="13"/>
  <c r="T23" i="44" s="1"/>
  <c r="BB11" i="13"/>
  <c r="BA11" i="13"/>
  <c r="Q23" i="44" s="1"/>
  <c r="Z23" i="44" l="1"/>
  <c r="W23" i="44"/>
  <c r="N23" i="44" s="1"/>
  <c r="AL38" i="20" l="1"/>
  <c r="AL37" i="20"/>
  <c r="AL43" i="20" s="1"/>
  <c r="AL17" i="20"/>
  <c r="AL20" i="20" s="1"/>
  <c r="AL57" i="20"/>
  <c r="AL52" i="20"/>
  <c r="AL51" i="20"/>
  <c r="AL49" i="20"/>
  <c r="G18" i="44" s="1"/>
  <c r="AL45" i="20"/>
  <c r="AL15" i="20"/>
  <c r="AL12" i="20"/>
  <c r="AL9" i="20"/>
  <c r="AL8" i="20"/>
  <c r="AL5" i="20"/>
  <c r="AL4" i="20"/>
  <c r="AL53" i="20" l="1"/>
  <c r="AL28" i="20"/>
  <c r="AL24" i="20"/>
  <c r="AL21" i="20"/>
  <c r="AL18" i="20"/>
  <c r="AL39" i="20"/>
  <c r="AL31" i="20" l="1"/>
  <c r="AM33" i="20" s="1"/>
  <c r="AL29" i="20"/>
  <c r="AL35" i="20"/>
  <c r="F74" i="46" l="1"/>
  <c r="F79" i="46" s="1"/>
  <c r="F73" i="46"/>
  <c r="F78" i="46" s="1"/>
  <c r="F72" i="46"/>
  <c r="F77" i="46" s="1"/>
  <c r="F58" i="46"/>
  <c r="F56" i="46"/>
  <c r="F5" i="46"/>
  <c r="G77" i="46"/>
  <c r="G74" i="46"/>
  <c r="G79" i="46" s="1"/>
  <c r="G73" i="46"/>
  <c r="G78" i="46" s="1"/>
  <c r="G72" i="46"/>
  <c r="G58" i="46"/>
  <c r="G56" i="46"/>
  <c r="G5" i="46"/>
  <c r="H78" i="46"/>
  <c r="H77" i="46"/>
  <c r="H74" i="46"/>
  <c r="H73" i="46"/>
  <c r="H72" i="46"/>
  <c r="H58" i="46"/>
  <c r="H56" i="46"/>
  <c r="H15" i="46"/>
  <c r="H79" i="46" s="1"/>
  <c r="H5" i="46"/>
  <c r="I74" i="46" l="1"/>
  <c r="I79" i="46" s="1"/>
  <c r="I73" i="46"/>
  <c r="I78" i="46" s="1"/>
  <c r="I72" i="46"/>
  <c r="I77" i="46" s="1"/>
  <c r="I58" i="46"/>
  <c r="I56" i="46"/>
  <c r="I5" i="46"/>
  <c r="D77" i="46"/>
  <c r="D74" i="46"/>
  <c r="D79" i="46" s="1"/>
  <c r="D73" i="46"/>
  <c r="D78" i="46" s="1"/>
  <c r="D72" i="46"/>
  <c r="D58" i="46"/>
  <c r="D56" i="46"/>
  <c r="D5" i="46"/>
  <c r="C79" i="46"/>
  <c r="C78" i="46"/>
  <c r="C74" i="46"/>
  <c r="C73" i="46"/>
  <c r="C72" i="46"/>
  <c r="C77" i="46" s="1"/>
  <c r="C5" i="46"/>
  <c r="C58" i="46"/>
  <c r="C56" i="46"/>
  <c r="C15" i="46"/>
  <c r="B74" i="46"/>
  <c r="B73" i="46"/>
  <c r="B72" i="46"/>
  <c r="B22" i="46" l="1"/>
  <c r="B21" i="46"/>
  <c r="B58" i="46"/>
  <c r="B56" i="46"/>
  <c r="J50" i="35" l="1"/>
  <c r="I50" i="35"/>
  <c r="H50" i="35"/>
  <c r="G50" i="35"/>
  <c r="AM60" i="20" l="1"/>
  <c r="AM61" i="20" s="1"/>
  <c r="K53" i="35"/>
  <c r="AM66" i="20"/>
  <c r="AM67" i="20" s="1"/>
  <c r="L53" i="35"/>
  <c r="AM63" i="20"/>
  <c r="AM64" i="20" s="1"/>
  <c r="M53" i="35"/>
  <c r="AM69" i="20"/>
  <c r="AM70" i="20" s="1"/>
  <c r="N53" i="35"/>
  <c r="C29" i="46"/>
  <c r="D29" i="46" s="1"/>
  <c r="D41" i="46" s="1"/>
  <c r="D42" i="46" s="1"/>
  <c r="B15" i="46"/>
  <c r="B41" i="46"/>
  <c r="J32" i="46"/>
  <c r="I32" i="46"/>
  <c r="H32" i="46"/>
  <c r="G32" i="46"/>
  <c r="F32" i="46"/>
  <c r="E32" i="46"/>
  <c r="D32" i="46"/>
  <c r="C32" i="46"/>
  <c r="B32" i="46"/>
  <c r="B35" i="46" s="1"/>
  <c r="J31" i="46"/>
  <c r="I31" i="46"/>
  <c r="H31" i="46"/>
  <c r="G31" i="46"/>
  <c r="F31" i="46"/>
  <c r="E31" i="46"/>
  <c r="D31" i="46"/>
  <c r="C31" i="46"/>
  <c r="B31" i="46"/>
  <c r="B34" i="46" s="1"/>
  <c r="J19" i="46"/>
  <c r="I19" i="46"/>
  <c r="H19" i="46"/>
  <c r="G19" i="46"/>
  <c r="F19" i="46"/>
  <c r="E19" i="46"/>
  <c r="D19" i="46"/>
  <c r="C19" i="46"/>
  <c r="B19" i="46"/>
  <c r="J17" i="46"/>
  <c r="I17" i="46"/>
  <c r="G17" i="46"/>
  <c r="F17" i="46"/>
  <c r="E17" i="46"/>
  <c r="D17" i="46"/>
  <c r="H17" i="46"/>
  <c r="C17" i="46"/>
  <c r="I46" i="46" l="1"/>
  <c r="I82" i="46"/>
  <c r="I84" i="46"/>
  <c r="I83" i="46"/>
  <c r="H46" i="46"/>
  <c r="H84" i="46"/>
  <c r="H82" i="46"/>
  <c r="H83" i="46"/>
  <c r="C82" i="46"/>
  <c r="C84" i="46"/>
  <c r="C83" i="46"/>
  <c r="D84" i="46"/>
  <c r="D83" i="46"/>
  <c r="D82" i="46"/>
  <c r="F82" i="46"/>
  <c r="F84" i="46"/>
  <c r="F83" i="46"/>
  <c r="B5" i="46"/>
  <c r="B79" i="46"/>
  <c r="B77" i="46"/>
  <c r="B78" i="46"/>
  <c r="G84" i="46"/>
  <c r="G83" i="46"/>
  <c r="G82" i="46"/>
  <c r="B17" i="46"/>
  <c r="C34" i="46"/>
  <c r="C38" i="46" s="1"/>
  <c r="C44" i="46" s="1"/>
  <c r="C41" i="46"/>
  <c r="C42" i="46" s="1"/>
  <c r="E29" i="46"/>
  <c r="E35" i="46" s="1"/>
  <c r="E39" i="46" s="1"/>
  <c r="D34" i="46"/>
  <c r="D38" i="46" s="1"/>
  <c r="D44" i="46" s="1"/>
  <c r="D35" i="46"/>
  <c r="D39" i="46" s="1"/>
  <c r="C35" i="46"/>
  <c r="C39" i="46" s="1"/>
  <c r="B39" i="46"/>
  <c r="B38" i="46"/>
  <c r="B44" i="46" s="1"/>
  <c r="B42" i="46"/>
  <c r="B46" i="46"/>
  <c r="C46" i="46"/>
  <c r="D46" i="46"/>
  <c r="E46" i="46"/>
  <c r="F46" i="46"/>
  <c r="G46" i="46"/>
  <c r="J46" i="46"/>
  <c r="H88" i="46" l="1"/>
  <c r="H92" i="46" s="1"/>
  <c r="H87" i="46"/>
  <c r="H91" i="46" s="1"/>
  <c r="H89" i="46"/>
  <c r="H93" i="46" s="1"/>
  <c r="G89" i="46"/>
  <c r="G93" i="46" s="1"/>
  <c r="G88" i="46"/>
  <c r="G92" i="46" s="1"/>
  <c r="G87" i="46"/>
  <c r="G91" i="46" s="1"/>
  <c r="I87" i="46"/>
  <c r="I91" i="46" s="1"/>
  <c r="I88" i="46"/>
  <c r="I92" i="46" s="1"/>
  <c r="I89" i="46"/>
  <c r="I93" i="46" s="1"/>
  <c r="C88" i="46"/>
  <c r="C92" i="46" s="1"/>
  <c r="C87" i="46"/>
  <c r="C91" i="46" s="1"/>
  <c r="C89" i="46"/>
  <c r="C93" i="46" s="1"/>
  <c r="D88" i="46"/>
  <c r="D92" i="46" s="1"/>
  <c r="D89" i="46"/>
  <c r="D93" i="46" s="1"/>
  <c r="D87" i="46"/>
  <c r="D91" i="46" s="1"/>
  <c r="F87" i="46"/>
  <c r="F91" i="46" s="1"/>
  <c r="F89" i="46"/>
  <c r="F93" i="46" s="1"/>
  <c r="F88" i="46"/>
  <c r="F92" i="46" s="1"/>
  <c r="B82" i="46"/>
  <c r="B84" i="46"/>
  <c r="B83" i="46"/>
  <c r="E34" i="46"/>
  <c r="E38" i="46" s="1"/>
  <c r="E44" i="46" s="1"/>
  <c r="E62" i="46" s="1"/>
  <c r="E41" i="46"/>
  <c r="E42" i="46" s="1"/>
  <c r="F29" i="46"/>
  <c r="B65" i="46"/>
  <c r="B48" i="46"/>
  <c r="B66" i="46"/>
  <c r="B60" i="46"/>
  <c r="B62" i="46"/>
  <c r="B61" i="46"/>
  <c r="B67" i="46"/>
  <c r="D65" i="46"/>
  <c r="D48" i="46"/>
  <c r="D66" i="46"/>
  <c r="D60" i="46"/>
  <c r="D67" i="46"/>
  <c r="D61" i="46"/>
  <c r="D62" i="46"/>
  <c r="C65" i="46"/>
  <c r="C48" i="46"/>
  <c r="C60" i="46"/>
  <c r="C66" i="46"/>
  <c r="C67" i="46"/>
  <c r="C61" i="46"/>
  <c r="C62" i="46"/>
  <c r="B89" i="46" l="1"/>
  <c r="B93" i="46" s="1"/>
  <c r="B88" i="46"/>
  <c r="B92" i="46" s="1"/>
  <c r="B87" i="46"/>
  <c r="B91" i="46" s="1"/>
  <c r="E61" i="46"/>
  <c r="E48" i="46"/>
  <c r="E67" i="46"/>
  <c r="E66" i="46"/>
  <c r="E60" i="46"/>
  <c r="E65" i="46"/>
  <c r="F41" i="46"/>
  <c r="F42" i="46" s="1"/>
  <c r="G29" i="46"/>
  <c r="F35" i="46"/>
  <c r="F39" i="46" s="1"/>
  <c r="F34" i="46"/>
  <c r="F38" i="46" s="1"/>
  <c r="F44" i="46" s="1"/>
  <c r="F65" i="46" l="1"/>
  <c r="F60" i="46"/>
  <c r="F62" i="46"/>
  <c r="F67" i="46"/>
  <c r="F61" i="46"/>
  <c r="F66" i="46"/>
  <c r="F48" i="46"/>
  <c r="G41" i="46"/>
  <c r="G42" i="46" s="1"/>
  <c r="H29" i="46"/>
  <c r="G35" i="46"/>
  <c r="G39" i="46" s="1"/>
  <c r="G34" i="46"/>
  <c r="G38" i="46" s="1"/>
  <c r="G44" i="46" s="1"/>
  <c r="G60" i="46" l="1"/>
  <c r="G62" i="46"/>
  <c r="G67" i="46"/>
  <c r="G66" i="46"/>
  <c r="G48" i="46"/>
  <c r="G61" i="46"/>
  <c r="G65" i="46"/>
  <c r="I29" i="46"/>
  <c r="H41" i="46"/>
  <c r="H42" i="46" s="1"/>
  <c r="H35" i="46"/>
  <c r="H39" i="46" s="1"/>
  <c r="H34" i="46"/>
  <c r="H38" i="46" s="1"/>
  <c r="H44" i="46" s="1"/>
  <c r="H61" i="46" l="1"/>
  <c r="H66" i="46"/>
  <c r="H62" i="46"/>
  <c r="H67" i="46"/>
  <c r="H60" i="46"/>
  <c r="H48" i="46"/>
  <c r="H65" i="46"/>
  <c r="J29" i="46"/>
  <c r="I41" i="46"/>
  <c r="I42" i="46" s="1"/>
  <c r="I34" i="46"/>
  <c r="I38" i="46" s="1"/>
  <c r="I44" i="46" s="1"/>
  <c r="I35" i="46"/>
  <c r="I39" i="46" s="1"/>
  <c r="I61" i="46" l="1"/>
  <c r="I66" i="46"/>
  <c r="I65" i="46"/>
  <c r="I48" i="46"/>
  <c r="I60" i="46"/>
  <c r="I62" i="46"/>
  <c r="I67" i="46"/>
  <c r="J41" i="46"/>
  <c r="J42" i="46" s="1"/>
  <c r="J34" i="46"/>
  <c r="J38" i="46" s="1"/>
  <c r="J44" i="46" s="1"/>
  <c r="J35" i="46"/>
  <c r="J39" i="46" s="1"/>
  <c r="J67" i="46" l="1"/>
  <c r="J61" i="46"/>
  <c r="J62" i="46"/>
  <c r="J48" i="46"/>
  <c r="J66" i="46"/>
  <c r="J60" i="46"/>
  <c r="J65" i="46"/>
  <c r="X1" i="32" l="1"/>
  <c r="AC34" i="44" l="1"/>
  <c r="AD56" i="45"/>
  <c r="AH56" i="45"/>
  <c r="AD37" i="45"/>
  <c r="AD38" i="45"/>
  <c r="AE56" i="45"/>
  <c r="AE57" i="45" s="1"/>
  <c r="AI56" i="45"/>
  <c r="AI37" i="45"/>
  <c r="AI38" i="45"/>
  <c r="AE20" i="45"/>
  <c r="AE24" i="45" s="1"/>
  <c r="AF20" i="45"/>
  <c r="AF21" i="45" s="1"/>
  <c r="AI20" i="45"/>
  <c r="AJ20" i="45"/>
  <c r="AJ24" i="45" s="1"/>
  <c r="AF56" i="45"/>
  <c r="AF57" i="45" s="1"/>
  <c r="AJ56" i="45"/>
  <c r="AK52" i="45" s="1"/>
  <c r="AJ37" i="45"/>
  <c r="AJ43" i="45" s="1"/>
  <c r="AJ38" i="45"/>
  <c r="AG56" i="45"/>
  <c r="AK56" i="45"/>
  <c r="AL52" i="45" s="1"/>
  <c r="AL53" i="45" s="1"/>
  <c r="AH37" i="45"/>
  <c r="AK37" i="45"/>
  <c r="AK43" i="45" s="1"/>
  <c r="AH38" i="45"/>
  <c r="AK38" i="45"/>
  <c r="AJ47" i="45"/>
  <c r="AJ49" i="45" s="1"/>
  <c r="AG20" i="45"/>
  <c r="AG28" i="45" s="1"/>
  <c r="AG35" i="45" s="1"/>
  <c r="AK20" i="45"/>
  <c r="AK21" i="45" s="1"/>
  <c r="AI77" i="45"/>
  <c r="AE77" i="45"/>
  <c r="AD77" i="45"/>
  <c r="AC77" i="45"/>
  <c r="AB77" i="45"/>
  <c r="AA77" i="45"/>
  <c r="Z77" i="45"/>
  <c r="AJ77" i="45"/>
  <c r="AI75" i="45"/>
  <c r="AF75" i="45"/>
  <c r="AE75" i="45"/>
  <c r="AD75" i="45"/>
  <c r="AC75" i="45"/>
  <c r="AB75" i="45"/>
  <c r="AA75" i="45"/>
  <c r="Z75" i="45"/>
  <c r="AK75" i="45"/>
  <c r="AJ73" i="45"/>
  <c r="AE73" i="45"/>
  <c r="AD73" i="45"/>
  <c r="AC73" i="45"/>
  <c r="AB73" i="45"/>
  <c r="AA73" i="45"/>
  <c r="AJ72" i="45"/>
  <c r="AI72" i="45"/>
  <c r="AE72" i="45"/>
  <c r="AD72" i="45"/>
  <c r="AF72" i="45"/>
  <c r="AI67" i="45"/>
  <c r="AE67" i="45"/>
  <c r="AD67" i="45"/>
  <c r="AC67" i="45"/>
  <c r="AB67" i="45"/>
  <c r="AA67" i="45"/>
  <c r="Z67" i="45"/>
  <c r="AJ67" i="45"/>
  <c r="AI65" i="45"/>
  <c r="AF65" i="45"/>
  <c r="AE65" i="45"/>
  <c r="AD65" i="45"/>
  <c r="AC65" i="45"/>
  <c r="AB65" i="45"/>
  <c r="AA65" i="45"/>
  <c r="Z65" i="45"/>
  <c r="AJ63" i="45"/>
  <c r="AF63" i="45"/>
  <c r="AE63" i="45"/>
  <c r="AD63" i="45"/>
  <c r="AC63" i="45"/>
  <c r="AB63" i="45"/>
  <c r="AA63" i="45"/>
  <c r="AJ62" i="45"/>
  <c r="AI62" i="45"/>
  <c r="AF62" i="45"/>
  <c r="AE62" i="45"/>
  <c r="AD62" i="45"/>
  <c r="AF67" i="45"/>
  <c r="AG57" i="45"/>
  <c r="AB57" i="45"/>
  <c r="AA57" i="45"/>
  <c r="Z57" i="45"/>
  <c r="Y57" i="45"/>
  <c r="X57" i="45"/>
  <c r="AJ52" i="45"/>
  <c r="AI57" i="45"/>
  <c r="AD57" i="45"/>
  <c r="AC57" i="45"/>
  <c r="AD52" i="45"/>
  <c r="AC52" i="45"/>
  <c r="AB52" i="45"/>
  <c r="AA52" i="45"/>
  <c r="Z52" i="45"/>
  <c r="Y52" i="45"/>
  <c r="AK51" i="45"/>
  <c r="AJ51" i="45"/>
  <c r="AI51" i="45"/>
  <c r="AH51" i="45"/>
  <c r="AG51" i="45"/>
  <c r="AF51" i="45"/>
  <c r="AE51" i="45"/>
  <c r="AD51" i="45"/>
  <c r="AC51" i="45"/>
  <c r="AC53" i="45" s="1"/>
  <c r="AB51" i="45"/>
  <c r="AB53" i="45" s="1"/>
  <c r="AA51" i="45"/>
  <c r="Z51" i="45"/>
  <c r="Z53" i="45" s="1"/>
  <c r="Y51" i="45"/>
  <c r="AK49" i="45"/>
  <c r="G34" i="44" s="1"/>
  <c r="J34" i="44" s="1"/>
  <c r="AK45" i="45"/>
  <c r="AJ45" i="45"/>
  <c r="AI45" i="45"/>
  <c r="AH45" i="45"/>
  <c r="AG45" i="45"/>
  <c r="AF45" i="45"/>
  <c r="AE45" i="45"/>
  <c r="AD45" i="45"/>
  <c r="AC45" i="45"/>
  <c r="AB45" i="45"/>
  <c r="AA45" i="45"/>
  <c r="Z45" i="45"/>
  <c r="Y45" i="45"/>
  <c r="X45" i="45"/>
  <c r="AF43" i="45"/>
  <c r="AE43" i="45"/>
  <c r="AC43" i="45"/>
  <c r="AB43" i="45"/>
  <c r="AA43" i="45"/>
  <c r="Z43" i="45"/>
  <c r="Y43" i="45"/>
  <c r="X43" i="45"/>
  <c r="AF39" i="45"/>
  <c r="AE39" i="45"/>
  <c r="AC39" i="45"/>
  <c r="AB39" i="45"/>
  <c r="AA39" i="45"/>
  <c r="Z39" i="45"/>
  <c r="Y39" i="45"/>
  <c r="X39" i="45"/>
  <c r="AI43" i="45"/>
  <c r="AH43" i="45"/>
  <c r="AG43" i="45"/>
  <c r="AD39" i="45"/>
  <c r="Z35" i="45"/>
  <c r="AI28" i="45"/>
  <c r="AH28" i="45"/>
  <c r="AH35" i="45" s="1"/>
  <c r="AF28" i="45"/>
  <c r="AF35" i="45" s="1"/>
  <c r="AE28" i="45"/>
  <c r="AD28" i="45"/>
  <c r="AD35" i="45" s="1"/>
  <c r="AC28" i="45"/>
  <c r="AC35" i="45" s="1"/>
  <c r="AB28" i="45"/>
  <c r="AB29" i="45" s="1"/>
  <c r="AA28" i="45"/>
  <c r="AA29" i="45" s="1"/>
  <c r="Z28" i="45"/>
  <c r="Y28" i="45"/>
  <c r="X28" i="45"/>
  <c r="I25" i="45"/>
  <c r="H25" i="45"/>
  <c r="G25" i="45"/>
  <c r="AI24" i="45"/>
  <c r="AH24" i="45"/>
  <c r="AG24" i="45"/>
  <c r="AD24" i="45"/>
  <c r="AC24" i="45"/>
  <c r="AB24" i="45"/>
  <c r="AA24" i="45"/>
  <c r="Z24" i="45"/>
  <c r="Y24" i="45"/>
  <c r="X24" i="45"/>
  <c r="I22" i="45"/>
  <c r="H22" i="45"/>
  <c r="G22" i="45"/>
  <c r="F22" i="45"/>
  <c r="E22" i="45"/>
  <c r="D22" i="45"/>
  <c r="J22" i="45" s="1"/>
  <c r="C22" i="45"/>
  <c r="AI21" i="45"/>
  <c r="AH21" i="45"/>
  <c r="AE21" i="45"/>
  <c r="AD21" i="45"/>
  <c r="AC21" i="45"/>
  <c r="AB21" i="45"/>
  <c r="AA21" i="45"/>
  <c r="Z21" i="45"/>
  <c r="Y21" i="45"/>
  <c r="X21" i="45"/>
  <c r="I21" i="45"/>
  <c r="H21" i="45"/>
  <c r="G21" i="45"/>
  <c r="F21" i="45"/>
  <c r="E21" i="45"/>
  <c r="D21" i="45"/>
  <c r="J21" i="45" s="1"/>
  <c r="C21" i="45"/>
  <c r="I20" i="45"/>
  <c r="H20" i="45"/>
  <c r="G20" i="45"/>
  <c r="F20" i="45"/>
  <c r="E20" i="45"/>
  <c r="D20" i="45"/>
  <c r="J20" i="45" s="1"/>
  <c r="I19" i="45"/>
  <c r="H19" i="45"/>
  <c r="G19" i="45"/>
  <c r="F19" i="45"/>
  <c r="E19" i="45"/>
  <c r="D19" i="45"/>
  <c r="J19" i="45" s="1"/>
  <c r="AK18" i="45"/>
  <c r="AJ18" i="45"/>
  <c r="AI18" i="45"/>
  <c r="AH18" i="45"/>
  <c r="AG18" i="45"/>
  <c r="AF18" i="45"/>
  <c r="AE18" i="45"/>
  <c r="AD18" i="45"/>
  <c r="AC18" i="45"/>
  <c r="AB18" i="45"/>
  <c r="AA18" i="45"/>
  <c r="Z18" i="45"/>
  <c r="Y18" i="45"/>
  <c r="X18" i="45"/>
  <c r="I18" i="45"/>
  <c r="H18" i="45"/>
  <c r="G18" i="45"/>
  <c r="F18" i="45"/>
  <c r="E18" i="45"/>
  <c r="D18" i="45"/>
  <c r="C18" i="45"/>
  <c r="J17" i="45"/>
  <c r="J16" i="45"/>
  <c r="AK15" i="45"/>
  <c r="AJ15" i="45"/>
  <c r="AI15" i="45"/>
  <c r="AH15" i="45"/>
  <c r="AG15" i="45"/>
  <c r="AF15" i="45"/>
  <c r="AE15" i="45"/>
  <c r="AD15" i="45"/>
  <c r="AC15" i="45"/>
  <c r="AB15" i="45"/>
  <c r="AA15" i="45"/>
  <c r="Z15" i="45"/>
  <c r="Y15" i="45"/>
  <c r="X15" i="45"/>
  <c r="C15" i="45"/>
  <c r="C20" i="45" s="1"/>
  <c r="J14" i="45"/>
  <c r="AK12" i="45"/>
  <c r="AJ12" i="45"/>
  <c r="AI12" i="45"/>
  <c r="AH12" i="45"/>
  <c r="AG12" i="45"/>
  <c r="AF12" i="45"/>
  <c r="AE12" i="45"/>
  <c r="AD12" i="45"/>
  <c r="AC12" i="45"/>
  <c r="AB12" i="45"/>
  <c r="AA12" i="45"/>
  <c r="Z12" i="45"/>
  <c r="Y12" i="45"/>
  <c r="X12" i="45"/>
  <c r="I12" i="45"/>
  <c r="H12" i="45"/>
  <c r="G12" i="45"/>
  <c r="F12" i="45"/>
  <c r="E12" i="45"/>
  <c r="D12" i="45"/>
  <c r="AY11" i="45"/>
  <c r="AY13" i="45" s="1"/>
  <c r="AX11" i="45"/>
  <c r="AX13" i="45" s="1"/>
  <c r="AW11" i="45"/>
  <c r="AV11" i="45"/>
  <c r="AU11" i="45"/>
  <c r="AT11" i="45"/>
  <c r="AT13" i="45" s="1"/>
  <c r="AS11" i="45"/>
  <c r="AS13" i="45" s="1"/>
  <c r="AR11" i="45"/>
  <c r="AQ11" i="45"/>
  <c r="AP11" i="45"/>
  <c r="N11" i="45"/>
  <c r="I11" i="45"/>
  <c r="H11" i="45"/>
  <c r="G11" i="45"/>
  <c r="F11" i="45"/>
  <c r="E11" i="45"/>
  <c r="D11" i="45"/>
  <c r="J11" i="45" s="1"/>
  <c r="C11" i="45"/>
  <c r="N10" i="45"/>
  <c r="J10" i="45"/>
  <c r="AK9" i="45"/>
  <c r="AJ9" i="45"/>
  <c r="AI9" i="45"/>
  <c r="AH9" i="45"/>
  <c r="AG9" i="45"/>
  <c r="AF9" i="45"/>
  <c r="AE9" i="45"/>
  <c r="AD9" i="45"/>
  <c r="AC9" i="45"/>
  <c r="AB9" i="45"/>
  <c r="AA9" i="45"/>
  <c r="Z9" i="45"/>
  <c r="Y9" i="45"/>
  <c r="N9" i="45"/>
  <c r="O9" i="45" s="1"/>
  <c r="AK8" i="45"/>
  <c r="AJ8" i="45"/>
  <c r="AI8" i="45"/>
  <c r="AH8" i="45"/>
  <c r="AG8" i="45"/>
  <c r="AF8" i="45"/>
  <c r="AE8" i="45"/>
  <c r="AD8" i="45"/>
  <c r="AC8" i="45"/>
  <c r="AB8" i="45"/>
  <c r="N8" i="45"/>
  <c r="I8" i="45"/>
  <c r="H8" i="45"/>
  <c r="G8" i="45"/>
  <c r="F8" i="45"/>
  <c r="E8" i="45"/>
  <c r="D8" i="45"/>
  <c r="J8" i="45" s="1"/>
  <c r="C8" i="45"/>
  <c r="N7" i="45"/>
  <c r="N6" i="45"/>
  <c r="I6" i="45"/>
  <c r="H6" i="45"/>
  <c r="G6" i="45"/>
  <c r="F6" i="45"/>
  <c r="E6" i="45"/>
  <c r="D6" i="45"/>
  <c r="J6" i="45" s="1"/>
  <c r="C6" i="45"/>
  <c r="AK5" i="45"/>
  <c r="AJ5" i="45"/>
  <c r="AI5" i="45"/>
  <c r="AH5" i="45"/>
  <c r="AG5" i="45"/>
  <c r="AF5" i="45"/>
  <c r="AE5" i="45"/>
  <c r="AD5" i="45"/>
  <c r="AC5" i="45"/>
  <c r="AB5" i="45"/>
  <c r="AA5" i="45"/>
  <c r="Z5" i="45"/>
  <c r="Y5" i="45"/>
  <c r="N5" i="45"/>
  <c r="AK4" i="45"/>
  <c r="AJ4" i="45"/>
  <c r="AI4" i="45"/>
  <c r="AH4" i="45"/>
  <c r="AG4" i="45"/>
  <c r="AF4" i="45"/>
  <c r="AE4" i="45"/>
  <c r="AD4" i="45"/>
  <c r="AC4" i="45"/>
  <c r="AB4" i="45"/>
  <c r="J4" i="45"/>
  <c r="I4" i="45"/>
  <c r="H4" i="45"/>
  <c r="G4" i="45"/>
  <c r="F4" i="45"/>
  <c r="E4" i="45"/>
  <c r="D4" i="45"/>
  <c r="N3" i="45"/>
  <c r="AO2" i="45"/>
  <c r="N2" i="45"/>
  <c r="T14" i="45" s="1"/>
  <c r="X1" i="30"/>
  <c r="AD68" i="30"/>
  <c r="AH68" i="30"/>
  <c r="AC37" i="30"/>
  <c r="AD17" i="30"/>
  <c r="AH17" i="30"/>
  <c r="AI35" i="45" l="1"/>
  <c r="Y53" i="45"/>
  <c r="AF24" i="45"/>
  <c r="AH52" i="45"/>
  <c r="AH53" i="45" s="1"/>
  <c r="AE52" i="45"/>
  <c r="AE53" i="45" s="1"/>
  <c r="AG52" i="45"/>
  <c r="O11" i="45"/>
  <c r="N13" i="45"/>
  <c r="N20" i="45" s="1"/>
  <c r="J18" i="45"/>
  <c r="AK53" i="45"/>
  <c r="Y35" i="45"/>
  <c r="AA53" i="45"/>
  <c r="AJ28" i="45"/>
  <c r="AJ35" i="45" s="1"/>
  <c r="AJ21" i="45"/>
  <c r="AF52" i="45"/>
  <c r="AF53" i="45" s="1"/>
  <c r="Q2" i="45"/>
  <c r="X35" i="45"/>
  <c r="O10" i="45"/>
  <c r="AI47" i="45"/>
  <c r="AH47" i="45" s="1"/>
  <c r="AG47" i="45" s="1"/>
  <c r="AF47" i="45" s="1"/>
  <c r="AE47" i="45" s="1"/>
  <c r="AD47" i="45" s="1"/>
  <c r="AC47" i="45" s="1"/>
  <c r="AB47" i="45" s="1"/>
  <c r="AA47" i="45" s="1"/>
  <c r="Z47" i="45" s="1"/>
  <c r="Y47" i="45" s="1"/>
  <c r="X47" i="45" s="1"/>
  <c r="AG21" i="45"/>
  <c r="AC29" i="45"/>
  <c r="AA35" i="45"/>
  <c r="AB35" i="45"/>
  <c r="J12" i="45"/>
  <c r="AD29" i="45"/>
  <c r="AK28" i="45"/>
  <c r="AK35" i="45" s="1"/>
  <c r="AK24" i="45"/>
  <c r="AD53" i="45"/>
  <c r="AG53" i="45"/>
  <c r="AK63" i="45"/>
  <c r="AK65" i="45"/>
  <c r="AG77" i="45"/>
  <c r="AK73" i="45"/>
  <c r="AK72" i="45"/>
  <c r="AJ53" i="45"/>
  <c r="C19" i="45"/>
  <c r="AE29" i="45"/>
  <c r="AK77" i="45"/>
  <c r="AG29" i="45"/>
  <c r="AE35" i="45"/>
  <c r="AD43" i="45"/>
  <c r="AJ57" i="45"/>
  <c r="AF29" i="45"/>
  <c r="AH57" i="45"/>
  <c r="AK67" i="45"/>
  <c r="AI29" i="45"/>
  <c r="AG39" i="45"/>
  <c r="AI52" i="45"/>
  <c r="AI53" i="45" s="1"/>
  <c r="AK57" i="45"/>
  <c r="AG75" i="45"/>
  <c r="AH29" i="45"/>
  <c r="X29" i="45"/>
  <c r="AH39" i="45"/>
  <c r="S14" i="45"/>
  <c r="AI39" i="45"/>
  <c r="AG67" i="45"/>
  <c r="AJ75" i="45"/>
  <c r="Y29" i="45"/>
  <c r="Z29" i="45"/>
  <c r="AJ39" i="45"/>
  <c r="AF77" i="45"/>
  <c r="AK39" i="45"/>
  <c r="AJ65" i="45"/>
  <c r="AF73" i="45"/>
  <c r="AN36" i="45" l="1"/>
  <c r="AN37" i="45" s="1"/>
  <c r="I34" i="44" s="1"/>
  <c r="AN35" i="45"/>
  <c r="H34" i="44" s="1"/>
  <c r="D34" i="44"/>
  <c r="AJ31" i="45"/>
  <c r="AK33" i="45" s="1"/>
  <c r="AJ29" i="45"/>
  <c r="AI31" i="45"/>
  <c r="AJ33" i="45" s="1"/>
  <c r="Q13" i="45"/>
  <c r="Q14" i="45" s="1"/>
  <c r="N14" i="45"/>
  <c r="AK29" i="45"/>
  <c r="AK31" i="45"/>
  <c r="AL33" i="45" s="1"/>
  <c r="AH67" i="45"/>
  <c r="AK62" i="45"/>
  <c r="AG65" i="45"/>
  <c r="AI49" i="45"/>
  <c r="AH65" i="45"/>
  <c r="AG62" i="45"/>
  <c r="AG63" i="45"/>
  <c r="AG73" i="45"/>
  <c r="AG72" i="45"/>
  <c r="AH73" i="45" l="1"/>
  <c r="AI73" i="45"/>
  <c r="AH72" i="45"/>
  <c r="AH77" i="45"/>
  <c r="AI63" i="45"/>
  <c r="AH63" i="45"/>
  <c r="AH62" i="45"/>
  <c r="AH49" i="45"/>
  <c r="AH31" i="45"/>
  <c r="AH75" i="45"/>
  <c r="AL32" i="45" l="1"/>
  <c r="F34" i="44"/>
  <c r="AI33" i="45"/>
  <c r="AG49" i="45"/>
  <c r="AG31" i="45"/>
  <c r="AK32" i="45" l="1"/>
  <c r="AF49" i="45"/>
  <c r="AF31" i="45"/>
  <c r="AH33" i="45"/>
  <c r="AE49" i="45" l="1"/>
  <c r="AE31" i="45"/>
  <c r="AJ32" i="45"/>
  <c r="AG33" i="45"/>
  <c r="AI32" i="45" l="1"/>
  <c r="AF33" i="45"/>
  <c r="AD49" i="45"/>
  <c r="AD31" i="45"/>
  <c r="AH32" i="45" l="1"/>
  <c r="AC49" i="45"/>
  <c r="AC31" i="45"/>
  <c r="AE33" i="45"/>
  <c r="AG32" i="45" l="1"/>
  <c r="AB49" i="45"/>
  <c r="AB31" i="45"/>
  <c r="AD33" i="45"/>
  <c r="AF32" i="45" l="1"/>
  <c r="AA49" i="45"/>
  <c r="AA31" i="45"/>
  <c r="AC33" i="45"/>
  <c r="AE32" i="45" l="1"/>
  <c r="AB33" i="45"/>
  <c r="Z49" i="45"/>
  <c r="Z31" i="45"/>
  <c r="AD32" i="45" l="1"/>
  <c r="Y49" i="45"/>
  <c r="Y31" i="45"/>
  <c r="AA33" i="45"/>
  <c r="AC32" i="45" l="1"/>
  <c r="X49" i="45"/>
  <c r="X31" i="45"/>
  <c r="AB32" i="45" s="1"/>
  <c r="Z33" i="45"/>
  <c r="Y33" i="45" l="1"/>
  <c r="AC24" i="44" l="1"/>
  <c r="AC23" i="44"/>
  <c r="E22" i="44" l="1"/>
  <c r="AC21" i="44"/>
  <c r="E20" i="44"/>
  <c r="AC19" i="44"/>
  <c r="E19" i="44"/>
  <c r="AC18" i="44"/>
  <c r="AC17" i="44"/>
  <c r="AC16" i="44"/>
  <c r="AC15" i="44" l="1"/>
  <c r="E15" i="44"/>
  <c r="AC14" i="44"/>
  <c r="AC12" i="44" l="1"/>
  <c r="AC13" i="44"/>
  <c r="AC9" i="44" l="1"/>
  <c r="E9" i="44"/>
  <c r="AC8" i="44"/>
  <c r="X1" i="2" l="1"/>
  <c r="BD13" i="2" l="1"/>
  <c r="BE13" i="2"/>
  <c r="AC7" i="44"/>
  <c r="AC6" i="44"/>
  <c r="AC5" i="44"/>
  <c r="AC4" i="44"/>
  <c r="AC3" i="44"/>
  <c r="AN15" i="22" l="1"/>
  <c r="D8" i="23"/>
  <c r="BC11" i="31" l="1"/>
  <c r="BB11" i="31"/>
  <c r="BA11" i="31"/>
  <c r="T20" i="44" s="1"/>
  <c r="AZ11" i="31"/>
  <c r="AY11" i="31"/>
  <c r="Q20" i="44" s="1"/>
  <c r="BB13" i="31" l="1"/>
  <c r="W20" i="44"/>
  <c r="N20" i="44" s="1"/>
  <c r="BC13" i="31"/>
  <c r="Z20" i="44"/>
  <c r="BE9" i="7"/>
  <c r="BD9" i="7"/>
  <c r="BC9" i="7"/>
  <c r="T17" i="44" s="1"/>
  <c r="BB9" i="7"/>
  <c r="BA9" i="7"/>
  <c r="Q17" i="44" s="1"/>
  <c r="BD11" i="7" l="1"/>
  <c r="W17" i="44"/>
  <c r="N17" i="44" s="1"/>
  <c r="BE11" i="7"/>
  <c r="Z17" i="44"/>
  <c r="D3" i="23"/>
  <c r="D2" i="23"/>
  <c r="T4" i="44"/>
  <c r="Q4" i="44"/>
  <c r="AL37" i="7"/>
  <c r="AL43" i="7" s="1"/>
  <c r="AL17" i="7"/>
  <c r="AL65" i="7"/>
  <c r="AL63" i="7"/>
  <c r="AL61" i="7"/>
  <c r="AL57" i="7"/>
  <c r="AL52" i="7"/>
  <c r="AL51" i="7"/>
  <c r="AL49" i="7"/>
  <c r="J17" i="44" s="1"/>
  <c r="AL45" i="7"/>
  <c r="AL28" i="7"/>
  <c r="AL35" i="7" s="1"/>
  <c r="AL24" i="7"/>
  <c r="AL21" i="7"/>
  <c r="AL12" i="7"/>
  <c r="AL9" i="7"/>
  <c r="AL8" i="7"/>
  <c r="AL5" i="7"/>
  <c r="AL4" i="7"/>
  <c r="AL53" i="7" l="1"/>
  <c r="W4" i="44"/>
  <c r="N4" i="44" s="1"/>
  <c r="Z4" i="44"/>
  <c r="AL29" i="7"/>
  <c r="AL14" i="7"/>
  <c r="AL15" i="7" s="1"/>
  <c r="AL39" i="7"/>
  <c r="AL31" i="7"/>
  <c r="AM33" i="7" s="1"/>
  <c r="AL18" i="7" l="1"/>
  <c r="G49" i="40" l="1"/>
  <c r="G46" i="40"/>
  <c r="G47" i="40"/>
  <c r="E49" i="40"/>
  <c r="E48" i="40"/>
  <c r="H49" i="40" l="1"/>
  <c r="AK38" i="8"/>
  <c r="AK43" i="8" s="1"/>
  <c r="AK57" i="8"/>
  <c r="AK52" i="8"/>
  <c r="AK51" i="8"/>
  <c r="AK53" i="8" s="1"/>
  <c r="AK49" i="8"/>
  <c r="J7" i="44" s="1"/>
  <c r="AK29" i="8"/>
  <c r="AK36" i="8" s="1"/>
  <c r="AK24" i="8"/>
  <c r="AK21" i="8"/>
  <c r="AK18" i="8"/>
  <c r="AK15" i="8"/>
  <c r="AK12" i="8"/>
  <c r="AK5" i="8"/>
  <c r="AK4" i="8"/>
  <c r="AK40" i="8" l="1"/>
  <c r="AK30" i="8"/>
  <c r="AK32" i="8"/>
  <c r="AL34" i="8" s="1"/>
  <c r="AL15" i="13" l="1"/>
  <c r="AK37" i="37"/>
  <c r="AK57" i="37"/>
  <c r="AK52" i="37"/>
  <c r="AK51" i="37"/>
  <c r="AK49" i="37"/>
  <c r="J16" i="44" s="1"/>
  <c r="AK45" i="37"/>
  <c r="AK43" i="37"/>
  <c r="AK20" i="37"/>
  <c r="AK28" i="37" s="1"/>
  <c r="AK18" i="37"/>
  <c r="AK15" i="37"/>
  <c r="AK12" i="37"/>
  <c r="AK9" i="37"/>
  <c r="AK8" i="37"/>
  <c r="AK5" i="37"/>
  <c r="AK4" i="37"/>
  <c r="AK41" i="31"/>
  <c r="AK47" i="31" s="1"/>
  <c r="AK42" i="31"/>
  <c r="AK85" i="31"/>
  <c r="AK83" i="31"/>
  <c r="AK81" i="31"/>
  <c r="AK79" i="31"/>
  <c r="AK78" i="31"/>
  <c r="AK73" i="31"/>
  <c r="AK71" i="31"/>
  <c r="AK69" i="31"/>
  <c r="AK67" i="31"/>
  <c r="AK66" i="31"/>
  <c r="AK61" i="31"/>
  <c r="AK56" i="31"/>
  <c r="AK55" i="31"/>
  <c r="AK57" i="31" s="1"/>
  <c r="AK24" i="31"/>
  <c r="AK28" i="31" s="1"/>
  <c r="AK22" i="31"/>
  <c r="AK19" i="31"/>
  <c r="AK16" i="31"/>
  <c r="AK11" i="31"/>
  <c r="AK9" i="31"/>
  <c r="AK8" i="31"/>
  <c r="AK5" i="31"/>
  <c r="AK4" i="31"/>
  <c r="AK53" i="37" l="1"/>
  <c r="AK31" i="37"/>
  <c r="AL33" i="37" s="1"/>
  <c r="AK29" i="37"/>
  <c r="AK35" i="37"/>
  <c r="AK39" i="37"/>
  <c r="AK21" i="37"/>
  <c r="AK24" i="37"/>
  <c r="AK25" i="31"/>
  <c r="AK43" i="31"/>
  <c r="AK32" i="31"/>
  <c r="AK33" i="31" l="1"/>
  <c r="AK39" i="31"/>
  <c r="AL37" i="13" l="1"/>
  <c r="AL38" i="13"/>
  <c r="AL57" i="13"/>
  <c r="AL52" i="13"/>
  <c r="AL51" i="13"/>
  <c r="AL53" i="13" s="1"/>
  <c r="AL49" i="13"/>
  <c r="AL45" i="13"/>
  <c r="AL39" i="13"/>
  <c r="AL28" i="13"/>
  <c r="AL31" i="13" s="1"/>
  <c r="AM33" i="13" s="1"/>
  <c r="AL24" i="13"/>
  <c r="AL21" i="13"/>
  <c r="AL18" i="13"/>
  <c r="AL12" i="13"/>
  <c r="AL9" i="13"/>
  <c r="AL8" i="13"/>
  <c r="AL5" i="13"/>
  <c r="AL4" i="13"/>
  <c r="G23" i="44" l="1"/>
  <c r="J23" i="44" s="1"/>
  <c r="AL35" i="13"/>
  <c r="AL43" i="13"/>
  <c r="AL29" i="13"/>
  <c r="AK37" i="11" l="1"/>
  <c r="AK42" i="11" s="1"/>
  <c r="AK38" i="11"/>
  <c r="AK56" i="11"/>
  <c r="AK51" i="11"/>
  <c r="AK50" i="11"/>
  <c r="AK52" i="11" s="1"/>
  <c r="AK48" i="11"/>
  <c r="AK44" i="11"/>
  <c r="AK28" i="11"/>
  <c r="AK29" i="11" s="1"/>
  <c r="AK24" i="11"/>
  <c r="AK21" i="11"/>
  <c r="AK18" i="11"/>
  <c r="AK15" i="11"/>
  <c r="AK12" i="11"/>
  <c r="AK9" i="11"/>
  <c r="AK8" i="11"/>
  <c r="AK5" i="11"/>
  <c r="AK4" i="11"/>
  <c r="J8" i="44" l="1"/>
  <c r="AK31" i="11"/>
  <c r="AL33" i="11" s="1"/>
  <c r="AK35" i="11"/>
  <c r="AK39" i="11"/>
  <c r="AD10" i="43" l="1"/>
  <c r="AF87" i="43"/>
  <c r="AJ88" i="43" s="1"/>
  <c r="AJ87" i="43"/>
  <c r="AK87" i="43" s="1"/>
  <c r="AL87" i="43" s="1"/>
  <c r="AE10" i="43"/>
  <c r="AI10" i="43"/>
  <c r="AF10" i="43"/>
  <c r="AJ10" i="43"/>
  <c r="AG10" i="43"/>
  <c r="AK10" i="43"/>
  <c r="AH93" i="43"/>
  <c r="AE93" i="43"/>
  <c r="AC95" i="43"/>
  <c r="AB95" i="43"/>
  <c r="AA95" i="43"/>
  <c r="Z95" i="43"/>
  <c r="Y95" i="43"/>
  <c r="X95" i="43"/>
  <c r="AL91" i="43"/>
  <c r="AL93" i="43" s="1"/>
  <c r="AK91" i="43"/>
  <c r="AK93" i="43" s="1"/>
  <c r="AJ91" i="43"/>
  <c r="AJ93" i="43" s="1"/>
  <c r="AI91" i="43"/>
  <c r="AI93" i="43" s="1"/>
  <c r="AH91" i="43"/>
  <c r="AG91" i="43"/>
  <c r="AG93" i="43" s="1"/>
  <c r="AF91" i="43"/>
  <c r="AF93" i="43" s="1"/>
  <c r="AE91" i="43"/>
  <c r="AD91" i="43"/>
  <c r="AC91" i="43"/>
  <c r="AB91" i="43"/>
  <c r="AB93" i="43" s="1"/>
  <c r="AA91" i="43"/>
  <c r="AA93" i="43" s="1"/>
  <c r="Z91" i="43"/>
  <c r="Z93" i="43" s="1"/>
  <c r="Y91" i="43"/>
  <c r="Y93" i="43" s="1"/>
  <c r="X91" i="43"/>
  <c r="X93" i="43" s="1"/>
  <c r="AK48" i="43"/>
  <c r="AJ48" i="43"/>
  <c r="D31" i="44" s="1"/>
  <c r="AI48" i="43"/>
  <c r="AH48" i="43"/>
  <c r="AG48" i="43"/>
  <c r="AF48" i="43"/>
  <c r="AF55" i="43" s="1"/>
  <c r="AE48" i="43"/>
  <c r="AD48" i="43"/>
  <c r="AD55" i="43" s="1"/>
  <c r="AC48" i="43"/>
  <c r="AC55" i="43" s="1"/>
  <c r="AB48" i="43"/>
  <c r="AA48" i="43"/>
  <c r="AA55" i="43" s="1"/>
  <c r="Z48" i="43"/>
  <c r="Y48" i="43"/>
  <c r="X48" i="43"/>
  <c r="AL48" i="43"/>
  <c r="AL55" i="43" s="1"/>
  <c r="AK41" i="43"/>
  <c r="AJ41" i="43"/>
  <c r="AI41" i="43"/>
  <c r="AH41" i="43"/>
  <c r="AG41" i="43"/>
  <c r="AF41" i="43"/>
  <c r="AE41" i="43"/>
  <c r="AD41" i="43"/>
  <c r="AC41" i="43"/>
  <c r="AB41" i="43"/>
  <c r="AA41" i="43"/>
  <c r="Z41" i="43"/>
  <c r="Y41" i="43"/>
  <c r="X41" i="43"/>
  <c r="AL41" i="43"/>
  <c r="AH10" i="43"/>
  <c r="AL10" i="43"/>
  <c r="AJ89" i="43"/>
  <c r="AF89" i="43"/>
  <c r="AE89" i="43"/>
  <c r="AD89" i="43"/>
  <c r="AC89" i="43"/>
  <c r="AB89" i="43"/>
  <c r="AA89" i="43"/>
  <c r="Z89" i="43"/>
  <c r="Y89" i="43"/>
  <c r="AI88" i="43"/>
  <c r="AE88" i="43"/>
  <c r="AD88" i="43"/>
  <c r="AC88" i="43"/>
  <c r="AB88" i="43"/>
  <c r="AK81" i="43"/>
  <c r="AJ81" i="43" s="1"/>
  <c r="AL83" i="43"/>
  <c r="G31" i="44" s="1"/>
  <c r="J31" i="44" s="1"/>
  <c r="AL75" i="43"/>
  <c r="AL74" i="43"/>
  <c r="AL71" i="43"/>
  <c r="AL70" i="43"/>
  <c r="AL67" i="43"/>
  <c r="AL66" i="43"/>
  <c r="AL63" i="43"/>
  <c r="AL62" i="43"/>
  <c r="AL59" i="43"/>
  <c r="AL58" i="43"/>
  <c r="AL44" i="43"/>
  <c r="AL34" i="43"/>
  <c r="AL33" i="43"/>
  <c r="AL30" i="43"/>
  <c r="AL29" i="43"/>
  <c r="AL26" i="43"/>
  <c r="AL25" i="43"/>
  <c r="AL22" i="43"/>
  <c r="AL21" i="43"/>
  <c r="AL18" i="43"/>
  <c r="AL17" i="43"/>
  <c r="AL14" i="43"/>
  <c r="AL13" i="43"/>
  <c r="AL9" i="43"/>
  <c r="AL8" i="43"/>
  <c r="AL5" i="43"/>
  <c r="AL4" i="43"/>
  <c r="AK71" i="43"/>
  <c r="AJ71" i="43"/>
  <c r="AI71" i="43"/>
  <c r="AH71" i="43"/>
  <c r="AG71" i="43"/>
  <c r="AF71" i="43"/>
  <c r="AE71" i="43"/>
  <c r="AD71" i="43"/>
  <c r="AC71" i="43"/>
  <c r="AB71" i="43"/>
  <c r="AA71" i="43"/>
  <c r="Z71" i="43"/>
  <c r="Y71" i="43"/>
  <c r="AK70" i="43"/>
  <c r="AJ70" i="43"/>
  <c r="AI70" i="43"/>
  <c r="AH70" i="43"/>
  <c r="AG70" i="43"/>
  <c r="AF70" i="43"/>
  <c r="AE70" i="43"/>
  <c r="AD70" i="43"/>
  <c r="AC70" i="43"/>
  <c r="AB70" i="43"/>
  <c r="AE44" i="43"/>
  <c r="AK75" i="43"/>
  <c r="AJ75" i="43"/>
  <c r="AI75" i="43"/>
  <c r="AH75" i="43"/>
  <c r="AG75" i="43"/>
  <c r="AF75" i="43"/>
  <c r="AE75" i="43"/>
  <c r="AD75" i="43"/>
  <c r="AC75" i="43"/>
  <c r="AB75" i="43"/>
  <c r="AA75" i="43"/>
  <c r="Z75" i="43"/>
  <c r="Y75" i="43"/>
  <c r="AK74" i="43"/>
  <c r="AJ74" i="43"/>
  <c r="AI74" i="43"/>
  <c r="AH74" i="43"/>
  <c r="AG74" i="43"/>
  <c r="AF74" i="43"/>
  <c r="AE74" i="43"/>
  <c r="AD74" i="43"/>
  <c r="AC74" i="43"/>
  <c r="AB74" i="43"/>
  <c r="AK67" i="43"/>
  <c r="AJ67" i="43"/>
  <c r="AI67" i="43"/>
  <c r="AH67" i="43"/>
  <c r="AG67" i="43"/>
  <c r="AF67" i="43"/>
  <c r="AE67" i="43"/>
  <c r="AD67" i="43"/>
  <c r="AC67" i="43"/>
  <c r="AB67" i="43"/>
  <c r="AA67" i="43"/>
  <c r="Z67" i="43"/>
  <c r="Y67" i="43"/>
  <c r="AK66" i="43"/>
  <c r="AJ66" i="43"/>
  <c r="AI66" i="43"/>
  <c r="AH66" i="43"/>
  <c r="AG66" i="43"/>
  <c r="AF66" i="43"/>
  <c r="AE66" i="43"/>
  <c r="AD66" i="43"/>
  <c r="AC66" i="43"/>
  <c r="AB66" i="43"/>
  <c r="AK63" i="43"/>
  <c r="AJ63" i="43"/>
  <c r="AI63" i="43"/>
  <c r="AH63" i="43"/>
  <c r="AG63" i="43"/>
  <c r="AF63" i="43"/>
  <c r="AE63" i="43"/>
  <c r="AD63" i="43"/>
  <c r="AC63" i="43"/>
  <c r="AB63" i="43"/>
  <c r="AA63" i="43"/>
  <c r="Z63" i="43"/>
  <c r="Y63" i="43"/>
  <c r="AK62" i="43"/>
  <c r="AJ62" i="43"/>
  <c r="AI62" i="43"/>
  <c r="AH62" i="43"/>
  <c r="AG62" i="43"/>
  <c r="AF62" i="43"/>
  <c r="AE62" i="43"/>
  <c r="AD62" i="43"/>
  <c r="AC62" i="43"/>
  <c r="AB62" i="43"/>
  <c r="AK59" i="43"/>
  <c r="AJ59" i="43"/>
  <c r="AI59" i="43"/>
  <c r="AH59" i="43"/>
  <c r="AG59" i="43"/>
  <c r="AF59" i="43"/>
  <c r="AE59" i="43"/>
  <c r="AD59" i="43"/>
  <c r="AC59" i="43"/>
  <c r="AB59" i="43"/>
  <c r="AA59" i="43"/>
  <c r="Z59" i="43"/>
  <c r="Y59" i="43"/>
  <c r="AK58" i="43"/>
  <c r="AJ58" i="43"/>
  <c r="AI58" i="43"/>
  <c r="AH58" i="43"/>
  <c r="AG58" i="43"/>
  <c r="AF58" i="43"/>
  <c r="AE58" i="43"/>
  <c r="AD58" i="43"/>
  <c r="AC58" i="43"/>
  <c r="AB58" i="43"/>
  <c r="AF44" i="43"/>
  <c r="AD44" i="43"/>
  <c r="AC44" i="43"/>
  <c r="AA44" i="43"/>
  <c r="AK34" i="43"/>
  <c r="AJ34" i="43"/>
  <c r="AI34" i="43"/>
  <c r="AH34" i="43"/>
  <c r="AG34" i="43"/>
  <c r="AF34" i="43"/>
  <c r="AE34" i="43"/>
  <c r="AD34" i="43"/>
  <c r="AC34" i="43"/>
  <c r="AB34" i="43"/>
  <c r="AA34" i="43"/>
  <c r="Z34" i="43"/>
  <c r="Y34" i="43"/>
  <c r="AK33" i="43"/>
  <c r="AJ33" i="43"/>
  <c r="AI33" i="43"/>
  <c r="AH33" i="43"/>
  <c r="AG33" i="43"/>
  <c r="AF33" i="43"/>
  <c r="AE33" i="43"/>
  <c r="AD33" i="43"/>
  <c r="AC33" i="43"/>
  <c r="AB33" i="43"/>
  <c r="AK30" i="43"/>
  <c r="AJ30" i="43"/>
  <c r="AI30" i="43"/>
  <c r="AH30" i="43"/>
  <c r="AG30" i="43"/>
  <c r="AF30" i="43"/>
  <c r="AE30" i="43"/>
  <c r="AD30" i="43"/>
  <c r="AC30" i="43"/>
  <c r="AB30" i="43"/>
  <c r="AA30" i="43"/>
  <c r="Z30" i="43"/>
  <c r="Y30" i="43"/>
  <c r="AK29" i="43"/>
  <c r="AJ29" i="43"/>
  <c r="AI29" i="43"/>
  <c r="AH29" i="43"/>
  <c r="AG29" i="43"/>
  <c r="AF29" i="43"/>
  <c r="AE29" i="43"/>
  <c r="AD29" i="43"/>
  <c r="AC29" i="43"/>
  <c r="AB29" i="43"/>
  <c r="AD26" i="43"/>
  <c r="AC26" i="43"/>
  <c r="AB26" i="43"/>
  <c r="AA26" i="43"/>
  <c r="Z26" i="43"/>
  <c r="Y26" i="43"/>
  <c r="I25" i="43"/>
  <c r="H25" i="43"/>
  <c r="G25" i="43"/>
  <c r="AH25" i="43"/>
  <c r="AG25" i="43"/>
  <c r="AD25" i="43"/>
  <c r="AC25" i="43"/>
  <c r="AB25" i="43"/>
  <c r="AJ25" i="43"/>
  <c r="AI26" i="43"/>
  <c r="AH26" i="43"/>
  <c r="AF25" i="43"/>
  <c r="AE25" i="43"/>
  <c r="I22" i="43"/>
  <c r="H22" i="43"/>
  <c r="G22" i="43"/>
  <c r="F22" i="43"/>
  <c r="E22" i="43"/>
  <c r="D22" i="43"/>
  <c r="J22" i="43" s="1"/>
  <c r="C22" i="43"/>
  <c r="AK22" i="43"/>
  <c r="AJ22" i="43"/>
  <c r="AI22" i="43"/>
  <c r="AH22" i="43"/>
  <c r="AG22" i="43"/>
  <c r="AF22" i="43"/>
  <c r="AE22" i="43"/>
  <c r="AD22" i="43"/>
  <c r="AC22" i="43"/>
  <c r="AB22" i="43"/>
  <c r="AA22" i="43"/>
  <c r="Z22" i="43"/>
  <c r="Y22" i="43"/>
  <c r="I21" i="43"/>
  <c r="H21" i="43"/>
  <c r="G21" i="43"/>
  <c r="F21" i="43"/>
  <c r="E21" i="43"/>
  <c r="D21" i="43"/>
  <c r="J21" i="43" s="1"/>
  <c r="C21" i="43"/>
  <c r="AK21" i="43"/>
  <c r="AJ21" i="43"/>
  <c r="AI21" i="43"/>
  <c r="AH21" i="43"/>
  <c r="AG21" i="43"/>
  <c r="AF21" i="43"/>
  <c r="AE21" i="43"/>
  <c r="AD21" i="43"/>
  <c r="AC21" i="43"/>
  <c r="AB21" i="43"/>
  <c r="I20" i="43"/>
  <c r="H20" i="43"/>
  <c r="G20" i="43"/>
  <c r="F20" i="43"/>
  <c r="E20" i="43"/>
  <c r="D20" i="43"/>
  <c r="J20" i="43" s="1"/>
  <c r="I19" i="43"/>
  <c r="H19" i="43"/>
  <c r="G19" i="43"/>
  <c r="F19" i="43"/>
  <c r="E19" i="43"/>
  <c r="D19" i="43"/>
  <c r="J19" i="43" s="1"/>
  <c r="I18" i="43"/>
  <c r="H18" i="43"/>
  <c r="G18" i="43"/>
  <c r="F18" i="43"/>
  <c r="E18" i="43"/>
  <c r="D18" i="43"/>
  <c r="C18" i="43"/>
  <c r="AK18" i="43"/>
  <c r="AJ18" i="43"/>
  <c r="AI18" i="43"/>
  <c r="AH18" i="43"/>
  <c r="AG18" i="43"/>
  <c r="AF18" i="43"/>
  <c r="AE18" i="43"/>
  <c r="AD18" i="43"/>
  <c r="AC18" i="43"/>
  <c r="AB18" i="43"/>
  <c r="AA18" i="43"/>
  <c r="Z18" i="43"/>
  <c r="Y18" i="43"/>
  <c r="J17" i="43"/>
  <c r="AK17" i="43"/>
  <c r="AJ17" i="43"/>
  <c r="AI17" i="43"/>
  <c r="AH17" i="43"/>
  <c r="AG17" i="43"/>
  <c r="AF17" i="43"/>
  <c r="AE17" i="43"/>
  <c r="AD17" i="43"/>
  <c r="AC17" i="43"/>
  <c r="AB17" i="43"/>
  <c r="J16" i="43"/>
  <c r="C15" i="43"/>
  <c r="C19" i="43" s="1"/>
  <c r="J14" i="43"/>
  <c r="I12" i="43"/>
  <c r="H12" i="43"/>
  <c r="G12" i="43"/>
  <c r="F12" i="43"/>
  <c r="E12" i="43"/>
  <c r="D12" i="43"/>
  <c r="AF14" i="43"/>
  <c r="N11" i="43"/>
  <c r="I11" i="43"/>
  <c r="H11" i="43"/>
  <c r="G11" i="43"/>
  <c r="F11" i="43"/>
  <c r="E11" i="43"/>
  <c r="D11" i="43"/>
  <c r="J11" i="43" s="1"/>
  <c r="C11" i="43"/>
  <c r="N10" i="43"/>
  <c r="J10" i="43"/>
  <c r="BB9" i="43"/>
  <c r="BB11" i="43" s="1"/>
  <c r="BA9" i="43"/>
  <c r="BA11" i="43" s="1"/>
  <c r="AZ9" i="43"/>
  <c r="AZ11" i="43" s="1"/>
  <c r="AY9" i="43"/>
  <c r="AX9" i="43"/>
  <c r="AW9" i="43"/>
  <c r="AV9" i="43"/>
  <c r="AV11" i="43" s="1"/>
  <c r="AU9" i="43"/>
  <c r="AU11" i="43" s="1"/>
  <c r="AT9" i="43"/>
  <c r="AT11" i="43" s="1"/>
  <c r="AS9" i="43"/>
  <c r="AR9" i="43"/>
  <c r="AQ9" i="43"/>
  <c r="AK9" i="43"/>
  <c r="AJ9" i="43"/>
  <c r="AI9" i="43"/>
  <c r="AH9" i="43"/>
  <c r="AG9" i="43"/>
  <c r="AF9" i="43"/>
  <c r="AE9" i="43"/>
  <c r="AD9" i="43"/>
  <c r="AC9" i="43"/>
  <c r="AB9" i="43"/>
  <c r="AA9" i="43"/>
  <c r="Z9" i="43"/>
  <c r="Y9" i="43"/>
  <c r="N9" i="43"/>
  <c r="AK8" i="43"/>
  <c r="AJ8" i="43"/>
  <c r="AI8" i="43"/>
  <c r="AH8" i="43"/>
  <c r="AG8" i="43"/>
  <c r="AF8" i="43"/>
  <c r="AE8" i="43"/>
  <c r="AD8" i="43"/>
  <c r="AC8" i="43"/>
  <c r="AB8" i="43"/>
  <c r="N8" i="43"/>
  <c r="I8" i="43"/>
  <c r="H8" i="43"/>
  <c r="G8" i="43"/>
  <c r="F8" i="43"/>
  <c r="E8" i="43"/>
  <c r="D8" i="43"/>
  <c r="J8" i="43" s="1"/>
  <c r="C8" i="43"/>
  <c r="N7" i="43"/>
  <c r="N6" i="43"/>
  <c r="I6" i="43"/>
  <c r="H6" i="43"/>
  <c r="G6" i="43"/>
  <c r="F6" i="43"/>
  <c r="E6" i="43"/>
  <c r="D6" i="43"/>
  <c r="J6" i="43" s="1"/>
  <c r="C6" i="43"/>
  <c r="AK5" i="43"/>
  <c r="AJ5" i="43"/>
  <c r="AI5" i="43"/>
  <c r="AH5" i="43"/>
  <c r="AG5" i="43"/>
  <c r="AF5" i="43"/>
  <c r="AE5" i="43"/>
  <c r="AD5" i="43"/>
  <c r="AC5" i="43"/>
  <c r="AB5" i="43"/>
  <c r="AA5" i="43"/>
  <c r="Z5" i="43"/>
  <c r="Y5" i="43"/>
  <c r="N5" i="43"/>
  <c r="AK4" i="43"/>
  <c r="AJ4" i="43"/>
  <c r="AI4" i="43"/>
  <c r="AH4" i="43"/>
  <c r="AG4" i="43"/>
  <c r="AF4" i="43"/>
  <c r="AE4" i="43"/>
  <c r="AD4" i="43"/>
  <c r="AC4" i="43"/>
  <c r="AB4" i="43"/>
  <c r="J4" i="43"/>
  <c r="I4" i="43"/>
  <c r="H4" i="43"/>
  <c r="G4" i="43"/>
  <c r="F4" i="43"/>
  <c r="E4" i="43"/>
  <c r="D4" i="43"/>
  <c r="N3" i="43"/>
  <c r="AP2" i="43"/>
  <c r="N2" i="43"/>
  <c r="T14" i="43" s="1"/>
  <c r="AC93" i="43" l="1"/>
  <c r="AM89" i="43"/>
  <c r="AL89" i="43"/>
  <c r="AG87" i="43"/>
  <c r="AH87" i="43" s="1"/>
  <c r="AK83" i="43"/>
  <c r="AD93" i="43"/>
  <c r="AF88" i="43"/>
  <c r="AK88" i="43"/>
  <c r="AK89" i="43"/>
  <c r="J18" i="43"/>
  <c r="AL51" i="43"/>
  <c r="AM53" i="43" s="1"/>
  <c r="AI81" i="43"/>
  <c r="AH81" i="43" s="1"/>
  <c r="AH51" i="43" s="1"/>
  <c r="AJ83" i="43"/>
  <c r="AL49" i="43"/>
  <c r="O11" i="43"/>
  <c r="Q2" i="43"/>
  <c r="O10" i="43"/>
  <c r="AE55" i="43"/>
  <c r="AF13" i="43"/>
  <c r="J12" i="43"/>
  <c r="AD14" i="43"/>
  <c r="AF26" i="43"/>
  <c r="AJ26" i="43"/>
  <c r="AI14" i="43"/>
  <c r="N13" i="43"/>
  <c r="N20" i="43" s="1"/>
  <c r="AJ14" i="43"/>
  <c r="AD37" i="43"/>
  <c r="AJ37" i="43"/>
  <c r="AG14" i="43"/>
  <c r="AH14" i="43"/>
  <c r="AL37" i="43"/>
  <c r="AF49" i="43"/>
  <c r="AB13" i="43"/>
  <c r="Y14" i="43"/>
  <c r="AK13" i="43"/>
  <c r="AK26" i="43"/>
  <c r="AC38" i="43"/>
  <c r="AH13" i="43"/>
  <c r="AJ13" i="43"/>
  <c r="AE14" i="43"/>
  <c r="O9" i="43"/>
  <c r="AC14" i="43"/>
  <c r="AG55" i="43"/>
  <c r="AG49" i="43"/>
  <c r="X49" i="43"/>
  <c r="X55" i="43"/>
  <c r="AJ51" i="43"/>
  <c r="AJ49" i="43"/>
  <c r="AJ55" i="43"/>
  <c r="AH55" i="43"/>
  <c r="AH49" i="43"/>
  <c r="AA38" i="43"/>
  <c r="Y49" i="43"/>
  <c r="Y55" i="43"/>
  <c r="AK49" i="43"/>
  <c r="AK55" i="43"/>
  <c r="AK51" i="43"/>
  <c r="AB55" i="43"/>
  <c r="AB49" i="43"/>
  <c r="AB38" i="43"/>
  <c r="AB37" i="43"/>
  <c r="Z49" i="43"/>
  <c r="Z55" i="43"/>
  <c r="AK14" i="43"/>
  <c r="C20" i="43"/>
  <c r="AC13" i="43"/>
  <c r="Z14" i="43"/>
  <c r="AI25" i="43"/>
  <c r="AE26" i="43"/>
  <c r="AA49" i="43"/>
  <c r="AK25" i="43"/>
  <c r="AG26" i="43"/>
  <c r="AG44" i="43"/>
  <c r="AC49" i="43"/>
  <c r="AD13" i="43"/>
  <c r="AA14" i="43"/>
  <c r="AE13" i="43"/>
  <c r="AB14" i="43"/>
  <c r="S14" i="43"/>
  <c r="AH44" i="43"/>
  <c r="AD49" i="43"/>
  <c r="AG13" i="43"/>
  <c r="AI44" i="43"/>
  <c r="X44" i="43"/>
  <c r="AI13" i="43"/>
  <c r="AL38" i="43"/>
  <c r="Y44" i="43"/>
  <c r="AK44" i="43"/>
  <c r="AJ44" i="43"/>
  <c r="Z44" i="43"/>
  <c r="AB44" i="43"/>
  <c r="AG88" i="43" l="1"/>
  <c r="AG89" i="43"/>
  <c r="AL53" i="43"/>
  <c r="AI51" i="43"/>
  <c r="AI53" i="43" s="1"/>
  <c r="AL52" i="43"/>
  <c r="AD38" i="43"/>
  <c r="AI83" i="43"/>
  <c r="AG81" i="43"/>
  <c r="AH83" i="43"/>
  <c r="AH38" i="43"/>
  <c r="AH37" i="43"/>
  <c r="AI55" i="43"/>
  <c r="AF37" i="43"/>
  <c r="AI49" i="43"/>
  <c r="AE49" i="43"/>
  <c r="Q13" i="43"/>
  <c r="Q14" i="43" s="1"/>
  <c r="N14" i="43"/>
  <c r="AJ38" i="43"/>
  <c r="Z38" i="43"/>
  <c r="AK38" i="43"/>
  <c r="AK37" i="43"/>
  <c r="AI38" i="43"/>
  <c r="AI37" i="43"/>
  <c r="AE38" i="43"/>
  <c r="AE37" i="43"/>
  <c r="Y38" i="43"/>
  <c r="AC37" i="43"/>
  <c r="AF38" i="43"/>
  <c r="AK53" i="43"/>
  <c r="AG38" i="43"/>
  <c r="AG37" i="43"/>
  <c r="AO56" i="43" l="1"/>
  <c r="AO57" i="43" s="1"/>
  <c r="I31" i="44" s="1"/>
  <c r="AO55" i="43"/>
  <c r="H31" i="44"/>
  <c r="AJ53" i="43"/>
  <c r="AM52" i="43"/>
  <c r="F31" i="44"/>
  <c r="AH88" i="43"/>
  <c r="AH89" i="43"/>
  <c r="AL88" i="43"/>
  <c r="AI89" i="43"/>
  <c r="AF81" i="43"/>
  <c r="AG83" i="43"/>
  <c r="AG51" i="43"/>
  <c r="AH53" i="43" l="1"/>
  <c r="AK52" i="43"/>
  <c r="AE81" i="43"/>
  <c r="AF83" i="43"/>
  <c r="AF51" i="43"/>
  <c r="AJ52" i="43" l="1"/>
  <c r="AD81" i="43"/>
  <c r="AE83" i="43"/>
  <c r="AE51" i="43"/>
  <c r="AG53" i="43"/>
  <c r="AF53" i="43" l="1"/>
  <c r="AI52" i="43"/>
  <c r="AD83" i="43"/>
  <c r="AC81" i="43"/>
  <c r="AD51" i="43"/>
  <c r="AH52" i="43" l="1"/>
  <c r="AB81" i="43"/>
  <c r="AC83" i="43"/>
  <c r="AC51" i="43"/>
  <c r="AD53" i="43" s="1"/>
  <c r="AE53" i="43"/>
  <c r="AG52" i="43" l="1"/>
  <c r="AA81" i="43"/>
  <c r="AB83" i="43"/>
  <c r="AB51" i="43"/>
  <c r="AF52" i="43" l="1"/>
  <c r="Z81" i="43"/>
  <c r="AA83" i="43"/>
  <c r="AA51" i="43"/>
  <c r="AC53" i="43"/>
  <c r="AE52" i="43" l="1"/>
  <c r="Z83" i="43"/>
  <c r="Y81" i="43"/>
  <c r="Z51" i="43"/>
  <c r="AA53" i="43" s="1"/>
  <c r="AB53" i="43"/>
  <c r="AD52" i="43" l="1"/>
  <c r="X81" i="43"/>
  <c r="Y83" i="43"/>
  <c r="Y51" i="43"/>
  <c r="AC52" i="43" l="1"/>
  <c r="X83" i="43"/>
  <c r="X51" i="43"/>
  <c r="AB52" i="43" s="1"/>
  <c r="Z53" i="43"/>
  <c r="Y53" i="43" l="1"/>
  <c r="C11" i="42" l="1"/>
  <c r="F14" i="42"/>
  <c r="C14" i="42" s="1"/>
  <c r="F13" i="42"/>
  <c r="C13" i="42" s="1"/>
  <c r="C5" i="42"/>
  <c r="C7" i="42" s="1"/>
  <c r="C15" i="42" l="1"/>
  <c r="C17" i="42" s="1"/>
  <c r="C20" i="42" s="1"/>
  <c r="C22" i="42" s="1"/>
  <c r="AK35" i="5" l="1"/>
  <c r="AK17" i="5"/>
  <c r="AK54" i="5"/>
  <c r="AK49" i="5"/>
  <c r="AK48" i="5"/>
  <c r="AK50" i="5" s="1"/>
  <c r="AK46" i="5"/>
  <c r="J10" i="44" s="1"/>
  <c r="AK42" i="5"/>
  <c r="AK40" i="5"/>
  <c r="AK26" i="5"/>
  <c r="AK29" i="5" s="1"/>
  <c r="AL31" i="5" s="1"/>
  <c r="AK24" i="5"/>
  <c r="AK21" i="5"/>
  <c r="AK14" i="5"/>
  <c r="AK15" i="5" s="1"/>
  <c r="AK12" i="5"/>
  <c r="AK9" i="5"/>
  <c r="AK8" i="5"/>
  <c r="AK5" i="5"/>
  <c r="AK4" i="5"/>
  <c r="AK35" i="4"/>
  <c r="AK40" i="4" s="1"/>
  <c r="AK48" i="4"/>
  <c r="AK49" i="4"/>
  <c r="AK50" i="4" s="1"/>
  <c r="AK73" i="4"/>
  <c r="AK71" i="4"/>
  <c r="AK69" i="4"/>
  <c r="AK68" i="4"/>
  <c r="AK64" i="4"/>
  <c r="AK62" i="4"/>
  <c r="AK60" i="4"/>
  <c r="AK59" i="4"/>
  <c r="AK54" i="4"/>
  <c r="AK46" i="4"/>
  <c r="J5" i="44" s="1"/>
  <c r="AK26" i="4"/>
  <c r="BG6" i="4" s="1"/>
  <c r="BG11" i="4" s="1"/>
  <c r="AK21" i="4"/>
  <c r="AK14" i="4"/>
  <c r="AK12" i="4"/>
  <c r="AK5" i="4"/>
  <c r="AK4" i="4"/>
  <c r="AK18" i="4" l="1"/>
  <c r="BG5" i="4"/>
  <c r="BG10" i="4" s="1"/>
  <c r="AK33" i="5"/>
  <c r="AK18" i="5"/>
  <c r="AK37" i="5"/>
  <c r="AK27" i="5"/>
  <c r="AK29" i="4"/>
  <c r="AK27" i="4"/>
  <c r="AK33" i="4"/>
  <c r="AK24" i="4"/>
  <c r="AK15" i="4"/>
  <c r="AK37" i="4"/>
  <c r="BG7" i="4" l="1"/>
  <c r="AK37" i="6"/>
  <c r="AK38" i="6"/>
  <c r="AK23" i="6"/>
  <c r="AK24" i="6" s="1"/>
  <c r="AK17" i="6"/>
  <c r="AK18" i="6" s="1"/>
  <c r="AK87" i="6"/>
  <c r="AK85" i="6"/>
  <c r="AK83" i="6"/>
  <c r="AK82" i="6"/>
  <c r="AK77" i="6"/>
  <c r="AK75" i="6"/>
  <c r="AK73" i="6"/>
  <c r="AK72" i="6"/>
  <c r="AK67" i="6"/>
  <c r="AK65" i="6"/>
  <c r="AK63" i="6"/>
  <c r="AK62" i="6"/>
  <c r="AK57" i="6"/>
  <c r="AK52" i="6"/>
  <c r="AK51" i="6"/>
  <c r="AK53" i="6" s="1"/>
  <c r="AK49" i="6"/>
  <c r="J14" i="44" s="1"/>
  <c r="AK45" i="6"/>
  <c r="AK43" i="6"/>
  <c r="AK21" i="6"/>
  <c r="AK15" i="6"/>
  <c r="AK12" i="6"/>
  <c r="AK9" i="6"/>
  <c r="AK8" i="6"/>
  <c r="AK5" i="6"/>
  <c r="AK4" i="6"/>
  <c r="AI38" i="34"/>
  <c r="AG38" i="34"/>
  <c r="AK38" i="34"/>
  <c r="AG39" i="34"/>
  <c r="AK39" i="34"/>
  <c r="AG17" i="34"/>
  <c r="AK17" i="34"/>
  <c r="AK18" i="34" s="1"/>
  <c r="AK57" i="34"/>
  <c r="AK52" i="34"/>
  <c r="AK51" i="34"/>
  <c r="AK49" i="34"/>
  <c r="AK43" i="34"/>
  <c r="AK29" i="34"/>
  <c r="AK30" i="34" s="1"/>
  <c r="AK24" i="34"/>
  <c r="AK21" i="34"/>
  <c r="AK15" i="34"/>
  <c r="AK12" i="34"/>
  <c r="AK5" i="34"/>
  <c r="AK4" i="34"/>
  <c r="AK40" i="34" l="1"/>
  <c r="AK53" i="34"/>
  <c r="AK28" i="6"/>
  <c r="AK39" i="6"/>
  <c r="AK32" i="34"/>
  <c r="AK36" i="34"/>
  <c r="AK56" i="32"/>
  <c r="AK37" i="32"/>
  <c r="AK47" i="32"/>
  <c r="AC22" i="44" s="1"/>
  <c r="AK29" i="6" l="1"/>
  <c r="AK31" i="6"/>
  <c r="AL33" i="6" s="1"/>
  <c r="AK35" i="6"/>
  <c r="AK51" i="32"/>
  <c r="AK49" i="32"/>
  <c r="AK45" i="32"/>
  <c r="AK39" i="32"/>
  <c r="AK28" i="32"/>
  <c r="AK29" i="32" s="1"/>
  <c r="AK24" i="32"/>
  <c r="AK21" i="32"/>
  <c r="AK18" i="32"/>
  <c r="AK15" i="32"/>
  <c r="AK12" i="32"/>
  <c r="AK9" i="32"/>
  <c r="AK8" i="32"/>
  <c r="AK5" i="32"/>
  <c r="AK4" i="32"/>
  <c r="AK37" i="33"/>
  <c r="AK43" i="33" s="1"/>
  <c r="AK38" i="33"/>
  <c r="AK17" i="33"/>
  <c r="AK57" i="33"/>
  <c r="AK52" i="33"/>
  <c r="AK51" i="33"/>
  <c r="AK49" i="33"/>
  <c r="J13" i="44" s="1"/>
  <c r="AK45" i="33"/>
  <c r="AK28" i="33"/>
  <c r="AK35" i="33" s="1"/>
  <c r="AK24" i="33"/>
  <c r="AK21" i="33"/>
  <c r="AK18" i="33"/>
  <c r="AK15" i="33"/>
  <c r="AK12" i="33"/>
  <c r="AK9" i="33"/>
  <c r="AK8" i="33"/>
  <c r="AK5" i="33"/>
  <c r="AK4" i="33"/>
  <c r="AK37" i="15"/>
  <c r="AK38" i="15"/>
  <c r="AK17" i="15"/>
  <c r="G22" i="44" l="1"/>
  <c r="J22" i="44" s="1"/>
  <c r="AK31" i="32"/>
  <c r="AK35" i="32"/>
  <c r="AK43" i="32"/>
  <c r="AK57" i="32"/>
  <c r="AK39" i="33"/>
  <c r="AK53" i="33"/>
  <c r="AK31" i="33"/>
  <c r="AL33" i="33" s="1"/>
  <c r="AK29" i="33"/>
  <c r="AK75" i="15" l="1"/>
  <c r="AK73" i="15"/>
  <c r="AK71" i="15"/>
  <c r="AK70" i="15"/>
  <c r="AK66" i="15"/>
  <c r="AK64" i="15"/>
  <c r="AK62" i="15"/>
  <c r="AK61" i="15"/>
  <c r="AK56" i="15"/>
  <c r="AK51" i="15"/>
  <c r="AK50" i="15"/>
  <c r="AK48" i="15"/>
  <c r="AK42" i="15"/>
  <c r="AK28" i="15"/>
  <c r="AK35" i="15" s="1"/>
  <c r="AK24" i="15"/>
  <c r="AK21" i="15"/>
  <c r="AK18" i="15"/>
  <c r="AK15" i="15"/>
  <c r="AK12" i="15"/>
  <c r="AK5" i="15"/>
  <c r="AK4" i="15"/>
  <c r="AK35" i="2"/>
  <c r="J6" i="44" l="1"/>
  <c r="AK52" i="15"/>
  <c r="AK31" i="15"/>
  <c r="AL33" i="15" s="1"/>
  <c r="AK29" i="15"/>
  <c r="AK39" i="15"/>
  <c r="AK14" i="2" l="1"/>
  <c r="AK54" i="2"/>
  <c r="AK49" i="2"/>
  <c r="AK48" i="2"/>
  <c r="AK46" i="2"/>
  <c r="AK42" i="2"/>
  <c r="AK40" i="2"/>
  <c r="AK37" i="2"/>
  <c r="AK26" i="2"/>
  <c r="AK27" i="2" s="1"/>
  <c r="AK24" i="2"/>
  <c r="AK21" i="2"/>
  <c r="AK18" i="2"/>
  <c r="AK12" i="2"/>
  <c r="AK9" i="2"/>
  <c r="AK8" i="2"/>
  <c r="AK5" i="2"/>
  <c r="AK4" i="2"/>
  <c r="AK42" i="4" l="1"/>
  <c r="AK7" i="4" s="1"/>
  <c r="AL9" i="4" s="1"/>
  <c r="AK45" i="22"/>
  <c r="AK45" i="8"/>
  <c r="AK7" i="8" s="1"/>
  <c r="AL9" i="8" s="1"/>
  <c r="AK44" i="15"/>
  <c r="AK7" i="15" s="1"/>
  <c r="AL9" i="15" s="1"/>
  <c r="J3" i="44"/>
  <c r="AK50" i="2"/>
  <c r="AK33" i="2"/>
  <c r="AK29" i="2"/>
  <c r="AL31" i="2" s="1"/>
  <c r="AK15" i="2"/>
  <c r="AK7" i="22" l="1"/>
  <c r="AL9" i="22" s="1"/>
  <c r="AK45" i="34"/>
  <c r="AK7" i="34" s="1"/>
  <c r="AK38" i="18"/>
  <c r="AK47" i="18"/>
  <c r="AC11" i="44" s="1"/>
  <c r="AK17" i="18"/>
  <c r="AK18" i="18" s="1"/>
  <c r="AK76" i="18"/>
  <c r="AK74" i="18"/>
  <c r="AK72" i="18"/>
  <c r="AK71" i="18"/>
  <c r="AK67" i="18"/>
  <c r="AK65" i="18"/>
  <c r="AK63" i="18"/>
  <c r="AK62" i="18"/>
  <c r="AK57" i="18"/>
  <c r="AK52" i="18"/>
  <c r="AK51" i="18"/>
  <c r="AK45" i="18"/>
  <c r="AK43" i="18"/>
  <c r="AK15" i="18"/>
  <c r="AK12" i="18"/>
  <c r="AK9" i="18"/>
  <c r="AK8" i="18"/>
  <c r="AK5" i="18"/>
  <c r="AK4" i="18"/>
  <c r="AK20" i="18" l="1"/>
  <c r="AK49" i="18"/>
  <c r="J11" i="44" s="1"/>
  <c r="AK53" i="18"/>
  <c r="AK39" i="18"/>
  <c r="AK24" i="18"/>
  <c r="AK21" i="18"/>
  <c r="AK28" i="18"/>
  <c r="AK35" i="18" l="1"/>
  <c r="AK31" i="18"/>
  <c r="AL33" i="18" s="1"/>
  <c r="AK29" i="18"/>
  <c r="AK56" i="29" l="1"/>
  <c r="AK38" i="29"/>
  <c r="AK37" i="29"/>
  <c r="AK43" i="29" s="1"/>
  <c r="AK17" i="29"/>
  <c r="AK87" i="29"/>
  <c r="AK85" i="29"/>
  <c r="AK83" i="29"/>
  <c r="AK82" i="29"/>
  <c r="AK77" i="29"/>
  <c r="AK75" i="29"/>
  <c r="AK73" i="29"/>
  <c r="AK72" i="29"/>
  <c r="AK67" i="29"/>
  <c r="AK65" i="29"/>
  <c r="AK63" i="29"/>
  <c r="AK62" i="29"/>
  <c r="AK51" i="29"/>
  <c r="AK49" i="29"/>
  <c r="AK45" i="29"/>
  <c r="AK20" i="29"/>
  <c r="AK15" i="29"/>
  <c r="AK12" i="29"/>
  <c r="AK9" i="29"/>
  <c r="AK8" i="29"/>
  <c r="AK5" i="29"/>
  <c r="AK4" i="29"/>
  <c r="J21" i="44" l="1"/>
  <c r="AK57" i="29"/>
  <c r="AL52" i="29"/>
  <c r="AL53" i="29" s="1"/>
  <c r="AK28" i="29"/>
  <c r="AK24" i="29"/>
  <c r="AK21" i="29"/>
  <c r="AK18" i="29"/>
  <c r="AK39" i="29"/>
  <c r="AK31" i="29" l="1"/>
  <c r="AL33" i="29" s="1"/>
  <c r="AK29" i="29"/>
  <c r="AK35" i="29"/>
  <c r="AJ76" i="41" l="1"/>
  <c r="AJ74" i="41"/>
  <c r="AJ71" i="41"/>
  <c r="AJ66" i="41"/>
  <c r="AJ64" i="41"/>
  <c r="AJ65" i="41" s="1"/>
  <c r="AJ61" i="41"/>
  <c r="AJ63" i="41" s="1"/>
  <c r="AJ56" i="41"/>
  <c r="AJ57" i="41" s="1"/>
  <c r="AI56" i="41"/>
  <c r="AJ52" i="41" s="1"/>
  <c r="AI38" i="41"/>
  <c r="AI37" i="41"/>
  <c r="AE14" i="41"/>
  <c r="AI14" i="41"/>
  <c r="AH38" i="41"/>
  <c r="AJ38" i="41"/>
  <c r="AH37" i="41"/>
  <c r="AJ37" i="41"/>
  <c r="AJ43" i="41" s="1"/>
  <c r="AI47" i="41"/>
  <c r="AH47" i="41" s="1"/>
  <c r="AG47" i="41" s="1"/>
  <c r="AF47" i="41" s="1"/>
  <c r="AE47" i="41" s="1"/>
  <c r="AF14" i="41"/>
  <c r="AJ14" i="41"/>
  <c r="AI77" i="41"/>
  <c r="AE77" i="41"/>
  <c r="AA77" i="41"/>
  <c r="X77" i="41"/>
  <c r="AJ77" i="41"/>
  <c r="AB77" i="41"/>
  <c r="Z77" i="41"/>
  <c r="AI75" i="41"/>
  <c r="AE75" i="41"/>
  <c r="AB75" i="41"/>
  <c r="AA75" i="41"/>
  <c r="X75" i="41"/>
  <c r="AF75" i="41"/>
  <c r="Y75" i="41"/>
  <c r="AB73" i="41"/>
  <c r="AI72" i="41"/>
  <c r="AE72" i="41"/>
  <c r="AJ73" i="41"/>
  <c r="AF72" i="41"/>
  <c r="AI67" i="41"/>
  <c r="AE67" i="41"/>
  <c r="AA67" i="41"/>
  <c r="X67" i="41"/>
  <c r="AD67" i="41"/>
  <c r="AB67" i="41"/>
  <c r="AI65" i="41"/>
  <c r="AE65" i="41"/>
  <c r="AB65" i="41"/>
  <c r="AA65" i="41"/>
  <c r="X65" i="41"/>
  <c r="AF65" i="41"/>
  <c r="Y65" i="41"/>
  <c r="AE63" i="41"/>
  <c r="AB63" i="41"/>
  <c r="AI62" i="41"/>
  <c r="AE62" i="41"/>
  <c r="AF62" i="41"/>
  <c r="AD63" i="41"/>
  <c r="AC62" i="41"/>
  <c r="AH57" i="41"/>
  <c r="AG57" i="41"/>
  <c r="AF57" i="41"/>
  <c r="AE57" i="41"/>
  <c r="AD57" i="41"/>
  <c r="AC57" i="41"/>
  <c r="AB57" i="41"/>
  <c r="AA57" i="41"/>
  <c r="Z57" i="41"/>
  <c r="Y57" i="41"/>
  <c r="X57" i="41"/>
  <c r="AH52" i="41"/>
  <c r="AG52" i="41"/>
  <c r="AF52" i="41"/>
  <c r="AE52" i="41"/>
  <c r="AD52" i="41"/>
  <c r="AC52" i="41"/>
  <c r="AB52" i="41"/>
  <c r="AA52" i="41"/>
  <c r="Z52" i="41"/>
  <c r="Y52" i="41"/>
  <c r="AJ51" i="41"/>
  <c r="AI51" i="41"/>
  <c r="AH51" i="41"/>
  <c r="AH53" i="41" s="1"/>
  <c r="AG51" i="41"/>
  <c r="AF51" i="41"/>
  <c r="AE51" i="41"/>
  <c r="AE53" i="41" s="1"/>
  <c r="AD51" i="41"/>
  <c r="AC51" i="41"/>
  <c r="AC53" i="41" s="1"/>
  <c r="AB51" i="41"/>
  <c r="AB53" i="41" s="1"/>
  <c r="AA51" i="41"/>
  <c r="AA53" i="41" s="1"/>
  <c r="Z51" i="41"/>
  <c r="Z53" i="41" s="1"/>
  <c r="Y51" i="41"/>
  <c r="AJ49" i="41"/>
  <c r="AI49" i="41"/>
  <c r="AL37" i="41" s="1"/>
  <c r="AL38" i="41" s="1"/>
  <c r="AJ45" i="41"/>
  <c r="AI45" i="41"/>
  <c r="AH45" i="41"/>
  <c r="AG45" i="41"/>
  <c r="AF45" i="41"/>
  <c r="AE45" i="41"/>
  <c r="AD45" i="41"/>
  <c r="AC45" i="41"/>
  <c r="AB45" i="41"/>
  <c r="AA45" i="41"/>
  <c r="Z45" i="41"/>
  <c r="Y45" i="41"/>
  <c r="X45" i="41"/>
  <c r="AG43" i="41"/>
  <c r="AF43" i="41"/>
  <c r="AB43" i="41"/>
  <c r="AJ39" i="41"/>
  <c r="AF39" i="41"/>
  <c r="AE39" i="41"/>
  <c r="AD39" i="41"/>
  <c r="AA39" i="41"/>
  <c r="Y39" i="41"/>
  <c r="X39" i="41"/>
  <c r="AI39" i="41"/>
  <c r="AG39" i="41"/>
  <c r="AE43" i="41"/>
  <c r="AD43" i="41"/>
  <c r="AC39" i="41"/>
  <c r="AB39" i="41"/>
  <c r="Z39" i="41"/>
  <c r="I25" i="41"/>
  <c r="H25" i="41"/>
  <c r="G25" i="41"/>
  <c r="I22" i="41"/>
  <c r="H22" i="41"/>
  <c r="G22" i="41"/>
  <c r="F22" i="41"/>
  <c r="E22" i="41"/>
  <c r="D22" i="41"/>
  <c r="J22" i="41" s="1"/>
  <c r="C22" i="41"/>
  <c r="I21" i="41"/>
  <c r="H21" i="41"/>
  <c r="G21" i="41"/>
  <c r="F21" i="41"/>
  <c r="E21" i="41"/>
  <c r="D21" i="41"/>
  <c r="J21" i="41" s="1"/>
  <c r="C21" i="41"/>
  <c r="AJ28" i="41"/>
  <c r="AI28" i="41"/>
  <c r="AH24" i="41"/>
  <c r="AG24" i="41"/>
  <c r="AF24" i="41"/>
  <c r="AE21" i="41"/>
  <c r="AD28" i="41"/>
  <c r="AC28" i="41"/>
  <c r="AB28" i="41"/>
  <c r="AA21" i="41"/>
  <c r="Z28" i="41"/>
  <c r="Y28" i="41"/>
  <c r="X28" i="41"/>
  <c r="J20" i="41"/>
  <c r="I20" i="41"/>
  <c r="H20" i="41"/>
  <c r="G20" i="41"/>
  <c r="F20" i="41"/>
  <c r="E20" i="41"/>
  <c r="D20" i="41"/>
  <c r="I19" i="41"/>
  <c r="H19" i="41"/>
  <c r="G19" i="41"/>
  <c r="F19" i="41"/>
  <c r="E19" i="41"/>
  <c r="D19" i="41"/>
  <c r="J19" i="41" s="1"/>
  <c r="AJ18" i="41"/>
  <c r="AI18" i="41"/>
  <c r="AH18" i="41"/>
  <c r="AG18" i="41"/>
  <c r="AF18" i="41"/>
  <c r="AE18" i="41"/>
  <c r="AD18" i="41"/>
  <c r="AC18" i="41"/>
  <c r="AB18" i="41"/>
  <c r="AA18" i="41"/>
  <c r="Z18" i="41"/>
  <c r="Y18" i="41"/>
  <c r="X18" i="41"/>
  <c r="I18" i="41"/>
  <c r="H18" i="41"/>
  <c r="G18" i="41"/>
  <c r="F18" i="41"/>
  <c r="E18" i="41"/>
  <c r="D18" i="41"/>
  <c r="C18" i="41"/>
  <c r="J17" i="41"/>
  <c r="J16" i="41"/>
  <c r="AJ15" i="41"/>
  <c r="AI15" i="41"/>
  <c r="AH15" i="41"/>
  <c r="AG15" i="41"/>
  <c r="AF15" i="41"/>
  <c r="AE15" i="41"/>
  <c r="AD15" i="41"/>
  <c r="AC15" i="41"/>
  <c r="AB15" i="41"/>
  <c r="AA15" i="41"/>
  <c r="Z15" i="41"/>
  <c r="Y15" i="41"/>
  <c r="X15" i="41"/>
  <c r="C15" i="41"/>
  <c r="C20" i="41" s="1"/>
  <c r="J14" i="41"/>
  <c r="AJ12" i="41"/>
  <c r="AI12" i="41"/>
  <c r="AH12" i="41"/>
  <c r="AG12" i="41"/>
  <c r="AF12" i="41"/>
  <c r="AE12" i="41"/>
  <c r="AD12" i="41"/>
  <c r="AC12" i="41"/>
  <c r="AB12" i="41"/>
  <c r="AA12" i="41"/>
  <c r="Z12" i="41"/>
  <c r="Y12" i="41"/>
  <c r="X12" i="41"/>
  <c r="J12" i="41"/>
  <c r="I12" i="41"/>
  <c r="H12" i="41"/>
  <c r="G12" i="41"/>
  <c r="F12" i="41"/>
  <c r="E12" i="41"/>
  <c r="D12" i="41"/>
  <c r="AW11" i="41"/>
  <c r="AW13" i="41" s="1"/>
  <c r="AV11" i="41"/>
  <c r="AV13" i="41" s="1"/>
  <c r="AU11" i="41"/>
  <c r="AT11" i="41"/>
  <c r="AS11" i="41"/>
  <c r="AR11" i="41"/>
  <c r="AR13" i="41" s="1"/>
  <c r="AQ11" i="41"/>
  <c r="AQ13" i="41" s="1"/>
  <c r="AP11" i="41"/>
  <c r="AO11" i="41"/>
  <c r="AN11" i="41"/>
  <c r="N11" i="41"/>
  <c r="I11" i="41"/>
  <c r="H11" i="41"/>
  <c r="G11" i="41"/>
  <c r="F11" i="41"/>
  <c r="E11" i="41"/>
  <c r="D11" i="41"/>
  <c r="J11" i="41" s="1"/>
  <c r="C11" i="41"/>
  <c r="N10" i="41"/>
  <c r="J10" i="41"/>
  <c r="AJ9" i="41"/>
  <c r="AI9" i="41"/>
  <c r="AH9" i="41"/>
  <c r="AG9" i="41"/>
  <c r="AF9" i="41"/>
  <c r="AE9" i="41"/>
  <c r="AD9" i="41"/>
  <c r="AC9" i="41"/>
  <c r="AB9" i="41"/>
  <c r="AA9" i="41"/>
  <c r="Z9" i="41"/>
  <c r="Y9" i="41"/>
  <c r="N9" i="41"/>
  <c r="AJ8" i="41"/>
  <c r="AI8" i="41"/>
  <c r="AH8" i="41"/>
  <c r="AG8" i="41"/>
  <c r="AF8" i="41"/>
  <c r="AE8" i="41"/>
  <c r="AD8" i="41"/>
  <c r="AC8" i="41"/>
  <c r="AB8" i="41"/>
  <c r="N8" i="41"/>
  <c r="I8" i="41"/>
  <c r="H8" i="41"/>
  <c r="G8" i="41"/>
  <c r="F8" i="41"/>
  <c r="E8" i="41"/>
  <c r="D8" i="41"/>
  <c r="J8" i="41" s="1"/>
  <c r="C8" i="41"/>
  <c r="N7" i="41"/>
  <c r="N6" i="41"/>
  <c r="I6" i="41"/>
  <c r="H6" i="41"/>
  <c r="G6" i="41"/>
  <c r="F6" i="41"/>
  <c r="E6" i="41"/>
  <c r="D6" i="41"/>
  <c r="J6" i="41" s="1"/>
  <c r="C6" i="41"/>
  <c r="AJ5" i="41"/>
  <c r="AI5" i="41"/>
  <c r="AH5" i="41"/>
  <c r="AG5" i="41"/>
  <c r="AF5" i="41"/>
  <c r="AE5" i="41"/>
  <c r="AD5" i="41"/>
  <c r="AC5" i="41"/>
  <c r="AB5" i="41"/>
  <c r="AA5" i="41"/>
  <c r="Z5" i="41"/>
  <c r="Y5" i="41"/>
  <c r="N5" i="41"/>
  <c r="AJ4" i="41"/>
  <c r="AI4" i="41"/>
  <c r="AH4" i="41"/>
  <c r="AG4" i="41"/>
  <c r="AF4" i="41"/>
  <c r="AE4" i="41"/>
  <c r="AD4" i="41"/>
  <c r="AC4" i="41"/>
  <c r="AB4" i="41"/>
  <c r="J4" i="41"/>
  <c r="I4" i="41"/>
  <c r="H4" i="41"/>
  <c r="G4" i="41"/>
  <c r="F4" i="41"/>
  <c r="E4" i="41"/>
  <c r="D4" i="41"/>
  <c r="N3" i="41"/>
  <c r="AM2" i="41"/>
  <c r="N2" i="41"/>
  <c r="S14" i="41" s="1"/>
  <c r="AK61" i="14"/>
  <c r="AJ61" i="14"/>
  <c r="AI61" i="14"/>
  <c r="AH61" i="14"/>
  <c r="AG61" i="14"/>
  <c r="AF61" i="14"/>
  <c r="AE61" i="14"/>
  <c r="AD61" i="14"/>
  <c r="AC61" i="14"/>
  <c r="AB61" i="14"/>
  <c r="AA61" i="14"/>
  <c r="Z61" i="14"/>
  <c r="Y61" i="14"/>
  <c r="X61" i="14"/>
  <c r="AK38" i="14"/>
  <c r="AK40" i="14" s="1"/>
  <c r="AK17" i="14"/>
  <c r="AK20" i="14" s="1"/>
  <c r="AK57" i="14"/>
  <c r="AK52" i="14"/>
  <c r="AK51" i="14"/>
  <c r="AK49" i="14"/>
  <c r="AK45" i="14"/>
  <c r="AK15" i="14"/>
  <c r="AK12" i="14"/>
  <c r="AK9" i="14"/>
  <c r="AK8" i="14"/>
  <c r="AK5" i="14"/>
  <c r="AK62" i="14" s="1"/>
  <c r="AK4" i="14"/>
  <c r="J47" i="35"/>
  <c r="I47" i="35"/>
  <c r="H47" i="35"/>
  <c r="G47" i="35"/>
  <c r="AI57" i="41" l="1"/>
  <c r="AI52" i="41"/>
  <c r="AI53" i="41" s="1"/>
  <c r="AF53" i="41"/>
  <c r="AJ75" i="41"/>
  <c r="Y53" i="41"/>
  <c r="AG53" i="41"/>
  <c r="AL60" i="20"/>
  <c r="K50" i="35"/>
  <c r="AL66" i="20"/>
  <c r="L50" i="35"/>
  <c r="AL69" i="20"/>
  <c r="N50" i="35"/>
  <c r="AL63" i="20"/>
  <c r="M50" i="35"/>
  <c r="AK53" i="14"/>
  <c r="J24" i="44"/>
  <c r="AK65" i="14"/>
  <c r="AJ67" i="41"/>
  <c r="AJ53" i="41"/>
  <c r="AH39" i="41"/>
  <c r="O10" i="41"/>
  <c r="J18" i="41"/>
  <c r="Q2" i="41"/>
  <c r="O9" i="41"/>
  <c r="T14" i="41"/>
  <c r="O11" i="41"/>
  <c r="AD53" i="41"/>
  <c r="X24" i="41"/>
  <c r="Z24" i="41"/>
  <c r="AC24" i="41"/>
  <c r="Z21" i="41"/>
  <c r="AB21" i="41"/>
  <c r="AH28" i="41"/>
  <c r="AH29" i="41" s="1"/>
  <c r="AF21" i="41"/>
  <c r="AG21" i="41"/>
  <c r="AE24" i="41"/>
  <c r="AJ24" i="41"/>
  <c r="AH21" i="41"/>
  <c r="AA28" i="41"/>
  <c r="AA29" i="41" s="1"/>
  <c r="AF28" i="41"/>
  <c r="AF29" i="41" s="1"/>
  <c r="AG28" i="41"/>
  <c r="AG29" i="41" s="1"/>
  <c r="Z67" i="41"/>
  <c r="AD62" i="41"/>
  <c r="Z63" i="41"/>
  <c r="AA63" i="41"/>
  <c r="Z65" i="41"/>
  <c r="AI31" i="41"/>
  <c r="AI29" i="41"/>
  <c r="AI35" i="41"/>
  <c r="AD65" i="41"/>
  <c r="AC65" i="41"/>
  <c r="AJ31" i="41"/>
  <c r="AJ29" i="41"/>
  <c r="AJ35" i="41"/>
  <c r="X29" i="41"/>
  <c r="X35" i="41"/>
  <c r="Y29" i="41"/>
  <c r="Y35" i="41"/>
  <c r="Z75" i="41"/>
  <c r="Z29" i="41"/>
  <c r="Z35" i="41"/>
  <c r="AC75" i="41"/>
  <c r="AG77" i="41"/>
  <c r="AB29" i="41"/>
  <c r="AB35" i="41"/>
  <c r="AC29" i="41"/>
  <c r="AC35" i="41"/>
  <c r="Z73" i="41"/>
  <c r="AA73" i="41"/>
  <c r="AD35" i="41"/>
  <c r="AD29" i="41"/>
  <c r="AC72" i="41"/>
  <c r="AC73" i="41"/>
  <c r="AI24" i="41"/>
  <c r="AE28" i="41"/>
  <c r="AC67" i="41"/>
  <c r="AC77" i="41"/>
  <c r="AG67" i="41"/>
  <c r="N13" i="41"/>
  <c r="N14" i="41" s="1"/>
  <c r="C19" i="41"/>
  <c r="AI21" i="41"/>
  <c r="AI43" i="41"/>
  <c r="AF67" i="41"/>
  <c r="AF77" i="41"/>
  <c r="Y24" i="41"/>
  <c r="AH43" i="41"/>
  <c r="X21" i="41"/>
  <c r="AJ21" i="41"/>
  <c r="AA24" i="41"/>
  <c r="AC63" i="41"/>
  <c r="Y21" i="41"/>
  <c r="AB24" i="41"/>
  <c r="AG75" i="41"/>
  <c r="AG65" i="41"/>
  <c r="AD24" i="41"/>
  <c r="Z43" i="41"/>
  <c r="AF63" i="41"/>
  <c r="AF73" i="41"/>
  <c r="Y67" i="41"/>
  <c r="Y77" i="41"/>
  <c r="AC21" i="41"/>
  <c r="AC43" i="41"/>
  <c r="AD21" i="41"/>
  <c r="AK29" i="14"/>
  <c r="AK24" i="14"/>
  <c r="AK21" i="14"/>
  <c r="AK43" i="14"/>
  <c r="AK18" i="14"/>
  <c r="AL70" i="20" l="1"/>
  <c r="AM71" i="20"/>
  <c r="AL67" i="20"/>
  <c r="AM68" i="20"/>
  <c r="AL64" i="20"/>
  <c r="AM65" i="20"/>
  <c r="AL61" i="20"/>
  <c r="AM62" i="20"/>
  <c r="AL66" i="14"/>
  <c r="AH35" i="41"/>
  <c r="AF35" i="41"/>
  <c r="AG35" i="41"/>
  <c r="AA35" i="41"/>
  <c r="AE73" i="41"/>
  <c r="AD72" i="41"/>
  <c r="AD73" i="41"/>
  <c r="AD75" i="41"/>
  <c r="AE29" i="41"/>
  <c r="AE35" i="41"/>
  <c r="N20" i="41"/>
  <c r="Q13" i="41"/>
  <c r="Q14" i="41" s="1"/>
  <c r="AH49" i="41"/>
  <c r="AD77" i="41"/>
  <c r="AJ33" i="41"/>
  <c r="AG72" i="41"/>
  <c r="AG73" i="41"/>
  <c r="AH67" i="41"/>
  <c r="AG62" i="41"/>
  <c r="AG63" i="41"/>
  <c r="AH31" i="41"/>
  <c r="AI33" i="41" s="1"/>
  <c r="AK30" i="14"/>
  <c r="AK32" i="14"/>
  <c r="AK36" i="14"/>
  <c r="AL34" i="14" l="1"/>
  <c r="AL64" i="14" s="1"/>
  <c r="AK63" i="14"/>
  <c r="AI73" i="41"/>
  <c r="AH72" i="41"/>
  <c r="AH73" i="41"/>
  <c r="AH75" i="41"/>
  <c r="AG49" i="41"/>
  <c r="AG31" i="41"/>
  <c r="AI63" i="41"/>
  <c r="AH62" i="41"/>
  <c r="AH63" i="41"/>
  <c r="AH65" i="41"/>
  <c r="AH77" i="41"/>
  <c r="AF49" i="41" l="1"/>
  <c r="AF31" i="41"/>
  <c r="AG33" i="41" s="1"/>
  <c r="AH33" i="41"/>
  <c r="AE49" i="41" l="1"/>
  <c r="AE31" i="41"/>
  <c r="AF33" i="41" s="1"/>
  <c r="AJ32" i="41"/>
  <c r="AI32" i="41" l="1"/>
  <c r="AD49" i="41"/>
  <c r="AD31" i="41"/>
  <c r="AH32" i="41" l="1"/>
  <c r="AC49" i="41"/>
  <c r="AC31" i="41"/>
  <c r="AE33" i="41"/>
  <c r="AB49" i="41" l="1"/>
  <c r="AB31" i="41"/>
  <c r="AC33" i="41" s="1"/>
  <c r="AG32" i="41"/>
  <c r="AD33" i="41"/>
  <c r="AF32" i="41" l="1"/>
  <c r="AA49" i="41"/>
  <c r="AA31" i="41"/>
  <c r="AE32" i="41" l="1"/>
  <c r="Z49" i="41"/>
  <c r="Z31" i="41"/>
  <c r="AB33" i="41"/>
  <c r="AD32" i="41" l="1"/>
  <c r="Y49" i="41"/>
  <c r="Y31" i="41"/>
  <c r="Z33" i="41" s="1"/>
  <c r="AA33" i="41"/>
  <c r="AC32" i="41" l="1"/>
  <c r="X49" i="41"/>
  <c r="X31" i="41"/>
  <c r="AB32" i="41" s="1"/>
  <c r="Y33" i="41" l="1"/>
  <c r="E39" i="3" l="1"/>
  <c r="E53" i="3"/>
  <c r="E48" i="3"/>
  <c r="E45" i="3"/>
  <c r="E41" i="3"/>
  <c r="E24" i="3"/>
  <c r="E31" i="3" s="1"/>
  <c r="E22" i="3"/>
  <c r="E19" i="3"/>
  <c r="E16" i="3"/>
  <c r="E4" i="3"/>
  <c r="J4" i="44" l="1"/>
  <c r="E49" i="3"/>
  <c r="E25" i="3"/>
  <c r="E27" i="3"/>
  <c r="F29" i="3" s="1"/>
  <c r="AK38" i="25" l="1"/>
  <c r="AK39" i="25"/>
  <c r="AK17" i="25"/>
  <c r="AK18" i="25" s="1"/>
  <c r="AK57" i="25"/>
  <c r="AK52" i="25"/>
  <c r="AK51" i="25"/>
  <c r="AK49" i="25"/>
  <c r="AK43" i="25"/>
  <c r="AK29" i="25"/>
  <c r="AK32" i="25" s="1"/>
  <c r="AK24" i="25"/>
  <c r="AK21" i="25"/>
  <c r="AK15" i="25"/>
  <c r="AK12" i="25"/>
  <c r="AK5" i="25"/>
  <c r="AK4" i="25"/>
  <c r="AK37" i="28"/>
  <c r="AK39" i="28" s="1"/>
  <c r="AK81" i="28"/>
  <c r="AK79" i="28"/>
  <c r="AK77" i="28"/>
  <c r="AK75" i="28"/>
  <c r="AK74" i="28"/>
  <c r="AK69" i="28"/>
  <c r="AK67" i="28"/>
  <c r="AK65" i="28"/>
  <c r="AK63" i="28"/>
  <c r="AK62" i="28"/>
  <c r="AK57" i="28"/>
  <c r="AK52" i="28"/>
  <c r="AK51" i="28"/>
  <c r="AK49" i="28"/>
  <c r="AK45" i="28"/>
  <c r="AK28" i="28"/>
  <c r="AK35" i="28" s="1"/>
  <c r="AK24" i="28"/>
  <c r="AK21" i="28"/>
  <c r="AK18" i="28"/>
  <c r="AK15" i="28"/>
  <c r="AK12" i="28"/>
  <c r="AK9" i="28"/>
  <c r="AK8" i="28"/>
  <c r="AK5" i="28"/>
  <c r="AK4" i="28"/>
  <c r="G15" i="44" l="1"/>
  <c r="J15" i="44" s="1"/>
  <c r="AK43" i="28"/>
  <c r="AK53" i="25"/>
  <c r="AK36" i="25"/>
  <c r="AK40" i="25"/>
  <c r="AK30" i="25"/>
  <c r="AK53" i="28"/>
  <c r="AK31" i="28"/>
  <c r="AK29" i="28"/>
  <c r="AK38" i="22" l="1"/>
  <c r="AK18" i="22"/>
  <c r="AK16" i="22" s="1"/>
  <c r="AK25" i="22"/>
  <c r="AK72" i="22"/>
  <c r="AK68" i="22"/>
  <c r="AK52" i="22"/>
  <c r="AK51" i="22"/>
  <c r="AK49" i="22"/>
  <c r="G9" i="44" s="1"/>
  <c r="J9" i="44" s="1"/>
  <c r="AK29" i="22"/>
  <c r="AK30" i="22" s="1"/>
  <c r="AK22" i="22"/>
  <c r="AK12" i="22"/>
  <c r="AK5" i="22"/>
  <c r="AK4" i="22"/>
  <c r="AK40" i="22" l="1"/>
  <c r="AK45" i="25"/>
  <c r="AK7" i="25" s="1"/>
  <c r="AK53" i="22"/>
  <c r="AK36" i="22"/>
  <c r="AK32" i="22"/>
  <c r="AK19" i="22"/>
  <c r="AK43" i="22"/>
  <c r="AK57" i="22"/>
  <c r="AK15" i="22"/>
  <c r="AN61" i="22" l="1"/>
  <c r="AK68" i="30"/>
  <c r="AG68" i="30"/>
  <c r="AK37" i="30"/>
  <c r="AK43" i="30" s="1"/>
  <c r="AK67" i="30"/>
  <c r="AK66" i="30"/>
  <c r="AK62" i="30"/>
  <c r="AK61" i="30"/>
  <c r="AK57" i="30"/>
  <c r="AK52" i="30"/>
  <c r="AK51" i="30"/>
  <c r="AK53" i="30" s="1"/>
  <c r="AK49" i="30"/>
  <c r="AK45" i="30"/>
  <c r="AK39" i="30"/>
  <c r="AK28" i="30"/>
  <c r="AK35" i="30" s="1"/>
  <c r="AK24" i="30"/>
  <c r="AK21" i="30"/>
  <c r="AK18" i="30"/>
  <c r="AK15" i="30"/>
  <c r="AK12" i="30"/>
  <c r="AK9" i="30"/>
  <c r="AK8" i="30"/>
  <c r="AK5" i="30"/>
  <c r="AK4" i="30"/>
  <c r="AB96" i="37"/>
  <c r="AC96" i="37" s="1"/>
  <c r="AD96" i="37" s="1"/>
  <c r="AF96" i="37"/>
  <c r="AG96" i="37" s="1"/>
  <c r="AH96" i="37" s="1"/>
  <c r="AJ96" i="37"/>
  <c r="AK96" i="37" s="1"/>
  <c r="AL96" i="37" s="1"/>
  <c r="AB94" i="37"/>
  <c r="AC94" i="37" s="1"/>
  <c r="AD94" i="37" s="1"/>
  <c r="AF94" i="37"/>
  <c r="AG94" i="37" s="1"/>
  <c r="AH94" i="37" s="1"/>
  <c r="AJ94" i="37"/>
  <c r="AK94" i="37" s="1"/>
  <c r="AL94" i="37" s="1"/>
  <c r="AB91" i="37"/>
  <c r="AC91" i="37" s="1"/>
  <c r="AD91" i="37" s="1"/>
  <c r="AF91" i="37"/>
  <c r="AG91" i="37" s="1"/>
  <c r="AH91" i="37" s="1"/>
  <c r="AJ91" i="37"/>
  <c r="AK91" i="37" s="1"/>
  <c r="AL91" i="37" s="1"/>
  <c r="Y86" i="37"/>
  <c r="Z86" i="37" s="1"/>
  <c r="AB86" i="37"/>
  <c r="AC86" i="37" s="1"/>
  <c r="AD86" i="37" s="1"/>
  <c r="AF86" i="37"/>
  <c r="AG86" i="37" s="1"/>
  <c r="AH86" i="37" s="1"/>
  <c r="AJ86" i="37"/>
  <c r="AK86" i="37" s="1"/>
  <c r="AL86" i="37" s="1"/>
  <c r="Y84" i="37"/>
  <c r="Z84" i="37" s="1"/>
  <c r="AB84" i="37"/>
  <c r="AC84" i="37" s="1"/>
  <c r="AD84" i="37" s="1"/>
  <c r="AF84" i="37"/>
  <c r="AG84" i="37" s="1"/>
  <c r="AH84" i="37" s="1"/>
  <c r="AJ84" i="37"/>
  <c r="AK84" i="37" s="1"/>
  <c r="AL84" i="37" s="1"/>
  <c r="Y81" i="37"/>
  <c r="Z81" i="37" s="1"/>
  <c r="AB81" i="37"/>
  <c r="AC81" i="37" s="1"/>
  <c r="AD81" i="37" s="1"/>
  <c r="AF81" i="37"/>
  <c r="AG81" i="37" s="1"/>
  <c r="AH81" i="37" s="1"/>
  <c r="AJ81" i="37"/>
  <c r="AK81" i="37" s="1"/>
  <c r="AL81" i="37" s="1"/>
  <c r="Y76" i="37"/>
  <c r="Z76" i="37" s="1"/>
  <c r="AB76" i="37"/>
  <c r="AC76" i="37" s="1"/>
  <c r="AD76" i="37" s="1"/>
  <c r="AF76" i="37"/>
  <c r="AG76" i="37" s="1"/>
  <c r="AH76" i="37" s="1"/>
  <c r="Y74" i="37"/>
  <c r="Z74" i="37" s="1"/>
  <c r="AB74" i="37"/>
  <c r="AC74" i="37" s="1"/>
  <c r="AD74" i="37" s="1"/>
  <c r="AF74" i="37"/>
  <c r="AG74" i="37" s="1"/>
  <c r="AH74" i="37" s="1"/>
  <c r="AJ76" i="37"/>
  <c r="AK76" i="37" s="1"/>
  <c r="AJ74" i="37"/>
  <c r="X77" i="37"/>
  <c r="X75" i="37"/>
  <c r="Y71" i="37"/>
  <c r="Z71" i="37" s="1"/>
  <c r="AB71" i="37"/>
  <c r="AC71" i="37" s="1"/>
  <c r="AF71" i="37"/>
  <c r="AG71" i="37" s="1"/>
  <c r="AH71" i="37" s="1"/>
  <c r="AJ71" i="37"/>
  <c r="AK71" i="37" s="1"/>
  <c r="AL71" i="37" s="1"/>
  <c r="X67" i="37"/>
  <c r="X65" i="37"/>
  <c r="Y66" i="37"/>
  <c r="Z66" i="37" s="1"/>
  <c r="AB66" i="37"/>
  <c r="AC66" i="37" s="1"/>
  <c r="AD66" i="37" s="1"/>
  <c r="AF66" i="37"/>
  <c r="AG66" i="37" s="1"/>
  <c r="AH66" i="37" s="1"/>
  <c r="AJ66" i="37"/>
  <c r="Y64" i="37"/>
  <c r="Z64" i="37" s="1"/>
  <c r="AB64" i="37"/>
  <c r="AC64" i="37" s="1"/>
  <c r="AD64" i="37" s="1"/>
  <c r="AF64" i="37"/>
  <c r="AG64" i="37" s="1"/>
  <c r="AH64" i="37" s="1"/>
  <c r="AJ64" i="37"/>
  <c r="AK64" i="37" s="1"/>
  <c r="AL64" i="37" s="1"/>
  <c r="Y61" i="37"/>
  <c r="Z61" i="37" s="1"/>
  <c r="Z63" i="37" s="1"/>
  <c r="AB61" i="37"/>
  <c r="AC61" i="37" s="1"/>
  <c r="AF61" i="37"/>
  <c r="AG61" i="37" s="1"/>
  <c r="AH61" i="37" s="1"/>
  <c r="AJ61" i="37"/>
  <c r="AK61" i="37" s="1"/>
  <c r="AL61" i="37" s="1"/>
  <c r="AB37" i="37"/>
  <c r="X20" i="37"/>
  <c r="AC37" i="37"/>
  <c r="Y20" i="37"/>
  <c r="Z37" i="37"/>
  <c r="Z20" i="37"/>
  <c r="AE37" i="37"/>
  <c r="AA20" i="37"/>
  <c r="AF37" i="37"/>
  <c r="AB20" i="37"/>
  <c r="AG37" i="37"/>
  <c r="AC20" i="37"/>
  <c r="AG20" i="37"/>
  <c r="AD20" i="37"/>
  <c r="AH20" i="37"/>
  <c r="AL76" i="37" l="1"/>
  <c r="AL77" i="37" s="1"/>
  <c r="AL93" i="37"/>
  <c r="AL92" i="37"/>
  <c r="AK74" i="37"/>
  <c r="AK66" i="37"/>
  <c r="AL85" i="37"/>
  <c r="AL95" i="37"/>
  <c r="AL63" i="37"/>
  <c r="AL62" i="37"/>
  <c r="AL73" i="37"/>
  <c r="AL72" i="37"/>
  <c r="AL65" i="37"/>
  <c r="AL97" i="37"/>
  <c r="AL82" i="37"/>
  <c r="AL83" i="37"/>
  <c r="AL87" i="37"/>
  <c r="J12" i="44"/>
  <c r="AC62" i="37"/>
  <c r="AD61" i="37"/>
  <c r="AD71" i="37"/>
  <c r="AC72" i="37"/>
  <c r="AK77" i="37"/>
  <c r="AK85" i="37"/>
  <c r="AK95" i="37"/>
  <c r="AK65" i="37"/>
  <c r="Y77" i="37"/>
  <c r="AK97" i="37"/>
  <c r="AK87" i="37"/>
  <c r="AK63" i="37"/>
  <c r="AK62" i="37"/>
  <c r="AK73" i="37"/>
  <c r="AK72" i="37"/>
  <c r="AK83" i="37"/>
  <c r="AK82" i="37"/>
  <c r="AK92" i="37"/>
  <c r="AK93" i="37"/>
  <c r="AK29" i="30"/>
  <c r="AK31" i="30"/>
  <c r="AL33" i="30" s="1"/>
  <c r="Y75" i="37"/>
  <c r="Z73" i="37"/>
  <c r="Y67" i="37"/>
  <c r="Y65" i="37"/>
  <c r="AL66" i="37" l="1"/>
  <c r="AL67" i="37" s="1"/>
  <c r="AL74" i="37"/>
  <c r="AL75" i="37" s="1"/>
  <c r="AK67" i="37"/>
  <c r="AK75" i="37"/>
  <c r="AD37" i="37"/>
  <c r="AI37" i="37"/>
  <c r="AE20" i="37"/>
  <c r="AI20" i="37"/>
  <c r="A7" i="23" l="1"/>
  <c r="AK37" i="20"/>
  <c r="AK38" i="20"/>
  <c r="AK39" i="20" s="1"/>
  <c r="AK17" i="20"/>
  <c r="AK57" i="20"/>
  <c r="AK52" i="20"/>
  <c r="AK51" i="20"/>
  <c r="AK49" i="20"/>
  <c r="AK45" i="20"/>
  <c r="AK43" i="20"/>
  <c r="AK20" i="20"/>
  <c r="AK24" i="20" s="1"/>
  <c r="AK18" i="20"/>
  <c r="AK15" i="20"/>
  <c r="AK12" i="20"/>
  <c r="AK9" i="20"/>
  <c r="AK8" i="20"/>
  <c r="AK5" i="20"/>
  <c r="AK4" i="20"/>
  <c r="J18" i="44" l="1"/>
  <c r="AK53" i="20"/>
  <c r="AK28" i="20"/>
  <c r="AK21" i="20"/>
  <c r="AK35" i="20" l="1"/>
  <c r="AK31" i="20"/>
  <c r="AL33" i="20" s="1"/>
  <c r="AK29" i="20"/>
  <c r="R28" i="21" l="1"/>
  <c r="R29" i="21" s="1"/>
  <c r="R24" i="21"/>
  <c r="D19" i="23" l="1"/>
  <c r="AK61" i="22" s="1"/>
  <c r="AN63" i="22" s="1"/>
  <c r="G48" i="40" l="1"/>
  <c r="H48" i="40" s="1"/>
  <c r="D47" i="40"/>
  <c r="D46" i="40"/>
  <c r="H46" i="40" s="1"/>
  <c r="C46" i="40"/>
  <c r="E46" i="40" s="1"/>
  <c r="H47" i="40" l="1"/>
  <c r="E47" i="40"/>
  <c r="N7" i="39"/>
  <c r="N6" i="39"/>
  <c r="N4" i="39"/>
  <c r="N11" i="39"/>
  <c r="N10" i="39"/>
  <c r="M6" i="39"/>
  <c r="L6" i="39"/>
  <c r="K6" i="39"/>
  <c r="J6" i="39"/>
  <c r="I6" i="39"/>
  <c r="H6" i="39"/>
  <c r="G6" i="39"/>
  <c r="F6" i="39"/>
  <c r="E6" i="39"/>
  <c r="D6" i="39"/>
  <c r="C6" i="39"/>
  <c r="K11" i="39"/>
  <c r="J11" i="39"/>
  <c r="G11" i="39"/>
  <c r="F11" i="39"/>
  <c r="E11" i="39"/>
  <c r="D11" i="39"/>
  <c r="C11" i="39"/>
  <c r="M4" i="39"/>
  <c r="L4" i="39"/>
  <c r="K4" i="39"/>
  <c r="J4" i="39"/>
  <c r="I4" i="39"/>
  <c r="H4" i="39"/>
  <c r="G4" i="39"/>
  <c r="F4" i="39"/>
  <c r="E4" i="39"/>
  <c r="D4" i="39"/>
  <c r="C4" i="39"/>
  <c r="M11" i="39"/>
  <c r="L11" i="39"/>
  <c r="I11" i="39"/>
  <c r="H11" i="39"/>
  <c r="M10" i="39"/>
  <c r="L10" i="39"/>
  <c r="K10" i="39"/>
  <c r="J10" i="39"/>
  <c r="I10" i="39"/>
  <c r="H10" i="39"/>
  <c r="G10" i="39"/>
  <c r="F10" i="39"/>
  <c r="E10" i="39"/>
  <c r="D10" i="39"/>
  <c r="C10" i="39"/>
  <c r="AJ72" i="22" l="1"/>
  <c r="Z72" i="22"/>
  <c r="Y72" i="22"/>
  <c r="AJ68" i="22"/>
  <c r="Z68" i="22"/>
  <c r="Y68" i="22"/>
  <c r="Q28" i="21" l="1"/>
  <c r="Q29" i="21" s="1"/>
  <c r="Q24" i="21"/>
  <c r="E24" i="21"/>
  <c r="E282" i="38"/>
  <c r="D282" i="38"/>
  <c r="C282" i="38"/>
  <c r="J44" i="35"/>
  <c r="I44" i="35"/>
  <c r="H44" i="35"/>
  <c r="G44" i="35"/>
  <c r="K47" i="35" l="1"/>
  <c r="AK60" i="20"/>
  <c r="L47" i="35"/>
  <c r="AK66" i="20"/>
  <c r="M47" i="35"/>
  <c r="AK63" i="20"/>
  <c r="N47" i="35"/>
  <c r="AK69" i="20"/>
  <c r="AJ97" i="37"/>
  <c r="AI97" i="37"/>
  <c r="AH97" i="37"/>
  <c r="AG97" i="37"/>
  <c r="AF97" i="37"/>
  <c r="AE97" i="37"/>
  <c r="AD97" i="37"/>
  <c r="AC97" i="37"/>
  <c r="AB97" i="37"/>
  <c r="AA97" i="37"/>
  <c r="Z97" i="37"/>
  <c r="AJ95" i="37"/>
  <c r="AI95" i="37"/>
  <c r="AH95" i="37"/>
  <c r="AG95" i="37"/>
  <c r="AF95" i="37"/>
  <c r="AE95" i="37"/>
  <c r="AD95" i="37"/>
  <c r="AC95" i="37"/>
  <c r="AB95" i="37"/>
  <c r="AA95" i="37"/>
  <c r="Z95" i="37"/>
  <c r="AJ93" i="37"/>
  <c r="AI93" i="37"/>
  <c r="AH93" i="37"/>
  <c r="AG93" i="37"/>
  <c r="AF93" i="37"/>
  <c r="AE93" i="37"/>
  <c r="AD93" i="37"/>
  <c r="AC93" i="37"/>
  <c r="AB93" i="37"/>
  <c r="AJ92" i="37"/>
  <c r="AI92" i="37"/>
  <c r="AH92" i="37"/>
  <c r="AG92" i="37"/>
  <c r="AF92" i="37"/>
  <c r="AE92" i="37"/>
  <c r="AF57" i="37"/>
  <c r="AH37" i="37"/>
  <c r="AJ37" i="37"/>
  <c r="AJ39" i="37" s="1"/>
  <c r="AI47" i="37"/>
  <c r="AI49" i="37" s="1"/>
  <c r="AF20" i="37"/>
  <c r="AJ20" i="37"/>
  <c r="AJ87" i="37"/>
  <c r="AI87" i="37"/>
  <c r="AH87" i="37"/>
  <c r="AG87" i="37"/>
  <c r="AF87" i="37"/>
  <c r="AE87" i="37"/>
  <c r="AD87" i="37"/>
  <c r="AC87" i="37"/>
  <c r="AB87" i="37"/>
  <c r="AA87" i="37"/>
  <c r="Z87" i="37"/>
  <c r="AJ85" i="37"/>
  <c r="AI85" i="37"/>
  <c r="AH85" i="37"/>
  <c r="AG85" i="37"/>
  <c r="AF85" i="37"/>
  <c r="AE85" i="37"/>
  <c r="AD85" i="37"/>
  <c r="AC85" i="37"/>
  <c r="AB85" i="37"/>
  <c r="AA85" i="37"/>
  <c r="Z85" i="37"/>
  <c r="AJ83" i="37"/>
  <c r="AI83" i="37"/>
  <c r="AH83" i="37"/>
  <c r="AG83" i="37"/>
  <c r="AF83" i="37"/>
  <c r="AE83" i="37"/>
  <c r="AD83" i="37"/>
  <c r="AC83" i="37"/>
  <c r="AB83" i="37"/>
  <c r="AA83" i="37"/>
  <c r="AJ82" i="37"/>
  <c r="AI82" i="37"/>
  <c r="AH82" i="37"/>
  <c r="AG82" i="37"/>
  <c r="AF82" i="37"/>
  <c r="AE82" i="37"/>
  <c r="AD82" i="37"/>
  <c r="AJ77" i="37"/>
  <c r="AI77" i="37"/>
  <c r="AH77" i="37"/>
  <c r="AG77" i="37"/>
  <c r="AF77" i="37"/>
  <c r="AE77" i="37"/>
  <c r="AD77" i="37"/>
  <c r="AC77" i="37"/>
  <c r="AB77" i="37"/>
  <c r="AA77" i="37"/>
  <c r="Z77" i="37"/>
  <c r="AJ75" i="37"/>
  <c r="AI75" i="37"/>
  <c r="AH75" i="37"/>
  <c r="AG75" i="37"/>
  <c r="AF75" i="37"/>
  <c r="AE75" i="37"/>
  <c r="AD75" i="37"/>
  <c r="AC75" i="37"/>
  <c r="AB75" i="37"/>
  <c r="AA75" i="37"/>
  <c r="Z75" i="37"/>
  <c r="AJ73" i="37"/>
  <c r="AI73" i="37"/>
  <c r="AH73" i="37"/>
  <c r="AG73" i="37"/>
  <c r="AF73" i="37"/>
  <c r="AE73" i="37"/>
  <c r="AD73" i="37"/>
  <c r="AC73" i="37"/>
  <c r="AB73" i="37"/>
  <c r="AA73" i="37"/>
  <c r="AJ72" i="37"/>
  <c r="AI72" i="37"/>
  <c r="AH72" i="37"/>
  <c r="AG72" i="37"/>
  <c r="AF72" i="37"/>
  <c r="AE72" i="37"/>
  <c r="AD72" i="37"/>
  <c r="AJ67" i="37"/>
  <c r="AI67" i="37"/>
  <c r="AH67" i="37"/>
  <c r="AG67" i="37"/>
  <c r="AF67" i="37"/>
  <c r="AE67" i="37"/>
  <c r="AD67" i="37"/>
  <c r="AC67" i="37"/>
  <c r="AB67" i="37"/>
  <c r="AA67" i="37"/>
  <c r="Z67" i="37"/>
  <c r="AJ65" i="37"/>
  <c r="AI65" i="37"/>
  <c r="AH65" i="37"/>
  <c r="AG65" i="37"/>
  <c r="AF65" i="37"/>
  <c r="AE65" i="37"/>
  <c r="AD65" i="37"/>
  <c r="AC65" i="37"/>
  <c r="AB65" i="37"/>
  <c r="AA65" i="37"/>
  <c r="Z65" i="37"/>
  <c r="AJ63" i="37"/>
  <c r="AI63" i="37"/>
  <c r="AH63" i="37"/>
  <c r="AG63" i="37"/>
  <c r="AF63" i="37"/>
  <c r="AE63" i="37"/>
  <c r="AD63" i="37"/>
  <c r="AC63" i="37"/>
  <c r="AB63" i="37"/>
  <c r="AA63" i="37"/>
  <c r="AJ62" i="37"/>
  <c r="AI62" i="37"/>
  <c r="AH62" i="37"/>
  <c r="AG62" i="37"/>
  <c r="AF62" i="37"/>
  <c r="AE62" i="37"/>
  <c r="AD62" i="37"/>
  <c r="AJ57" i="37"/>
  <c r="AI57" i="37"/>
  <c r="AH57" i="37"/>
  <c r="AE57" i="37"/>
  <c r="AD57" i="37"/>
  <c r="AB57" i="37"/>
  <c r="AA57" i="37"/>
  <c r="Z57" i="37"/>
  <c r="Y57" i="37"/>
  <c r="X57" i="37"/>
  <c r="AG57" i="37"/>
  <c r="AF52" i="37"/>
  <c r="AD52" i="37"/>
  <c r="AB52" i="37"/>
  <c r="Z52" i="37"/>
  <c r="AJ52" i="37"/>
  <c r="AI52" i="37"/>
  <c r="AE52" i="37"/>
  <c r="AA52" i="37"/>
  <c r="Y52" i="37"/>
  <c r="AJ51" i="37"/>
  <c r="AI51" i="37"/>
  <c r="AH51" i="37"/>
  <c r="AG51" i="37"/>
  <c r="AF51" i="37"/>
  <c r="AE51" i="37"/>
  <c r="AD51" i="37"/>
  <c r="AC51" i="37"/>
  <c r="AB51" i="37"/>
  <c r="AA51" i="37"/>
  <c r="Z51" i="37"/>
  <c r="Y51" i="37"/>
  <c r="AJ49" i="37"/>
  <c r="AJ45" i="37"/>
  <c r="AI45" i="37"/>
  <c r="AH45" i="37"/>
  <c r="AG45" i="37"/>
  <c r="AF45" i="37"/>
  <c r="AE45" i="37"/>
  <c r="AD45" i="37"/>
  <c r="AC45" i="37"/>
  <c r="AB45" i="37"/>
  <c r="AA45" i="37"/>
  <c r="Z45" i="37"/>
  <c r="Y45" i="37"/>
  <c r="X45" i="37"/>
  <c r="AC43" i="37"/>
  <c r="AB43" i="37"/>
  <c r="Z43" i="37"/>
  <c r="AI39" i="37"/>
  <c r="AH39" i="37"/>
  <c r="AE39" i="37"/>
  <c r="AC39" i="37"/>
  <c r="AB39" i="37"/>
  <c r="AA39" i="37"/>
  <c r="Z39" i="37"/>
  <c r="Y39" i="37"/>
  <c r="X39" i="37"/>
  <c r="AD39" i="37"/>
  <c r="AI43" i="37"/>
  <c r="AH43" i="37"/>
  <c r="AG39" i="37"/>
  <c r="AF43" i="37"/>
  <c r="AE43" i="37"/>
  <c r="AD43" i="37"/>
  <c r="AJ28" i="37"/>
  <c r="AJ35" i="37" s="1"/>
  <c r="AH28" i="37"/>
  <c r="AH35" i="37" s="1"/>
  <c r="AE28" i="37"/>
  <c r="AD28" i="37"/>
  <c r="AC28" i="37"/>
  <c r="AB28" i="37"/>
  <c r="AB35" i="37" s="1"/>
  <c r="Z28" i="37"/>
  <c r="Y28" i="37"/>
  <c r="X28" i="37"/>
  <c r="X35" i="37" s="1"/>
  <c r="I25" i="37"/>
  <c r="H25" i="37"/>
  <c r="G25" i="37"/>
  <c r="AJ24" i="37"/>
  <c r="AH24" i="37"/>
  <c r="AG24" i="37"/>
  <c r="AE24" i="37"/>
  <c r="AD24" i="37"/>
  <c r="AC24" i="37"/>
  <c r="AB24" i="37"/>
  <c r="AA24" i="37"/>
  <c r="Z24" i="37"/>
  <c r="Y24" i="37"/>
  <c r="X24" i="37"/>
  <c r="AI28" i="37"/>
  <c r="AG28" i="37"/>
  <c r="AF24" i="37"/>
  <c r="AA28" i="37"/>
  <c r="I22" i="37"/>
  <c r="H22" i="37"/>
  <c r="G22" i="37"/>
  <c r="F22" i="37"/>
  <c r="E22" i="37"/>
  <c r="D22" i="37"/>
  <c r="J22" i="37" s="1"/>
  <c r="C22" i="37"/>
  <c r="AJ21" i="37"/>
  <c r="AI21" i="37"/>
  <c r="AH21" i="37"/>
  <c r="AG21" i="37"/>
  <c r="AF21" i="37"/>
  <c r="AE21" i="37"/>
  <c r="AD21" i="37"/>
  <c r="AC21" i="37"/>
  <c r="AB21" i="37"/>
  <c r="AA21" i="37"/>
  <c r="Z21" i="37"/>
  <c r="Y21" i="37"/>
  <c r="X21" i="37"/>
  <c r="I21" i="37"/>
  <c r="H21" i="37"/>
  <c r="G21" i="37"/>
  <c r="F21" i="37"/>
  <c r="E21" i="37"/>
  <c r="D21" i="37"/>
  <c r="J21" i="37" s="1"/>
  <c r="C21" i="37"/>
  <c r="I20" i="37"/>
  <c r="H20" i="37"/>
  <c r="G20" i="37"/>
  <c r="F20" i="37"/>
  <c r="E20" i="37"/>
  <c r="D20" i="37"/>
  <c r="J20" i="37" s="1"/>
  <c r="I19" i="37"/>
  <c r="H19" i="37"/>
  <c r="G19" i="37"/>
  <c r="F19" i="37"/>
  <c r="E19" i="37"/>
  <c r="D19" i="37"/>
  <c r="J19" i="37" s="1"/>
  <c r="AI18" i="37"/>
  <c r="AH18" i="37"/>
  <c r="AE18" i="37"/>
  <c r="AD18" i="37"/>
  <c r="AC18" i="37"/>
  <c r="AB18" i="37"/>
  <c r="AA18" i="37"/>
  <c r="Z18" i="37"/>
  <c r="Y18" i="37"/>
  <c r="X18" i="37"/>
  <c r="I18" i="37"/>
  <c r="H18" i="37"/>
  <c r="G18" i="37"/>
  <c r="F18" i="37"/>
  <c r="E18" i="37"/>
  <c r="D18" i="37"/>
  <c r="C18" i="37"/>
  <c r="AJ18" i="37"/>
  <c r="AG18" i="37"/>
  <c r="AF18" i="37"/>
  <c r="J17" i="37"/>
  <c r="J16" i="37"/>
  <c r="AJ15" i="37"/>
  <c r="AI15" i="37"/>
  <c r="AH15" i="37"/>
  <c r="AG15" i="37"/>
  <c r="AF15" i="37"/>
  <c r="AE15" i="37"/>
  <c r="AD15" i="37"/>
  <c r="AC15" i="37"/>
  <c r="AB15" i="37"/>
  <c r="AA15" i="37"/>
  <c r="Z15" i="37"/>
  <c r="Y15" i="37"/>
  <c r="X15" i="37"/>
  <c r="C15" i="37"/>
  <c r="C20" i="37" s="1"/>
  <c r="J14" i="37"/>
  <c r="AJ12" i="37"/>
  <c r="AI12" i="37"/>
  <c r="AH12" i="37"/>
  <c r="AG12" i="37"/>
  <c r="AF12" i="37"/>
  <c r="AE12" i="37"/>
  <c r="AD12" i="37"/>
  <c r="AC12" i="37"/>
  <c r="AB12" i="37"/>
  <c r="AA12" i="37"/>
  <c r="Z12" i="37"/>
  <c r="Y12" i="37"/>
  <c r="X12" i="37"/>
  <c r="J12" i="37"/>
  <c r="I12" i="37"/>
  <c r="H12" i="37"/>
  <c r="G12" i="37"/>
  <c r="F12" i="37"/>
  <c r="E12" i="37"/>
  <c r="D12" i="37"/>
  <c r="AY11" i="37"/>
  <c r="AY13" i="37" s="1"/>
  <c r="AX11" i="37"/>
  <c r="AX13" i="37" s="1"/>
  <c r="AW11" i="37"/>
  <c r="AV11" i="37"/>
  <c r="AU11" i="37"/>
  <c r="AT11" i="37"/>
  <c r="AT13" i="37" s="1"/>
  <c r="AS11" i="37"/>
  <c r="AS13" i="37" s="1"/>
  <c r="AR11" i="37"/>
  <c r="AQ11" i="37"/>
  <c r="AP11" i="37"/>
  <c r="N11" i="37"/>
  <c r="I11" i="37"/>
  <c r="H11" i="37"/>
  <c r="G11" i="37"/>
  <c r="F11" i="37"/>
  <c r="E11" i="37"/>
  <c r="D11" i="37"/>
  <c r="J11" i="37" s="1"/>
  <c r="C11" i="37"/>
  <c r="N10" i="37"/>
  <c r="J10" i="37"/>
  <c r="AJ9" i="37"/>
  <c r="AI9" i="37"/>
  <c r="AH9" i="37"/>
  <c r="AG9" i="37"/>
  <c r="AF9" i="37"/>
  <c r="AE9" i="37"/>
  <c r="AD9" i="37"/>
  <c r="AC9" i="37"/>
  <c r="AB9" i="37"/>
  <c r="AA9" i="37"/>
  <c r="Z9" i="37"/>
  <c r="Y9" i="37"/>
  <c r="N9" i="37"/>
  <c r="AJ8" i="37"/>
  <c r="AI8" i="37"/>
  <c r="AH8" i="37"/>
  <c r="AG8" i="37"/>
  <c r="AF8" i="37"/>
  <c r="AE8" i="37"/>
  <c r="AD8" i="37"/>
  <c r="AC8" i="37"/>
  <c r="AB8" i="37"/>
  <c r="N8" i="37"/>
  <c r="I8" i="37"/>
  <c r="H8" i="37"/>
  <c r="G8" i="37"/>
  <c r="F8" i="37"/>
  <c r="E8" i="37"/>
  <c r="D8" i="37"/>
  <c r="J8" i="37" s="1"/>
  <c r="C8" i="37"/>
  <c r="N7" i="37"/>
  <c r="N6" i="37"/>
  <c r="I6" i="37"/>
  <c r="H6" i="37"/>
  <c r="G6" i="37"/>
  <c r="F6" i="37"/>
  <c r="E6" i="37"/>
  <c r="D6" i="37"/>
  <c r="J6" i="37" s="1"/>
  <c r="C6" i="37"/>
  <c r="AJ5" i="37"/>
  <c r="AI5" i="37"/>
  <c r="AH5" i="37"/>
  <c r="AG5" i="37"/>
  <c r="AF5" i="37"/>
  <c r="AE5" i="37"/>
  <c r="AD5" i="37"/>
  <c r="AC5" i="37"/>
  <c r="AB5" i="37"/>
  <c r="AA5" i="37"/>
  <c r="Z5" i="37"/>
  <c r="Y5" i="37"/>
  <c r="N5" i="37"/>
  <c r="AJ4" i="37"/>
  <c r="AI4" i="37"/>
  <c r="AH4" i="37"/>
  <c r="AG4" i="37"/>
  <c r="AF4" i="37"/>
  <c r="AE4" i="37"/>
  <c r="AD4" i="37"/>
  <c r="AC4" i="37"/>
  <c r="AB4" i="37"/>
  <c r="J4" i="37"/>
  <c r="I4" i="37"/>
  <c r="H4" i="37"/>
  <c r="G4" i="37"/>
  <c r="F4" i="37"/>
  <c r="E4" i="37"/>
  <c r="D4" i="37"/>
  <c r="N3" i="37"/>
  <c r="AO2" i="37"/>
  <c r="N2" i="37"/>
  <c r="S14" i="37" s="1"/>
  <c r="AJ43" i="37" l="1"/>
  <c r="D16" i="44"/>
  <c r="AL65" i="20"/>
  <c r="AK65" i="20"/>
  <c r="AK64" i="20"/>
  <c r="AL68" i="20"/>
  <c r="AK68" i="20"/>
  <c r="AK67" i="20"/>
  <c r="AK62" i="20"/>
  <c r="AL62" i="20"/>
  <c r="AK61" i="20"/>
  <c r="AK70" i="20"/>
  <c r="AK71" i="20"/>
  <c r="AL71" i="20"/>
  <c r="N13" i="37"/>
  <c r="Q13" i="37" s="1"/>
  <c r="Q14" i="37" s="1"/>
  <c r="J18" i="37"/>
  <c r="Q2" i="37"/>
  <c r="AA53" i="37"/>
  <c r="C19" i="37"/>
  <c r="X29" i="37"/>
  <c r="Y53" i="37"/>
  <c r="AB29" i="37"/>
  <c r="AE53" i="37"/>
  <c r="AI53" i="37"/>
  <c r="AH47" i="37"/>
  <c r="AH31" i="37" s="1"/>
  <c r="O10" i="37"/>
  <c r="T14" i="37"/>
  <c r="O9" i="37"/>
  <c r="O11" i="37"/>
  <c r="N14" i="37"/>
  <c r="N20" i="37"/>
  <c r="AJ53" i="37"/>
  <c r="Z53" i="37"/>
  <c r="AB53" i="37"/>
  <c r="AJ29" i="37"/>
  <c r="AJ31" i="37"/>
  <c r="AK33" i="37" s="1"/>
  <c r="AD53" i="37"/>
  <c r="AG35" i="37"/>
  <c r="AG29" i="37"/>
  <c r="AA29" i="37"/>
  <c r="AA35" i="37"/>
  <c r="AI31" i="37"/>
  <c r="AI35" i="37"/>
  <c r="AI29" i="37"/>
  <c r="AF53" i="37"/>
  <c r="AF28" i="37"/>
  <c r="AH52" i="37"/>
  <c r="AH53" i="37" s="1"/>
  <c r="AC57" i="37"/>
  <c r="AD35" i="37"/>
  <c r="AD29" i="37"/>
  <c r="AE35" i="37"/>
  <c r="AG52" i="37"/>
  <c r="AG53" i="37" s="1"/>
  <c r="AH29" i="37"/>
  <c r="Y35" i="37"/>
  <c r="Y29" i="37"/>
  <c r="Z35" i="37"/>
  <c r="AC35" i="37"/>
  <c r="AC29" i="37"/>
  <c r="AE29" i="37"/>
  <c r="Z29" i="37"/>
  <c r="AF39" i="37"/>
  <c r="AC52" i="37"/>
  <c r="AC53" i="37" s="1"/>
  <c r="AG43" i="37"/>
  <c r="AI24" i="37"/>
  <c r="F16" i="44" l="1"/>
  <c r="AN35" i="37"/>
  <c r="AL32" i="37"/>
  <c r="AG47" i="37"/>
  <c r="AH49" i="37"/>
  <c r="AF35" i="37"/>
  <c r="AF29" i="37"/>
  <c r="AI33" i="37"/>
  <c r="AJ33" i="37"/>
  <c r="AN36" i="37" l="1"/>
  <c r="AN37" i="37" s="1"/>
  <c r="I16" i="44" s="1"/>
  <c r="H16" i="44"/>
  <c r="AG31" i="37"/>
  <c r="AK32" i="37" s="1"/>
  <c r="AG49" i="37"/>
  <c r="AF47" i="37"/>
  <c r="AE47" i="37" l="1"/>
  <c r="AF49" i="37"/>
  <c r="AF31" i="37"/>
  <c r="AH33" i="37"/>
  <c r="AJ32" i="37" l="1"/>
  <c r="AG33" i="37"/>
  <c r="AE49" i="37"/>
  <c r="AD47" i="37"/>
  <c r="AE31" i="37"/>
  <c r="AI32" i="37" s="1"/>
  <c r="AC47" i="37" l="1"/>
  <c r="AD31" i="37"/>
  <c r="AD49" i="37"/>
  <c r="AF33" i="37"/>
  <c r="AE33" i="37" l="1"/>
  <c r="AH32" i="37"/>
  <c r="AC49" i="37"/>
  <c r="AB47" i="37"/>
  <c r="AC31" i="37"/>
  <c r="AD33" i="37" l="1"/>
  <c r="AG32" i="37"/>
  <c r="AB49" i="37"/>
  <c r="AB31" i="37"/>
  <c r="AA47" i="37"/>
  <c r="Z47" i="37" l="1"/>
  <c r="AA31" i="37"/>
  <c r="AA49" i="37"/>
  <c r="AC33" i="37"/>
  <c r="AF32" i="37"/>
  <c r="AE32" i="37" l="1"/>
  <c r="AB33" i="37"/>
  <c r="Z31" i="37"/>
  <c r="Y47" i="37"/>
  <c r="Z49" i="37"/>
  <c r="AA33" i="37" l="1"/>
  <c r="AD32" i="37"/>
  <c r="Y49" i="37"/>
  <c r="X47" i="37"/>
  <c r="Y31" i="37"/>
  <c r="AC32" i="37" l="1"/>
  <c r="Z33" i="37"/>
  <c r="X49" i="37"/>
  <c r="X31" i="37"/>
  <c r="R49" i="36"/>
  <c r="Q49" i="36"/>
  <c r="O49" i="36"/>
  <c r="L49" i="36"/>
  <c r="K49" i="36"/>
  <c r="J49" i="36"/>
  <c r="I49" i="36"/>
  <c r="H49" i="36"/>
  <c r="G49" i="36"/>
  <c r="F49" i="36"/>
  <c r="E49" i="36"/>
  <c r="D49" i="36"/>
  <c r="C49" i="36"/>
  <c r="R48" i="36"/>
  <c r="Q48" i="36"/>
  <c r="O48" i="36"/>
  <c r="N48" i="36"/>
  <c r="M48" i="36"/>
  <c r="L48" i="36"/>
  <c r="K48" i="36"/>
  <c r="J48" i="36"/>
  <c r="I48" i="36"/>
  <c r="H48" i="36"/>
  <c r="G48" i="36"/>
  <c r="F48" i="36"/>
  <c r="E48" i="36"/>
  <c r="D48" i="36"/>
  <c r="C48" i="36"/>
  <c r="R47" i="36"/>
  <c r="Q47" i="36"/>
  <c r="O47" i="36"/>
  <c r="N47" i="36"/>
  <c r="M47" i="36"/>
  <c r="L47" i="36"/>
  <c r="K47" i="36"/>
  <c r="J47" i="36"/>
  <c r="I47" i="36"/>
  <c r="H47" i="36"/>
  <c r="G47" i="36"/>
  <c r="F47" i="36"/>
  <c r="E47" i="36"/>
  <c r="D47" i="36"/>
  <c r="C47" i="36"/>
  <c r="R46" i="36"/>
  <c r="Q46" i="36"/>
  <c r="O46" i="36"/>
  <c r="N46" i="36"/>
  <c r="M46" i="36"/>
  <c r="L46" i="36"/>
  <c r="K46" i="36"/>
  <c r="J46" i="36"/>
  <c r="I46" i="36"/>
  <c r="H46" i="36"/>
  <c r="G46" i="36"/>
  <c r="F46" i="36"/>
  <c r="E46" i="36"/>
  <c r="D46" i="36"/>
  <c r="C46" i="36"/>
  <c r="R45" i="36"/>
  <c r="Q45" i="36"/>
  <c r="O45" i="36"/>
  <c r="N45" i="36"/>
  <c r="M45" i="36"/>
  <c r="L45" i="36"/>
  <c r="K45" i="36"/>
  <c r="J45" i="36"/>
  <c r="I45" i="36"/>
  <c r="H45" i="36"/>
  <c r="G45" i="36"/>
  <c r="F45" i="36"/>
  <c r="E45" i="36"/>
  <c r="D45" i="36"/>
  <c r="C45" i="36"/>
  <c r="R44" i="36"/>
  <c r="Q44" i="36"/>
  <c r="O44" i="36"/>
  <c r="N44" i="36"/>
  <c r="M44" i="36"/>
  <c r="L44" i="36"/>
  <c r="K44" i="36"/>
  <c r="J44" i="36"/>
  <c r="I44" i="36"/>
  <c r="H44" i="36"/>
  <c r="G44" i="36"/>
  <c r="F44" i="36"/>
  <c r="E44" i="36"/>
  <c r="D44" i="36"/>
  <c r="C44" i="36"/>
  <c r="R43" i="36"/>
  <c r="Q43" i="36"/>
  <c r="O43" i="36"/>
  <c r="N43" i="36"/>
  <c r="M43" i="36"/>
  <c r="L43" i="36"/>
  <c r="K43" i="36"/>
  <c r="J43" i="36"/>
  <c r="I43" i="36"/>
  <c r="H43" i="36"/>
  <c r="G43" i="36"/>
  <c r="F43" i="36"/>
  <c r="E43" i="36"/>
  <c r="D43" i="36"/>
  <c r="C43" i="36"/>
  <c r="R42" i="36"/>
  <c r="Q42" i="36"/>
  <c r="O42" i="36"/>
  <c r="N42" i="36"/>
  <c r="M42" i="36"/>
  <c r="L42" i="36"/>
  <c r="K42" i="36"/>
  <c r="J42" i="36"/>
  <c r="I42" i="36"/>
  <c r="H42" i="36"/>
  <c r="G42" i="36"/>
  <c r="F42" i="36"/>
  <c r="E42" i="36"/>
  <c r="D42" i="36"/>
  <c r="C42" i="36"/>
  <c r="R41" i="36"/>
  <c r="Q41" i="36"/>
  <c r="O41" i="36"/>
  <c r="N41" i="36"/>
  <c r="M41" i="36"/>
  <c r="L41" i="36"/>
  <c r="K41" i="36"/>
  <c r="J41" i="36"/>
  <c r="I41" i="36"/>
  <c r="H41" i="36"/>
  <c r="G41" i="36"/>
  <c r="F41" i="36"/>
  <c r="E41" i="36"/>
  <c r="D41" i="36"/>
  <c r="C41" i="36"/>
  <c r="R40" i="36"/>
  <c r="Q40" i="36"/>
  <c r="O40" i="36"/>
  <c r="N40" i="36"/>
  <c r="M40" i="36"/>
  <c r="L40" i="36"/>
  <c r="K40" i="36"/>
  <c r="J40" i="36"/>
  <c r="I40" i="36"/>
  <c r="H40" i="36"/>
  <c r="G40" i="36"/>
  <c r="F40" i="36"/>
  <c r="E40" i="36"/>
  <c r="D40" i="36"/>
  <c r="C40" i="36"/>
  <c r="R39" i="36"/>
  <c r="Q39" i="36"/>
  <c r="O39" i="36"/>
  <c r="N39" i="36"/>
  <c r="M39" i="36"/>
  <c r="L39" i="36"/>
  <c r="K39" i="36"/>
  <c r="J39" i="36"/>
  <c r="I39" i="36"/>
  <c r="H39" i="36"/>
  <c r="G39" i="36"/>
  <c r="F39" i="36"/>
  <c r="E39" i="36"/>
  <c r="D39" i="36"/>
  <c r="C39" i="36"/>
  <c r="R38" i="36"/>
  <c r="Q38" i="36"/>
  <c r="O38" i="36"/>
  <c r="N38" i="36"/>
  <c r="M38" i="36"/>
  <c r="L38" i="36"/>
  <c r="K38" i="36"/>
  <c r="J38" i="36"/>
  <c r="I38" i="36"/>
  <c r="H38" i="36"/>
  <c r="G38" i="36"/>
  <c r="F38" i="36"/>
  <c r="E38" i="36"/>
  <c r="D38" i="36"/>
  <c r="C38" i="36"/>
  <c r="R37" i="36"/>
  <c r="Q37" i="36"/>
  <c r="O37" i="36"/>
  <c r="N37" i="36"/>
  <c r="M37" i="36"/>
  <c r="L37" i="36"/>
  <c r="K37" i="36"/>
  <c r="J37" i="36"/>
  <c r="I37" i="36"/>
  <c r="H37" i="36"/>
  <c r="G37" i="36"/>
  <c r="F37" i="36"/>
  <c r="E37" i="36"/>
  <c r="D37" i="36"/>
  <c r="C37" i="36"/>
  <c r="R36" i="36"/>
  <c r="Q36" i="36"/>
  <c r="O36" i="36"/>
  <c r="N36" i="36"/>
  <c r="M36" i="36"/>
  <c r="L36" i="36"/>
  <c r="K36" i="36"/>
  <c r="J36" i="36"/>
  <c r="I36" i="36"/>
  <c r="H36" i="36"/>
  <c r="G36" i="36"/>
  <c r="F36" i="36"/>
  <c r="E36" i="36"/>
  <c r="D36" i="36"/>
  <c r="C36" i="36"/>
  <c r="R35" i="36"/>
  <c r="Q35" i="36"/>
  <c r="O35" i="36"/>
  <c r="N35" i="36"/>
  <c r="M35" i="36"/>
  <c r="L35" i="36"/>
  <c r="K35" i="36"/>
  <c r="J35" i="36"/>
  <c r="I35" i="36"/>
  <c r="H35" i="36"/>
  <c r="G35" i="36"/>
  <c r="F35" i="36"/>
  <c r="E35" i="36"/>
  <c r="D35" i="36"/>
  <c r="C35" i="36"/>
  <c r="R34" i="36"/>
  <c r="Q34" i="36"/>
  <c r="O34" i="36"/>
  <c r="N34" i="36"/>
  <c r="M34" i="36"/>
  <c r="L34" i="36"/>
  <c r="K34" i="36"/>
  <c r="J34" i="36"/>
  <c r="I34" i="36"/>
  <c r="H34" i="36"/>
  <c r="G34" i="36"/>
  <c r="F34" i="36"/>
  <c r="E34" i="36"/>
  <c r="D34" i="36"/>
  <c r="C34" i="36"/>
  <c r="R33" i="36"/>
  <c r="Q33" i="36"/>
  <c r="O33" i="36"/>
  <c r="N33" i="36"/>
  <c r="M33" i="36"/>
  <c r="L33" i="36"/>
  <c r="K33" i="36"/>
  <c r="J33" i="36"/>
  <c r="I33" i="36"/>
  <c r="H33" i="36"/>
  <c r="G33" i="36"/>
  <c r="F33" i="36"/>
  <c r="E33" i="36"/>
  <c r="D33" i="36"/>
  <c r="C33" i="36"/>
  <c r="R32" i="36"/>
  <c r="Q32" i="36"/>
  <c r="P32" i="36"/>
  <c r="O32" i="36"/>
  <c r="N32" i="36"/>
  <c r="M32" i="36"/>
  <c r="L32" i="36"/>
  <c r="K32" i="36"/>
  <c r="J32" i="36"/>
  <c r="I32" i="36"/>
  <c r="H32" i="36"/>
  <c r="G32" i="36"/>
  <c r="F32" i="36"/>
  <c r="E32" i="36"/>
  <c r="D32" i="36"/>
  <c r="C32" i="36"/>
  <c r="R31" i="36"/>
  <c r="Q31" i="36"/>
  <c r="O31" i="36"/>
  <c r="N31" i="36"/>
  <c r="M31" i="36"/>
  <c r="L31" i="36"/>
  <c r="K31" i="36"/>
  <c r="J31" i="36"/>
  <c r="I31" i="36"/>
  <c r="H31" i="36"/>
  <c r="G31" i="36"/>
  <c r="F31" i="36"/>
  <c r="E31" i="36"/>
  <c r="D31" i="36"/>
  <c r="C31" i="36"/>
  <c r="R30" i="36"/>
  <c r="Q30" i="36"/>
  <c r="O30" i="36"/>
  <c r="N30" i="36"/>
  <c r="M30" i="36"/>
  <c r="L30" i="36"/>
  <c r="K30" i="36"/>
  <c r="J30" i="36"/>
  <c r="I30" i="36"/>
  <c r="H30" i="36"/>
  <c r="G30" i="36"/>
  <c r="F30" i="36"/>
  <c r="E30" i="36"/>
  <c r="D30" i="36"/>
  <c r="C30" i="36"/>
  <c r="R29" i="36"/>
  <c r="Q29" i="36"/>
  <c r="O29" i="36"/>
  <c r="N29" i="36"/>
  <c r="M29" i="36"/>
  <c r="L29" i="36"/>
  <c r="K29" i="36"/>
  <c r="J29" i="36"/>
  <c r="I29" i="36"/>
  <c r="H29" i="36"/>
  <c r="G29" i="36"/>
  <c r="F29" i="36"/>
  <c r="E29" i="36"/>
  <c r="D29" i="36"/>
  <c r="C29" i="36"/>
  <c r="P16" i="36"/>
  <c r="P15" i="36"/>
  <c r="P14" i="36"/>
  <c r="P12" i="36"/>
  <c r="P11" i="36"/>
  <c r="P10" i="36"/>
  <c r="P35" i="36" s="1"/>
  <c r="P7" i="36"/>
  <c r="P6" i="36"/>
  <c r="P5" i="36"/>
  <c r="P4" i="36"/>
  <c r="P46" i="36" s="1"/>
  <c r="P37" i="36" l="1"/>
  <c r="P29" i="36"/>
  <c r="P40" i="36"/>
  <c r="P41" i="36"/>
  <c r="P38" i="36"/>
  <c r="P30" i="36"/>
  <c r="P47" i="36"/>
  <c r="P31" i="36"/>
  <c r="P44" i="36"/>
  <c r="AB32" i="37"/>
  <c r="Y33" i="37"/>
  <c r="P33" i="36"/>
  <c r="P42" i="36"/>
  <c r="P45" i="36"/>
  <c r="P48" i="36"/>
  <c r="P36" i="36"/>
  <c r="P49" i="36"/>
  <c r="P39" i="36"/>
  <c r="P34" i="36"/>
  <c r="P43" i="36"/>
  <c r="J41" i="35" l="1"/>
  <c r="I41" i="35"/>
  <c r="H41" i="35"/>
  <c r="G41" i="35"/>
  <c r="C36" i="35"/>
  <c r="J35" i="35"/>
  <c r="H35" i="35"/>
  <c r="G35" i="35"/>
  <c r="F34" i="35"/>
  <c r="F36" i="35" s="1"/>
  <c r="E34" i="35"/>
  <c r="E36" i="35" s="1"/>
  <c r="D34" i="35"/>
  <c r="D36" i="35" s="1"/>
  <c r="I31" i="35"/>
  <c r="H31" i="35"/>
  <c r="G31" i="35"/>
  <c r="F28" i="35"/>
  <c r="J31" i="35" s="1"/>
  <c r="J27" i="35"/>
  <c r="I27" i="35"/>
  <c r="H27" i="35"/>
  <c r="G27" i="35"/>
  <c r="J24" i="35"/>
  <c r="I24" i="35"/>
  <c r="H24" i="35"/>
  <c r="G24" i="35"/>
  <c r="I21" i="35"/>
  <c r="G21" i="35"/>
  <c r="F20" i="35"/>
  <c r="F19" i="35"/>
  <c r="J21" i="35" s="1"/>
  <c r="D19" i="35"/>
  <c r="H21" i="35" s="1"/>
  <c r="J18" i="35"/>
  <c r="I18" i="35"/>
  <c r="H18" i="35"/>
  <c r="G18" i="35"/>
  <c r="J17" i="35"/>
  <c r="I17" i="35"/>
  <c r="H17" i="35"/>
  <c r="G17" i="35"/>
  <c r="F16" i="35"/>
  <c r="D16" i="35"/>
  <c r="I15" i="35"/>
  <c r="G15" i="35"/>
  <c r="F15" i="35"/>
  <c r="D15" i="35"/>
  <c r="F14" i="35"/>
  <c r="J15" i="35" s="1"/>
  <c r="D14" i="35"/>
  <c r="H15" i="35" s="1"/>
  <c r="C37" i="35" l="1"/>
  <c r="G38" i="35" s="1"/>
  <c r="K44" i="35"/>
  <c r="L44" i="35"/>
  <c r="M44" i="35"/>
  <c r="I35" i="35"/>
  <c r="N41" i="35"/>
  <c r="N44" i="35"/>
  <c r="E37" i="35"/>
  <c r="I38" i="35" s="1"/>
  <c r="F37" i="35"/>
  <c r="J38" i="35" s="1"/>
  <c r="N38" i="35" s="1"/>
  <c r="D37" i="35"/>
  <c r="H38" i="35" s="1"/>
  <c r="L38" i="35" s="1"/>
  <c r="P53" i="21"/>
  <c r="R53" i="21"/>
  <c r="Q53" i="21"/>
  <c r="P28" i="21"/>
  <c r="P29" i="21" s="1"/>
  <c r="P24" i="21"/>
  <c r="L41" i="35" l="1"/>
  <c r="M38" i="35"/>
  <c r="K38" i="35"/>
  <c r="K41" i="35"/>
  <c r="M41" i="35"/>
  <c r="AF71" i="34"/>
  <c r="AG71" i="34" s="1"/>
  <c r="AF68" i="34"/>
  <c r="AJ71" i="34"/>
  <c r="AK71" i="34" s="1"/>
  <c r="AK72" i="34" s="1"/>
  <c r="AJ68" i="34"/>
  <c r="AK68" i="34" s="1"/>
  <c r="AJ64" i="34"/>
  <c r="AK64" i="34" s="1"/>
  <c r="AJ61" i="34"/>
  <c r="AE38" i="34"/>
  <c r="AE39" i="34"/>
  <c r="AI39" i="34"/>
  <c r="AH39" i="34"/>
  <c r="AH38" i="34"/>
  <c r="AH43" i="34" s="1"/>
  <c r="AE17" i="34"/>
  <c r="AI17" i="34"/>
  <c r="AI72" i="34"/>
  <c r="AH72" i="34"/>
  <c r="AF72" i="34"/>
  <c r="AE72" i="34"/>
  <c r="AD72" i="34"/>
  <c r="AC72" i="34"/>
  <c r="AB72" i="34"/>
  <c r="AA72" i="34"/>
  <c r="Z72" i="34"/>
  <c r="AI70" i="34"/>
  <c r="AF70" i="34"/>
  <c r="AE70" i="34"/>
  <c r="AD70" i="34"/>
  <c r="AC70" i="34"/>
  <c r="AB70" i="34"/>
  <c r="AA70" i="34"/>
  <c r="AI69" i="34"/>
  <c r="AH69" i="34"/>
  <c r="AF69" i="34"/>
  <c r="AE69" i="34"/>
  <c r="AD69" i="34"/>
  <c r="AI65" i="34"/>
  <c r="AE65" i="34"/>
  <c r="AD65" i="34"/>
  <c r="AC65" i="34"/>
  <c r="AB65" i="34"/>
  <c r="AA65" i="34"/>
  <c r="Z65" i="34"/>
  <c r="AJ65" i="34"/>
  <c r="AE63" i="34"/>
  <c r="AD63" i="34"/>
  <c r="AC63" i="34"/>
  <c r="AB63" i="34"/>
  <c r="AA63" i="34"/>
  <c r="AI62" i="34"/>
  <c r="AE62" i="34"/>
  <c r="AD62" i="34"/>
  <c r="AJ62" i="34"/>
  <c r="AF63" i="34"/>
  <c r="AF38" i="34"/>
  <c r="AF43" i="34" s="1"/>
  <c r="AJ38" i="34"/>
  <c r="AF39" i="34"/>
  <c r="AJ39" i="34"/>
  <c r="AI47" i="34"/>
  <c r="AH47" i="34" s="1"/>
  <c r="AF17" i="34"/>
  <c r="AJ17" i="34"/>
  <c r="AJ57" i="34"/>
  <c r="AI57" i="34"/>
  <c r="AH57" i="34"/>
  <c r="AG57" i="34"/>
  <c r="AF57" i="34"/>
  <c r="AE57" i="34"/>
  <c r="AD57" i="34"/>
  <c r="AC57" i="34"/>
  <c r="AB57" i="34"/>
  <c r="AA57" i="34"/>
  <c r="Z57" i="34"/>
  <c r="Y57" i="34"/>
  <c r="X57" i="34"/>
  <c r="AJ52" i="34"/>
  <c r="AI52" i="34"/>
  <c r="AH52" i="34"/>
  <c r="AG52" i="34"/>
  <c r="AF52" i="34"/>
  <c r="AE52" i="34"/>
  <c r="AD52" i="34"/>
  <c r="AC52" i="34"/>
  <c r="AB52" i="34"/>
  <c r="AA52" i="34"/>
  <c r="Z52" i="34"/>
  <c r="Y52" i="34"/>
  <c r="AJ51" i="34"/>
  <c r="AJ53" i="34" s="1"/>
  <c r="AI51" i="34"/>
  <c r="AI53" i="34" s="1"/>
  <c r="AH51" i="34"/>
  <c r="AG51" i="34"/>
  <c r="AG53" i="34" s="1"/>
  <c r="AF51" i="34"/>
  <c r="AE51" i="34"/>
  <c r="AD51" i="34"/>
  <c r="AC51" i="34"/>
  <c r="AB51" i="34"/>
  <c r="AA51" i="34"/>
  <c r="Z51" i="34"/>
  <c r="Z53" i="34" s="1"/>
  <c r="Y51" i="34"/>
  <c r="Y53" i="34" s="1"/>
  <c r="AJ49" i="34"/>
  <c r="AI49" i="34"/>
  <c r="AD43" i="34"/>
  <c r="AC43" i="34"/>
  <c r="AB43" i="34"/>
  <c r="X43" i="34"/>
  <c r="AC40" i="34"/>
  <c r="X40" i="34"/>
  <c r="AD40" i="34"/>
  <c r="AB40" i="34"/>
  <c r="AI43" i="34"/>
  <c r="AG43" i="34"/>
  <c r="AE43" i="34"/>
  <c r="AA43" i="34"/>
  <c r="Z43" i="34"/>
  <c r="Y43" i="34"/>
  <c r="AJ29" i="34"/>
  <c r="AJ32" i="34" s="1"/>
  <c r="AK34" i="34" s="1"/>
  <c r="AI29" i="34"/>
  <c r="AI36" i="34" s="1"/>
  <c r="AH29" i="34"/>
  <c r="AG29" i="34"/>
  <c r="AF29" i="34"/>
  <c r="AF36" i="34" s="1"/>
  <c r="AE29" i="34"/>
  <c r="AE36" i="34" s="1"/>
  <c r="AD29" i="34"/>
  <c r="AD36" i="34" s="1"/>
  <c r="AC29" i="34"/>
  <c r="AC30" i="34" s="1"/>
  <c r="AB29" i="34"/>
  <c r="AB30" i="34" s="1"/>
  <c r="AA29" i="34"/>
  <c r="Z29" i="34"/>
  <c r="Y29" i="34"/>
  <c r="Y30" i="34" s="1"/>
  <c r="X29" i="34"/>
  <c r="I25" i="34"/>
  <c r="H25" i="34"/>
  <c r="G25" i="34"/>
  <c r="AJ24" i="34"/>
  <c r="AI24" i="34"/>
  <c r="AH24" i="34"/>
  <c r="AG24" i="34"/>
  <c r="AF24" i="34"/>
  <c r="AE24" i="34"/>
  <c r="AD24" i="34"/>
  <c r="AC24" i="34"/>
  <c r="AB24" i="34"/>
  <c r="AA24" i="34"/>
  <c r="Z24" i="34"/>
  <c r="Y24" i="34"/>
  <c r="X24" i="34"/>
  <c r="I22" i="34"/>
  <c r="H22" i="34"/>
  <c r="G22" i="34"/>
  <c r="F22" i="34"/>
  <c r="E22" i="34"/>
  <c r="D22" i="34"/>
  <c r="J22" i="34" s="1"/>
  <c r="C22" i="34"/>
  <c r="AJ21" i="34"/>
  <c r="AI21" i="34"/>
  <c r="AH21" i="34"/>
  <c r="AG21" i="34"/>
  <c r="AF21" i="34"/>
  <c r="AE21" i="34"/>
  <c r="AD21" i="34"/>
  <c r="AC21" i="34"/>
  <c r="AB21" i="34"/>
  <c r="AA21" i="34"/>
  <c r="Z21" i="34"/>
  <c r="Y21" i="34"/>
  <c r="X21" i="34"/>
  <c r="I21" i="34"/>
  <c r="H21" i="34"/>
  <c r="G21" i="34"/>
  <c r="F21" i="34"/>
  <c r="E21" i="34"/>
  <c r="D21" i="34"/>
  <c r="C21" i="34"/>
  <c r="G20" i="34"/>
  <c r="G19" i="34"/>
  <c r="AJ18" i="34"/>
  <c r="AI18" i="34"/>
  <c r="AH18" i="34"/>
  <c r="AD18" i="34"/>
  <c r="AC18" i="34"/>
  <c r="AB18" i="34"/>
  <c r="AA18" i="34"/>
  <c r="Z18" i="34"/>
  <c r="Y18" i="34"/>
  <c r="X18" i="34"/>
  <c r="I18" i="34"/>
  <c r="H18" i="34"/>
  <c r="G18" i="34"/>
  <c r="F18" i="34"/>
  <c r="E18" i="34"/>
  <c r="D18" i="34"/>
  <c r="C18" i="34"/>
  <c r="AG18" i="34"/>
  <c r="AF18" i="34"/>
  <c r="AE18" i="34"/>
  <c r="J17" i="34"/>
  <c r="J16" i="34"/>
  <c r="AJ15" i="34"/>
  <c r="AI15" i="34"/>
  <c r="AH15" i="34"/>
  <c r="AG15" i="34"/>
  <c r="AF15" i="34"/>
  <c r="AE15" i="34"/>
  <c r="AD15" i="34"/>
  <c r="AC15" i="34"/>
  <c r="AB15" i="34"/>
  <c r="AA15" i="34"/>
  <c r="Z15" i="34"/>
  <c r="Y15" i="34"/>
  <c r="X15" i="34"/>
  <c r="I15" i="34"/>
  <c r="I19" i="34" s="1"/>
  <c r="H15" i="34"/>
  <c r="H20" i="34" s="1"/>
  <c r="F15" i="34"/>
  <c r="F19" i="34" s="1"/>
  <c r="E15" i="34"/>
  <c r="E20" i="34" s="1"/>
  <c r="D15" i="34"/>
  <c r="D20" i="34" s="1"/>
  <c r="C15" i="34"/>
  <c r="C20" i="34" s="1"/>
  <c r="J14" i="34"/>
  <c r="AJ12" i="34"/>
  <c r="AI12" i="34"/>
  <c r="AH12" i="34"/>
  <c r="AG12" i="34"/>
  <c r="AF12" i="34"/>
  <c r="AE12" i="34"/>
  <c r="AD12" i="34"/>
  <c r="AC12" i="34"/>
  <c r="AB12" i="34"/>
  <c r="AA12" i="34"/>
  <c r="Z12" i="34"/>
  <c r="Y12" i="34"/>
  <c r="X12" i="34"/>
  <c r="I12" i="34"/>
  <c r="H12" i="34"/>
  <c r="G12" i="34"/>
  <c r="F12" i="34"/>
  <c r="E12" i="34"/>
  <c r="D12" i="34"/>
  <c r="N11" i="34"/>
  <c r="I11" i="34"/>
  <c r="H11" i="34"/>
  <c r="G11" i="34"/>
  <c r="F11" i="34"/>
  <c r="E11" i="34"/>
  <c r="D11" i="34"/>
  <c r="C11" i="34"/>
  <c r="N10" i="34"/>
  <c r="O10" i="34" s="1"/>
  <c r="J10" i="34"/>
  <c r="N9" i="34"/>
  <c r="N8" i="34"/>
  <c r="I8" i="34"/>
  <c r="H8" i="34"/>
  <c r="G8" i="34"/>
  <c r="F8" i="34"/>
  <c r="E8" i="34"/>
  <c r="D8" i="34"/>
  <c r="C8" i="34"/>
  <c r="N7" i="34"/>
  <c r="N6" i="34"/>
  <c r="I6" i="34"/>
  <c r="H6" i="34"/>
  <c r="G6" i="34"/>
  <c r="F6" i="34"/>
  <c r="E6" i="34"/>
  <c r="D6" i="34"/>
  <c r="C6" i="34"/>
  <c r="AJ5" i="34"/>
  <c r="AI5" i="34"/>
  <c r="AH5" i="34"/>
  <c r="AG5" i="34"/>
  <c r="AF5" i="34"/>
  <c r="AE5" i="34"/>
  <c r="AD5" i="34"/>
  <c r="AC5" i="34"/>
  <c r="AB5" i="34"/>
  <c r="AA5" i="34"/>
  <c r="Z5" i="34"/>
  <c r="Y5" i="34"/>
  <c r="N5" i="34"/>
  <c r="AJ4" i="34"/>
  <c r="AI4" i="34"/>
  <c r="AH4" i="34"/>
  <c r="AG4" i="34"/>
  <c r="AF4" i="34"/>
  <c r="AE4" i="34"/>
  <c r="AD4" i="34"/>
  <c r="AC4" i="34"/>
  <c r="AB4" i="34"/>
  <c r="J4" i="34"/>
  <c r="I4" i="34"/>
  <c r="H4" i="34"/>
  <c r="G4" i="34"/>
  <c r="F4" i="34"/>
  <c r="E4" i="34"/>
  <c r="D4" i="34"/>
  <c r="N3" i="34"/>
  <c r="N2" i="34"/>
  <c r="S14" i="34" s="1"/>
  <c r="AJ39" i="25"/>
  <c r="AJ38" i="25"/>
  <c r="AJ43" i="25" s="1"/>
  <c r="AJ17" i="25"/>
  <c r="AJ18" i="25" s="1"/>
  <c r="AJ57" i="25"/>
  <c r="AJ52" i="25"/>
  <c r="AJ51" i="25"/>
  <c r="AJ53" i="25" s="1"/>
  <c r="AJ49" i="25"/>
  <c r="AJ29" i="25"/>
  <c r="AJ30" i="25" s="1"/>
  <c r="AJ24" i="25"/>
  <c r="AJ21" i="25"/>
  <c r="AJ15" i="25"/>
  <c r="AJ12" i="25"/>
  <c r="AJ5" i="25"/>
  <c r="AJ4" i="25"/>
  <c r="AG68" i="34" l="1"/>
  <c r="AJ40" i="34"/>
  <c r="O9" i="34"/>
  <c r="C19" i="34"/>
  <c r="J21" i="34"/>
  <c r="Q2" i="34" s="1"/>
  <c r="D19" i="34"/>
  <c r="AD53" i="34"/>
  <c r="AK61" i="34"/>
  <c r="AK62" i="34" s="1"/>
  <c r="AE53" i="34"/>
  <c r="AK65" i="34"/>
  <c r="J12" i="34"/>
  <c r="AK69" i="34"/>
  <c r="AH53" i="34"/>
  <c r="AG47" i="34"/>
  <c r="AH49" i="34"/>
  <c r="J6" i="34"/>
  <c r="J18" i="34"/>
  <c r="O11" i="34"/>
  <c r="N13" i="34"/>
  <c r="N20" i="34" s="1"/>
  <c r="AH32" i="34"/>
  <c r="E19" i="34"/>
  <c r="AH36" i="34"/>
  <c r="J8" i="34"/>
  <c r="J11" i="34"/>
  <c r="AJ69" i="34"/>
  <c r="AK70" i="34"/>
  <c r="AJ72" i="34"/>
  <c r="AJ70" i="34"/>
  <c r="AG65" i="34"/>
  <c r="AF62" i="34"/>
  <c r="AF65" i="34"/>
  <c r="AJ63" i="34"/>
  <c r="AF47" i="34"/>
  <c r="AF32" i="34" s="1"/>
  <c r="AG49" i="34"/>
  <c r="AG32" i="34"/>
  <c r="AK33" i="34" s="1"/>
  <c r="AI32" i="34"/>
  <c r="AJ34" i="34" s="1"/>
  <c r="AA53" i="34"/>
  <c r="AB53" i="34"/>
  <c r="AC53" i="34"/>
  <c r="AF53" i="34"/>
  <c r="AJ36" i="34"/>
  <c r="AD30" i="34"/>
  <c r="Z36" i="34"/>
  <c r="AB36" i="34"/>
  <c r="AA36" i="34"/>
  <c r="AG36" i="34"/>
  <c r="AM36" i="34" s="1"/>
  <c r="AF30" i="34"/>
  <c r="AE40" i="34"/>
  <c r="AG30" i="34"/>
  <c r="AF40" i="34"/>
  <c r="AH30" i="34"/>
  <c r="AG40" i="34"/>
  <c r="I20" i="34"/>
  <c r="T14" i="34"/>
  <c r="H19" i="34"/>
  <c r="J19" i="34" s="1"/>
  <c r="Z30" i="34"/>
  <c r="AC36" i="34"/>
  <c r="Y40" i="34"/>
  <c r="AJ43" i="34"/>
  <c r="AA30" i="34"/>
  <c r="Z40" i="34"/>
  <c r="AE30" i="34"/>
  <c r="F20" i="34"/>
  <c r="J20" i="34" s="1"/>
  <c r="AI30" i="34"/>
  <c r="AH40" i="34"/>
  <c r="X30" i="34"/>
  <c r="AJ30" i="34"/>
  <c r="AI40" i="34"/>
  <c r="AA40" i="34"/>
  <c r="AJ36" i="25"/>
  <c r="AJ40" i="25"/>
  <c r="AJ32" i="25"/>
  <c r="AK34" i="25" s="1"/>
  <c r="AM37" i="34" l="1"/>
  <c r="AM38" i="34" s="1"/>
  <c r="AK63" i="34"/>
  <c r="AG72" i="34"/>
  <c r="AH70" i="34"/>
  <c r="AG69" i="34"/>
  <c r="AG70" i="34"/>
  <c r="N14" i="34"/>
  <c r="Q13" i="34"/>
  <c r="Q14" i="34" s="1"/>
  <c r="AH34" i="34"/>
  <c r="AI34" i="34"/>
  <c r="AG62" i="34"/>
  <c r="AG63" i="34"/>
  <c r="AH65" i="34"/>
  <c r="AF49" i="34"/>
  <c r="AE47" i="34"/>
  <c r="AG34" i="34"/>
  <c r="AJ33" i="34"/>
  <c r="AH62" i="34" l="1"/>
  <c r="AH63" i="34"/>
  <c r="AI63" i="34"/>
  <c r="AD47" i="34"/>
  <c r="AE49" i="34"/>
  <c r="AE32" i="34"/>
  <c r="AI33" i="34" l="1"/>
  <c r="AF34" i="34"/>
  <c r="AC47" i="34"/>
  <c r="AD49" i="34"/>
  <c r="AD32" i="34"/>
  <c r="AH33" i="34" l="1"/>
  <c r="AC49" i="34"/>
  <c r="AB47" i="34"/>
  <c r="AC32" i="34"/>
  <c r="AE34" i="34"/>
  <c r="AG33" i="34" l="1"/>
  <c r="AA47" i="34"/>
  <c r="AB49" i="34"/>
  <c r="AB32" i="34"/>
  <c r="AD34" i="34"/>
  <c r="AF33" i="34" l="1"/>
  <c r="AA49" i="34"/>
  <c r="Z47" i="34"/>
  <c r="AA32" i="34"/>
  <c r="AC34" i="34"/>
  <c r="AE33" i="34" l="1"/>
  <c r="Z49" i="34"/>
  <c r="Y47" i="34"/>
  <c r="Z32" i="34"/>
  <c r="AB34" i="34"/>
  <c r="AD33" i="34" l="1"/>
  <c r="X47" i="34"/>
  <c r="X32" i="34" s="1"/>
  <c r="AB33" i="34" s="1"/>
  <c r="Y49" i="34"/>
  <c r="Y32" i="34"/>
  <c r="AA34" i="34"/>
  <c r="Y34" i="34" l="1"/>
  <c r="AC33" i="34"/>
  <c r="Z34" i="34"/>
  <c r="AZ11" i="13" l="1"/>
  <c r="AX11" i="13"/>
  <c r="S23" i="44" s="1"/>
  <c r="AW11" i="13"/>
  <c r="AV11" i="13"/>
  <c r="P23" i="44" s="1"/>
  <c r="AU11" i="13"/>
  <c r="AT11" i="13"/>
  <c r="AS11" i="13"/>
  <c r="R23" i="44" s="1"/>
  <c r="AR11" i="13"/>
  <c r="AQ11" i="13"/>
  <c r="O23" i="44" s="1"/>
  <c r="AY11" i="13"/>
  <c r="AA23" i="44" l="1"/>
  <c r="AB23" i="44"/>
  <c r="AT13" i="13"/>
  <c r="U23" i="44"/>
  <c r="L23" i="44" s="1"/>
  <c r="AU13" i="13"/>
  <c r="X23" i="44"/>
  <c r="AZ13" i="13"/>
  <c r="Y23" i="44"/>
  <c r="K23" i="44" s="1"/>
  <c r="AY13" i="13"/>
  <c r="V23" i="44"/>
  <c r="M23" i="44" s="1"/>
  <c r="AF41" i="31"/>
  <c r="AJ41" i="31"/>
  <c r="AF42" i="31"/>
  <c r="AJ42" i="31"/>
  <c r="AJ51" i="31"/>
  <c r="AK51" i="31" s="1"/>
  <c r="AF24" i="31"/>
  <c r="AJ24" i="31"/>
  <c r="AC20" i="44" l="1"/>
  <c r="AW8" i="31"/>
  <c r="AK53" i="31"/>
  <c r="AK35" i="31"/>
  <c r="AD17" i="33"/>
  <c r="AH17" i="33"/>
  <c r="AF67" i="33"/>
  <c r="AF68" i="33" s="1"/>
  <c r="AF64" i="33"/>
  <c r="AF65" i="33" s="1"/>
  <c r="AF61" i="33"/>
  <c r="AG61" i="33" s="1"/>
  <c r="AJ67" i="33"/>
  <c r="AJ64" i="33"/>
  <c r="AK64" i="33" s="1"/>
  <c r="AL64" i="33" s="1"/>
  <c r="AJ61" i="33"/>
  <c r="AK61" i="33" s="1"/>
  <c r="AL61" i="33" s="1"/>
  <c r="AI38" i="33"/>
  <c r="AI37" i="33"/>
  <c r="AI43" i="33" s="1"/>
  <c r="AH37" i="33"/>
  <c r="AH43" i="33" s="1"/>
  <c r="AJ37" i="33"/>
  <c r="AJ43" i="33" s="1"/>
  <c r="AH38" i="33"/>
  <c r="AJ38" i="33"/>
  <c r="AE17" i="33"/>
  <c r="AI17" i="33"/>
  <c r="AI18" i="33" s="1"/>
  <c r="AE69" i="33"/>
  <c r="AD69" i="33"/>
  <c r="AC69" i="33"/>
  <c r="AB69" i="33"/>
  <c r="AA69" i="33"/>
  <c r="AI68" i="33"/>
  <c r="AE68" i="33"/>
  <c r="AD68" i="33"/>
  <c r="AE66" i="33"/>
  <c r="AD66" i="33"/>
  <c r="AC66" i="33"/>
  <c r="AB66" i="33"/>
  <c r="AA66" i="33"/>
  <c r="AI65" i="33"/>
  <c r="AE65" i="33"/>
  <c r="AD65" i="33"/>
  <c r="AF17" i="33"/>
  <c r="AF18" i="33" s="1"/>
  <c r="AJ17" i="33"/>
  <c r="AJ18" i="33" s="1"/>
  <c r="AJ63" i="33"/>
  <c r="AE63" i="33"/>
  <c r="AD63" i="33"/>
  <c r="AC63" i="33"/>
  <c r="AB63" i="33"/>
  <c r="AA63" i="33"/>
  <c r="AI62" i="33"/>
  <c r="AE62" i="33"/>
  <c r="AD62" i="33"/>
  <c r="AJ57" i="33"/>
  <c r="AI57" i="33"/>
  <c r="AH57" i="33"/>
  <c r="AG57" i="33"/>
  <c r="AF57" i="33"/>
  <c r="AE57" i="33"/>
  <c r="AD57" i="33"/>
  <c r="AC57" i="33"/>
  <c r="AB57" i="33"/>
  <c r="AA57" i="33"/>
  <c r="Z57" i="33"/>
  <c r="Y57" i="33"/>
  <c r="X57" i="33"/>
  <c r="AJ52" i="33"/>
  <c r="AI52" i="33"/>
  <c r="AH52" i="33"/>
  <c r="AG52" i="33"/>
  <c r="AF52" i="33"/>
  <c r="AE52" i="33"/>
  <c r="AD52" i="33"/>
  <c r="AC52" i="33"/>
  <c r="AB52" i="33"/>
  <c r="AA52" i="33"/>
  <c r="Z52" i="33"/>
  <c r="Y52" i="33"/>
  <c r="AJ51" i="33"/>
  <c r="AI51" i="33"/>
  <c r="AH51" i="33"/>
  <c r="AH53" i="33" s="1"/>
  <c r="AG51" i="33"/>
  <c r="AF51" i="33"/>
  <c r="AF53" i="33" s="1"/>
  <c r="AE51" i="33"/>
  <c r="AE53" i="33" s="1"/>
  <c r="AD51" i="33"/>
  <c r="AD53" i="33" s="1"/>
  <c r="AC51" i="33"/>
  <c r="AC53" i="33" s="1"/>
  <c r="AB51" i="33"/>
  <c r="AA51" i="33"/>
  <c r="Z51" i="33"/>
  <c r="Z53" i="33" s="1"/>
  <c r="Y51" i="33"/>
  <c r="AJ49" i="33"/>
  <c r="AJ45" i="33"/>
  <c r="AI45" i="33"/>
  <c r="AH45" i="33"/>
  <c r="AG45" i="33"/>
  <c r="AF45" i="33"/>
  <c r="AE45" i="33"/>
  <c r="AD45" i="33"/>
  <c r="AC45" i="33"/>
  <c r="AB45" i="33"/>
  <c r="AA45" i="33"/>
  <c r="Z45" i="33"/>
  <c r="Y45" i="33"/>
  <c r="X45" i="33"/>
  <c r="Z43" i="33"/>
  <c r="Y43" i="33"/>
  <c r="X43" i="33"/>
  <c r="AA39" i="33"/>
  <c r="X39" i="33"/>
  <c r="Z39" i="33"/>
  <c r="Y39" i="33"/>
  <c r="AG43" i="33"/>
  <c r="AF43" i="33"/>
  <c r="AE43" i="33"/>
  <c r="AD43" i="33"/>
  <c r="AC43" i="33"/>
  <c r="AB43" i="33"/>
  <c r="AA43" i="33"/>
  <c r="I25" i="33"/>
  <c r="H25" i="33"/>
  <c r="G25" i="33"/>
  <c r="I22" i="33"/>
  <c r="H22" i="33"/>
  <c r="G22" i="33"/>
  <c r="F22" i="33"/>
  <c r="E22" i="33"/>
  <c r="D22" i="33"/>
  <c r="J22" i="33" s="1"/>
  <c r="C22" i="33"/>
  <c r="I21" i="33"/>
  <c r="H21" i="33"/>
  <c r="G21" i="33"/>
  <c r="F21" i="33"/>
  <c r="E21" i="33"/>
  <c r="D21" i="33"/>
  <c r="J21" i="33" s="1"/>
  <c r="C21" i="33"/>
  <c r="AE24" i="33"/>
  <c r="AC28" i="33"/>
  <c r="AB28" i="33"/>
  <c r="I20" i="33"/>
  <c r="H20" i="33"/>
  <c r="G20" i="33"/>
  <c r="F20" i="33"/>
  <c r="E20" i="33"/>
  <c r="D20" i="33"/>
  <c r="J20" i="33" s="1"/>
  <c r="I19" i="33"/>
  <c r="H19" i="33"/>
  <c r="G19" i="33"/>
  <c r="F19" i="33"/>
  <c r="E19" i="33"/>
  <c r="D19" i="33"/>
  <c r="J19" i="33" s="1"/>
  <c r="Z18" i="33"/>
  <c r="Y18" i="33"/>
  <c r="X18" i="33"/>
  <c r="I18" i="33"/>
  <c r="H18" i="33"/>
  <c r="G18" i="33"/>
  <c r="F18" i="33"/>
  <c r="E18" i="33"/>
  <c r="D18" i="33"/>
  <c r="C18" i="33"/>
  <c r="AG18" i="33"/>
  <c r="AE18" i="33"/>
  <c r="AD18" i="33"/>
  <c r="AC18" i="33"/>
  <c r="AB18" i="33"/>
  <c r="AA18" i="33"/>
  <c r="J17" i="33"/>
  <c r="J16" i="33"/>
  <c r="AJ15" i="33"/>
  <c r="AI15" i="33"/>
  <c r="AH15" i="33"/>
  <c r="AG15" i="33"/>
  <c r="AF15" i="33"/>
  <c r="AE15" i="33"/>
  <c r="AD15" i="33"/>
  <c r="AC15" i="33"/>
  <c r="AB15" i="33"/>
  <c r="Z15" i="33"/>
  <c r="Y15" i="33"/>
  <c r="X15" i="33"/>
  <c r="C15" i="33"/>
  <c r="C20" i="33" s="1"/>
  <c r="J14" i="33"/>
  <c r="AJ12" i="33"/>
  <c r="AI12" i="33"/>
  <c r="AH12" i="33"/>
  <c r="AG12" i="33"/>
  <c r="AF12" i="33"/>
  <c r="AE12" i="33"/>
  <c r="AD12" i="33"/>
  <c r="AC12" i="33"/>
  <c r="AB12" i="33"/>
  <c r="AA12" i="33"/>
  <c r="Z12" i="33"/>
  <c r="Y12" i="33"/>
  <c r="X12" i="33"/>
  <c r="I12" i="33"/>
  <c r="H12" i="33"/>
  <c r="G12" i="33"/>
  <c r="F12" i="33"/>
  <c r="E12" i="33"/>
  <c r="D12" i="33"/>
  <c r="AY11" i="33"/>
  <c r="AY13" i="33" s="1"/>
  <c r="AX11" i="33"/>
  <c r="AX13" i="33" s="1"/>
  <c r="AW11" i="33"/>
  <c r="AV11" i="33"/>
  <c r="AU11" i="33"/>
  <c r="AT11" i="33"/>
  <c r="AT13" i="33" s="1"/>
  <c r="AS11" i="33"/>
  <c r="AS13" i="33" s="1"/>
  <c r="AR11" i="33"/>
  <c r="AQ11" i="33"/>
  <c r="AP11" i="33"/>
  <c r="N11" i="33"/>
  <c r="J11" i="33"/>
  <c r="I11" i="33"/>
  <c r="H11" i="33"/>
  <c r="G11" i="33"/>
  <c r="F11" i="33"/>
  <c r="E11" i="33"/>
  <c r="D11" i="33"/>
  <c r="C11" i="33"/>
  <c r="N10" i="33"/>
  <c r="J10" i="33"/>
  <c r="AJ9" i="33"/>
  <c r="AI9" i="33"/>
  <c r="AH9" i="33"/>
  <c r="AG9" i="33"/>
  <c r="AF9" i="33"/>
  <c r="AE9" i="33"/>
  <c r="AD9" i="33"/>
  <c r="AC9" i="33"/>
  <c r="AB9" i="33"/>
  <c r="AA9" i="33"/>
  <c r="Z9" i="33"/>
  <c r="Y9" i="33"/>
  <c r="N9" i="33"/>
  <c r="AJ8" i="33"/>
  <c r="AI8" i="33"/>
  <c r="AH8" i="33"/>
  <c r="AG8" i="33"/>
  <c r="AF8" i="33"/>
  <c r="AE8" i="33"/>
  <c r="AD8" i="33"/>
  <c r="AC8" i="33"/>
  <c r="AB8" i="33"/>
  <c r="N8" i="33"/>
  <c r="I8" i="33"/>
  <c r="H8" i="33"/>
  <c r="G8" i="33"/>
  <c r="F8" i="33"/>
  <c r="E8" i="33"/>
  <c r="D8" i="33"/>
  <c r="J8" i="33" s="1"/>
  <c r="C8" i="33"/>
  <c r="N7" i="33"/>
  <c r="N6" i="33"/>
  <c r="I6" i="33"/>
  <c r="H6" i="33"/>
  <c r="G6" i="33"/>
  <c r="F6" i="33"/>
  <c r="E6" i="33"/>
  <c r="D6" i="33"/>
  <c r="J6" i="33" s="1"/>
  <c r="C6" i="33"/>
  <c r="AJ5" i="33"/>
  <c r="AI5" i="33"/>
  <c r="AH5" i="33"/>
  <c r="AG5" i="33"/>
  <c r="AF5" i="33"/>
  <c r="AE5" i="33"/>
  <c r="AD5" i="33"/>
  <c r="AC5" i="33"/>
  <c r="AB5" i="33"/>
  <c r="AA5" i="33"/>
  <c r="Z5" i="33"/>
  <c r="Y5" i="33"/>
  <c r="N5" i="33"/>
  <c r="AJ4" i="33"/>
  <c r="AI4" i="33"/>
  <c r="AH4" i="33"/>
  <c r="AG4" i="33"/>
  <c r="AF4" i="33"/>
  <c r="AE4" i="33"/>
  <c r="AD4" i="33"/>
  <c r="AC4" i="33"/>
  <c r="AB4" i="33"/>
  <c r="J4" i="33"/>
  <c r="I4" i="33"/>
  <c r="H4" i="33"/>
  <c r="G4" i="33"/>
  <c r="F4" i="33"/>
  <c r="E4" i="33"/>
  <c r="D4" i="33"/>
  <c r="N3" i="33"/>
  <c r="AO2" i="33"/>
  <c r="N2" i="33"/>
  <c r="T14" i="33" s="1"/>
  <c r="AC56" i="32"/>
  <c r="AC57" i="32" s="1"/>
  <c r="AG56" i="32"/>
  <c r="AG52" i="32" s="1"/>
  <c r="AG37" i="32"/>
  <c r="AD56" i="32"/>
  <c r="AD37" i="32"/>
  <c r="AF86" i="32"/>
  <c r="AG86" i="32" s="1"/>
  <c r="AF84" i="32"/>
  <c r="AG84" i="32" s="1"/>
  <c r="AF81" i="32"/>
  <c r="AF87" i="32" s="1"/>
  <c r="AJ86" i="32"/>
  <c r="AK86" i="32" s="1"/>
  <c r="AJ84" i="32"/>
  <c r="AK84" i="32" s="1"/>
  <c r="AJ81" i="32"/>
  <c r="AK81" i="32" s="1"/>
  <c r="AF76" i="32"/>
  <c r="AG76" i="32" s="1"/>
  <c r="AJ76" i="32"/>
  <c r="AF74" i="32"/>
  <c r="AG74" i="32" s="1"/>
  <c r="AH74" i="32" s="1"/>
  <c r="AJ74" i="32"/>
  <c r="AK74" i="32" s="1"/>
  <c r="AF71" i="32"/>
  <c r="AG71" i="32" s="1"/>
  <c r="AJ71" i="32"/>
  <c r="AK71" i="32" s="1"/>
  <c r="AF66" i="32"/>
  <c r="AF67" i="32" s="1"/>
  <c r="AF64" i="32"/>
  <c r="AG64" i="32" s="1"/>
  <c r="AH64" i="32" s="1"/>
  <c r="AF61" i="32"/>
  <c r="AF62" i="32" s="1"/>
  <c r="AJ66" i="32"/>
  <c r="AK66" i="32" s="1"/>
  <c r="AJ64" i="32"/>
  <c r="AK64" i="32" s="1"/>
  <c r="AJ61" i="32"/>
  <c r="AK61" i="32" s="1"/>
  <c r="AH56" i="32"/>
  <c r="AI56" i="32"/>
  <c r="AI52" i="32" s="1"/>
  <c r="AI37" i="32"/>
  <c r="AI43" i="32" s="1"/>
  <c r="AJ47" i="32"/>
  <c r="AJ56" i="32"/>
  <c r="AK52" i="32" s="1"/>
  <c r="AK53" i="32" s="1"/>
  <c r="AH37" i="32"/>
  <c r="AJ37" i="32"/>
  <c r="AI87" i="32"/>
  <c r="AE87" i="32"/>
  <c r="AD87" i="32"/>
  <c r="AC87" i="32"/>
  <c r="AB87" i="32"/>
  <c r="AA87" i="32"/>
  <c r="Z87" i="32"/>
  <c r="AI85" i="32"/>
  <c r="AF85" i="32"/>
  <c r="AE85" i="32"/>
  <c r="AD85" i="32"/>
  <c r="AC85" i="32"/>
  <c r="AB85" i="32"/>
  <c r="AA85" i="32"/>
  <c r="Z85" i="32"/>
  <c r="AF83" i="32"/>
  <c r="AE83" i="32"/>
  <c r="AD83" i="32"/>
  <c r="AC83" i="32"/>
  <c r="AB83" i="32"/>
  <c r="AA83" i="32"/>
  <c r="AI82" i="32"/>
  <c r="AF82" i="32"/>
  <c r="AE82" i="32"/>
  <c r="AD82" i="32"/>
  <c r="AI77" i="32"/>
  <c r="AF77" i="32"/>
  <c r="AE77" i="32"/>
  <c r="AD77" i="32"/>
  <c r="AC77" i="32"/>
  <c r="AB77" i="32"/>
  <c r="AA77" i="32"/>
  <c r="Z77" i="32"/>
  <c r="AI75" i="32"/>
  <c r="AE75" i="32"/>
  <c r="AD75" i="32"/>
  <c r="AC75" i="32"/>
  <c r="AB75" i="32"/>
  <c r="AA75" i="32"/>
  <c r="Z75" i="32"/>
  <c r="AJ73" i="32"/>
  <c r="AE73" i="32"/>
  <c r="AD73" i="32"/>
  <c r="AC73" i="32"/>
  <c r="AB73" i="32"/>
  <c r="AA73" i="32"/>
  <c r="AI72" i="32"/>
  <c r="AF72" i="32"/>
  <c r="AE72" i="32"/>
  <c r="AD72" i="32"/>
  <c r="AI67" i="32"/>
  <c r="AE67" i="32"/>
  <c r="AD67" i="32"/>
  <c r="AC67" i="32"/>
  <c r="AB67" i="32"/>
  <c r="AA67" i="32"/>
  <c r="Z67" i="32"/>
  <c r="AI65" i="32"/>
  <c r="AE65" i="32"/>
  <c r="AD65" i="32"/>
  <c r="AC65" i="32"/>
  <c r="AB65" i="32"/>
  <c r="AA65" i="32"/>
  <c r="Z65" i="32"/>
  <c r="AJ63" i="32"/>
  <c r="AE63" i="32"/>
  <c r="AD63" i="32"/>
  <c r="AC63" i="32"/>
  <c r="AB63" i="32"/>
  <c r="AA63" i="32"/>
  <c r="AJ62" i="32"/>
  <c r="AI62" i="32"/>
  <c r="AE62" i="32"/>
  <c r="AD62" i="32"/>
  <c r="AJ57" i="32"/>
  <c r="AH57" i="32"/>
  <c r="AF57" i="32"/>
  <c r="AE57" i="32"/>
  <c r="AD57" i="32"/>
  <c r="AB57" i="32"/>
  <c r="AA57" i="32"/>
  <c r="Z57" i="32"/>
  <c r="Y57" i="32"/>
  <c r="X57" i="32"/>
  <c r="AJ52" i="32"/>
  <c r="AF52" i="32"/>
  <c r="AE52" i="32"/>
  <c r="AD52" i="32"/>
  <c r="AC52" i="32"/>
  <c r="AB52" i="32"/>
  <c r="AA52" i="32"/>
  <c r="Z52" i="32"/>
  <c r="Y52" i="32"/>
  <c r="AJ51" i="32"/>
  <c r="AI51" i="32"/>
  <c r="AH51" i="32"/>
  <c r="AG51" i="32"/>
  <c r="AF51" i="32"/>
  <c r="AF53" i="32" s="1"/>
  <c r="AE51" i="32"/>
  <c r="AE53" i="32" s="1"/>
  <c r="AD51" i="32"/>
  <c r="AC51" i="32"/>
  <c r="AC53" i="32" s="1"/>
  <c r="AB51" i="32"/>
  <c r="AA51" i="32"/>
  <c r="AA53" i="32" s="1"/>
  <c r="Z51" i="32"/>
  <c r="Y51" i="32"/>
  <c r="Y53" i="32" s="1"/>
  <c r="AJ49" i="32"/>
  <c r="AI47" i="32"/>
  <c r="AI49" i="32" s="1"/>
  <c r="AJ45" i="32"/>
  <c r="AI45" i="32"/>
  <c r="AH45" i="32"/>
  <c r="AG45" i="32"/>
  <c r="AF45" i="32"/>
  <c r="AE45" i="32"/>
  <c r="AD45" i="32"/>
  <c r="AC45" i="32"/>
  <c r="AB45" i="32"/>
  <c r="AA45" i="32"/>
  <c r="Z45" i="32"/>
  <c r="Y45" i="32"/>
  <c r="X45" i="32"/>
  <c r="AE43" i="32"/>
  <c r="AC43" i="32"/>
  <c r="AB43" i="32"/>
  <c r="AA43" i="32"/>
  <c r="Y43" i="32"/>
  <c r="X43" i="32"/>
  <c r="AJ39" i="32"/>
  <c r="AE39" i="32"/>
  <c r="AC39" i="32"/>
  <c r="AB39" i="32"/>
  <c r="Y39" i="32"/>
  <c r="X39" i="32"/>
  <c r="AJ43" i="32"/>
  <c r="AH43" i="32"/>
  <c r="AG43" i="32"/>
  <c r="AF43" i="32"/>
  <c r="AD43" i="32"/>
  <c r="AA39" i="32"/>
  <c r="Z43" i="32"/>
  <c r="Y28" i="32"/>
  <c r="X28" i="32"/>
  <c r="I25" i="32"/>
  <c r="H25" i="32"/>
  <c r="G25" i="32"/>
  <c r="Y24" i="32"/>
  <c r="X24" i="32"/>
  <c r="I22" i="32"/>
  <c r="H22" i="32"/>
  <c r="G22" i="32"/>
  <c r="F22" i="32"/>
  <c r="E22" i="32"/>
  <c r="D22" i="32"/>
  <c r="J22" i="32" s="1"/>
  <c r="C22" i="32"/>
  <c r="Y21" i="32"/>
  <c r="X21" i="32"/>
  <c r="I21" i="32"/>
  <c r="H21" i="32"/>
  <c r="G21" i="32"/>
  <c r="F21" i="32"/>
  <c r="E21" i="32"/>
  <c r="D21" i="32"/>
  <c r="J21" i="32" s="1"/>
  <c r="C21" i="32"/>
  <c r="AI28" i="32"/>
  <c r="AA28" i="32"/>
  <c r="I20" i="32"/>
  <c r="H20" i="32"/>
  <c r="G20" i="32"/>
  <c r="F20" i="32"/>
  <c r="E20" i="32"/>
  <c r="D20" i="32"/>
  <c r="J20" i="32" s="1"/>
  <c r="I19" i="32"/>
  <c r="H19" i="32"/>
  <c r="G19" i="32"/>
  <c r="F19" i="32"/>
  <c r="E19" i="32"/>
  <c r="D19" i="32"/>
  <c r="J19" i="32" s="1"/>
  <c r="AI18" i="32"/>
  <c r="AH18" i="32"/>
  <c r="AG18" i="32"/>
  <c r="AF18" i="32"/>
  <c r="AE18" i="32"/>
  <c r="AA18" i="32"/>
  <c r="Y18" i="32"/>
  <c r="X18" i="32"/>
  <c r="I18" i="32"/>
  <c r="H18" i="32"/>
  <c r="G18" i="32"/>
  <c r="F18" i="32"/>
  <c r="E18" i="32"/>
  <c r="D18" i="32"/>
  <c r="J18" i="32" s="1"/>
  <c r="C18" i="32"/>
  <c r="AD18" i="32"/>
  <c r="AC18" i="32"/>
  <c r="AB18" i="32"/>
  <c r="J17" i="32"/>
  <c r="J16" i="32"/>
  <c r="AJ15" i="32"/>
  <c r="AI15" i="32"/>
  <c r="AH15" i="32"/>
  <c r="AG15" i="32"/>
  <c r="AF15" i="32"/>
  <c r="AE15" i="32"/>
  <c r="AD15" i="32"/>
  <c r="AC15" i="32"/>
  <c r="AB15" i="32"/>
  <c r="AA15" i="32"/>
  <c r="Z15" i="32"/>
  <c r="Y15" i="32"/>
  <c r="X15" i="32"/>
  <c r="C15" i="32"/>
  <c r="C19" i="32" s="1"/>
  <c r="J14" i="32"/>
  <c r="AJ12" i="32"/>
  <c r="AI12" i="32"/>
  <c r="AH12" i="32"/>
  <c r="AG12" i="32"/>
  <c r="AF12" i="32"/>
  <c r="AE12" i="32"/>
  <c r="AD12" i="32"/>
  <c r="AC12" i="32"/>
  <c r="AB12" i="32"/>
  <c r="AA12" i="32"/>
  <c r="Z12" i="32"/>
  <c r="Y12" i="32"/>
  <c r="X12" i="32"/>
  <c r="I12" i="32"/>
  <c r="H12" i="32"/>
  <c r="G12" i="32"/>
  <c r="F12" i="32"/>
  <c r="E12" i="32"/>
  <c r="D12" i="32"/>
  <c r="AX11" i="32"/>
  <c r="AW11" i="32"/>
  <c r="AV11" i="32"/>
  <c r="S22" i="44" s="1"/>
  <c r="AU11" i="32"/>
  <c r="AT11" i="32"/>
  <c r="P22" i="44" s="1"/>
  <c r="AA22" i="44" s="1"/>
  <c r="AS11" i="32"/>
  <c r="AR11" i="32"/>
  <c r="AQ11" i="32"/>
  <c r="R22" i="44" s="1"/>
  <c r="AP11" i="32"/>
  <c r="AO11" i="32"/>
  <c r="O22" i="44" s="1"/>
  <c r="N11" i="32"/>
  <c r="I11" i="32"/>
  <c r="H11" i="32"/>
  <c r="G11" i="32"/>
  <c r="F11" i="32"/>
  <c r="E11" i="32"/>
  <c r="D11" i="32"/>
  <c r="J11" i="32" s="1"/>
  <c r="C11" i="32"/>
  <c r="N10" i="32"/>
  <c r="O10" i="32" s="1"/>
  <c r="J10" i="32"/>
  <c r="AJ9" i="32"/>
  <c r="AI9" i="32"/>
  <c r="AH9" i="32"/>
  <c r="AG9" i="32"/>
  <c r="AF9" i="32"/>
  <c r="AE9" i="32"/>
  <c r="AD9" i="32"/>
  <c r="AC9" i="32"/>
  <c r="AB9" i="32"/>
  <c r="AA9" i="32"/>
  <c r="Z9" i="32"/>
  <c r="Y9" i="32"/>
  <c r="N9" i="32"/>
  <c r="O9" i="32" s="1"/>
  <c r="AJ8" i="32"/>
  <c r="AI8" i="32"/>
  <c r="AH8" i="32"/>
  <c r="AG8" i="32"/>
  <c r="AF8" i="32"/>
  <c r="AE8" i="32"/>
  <c r="AD8" i="32"/>
  <c r="AC8" i="32"/>
  <c r="AB8" i="32"/>
  <c r="N8" i="32"/>
  <c r="I8" i="32"/>
  <c r="H8" i="32"/>
  <c r="G8" i="32"/>
  <c r="F8" i="32"/>
  <c r="E8" i="32"/>
  <c r="D8" i="32"/>
  <c r="J8" i="32" s="1"/>
  <c r="C8" i="32"/>
  <c r="N7" i="32"/>
  <c r="N6" i="32"/>
  <c r="J6" i="32"/>
  <c r="I6" i="32"/>
  <c r="H6" i="32"/>
  <c r="G6" i="32"/>
  <c r="F6" i="32"/>
  <c r="E6" i="32"/>
  <c r="D6" i="32"/>
  <c r="C6" i="32"/>
  <c r="AJ5" i="32"/>
  <c r="AI5" i="32"/>
  <c r="AH5" i="32"/>
  <c r="AG5" i="32"/>
  <c r="AF5" i="32"/>
  <c r="AE5" i="32"/>
  <c r="AD5" i="32"/>
  <c r="AC5" i="32"/>
  <c r="AB5" i="32"/>
  <c r="AA5" i="32"/>
  <c r="Z5" i="32"/>
  <c r="Y5" i="32"/>
  <c r="N5" i="32"/>
  <c r="AJ4" i="32"/>
  <c r="AI4" i="32"/>
  <c r="AH4" i="32"/>
  <c r="AG4" i="32"/>
  <c r="AF4" i="32"/>
  <c r="AE4" i="32"/>
  <c r="AD4" i="32"/>
  <c r="AC4" i="32"/>
  <c r="AB4" i="32"/>
  <c r="J4" i="32"/>
  <c r="I4" i="32"/>
  <c r="H4" i="32"/>
  <c r="G4" i="32"/>
  <c r="F4" i="32"/>
  <c r="E4" i="32"/>
  <c r="D4" i="32"/>
  <c r="N3" i="32"/>
  <c r="AN2" i="32"/>
  <c r="N2" i="32"/>
  <c r="T14" i="32" s="1"/>
  <c r="AY9" i="24"/>
  <c r="AY11" i="24" s="1"/>
  <c r="AS9" i="24"/>
  <c r="AS11" i="24" s="1"/>
  <c r="AG23" i="24"/>
  <c r="AK23" i="24"/>
  <c r="AK84" i="24"/>
  <c r="AK76" i="24"/>
  <c r="AK75" i="24"/>
  <c r="AK72" i="24"/>
  <c r="AK71" i="24"/>
  <c r="AK68" i="24"/>
  <c r="AK67" i="24"/>
  <c r="AK64" i="24"/>
  <c r="AK63" i="24"/>
  <c r="AK45" i="24"/>
  <c r="AK49" i="24" s="1"/>
  <c r="AK43" i="24"/>
  <c r="AK33" i="24"/>
  <c r="AK32" i="24"/>
  <c r="AK29" i="24"/>
  <c r="AK28" i="24"/>
  <c r="AK24" i="24"/>
  <c r="AK21" i="24"/>
  <c r="AK20" i="24"/>
  <c r="AK17" i="24"/>
  <c r="AK16" i="24"/>
  <c r="AK11" i="24"/>
  <c r="AK9" i="24"/>
  <c r="AK8" i="24"/>
  <c r="AK5" i="24"/>
  <c r="AK4" i="24"/>
  <c r="AG72" i="32" l="1"/>
  <c r="AH71" i="32"/>
  <c r="AH72" i="32" s="1"/>
  <c r="AX13" i="32"/>
  <c r="Y22" i="44"/>
  <c r="K22" i="44" s="1"/>
  <c r="AR13" i="32"/>
  <c r="U22" i="44"/>
  <c r="L22" i="44" s="1"/>
  <c r="J12" i="32"/>
  <c r="AH52" i="32"/>
  <c r="AG61" i="32"/>
  <c r="AH61" i="32" s="1"/>
  <c r="AS13" i="32"/>
  <c r="X22" i="44"/>
  <c r="Q2" i="32"/>
  <c r="AB53" i="32"/>
  <c r="AH75" i="32"/>
  <c r="AG66" i="32"/>
  <c r="AH66" i="32" s="1"/>
  <c r="Y53" i="33"/>
  <c r="C20" i="32"/>
  <c r="AK76" i="32"/>
  <c r="AK77" i="32" s="1"/>
  <c r="G20" i="44"/>
  <c r="J20" i="44" s="1"/>
  <c r="AB22" i="44"/>
  <c r="J18" i="33"/>
  <c r="AA53" i="33"/>
  <c r="AW13" i="32"/>
  <c r="V22" i="44"/>
  <c r="M22" i="44" s="1"/>
  <c r="AB53" i="33"/>
  <c r="Q2" i="33"/>
  <c r="AI39" i="33"/>
  <c r="AL63" i="33"/>
  <c r="J12" i="33"/>
  <c r="AL66" i="33"/>
  <c r="AJ68" i="33"/>
  <c r="AK67" i="33"/>
  <c r="AL67" i="33" s="1"/>
  <c r="O9" i="33"/>
  <c r="O10" i="33"/>
  <c r="AJ39" i="33"/>
  <c r="AF66" i="33"/>
  <c r="O11" i="33"/>
  <c r="AH65" i="32"/>
  <c r="AI63" i="32"/>
  <c r="AH76" i="32"/>
  <c r="AH77" i="32" s="1"/>
  <c r="AG77" i="32"/>
  <c r="AH84" i="32"/>
  <c r="AG87" i="32"/>
  <c r="AH86" i="32"/>
  <c r="AF75" i="32"/>
  <c r="AK65" i="32"/>
  <c r="AK67" i="32"/>
  <c r="AK87" i="32"/>
  <c r="Z53" i="32"/>
  <c r="AG57" i="32"/>
  <c r="X35" i="32"/>
  <c r="AH47" i="32"/>
  <c r="AH49" i="32" s="1"/>
  <c r="AG81" i="32"/>
  <c r="AG85" i="32" s="1"/>
  <c r="X29" i="32"/>
  <c r="AK75" i="32"/>
  <c r="AK63" i="32"/>
  <c r="AK62" i="32"/>
  <c r="AK72" i="32"/>
  <c r="AK73" i="32"/>
  <c r="AJ82" i="32"/>
  <c r="AJ85" i="32"/>
  <c r="AK85" i="32"/>
  <c r="AH61" i="33"/>
  <c r="AL62" i="33" s="1"/>
  <c r="AG63" i="33"/>
  <c r="AG62" i="33"/>
  <c r="AF63" i="33"/>
  <c r="AF62" i="33"/>
  <c r="AG64" i="33"/>
  <c r="C19" i="33"/>
  <c r="AG67" i="33"/>
  <c r="AF69" i="33"/>
  <c r="AJ69" i="33"/>
  <c r="AJ62" i="33"/>
  <c r="AJ65" i="33"/>
  <c r="O11" i="32"/>
  <c r="N13" i="32"/>
  <c r="Q13" i="32" s="1"/>
  <c r="Q14" i="32" s="1"/>
  <c r="AJ66" i="33"/>
  <c r="AJ53" i="33"/>
  <c r="AG53" i="33"/>
  <c r="AI53" i="33"/>
  <c r="AA28" i="33"/>
  <c r="AA21" i="33"/>
  <c r="AA24" i="33"/>
  <c r="AH28" i="33"/>
  <c r="AH21" i="33"/>
  <c r="AH24" i="33"/>
  <c r="AI28" i="33"/>
  <c r="D13" i="44" s="1"/>
  <c r="AI21" i="33"/>
  <c r="AI24" i="33"/>
  <c r="X28" i="33"/>
  <c r="X21" i="33"/>
  <c r="X24" i="33"/>
  <c r="AJ28" i="33"/>
  <c r="AJ21" i="33"/>
  <c r="AJ24" i="33"/>
  <c r="Y28" i="33"/>
  <c r="Y21" i="33"/>
  <c r="Y24" i="33"/>
  <c r="Z28" i="33"/>
  <c r="Z21" i="33"/>
  <c r="Z24" i="33"/>
  <c r="AB29" i="33"/>
  <c r="AB35" i="33"/>
  <c r="AC35" i="33"/>
  <c r="AC29" i="33"/>
  <c r="AH18" i="33"/>
  <c r="AE21" i="33"/>
  <c r="N13" i="33"/>
  <c r="N14" i="33" s="1"/>
  <c r="AE28" i="33"/>
  <c r="AI47" i="33"/>
  <c r="AB39" i="33"/>
  <c r="AA15" i="33"/>
  <c r="AC39" i="33"/>
  <c r="AB24" i="33"/>
  <c r="AD39" i="33"/>
  <c r="AC24" i="33"/>
  <c r="AE39" i="33"/>
  <c r="AF39" i="33"/>
  <c r="AB21" i="33"/>
  <c r="AG39" i="33"/>
  <c r="S14" i="33"/>
  <c r="AC21" i="33"/>
  <c r="AH39" i="33"/>
  <c r="AI73" i="32"/>
  <c r="AH62" i="32"/>
  <c r="AH67" i="32"/>
  <c r="AG75" i="32"/>
  <c r="AG73" i="32"/>
  <c r="AH73" i="32"/>
  <c r="AG65" i="32"/>
  <c r="AH63" i="32"/>
  <c r="AG62" i="32"/>
  <c r="AG67" i="32"/>
  <c r="AD53" i="32"/>
  <c r="AH53" i="32"/>
  <c r="AG83" i="32"/>
  <c r="AJ87" i="32"/>
  <c r="AJ83" i="32"/>
  <c r="AF73" i="32"/>
  <c r="AJ72" i="32"/>
  <c r="AJ77" i="32"/>
  <c r="AJ75" i="32"/>
  <c r="AF65" i="32"/>
  <c r="AF63" i="32"/>
  <c r="AG63" i="32"/>
  <c r="AJ65" i="32"/>
  <c r="AJ67" i="32"/>
  <c r="AG47" i="32"/>
  <c r="AG49" i="32" s="1"/>
  <c r="AG53" i="32"/>
  <c r="AJ53" i="32"/>
  <c r="Z28" i="32"/>
  <c r="Z21" i="32"/>
  <c r="Z24" i="32"/>
  <c r="AJ28" i="32"/>
  <c r="AJ21" i="32"/>
  <c r="AJ24" i="32"/>
  <c r="AI53" i="32"/>
  <c r="AE24" i="32"/>
  <c r="AE28" i="32"/>
  <c r="AE21" i="32"/>
  <c r="AA29" i="32"/>
  <c r="AA35" i="32"/>
  <c r="AF24" i="32"/>
  <c r="AF21" i="32"/>
  <c r="AF28" i="32"/>
  <c r="AI31" i="32"/>
  <c r="AI29" i="32"/>
  <c r="AI35" i="32"/>
  <c r="AG24" i="32"/>
  <c r="AG28" i="32"/>
  <c r="AG21" i="32"/>
  <c r="AH28" i="32"/>
  <c r="D22" i="44" s="1"/>
  <c r="AH21" i="32"/>
  <c r="AH24" i="32"/>
  <c r="AI57" i="32"/>
  <c r="AI24" i="32"/>
  <c r="AD39" i="32"/>
  <c r="AF39" i="32"/>
  <c r="AI21" i="32"/>
  <c r="AG39" i="32"/>
  <c r="AJ18" i="32"/>
  <c r="AA24" i="32"/>
  <c r="AH39" i="32"/>
  <c r="S14" i="32"/>
  <c r="Z18" i="32"/>
  <c r="AI39" i="32"/>
  <c r="Y35" i="32"/>
  <c r="AA21" i="32"/>
  <c r="Y29" i="32"/>
  <c r="Z39" i="32"/>
  <c r="AK35" i="24"/>
  <c r="AK53" i="24"/>
  <c r="AK46" i="24"/>
  <c r="AL69" i="33" l="1"/>
  <c r="AK69" i="33"/>
  <c r="N14" i="32"/>
  <c r="AG82" i="32"/>
  <c r="AH81" i="32"/>
  <c r="N20" i="32"/>
  <c r="AK82" i="32"/>
  <c r="AK83" i="32"/>
  <c r="AH67" i="33"/>
  <c r="AL68" i="33" s="1"/>
  <c r="AG69" i="33"/>
  <c r="AG68" i="33"/>
  <c r="AH64" i="33"/>
  <c r="AL65" i="33" s="1"/>
  <c r="AG66" i="33"/>
  <c r="AG65" i="33"/>
  <c r="AK68" i="33"/>
  <c r="AH63" i="33"/>
  <c r="AH62" i="33"/>
  <c r="AI63" i="33"/>
  <c r="AK66" i="33"/>
  <c r="AK65" i="33"/>
  <c r="AK63" i="33"/>
  <c r="AK62" i="33"/>
  <c r="AI31" i="33"/>
  <c r="F13" i="44" s="1"/>
  <c r="AI29" i="33"/>
  <c r="AI35" i="33"/>
  <c r="AF24" i="33"/>
  <c r="AF28" i="33"/>
  <c r="AF21" i="33"/>
  <c r="AI49" i="33"/>
  <c r="AH47" i="33"/>
  <c r="AD21" i="33"/>
  <c r="AD24" i="33"/>
  <c r="AD28" i="33"/>
  <c r="AE29" i="33"/>
  <c r="AE35" i="33"/>
  <c r="Z29" i="33"/>
  <c r="Z35" i="33"/>
  <c r="AH29" i="33"/>
  <c r="AH35" i="33"/>
  <c r="X29" i="33"/>
  <c r="X35" i="33"/>
  <c r="N20" i="33"/>
  <c r="Q13" i="33"/>
  <c r="Q14" i="33" s="1"/>
  <c r="Y29" i="33"/>
  <c r="Y35" i="33"/>
  <c r="AG24" i="33"/>
  <c r="AG28" i="33"/>
  <c r="AG21" i="33"/>
  <c r="AJ31" i="33"/>
  <c r="AK33" i="33" s="1"/>
  <c r="AJ29" i="33"/>
  <c r="AJ35" i="33"/>
  <c r="AA29" i="33"/>
  <c r="AA35" i="33"/>
  <c r="AF47" i="32"/>
  <c r="AF49" i="32" s="1"/>
  <c r="AG31" i="32"/>
  <c r="AK32" i="32" s="1"/>
  <c r="AG29" i="32"/>
  <c r="AG35" i="32"/>
  <c r="AJ31" i="32"/>
  <c r="AK33" i="32" s="1"/>
  <c r="AJ29" i="32"/>
  <c r="AJ35" i="32"/>
  <c r="AE29" i="32"/>
  <c r="AE35" i="32"/>
  <c r="AF29" i="32"/>
  <c r="AF35" i="32"/>
  <c r="AC21" i="32"/>
  <c r="AC24" i="32"/>
  <c r="AC28" i="32"/>
  <c r="AD21" i="32"/>
  <c r="AD24" i="32"/>
  <c r="AD28" i="32"/>
  <c r="AB28" i="32"/>
  <c r="AB21" i="32"/>
  <c r="AB24" i="32"/>
  <c r="AH31" i="32"/>
  <c r="AH29" i="32"/>
  <c r="AH35" i="32"/>
  <c r="Z29" i="32"/>
  <c r="Z35" i="32"/>
  <c r="AK40" i="24"/>
  <c r="AK56" i="24"/>
  <c r="AK54" i="24"/>
  <c r="AK60" i="24"/>
  <c r="AN35" i="33" l="1"/>
  <c r="AN36" i="33"/>
  <c r="AI33" i="32"/>
  <c r="F22" i="44"/>
  <c r="AM35" i="32"/>
  <c r="H22" i="44" s="1"/>
  <c r="AM36" i="32"/>
  <c r="AM37" i="32" s="1"/>
  <c r="I22" i="44" s="1"/>
  <c r="H13" i="44"/>
  <c r="AN37" i="33"/>
  <c r="I13" i="44" s="1"/>
  <c r="AH82" i="32"/>
  <c r="AI83" i="32"/>
  <c r="AH83" i="32"/>
  <c r="AH85" i="32"/>
  <c r="AH87" i="32"/>
  <c r="AH65" i="33"/>
  <c r="AI66" i="33"/>
  <c r="AH66" i="33"/>
  <c r="AH69" i="33"/>
  <c r="AI69" i="33"/>
  <c r="AH68" i="33"/>
  <c r="AF29" i="33"/>
  <c r="AF35" i="33"/>
  <c r="AH49" i="33"/>
  <c r="AG47" i="33"/>
  <c r="AG31" i="33" s="1"/>
  <c r="AK32" i="33" s="1"/>
  <c r="AG29" i="33"/>
  <c r="AG35" i="33"/>
  <c r="AJ33" i="33"/>
  <c r="AD29" i="33"/>
  <c r="AD35" i="33"/>
  <c r="AH31" i="33"/>
  <c r="AE47" i="32"/>
  <c r="AE31" i="32" s="1"/>
  <c r="AI32" i="32" s="1"/>
  <c r="AF31" i="32"/>
  <c r="AJ32" i="32" s="1"/>
  <c r="AJ33" i="32"/>
  <c r="AB35" i="32"/>
  <c r="AB29" i="32"/>
  <c r="AD29" i="32"/>
  <c r="AD35" i="32"/>
  <c r="AC29" i="32"/>
  <c r="AC35" i="32"/>
  <c r="AH33" i="32"/>
  <c r="AI33" i="33" l="1"/>
  <c r="AL32" i="33"/>
  <c r="AG33" i="32"/>
  <c r="AF47" i="33"/>
  <c r="AG49" i="33"/>
  <c r="AH33" i="33"/>
  <c r="AF33" i="32"/>
  <c r="AD47" i="32"/>
  <c r="AD31" i="32" s="1"/>
  <c r="AE49" i="32"/>
  <c r="AC47" i="32" l="1"/>
  <c r="AD49" i="32"/>
  <c r="AE47" i="33"/>
  <c r="AF49" i="33"/>
  <c r="AF31" i="33"/>
  <c r="AC49" i="32"/>
  <c r="AB47" i="32"/>
  <c r="AC31" i="32"/>
  <c r="AD33" i="32" s="1"/>
  <c r="AE33" i="32"/>
  <c r="AH32" i="32"/>
  <c r="AJ32" i="33" l="1"/>
  <c r="AG33" i="33"/>
  <c r="AE49" i="33"/>
  <c r="AD47" i="33"/>
  <c r="AE31" i="33"/>
  <c r="AG32" i="32"/>
  <c r="AB49" i="32"/>
  <c r="AA47" i="32"/>
  <c r="AB31" i="32"/>
  <c r="AI32" i="33" l="1"/>
  <c r="AD49" i="33"/>
  <c r="AC47" i="33"/>
  <c r="AD31" i="33"/>
  <c r="AF33" i="33"/>
  <c r="AA49" i="32"/>
  <c r="Z47" i="32"/>
  <c r="AA31" i="32"/>
  <c r="AB33" i="32" s="1"/>
  <c r="AF32" i="32"/>
  <c r="AC33" i="32"/>
  <c r="AH32" i="33" l="1"/>
  <c r="AC49" i="33"/>
  <c r="AB47" i="33"/>
  <c r="AC31" i="33"/>
  <c r="AE33" i="33"/>
  <c r="AE32" i="32"/>
  <c r="Z49" i="32"/>
  <c r="Y47" i="32"/>
  <c r="Z31" i="32"/>
  <c r="AG32" i="33" l="1"/>
  <c r="AB49" i="33"/>
  <c r="AA47" i="33"/>
  <c r="AB31" i="33"/>
  <c r="AD33" i="33"/>
  <c r="AD32" i="32"/>
  <c r="X47" i="32"/>
  <c r="Y49" i="32"/>
  <c r="Y31" i="32"/>
  <c r="AA33" i="32"/>
  <c r="AF32" i="33" l="1"/>
  <c r="AA49" i="33"/>
  <c r="Z47" i="33"/>
  <c r="AA31" i="33"/>
  <c r="AC33" i="33"/>
  <c r="X49" i="32"/>
  <c r="X31" i="32"/>
  <c r="AB32" i="32" s="1"/>
  <c r="AC32" i="32"/>
  <c r="Z33" i="32"/>
  <c r="AE32" i="33" l="1"/>
  <c r="Z49" i="33"/>
  <c r="Y47" i="33"/>
  <c r="Z31" i="33"/>
  <c r="AB33" i="33"/>
  <c r="Y33" i="32"/>
  <c r="AD32" i="33" l="1"/>
  <c r="Y49" i="33"/>
  <c r="X47" i="33"/>
  <c r="Y31" i="33"/>
  <c r="AA33" i="33"/>
  <c r="AC32" i="33" l="1"/>
  <c r="X49" i="33"/>
  <c r="X31" i="33"/>
  <c r="AB32" i="33" s="1"/>
  <c r="Z33" i="33"/>
  <c r="Y33" i="33" l="1"/>
  <c r="AK37" i="13" l="1"/>
  <c r="AK38" i="13"/>
  <c r="AK57" i="13"/>
  <c r="AK52" i="13"/>
  <c r="AK51" i="13"/>
  <c r="AK53" i="13" s="1"/>
  <c r="AK49" i="13"/>
  <c r="AK45" i="13"/>
  <c r="AK43" i="13"/>
  <c r="AK28" i="13"/>
  <c r="AK29" i="13" s="1"/>
  <c r="AK24" i="13"/>
  <c r="AK21" i="13"/>
  <c r="AK18" i="13"/>
  <c r="AK15" i="13"/>
  <c r="AK12" i="13"/>
  <c r="AK9" i="13"/>
  <c r="AK8" i="13"/>
  <c r="AK5" i="13"/>
  <c r="AK4" i="13"/>
  <c r="AK31" i="13" l="1"/>
  <c r="AL33" i="13" s="1"/>
  <c r="AK35" i="13"/>
  <c r="AK39" i="13"/>
  <c r="AJ71" i="8" l="1"/>
  <c r="AK71" i="8" s="1"/>
  <c r="AL71" i="8" s="1"/>
  <c r="AJ64" i="8"/>
  <c r="AK64" i="8" s="1"/>
  <c r="AL64" i="8" s="1"/>
  <c r="AJ68" i="8"/>
  <c r="AJ38" i="8"/>
  <c r="AJ43" i="8" s="1"/>
  <c r="AJ39" i="8"/>
  <c r="AI29" i="8"/>
  <c r="D7" i="44" s="1"/>
  <c r="AH29" i="8"/>
  <c r="AG29" i="8"/>
  <c r="AF29" i="8"/>
  <c r="AE29" i="8"/>
  <c r="AD29" i="8"/>
  <c r="AC29" i="8"/>
  <c r="AB29" i="8"/>
  <c r="AA29" i="8"/>
  <c r="Z29" i="8"/>
  <c r="Y29" i="8"/>
  <c r="X29" i="8"/>
  <c r="AJ29" i="8"/>
  <c r="AJ32" i="8" s="1"/>
  <c r="AK34" i="8" s="1"/>
  <c r="AJ17" i="8"/>
  <c r="AJ18" i="8" s="1"/>
  <c r="AJ57" i="8"/>
  <c r="AJ52" i="8"/>
  <c r="AJ51" i="8"/>
  <c r="AJ49" i="8"/>
  <c r="AJ24" i="8"/>
  <c r="AJ21" i="8"/>
  <c r="AJ15" i="8"/>
  <c r="AJ12" i="8"/>
  <c r="AJ5" i="8"/>
  <c r="AJ4" i="8"/>
  <c r="AJ37" i="15"/>
  <c r="AJ42" i="15" s="1"/>
  <c r="AJ38" i="15"/>
  <c r="AJ17" i="15"/>
  <c r="AJ18" i="15" s="1"/>
  <c r="AJ75" i="15"/>
  <c r="AJ73" i="15"/>
  <c r="AJ71" i="15"/>
  <c r="AJ70" i="15"/>
  <c r="AJ66" i="15"/>
  <c r="AJ64" i="15"/>
  <c r="AJ62" i="15"/>
  <c r="AJ61" i="15"/>
  <c r="AJ56" i="15"/>
  <c r="AJ51" i="15"/>
  <c r="AJ50" i="15"/>
  <c r="AJ48" i="15"/>
  <c r="AJ28" i="15"/>
  <c r="AJ35" i="15" s="1"/>
  <c r="AJ24" i="15"/>
  <c r="AJ21" i="15"/>
  <c r="AJ15" i="15"/>
  <c r="AJ12" i="15"/>
  <c r="AJ5" i="15"/>
  <c r="AJ4" i="15"/>
  <c r="AZ11" i="4"/>
  <c r="AZ13" i="4" s="1"/>
  <c r="AY11" i="4"/>
  <c r="AY13" i="4" s="1"/>
  <c r="AX11" i="4"/>
  <c r="AW11" i="4"/>
  <c r="AV11" i="4"/>
  <c r="AU11" i="4"/>
  <c r="AU13" i="4" s="1"/>
  <c r="AT11" i="4"/>
  <c r="AT13" i="4" s="1"/>
  <c r="AS11" i="4"/>
  <c r="AR11" i="4"/>
  <c r="AQ11" i="4"/>
  <c r="AP2" i="4"/>
  <c r="AJ35" i="4"/>
  <c r="AJ40" i="4" s="1"/>
  <c r="AJ14" i="4"/>
  <c r="BF5" i="4" s="1"/>
  <c r="BF10" i="4" s="1"/>
  <c r="AJ73" i="4"/>
  <c r="AJ71" i="4"/>
  <c r="AJ69" i="4"/>
  <c r="AJ68" i="4"/>
  <c r="AJ64" i="4"/>
  <c r="AJ62" i="4"/>
  <c r="AJ60" i="4"/>
  <c r="AJ59" i="4"/>
  <c r="AJ54" i="4"/>
  <c r="AJ49" i="4"/>
  <c r="AJ48" i="4"/>
  <c r="AJ46" i="4"/>
  <c r="AJ26" i="4"/>
  <c r="AJ24" i="4"/>
  <c r="AJ21" i="4"/>
  <c r="AJ18" i="4"/>
  <c r="AJ12" i="4"/>
  <c r="AJ5" i="4"/>
  <c r="AJ4" i="4"/>
  <c r="AX9" i="10"/>
  <c r="AW9" i="10"/>
  <c r="AV9" i="10"/>
  <c r="S19" i="44" s="1"/>
  <c r="AU9" i="10"/>
  <c r="AT9" i="10"/>
  <c r="P19" i="44" s="1"/>
  <c r="AS9" i="10"/>
  <c r="AS11" i="10" s="1"/>
  <c r="AR9" i="10"/>
  <c r="AR11" i="10" s="1"/>
  <c r="AQ9" i="10"/>
  <c r="AP9" i="10"/>
  <c r="AO9" i="10"/>
  <c r="AN2" i="10"/>
  <c r="AW11" i="10" l="1"/>
  <c r="V19" i="44"/>
  <c r="M19" i="44" s="1"/>
  <c r="AX11" i="10"/>
  <c r="Y19" i="44"/>
  <c r="K19" i="44" s="1"/>
  <c r="AK63" i="8"/>
  <c r="AL63" i="8"/>
  <c r="AL65" i="8"/>
  <c r="AJ33" i="4"/>
  <c r="BF6" i="4"/>
  <c r="BF11" i="4" s="1"/>
  <c r="AJ63" i="8"/>
  <c r="AJ70" i="8"/>
  <c r="AK68" i="8"/>
  <c r="AK65" i="8"/>
  <c r="AK72" i="8"/>
  <c r="AJ65" i="8"/>
  <c r="AJ53" i="8"/>
  <c r="AJ72" i="8"/>
  <c r="AJ50" i="4"/>
  <c r="AJ52" i="15"/>
  <c r="AJ30" i="8"/>
  <c r="AJ36" i="8"/>
  <c r="AJ40" i="8"/>
  <c r="AJ31" i="15"/>
  <c r="AK33" i="15" s="1"/>
  <c r="AJ29" i="15"/>
  <c r="AJ39" i="15"/>
  <c r="AJ27" i="4"/>
  <c r="AJ29" i="4"/>
  <c r="AJ15" i="4"/>
  <c r="AJ37" i="4"/>
  <c r="AK41" i="10"/>
  <c r="AK43" i="10" s="1"/>
  <c r="AK15" i="10"/>
  <c r="AK18" i="10"/>
  <c r="AK22" i="10" s="1"/>
  <c r="AK59" i="10"/>
  <c r="AK54" i="10"/>
  <c r="AK53" i="10"/>
  <c r="AK51" i="10"/>
  <c r="AK32" i="10"/>
  <c r="AK33" i="10" s="1"/>
  <c r="AK28" i="10"/>
  <c r="AK25" i="10"/>
  <c r="AK16" i="10"/>
  <c r="AK11" i="10"/>
  <c r="AK9" i="10"/>
  <c r="AK8" i="10"/>
  <c r="AK5" i="10"/>
  <c r="AK4" i="10"/>
  <c r="AF37" i="11"/>
  <c r="AJ37" i="11"/>
  <c r="AJ42" i="11" s="1"/>
  <c r="AJ38" i="11"/>
  <c r="AF17" i="11"/>
  <c r="AJ17" i="11"/>
  <c r="AJ18" i="11" s="1"/>
  <c r="AJ56" i="11"/>
  <c r="AJ51" i="11"/>
  <c r="AJ50" i="11"/>
  <c r="AJ48" i="11"/>
  <c r="AJ44" i="11"/>
  <c r="AJ28" i="11"/>
  <c r="AJ29" i="11" s="1"/>
  <c r="AJ24" i="11"/>
  <c r="AJ21" i="11"/>
  <c r="AJ15" i="11"/>
  <c r="AJ12" i="11"/>
  <c r="AJ9" i="11"/>
  <c r="AJ8" i="11"/>
  <c r="AJ5" i="11"/>
  <c r="AJ4" i="11"/>
  <c r="AJ56" i="29"/>
  <c r="AK52" i="29" s="1"/>
  <c r="AK53" i="29" s="1"/>
  <c r="AI47" i="29"/>
  <c r="AJ37" i="29"/>
  <c r="AJ38" i="29"/>
  <c r="AJ17" i="29"/>
  <c r="AJ20" i="29" s="1"/>
  <c r="G19" i="44" l="1"/>
  <c r="J19" i="44" s="1"/>
  <c r="AK70" i="8"/>
  <c r="AL68" i="8"/>
  <c r="AK31" i="4"/>
  <c r="BF7" i="4"/>
  <c r="AJ39" i="11"/>
  <c r="AK55" i="10"/>
  <c r="AK35" i="10"/>
  <c r="AK39" i="10"/>
  <c r="AK19" i="10"/>
  <c r="AK47" i="10"/>
  <c r="AJ52" i="11"/>
  <c r="AJ31" i="11"/>
  <c r="AK33" i="11" s="1"/>
  <c r="AJ35" i="11"/>
  <c r="AL70" i="8" l="1"/>
  <c r="AL72" i="8"/>
  <c r="AJ38" i="14"/>
  <c r="AJ43" i="14" s="1"/>
  <c r="AJ17" i="14"/>
  <c r="AJ20" i="14" s="1"/>
  <c r="AJ57" i="14"/>
  <c r="AJ52" i="14"/>
  <c r="AJ51" i="14"/>
  <c r="AJ49" i="14"/>
  <c r="AJ65" i="14" s="1"/>
  <c r="AJ45" i="14"/>
  <c r="AJ15" i="14"/>
  <c r="AJ12" i="14"/>
  <c r="AJ9" i="14"/>
  <c r="AJ8" i="14"/>
  <c r="AJ5" i="14"/>
  <c r="AJ62" i="14" s="1"/>
  <c r="AJ4" i="14"/>
  <c r="AJ47" i="18"/>
  <c r="AI47" i="18" s="1"/>
  <c r="AH47" i="18" s="1"/>
  <c r="AG47" i="18" s="1"/>
  <c r="AF47" i="18" s="1"/>
  <c r="AE47" i="18" s="1"/>
  <c r="AD47" i="18" s="1"/>
  <c r="AC47" i="18" s="1"/>
  <c r="AB47" i="18" s="1"/>
  <c r="AA47" i="18" s="1"/>
  <c r="Z47" i="18" s="1"/>
  <c r="Y47" i="18" s="1"/>
  <c r="X47" i="18" s="1"/>
  <c r="AJ38" i="18"/>
  <c r="AJ17" i="18"/>
  <c r="AJ76" i="18"/>
  <c r="AJ74" i="18"/>
  <c r="AJ72" i="18"/>
  <c r="AJ71" i="18"/>
  <c r="AJ67" i="18"/>
  <c r="AJ65" i="18"/>
  <c r="AJ63" i="18"/>
  <c r="AJ62" i="18"/>
  <c r="AJ57" i="18"/>
  <c r="AJ52" i="18"/>
  <c r="AJ51" i="18"/>
  <c r="AJ45" i="18"/>
  <c r="AJ20" i="18"/>
  <c r="AJ15" i="18"/>
  <c r="AJ12" i="18"/>
  <c r="AJ9" i="18"/>
  <c r="AJ8" i="18"/>
  <c r="AJ5" i="18"/>
  <c r="AJ4" i="18"/>
  <c r="AJ49" i="18" l="1"/>
  <c r="AK66" i="14"/>
  <c r="AJ39" i="18"/>
  <c r="AJ53" i="14"/>
  <c r="AJ29" i="14"/>
  <c r="AJ24" i="14"/>
  <c r="AJ21" i="14"/>
  <c r="AJ40" i="14"/>
  <c r="AJ18" i="14"/>
  <c r="AJ53" i="18"/>
  <c r="AJ24" i="18"/>
  <c r="AJ21" i="18"/>
  <c r="AJ28" i="18"/>
  <c r="AJ18" i="18"/>
  <c r="AJ43" i="18"/>
  <c r="AJ32" i="14" l="1"/>
  <c r="AJ30" i="14"/>
  <c r="AJ36" i="14"/>
  <c r="AJ35" i="18"/>
  <c r="AJ31" i="18"/>
  <c r="AK33" i="18" s="1"/>
  <c r="AJ29" i="18"/>
  <c r="AK34" i="14" l="1"/>
  <c r="AK64" i="14" s="1"/>
  <c r="AJ63" i="14"/>
  <c r="AJ35" i="5"/>
  <c r="AJ17" i="5"/>
  <c r="AJ18" i="5" s="1"/>
  <c r="AJ54" i="5"/>
  <c r="AJ49" i="5"/>
  <c r="AJ48" i="5"/>
  <c r="AJ46" i="5"/>
  <c r="AJ42" i="5"/>
  <c r="AJ37" i="5"/>
  <c r="AJ26" i="5"/>
  <c r="AJ29" i="5" s="1"/>
  <c r="AK31" i="5" s="1"/>
  <c r="AJ24" i="5"/>
  <c r="AJ21" i="5"/>
  <c r="AJ15" i="5"/>
  <c r="AJ12" i="5"/>
  <c r="AJ9" i="5"/>
  <c r="AJ8" i="5"/>
  <c r="AJ5" i="5"/>
  <c r="AJ4" i="5"/>
  <c r="AJ50" i="5" l="1"/>
  <c r="AJ27" i="5"/>
  <c r="AJ33" i="5"/>
  <c r="AJ40" i="5"/>
  <c r="AC41" i="31" l="1"/>
  <c r="AC42" i="31"/>
  <c r="AG41" i="31"/>
  <c r="AG47" i="31" s="1"/>
  <c r="AG42" i="31"/>
  <c r="AC24" i="31"/>
  <c r="AG24" i="31"/>
  <c r="AD41" i="31"/>
  <c r="AD42" i="31"/>
  <c r="AD43" i="31" s="1"/>
  <c r="AD24" i="31"/>
  <c r="AD32" i="31" s="1"/>
  <c r="AH24" i="31"/>
  <c r="AH28" i="31" s="1"/>
  <c r="AH42" i="31"/>
  <c r="AH41" i="31"/>
  <c r="AE41" i="31"/>
  <c r="AI41" i="31"/>
  <c r="AE42" i="31"/>
  <c r="AI42" i="31"/>
  <c r="AI43" i="31" s="1"/>
  <c r="AH51" i="31"/>
  <c r="AH53" i="31" s="1"/>
  <c r="AE24" i="31"/>
  <c r="AI24" i="31"/>
  <c r="AJ11" i="31"/>
  <c r="AI11" i="31"/>
  <c r="AH11" i="31"/>
  <c r="AG11" i="31"/>
  <c r="AK12" i="31" s="1"/>
  <c r="AF11" i="31"/>
  <c r="AG13" i="31" s="1"/>
  <c r="AE11" i="31"/>
  <c r="AE13" i="31" s="1"/>
  <c r="AD11" i="31"/>
  <c r="AC11" i="31"/>
  <c r="AB11" i="31"/>
  <c r="AA11" i="31"/>
  <c r="Z11" i="31"/>
  <c r="Y11" i="31"/>
  <c r="X11" i="31"/>
  <c r="AJ5" i="31"/>
  <c r="AI5" i="31"/>
  <c r="AH5" i="31"/>
  <c r="AG5" i="31"/>
  <c r="AF5" i="31"/>
  <c r="AE5" i="31"/>
  <c r="AD5" i="31"/>
  <c r="AC5" i="31"/>
  <c r="AB5" i="31"/>
  <c r="AA5" i="31"/>
  <c r="Z5" i="31"/>
  <c r="Y5" i="31"/>
  <c r="AJ4" i="31"/>
  <c r="AI4" i="31"/>
  <c r="AH4" i="31"/>
  <c r="AG4" i="31"/>
  <c r="AF4" i="31"/>
  <c r="AE4" i="31"/>
  <c r="AD4" i="31"/>
  <c r="AC4" i="31"/>
  <c r="AB4" i="31"/>
  <c r="AJ85" i="31"/>
  <c r="AI85" i="31"/>
  <c r="AH85" i="31"/>
  <c r="AG85" i="31"/>
  <c r="AF85" i="31"/>
  <c r="AE85" i="31"/>
  <c r="AD85" i="31"/>
  <c r="AC85" i="31"/>
  <c r="AB85" i="31"/>
  <c r="AA85" i="31"/>
  <c r="Z85" i="31"/>
  <c r="Y85" i="31"/>
  <c r="AJ83" i="31"/>
  <c r="AI83" i="31"/>
  <c r="AH83" i="31"/>
  <c r="AG83" i="31"/>
  <c r="AF83" i="31"/>
  <c r="AE83" i="31"/>
  <c r="AD83" i="31"/>
  <c r="AC83" i="31"/>
  <c r="AB83" i="31"/>
  <c r="AA83" i="31"/>
  <c r="Z83" i="31"/>
  <c r="Y83" i="31"/>
  <c r="AJ81" i="31"/>
  <c r="AI81" i="31"/>
  <c r="AH81" i="31"/>
  <c r="AG81" i="31"/>
  <c r="AF81" i="31"/>
  <c r="AE81" i="31"/>
  <c r="AD81" i="31"/>
  <c r="AC81" i="31"/>
  <c r="AB81" i="31"/>
  <c r="AA81" i="31"/>
  <c r="Z81" i="31"/>
  <c r="Y81" i="31"/>
  <c r="AJ79" i="31"/>
  <c r="AI79" i="31"/>
  <c r="AH79" i="31"/>
  <c r="AG79" i="31"/>
  <c r="AF79" i="31"/>
  <c r="AE79" i="31"/>
  <c r="AD79" i="31"/>
  <c r="AC79" i="31"/>
  <c r="AB79" i="31"/>
  <c r="AA79" i="31"/>
  <c r="Z79" i="31"/>
  <c r="AJ78" i="31"/>
  <c r="AI78" i="31"/>
  <c r="AH78" i="31"/>
  <c r="AG78" i="31"/>
  <c r="AF78" i="31"/>
  <c r="AE78" i="31"/>
  <c r="AD78" i="31"/>
  <c r="AC78" i="31"/>
  <c r="AJ73" i="31"/>
  <c r="AI73" i="31"/>
  <c r="AH73" i="31"/>
  <c r="AG73" i="31"/>
  <c r="AF73" i="31"/>
  <c r="AE73" i="31"/>
  <c r="AD73" i="31"/>
  <c r="AC73" i="31"/>
  <c r="AB73" i="31"/>
  <c r="AA73" i="31"/>
  <c r="Z73" i="31"/>
  <c r="Y73" i="31"/>
  <c r="AJ71" i="31"/>
  <c r="AI71" i="31"/>
  <c r="AH71" i="31"/>
  <c r="AG71" i="31"/>
  <c r="AF71" i="31"/>
  <c r="AE71" i="31"/>
  <c r="AD71" i="31"/>
  <c r="AC71" i="31"/>
  <c r="AB71" i="31"/>
  <c r="AA71" i="31"/>
  <c r="Z71" i="31"/>
  <c r="Y71" i="31"/>
  <c r="AJ69" i="31"/>
  <c r="AI69" i="31"/>
  <c r="AH69" i="31"/>
  <c r="AG69" i="31"/>
  <c r="AF69" i="31"/>
  <c r="AE69" i="31"/>
  <c r="AD69" i="31"/>
  <c r="AC69" i="31"/>
  <c r="AB69" i="31"/>
  <c r="AA69" i="31"/>
  <c r="Z69" i="31"/>
  <c r="Y69" i="31"/>
  <c r="AJ67" i="31"/>
  <c r="AI67" i="31"/>
  <c r="AH67" i="31"/>
  <c r="AG67" i="31"/>
  <c r="AF67" i="31"/>
  <c r="AE67" i="31"/>
  <c r="AD67" i="31"/>
  <c r="AC67" i="31"/>
  <c r="AB67" i="31"/>
  <c r="AA67" i="31"/>
  <c r="AJ66" i="31"/>
  <c r="AI66" i="31"/>
  <c r="AH66" i="31"/>
  <c r="AG66" i="31"/>
  <c r="AF66" i="31"/>
  <c r="AE66" i="31"/>
  <c r="AD66" i="31"/>
  <c r="AC66" i="31"/>
  <c r="AJ61" i="31"/>
  <c r="AI61" i="31"/>
  <c r="AH61" i="31"/>
  <c r="AG61" i="31"/>
  <c r="AF61" i="31"/>
  <c r="AE61" i="31"/>
  <c r="AD61" i="31"/>
  <c r="AC61" i="31"/>
  <c r="AB61" i="31"/>
  <c r="AA61" i="31"/>
  <c r="Z61" i="31"/>
  <c r="Y61" i="31"/>
  <c r="X61" i="31"/>
  <c r="AJ56" i="31"/>
  <c r="AI56" i="31"/>
  <c r="AH56" i="31"/>
  <c r="AG56" i="31"/>
  <c r="AF56" i="31"/>
  <c r="AE56" i="31"/>
  <c r="AD56" i="31"/>
  <c r="AC56" i="31"/>
  <c r="AB56" i="31"/>
  <c r="AA56" i="31"/>
  <c r="Z56" i="31"/>
  <c r="Y56" i="31"/>
  <c r="AJ55" i="31"/>
  <c r="AI55" i="31"/>
  <c r="AI57" i="31" s="1"/>
  <c r="AH55" i="31"/>
  <c r="AH57" i="31" s="1"/>
  <c r="AG55" i="31"/>
  <c r="AF55" i="31"/>
  <c r="AE55" i="31"/>
  <c r="AD55" i="31"/>
  <c r="AC55" i="31"/>
  <c r="AB55" i="31"/>
  <c r="AA55" i="31"/>
  <c r="AA57" i="31" s="1"/>
  <c r="Z55" i="31"/>
  <c r="Z57" i="31" s="1"/>
  <c r="Y55" i="31"/>
  <c r="Y57" i="31" s="1"/>
  <c r="AJ53" i="31"/>
  <c r="AI53" i="31"/>
  <c r="AJ47" i="31"/>
  <c r="AI47" i="31"/>
  <c r="AF47" i="31"/>
  <c r="AE47" i="31"/>
  <c r="AD47" i="31"/>
  <c r="AC47" i="31"/>
  <c r="AB47" i="31"/>
  <c r="AA47" i="31"/>
  <c r="Y47" i="31"/>
  <c r="X47" i="31"/>
  <c r="AJ43" i="31"/>
  <c r="AE43" i="31"/>
  <c r="AB43" i="31"/>
  <c r="AA43" i="31"/>
  <c r="Y43" i="31"/>
  <c r="X43" i="31"/>
  <c r="AF43" i="31"/>
  <c r="AC43" i="31"/>
  <c r="Z47" i="31"/>
  <c r="AJ32" i="31"/>
  <c r="AJ35" i="31" s="1"/>
  <c r="AK37" i="31" s="1"/>
  <c r="AI32" i="31"/>
  <c r="AI35" i="31" s="1"/>
  <c r="AH32" i="31"/>
  <c r="AG32" i="31"/>
  <c r="AG33" i="31" s="1"/>
  <c r="AF32" i="31"/>
  <c r="AE32" i="31"/>
  <c r="AC32" i="31"/>
  <c r="AB32" i="31"/>
  <c r="AA32" i="31"/>
  <c r="AA33" i="31" s="1"/>
  <c r="Z32" i="31"/>
  <c r="Z33" i="31" s="1"/>
  <c r="Y32" i="31"/>
  <c r="X32" i="31"/>
  <c r="I25" i="31"/>
  <c r="H25" i="31"/>
  <c r="G25" i="31"/>
  <c r="AJ28" i="31"/>
  <c r="AI28" i="31"/>
  <c r="AG28" i="31"/>
  <c r="AF28" i="31"/>
  <c r="AE28" i="31"/>
  <c r="AC28" i="31"/>
  <c r="AB28" i="31"/>
  <c r="AA28" i="31"/>
  <c r="Z28" i="31"/>
  <c r="Y28" i="31"/>
  <c r="X28" i="31"/>
  <c r="I22" i="31"/>
  <c r="H22" i="31"/>
  <c r="G22" i="31"/>
  <c r="F22" i="31"/>
  <c r="E22" i="31"/>
  <c r="D22" i="31"/>
  <c r="J22" i="31" s="1"/>
  <c r="C22" i="31"/>
  <c r="AJ25" i="31"/>
  <c r="AI25" i="31"/>
  <c r="AH25" i="31"/>
  <c r="AG25" i="31"/>
  <c r="AF25" i="31"/>
  <c r="AE25" i="31"/>
  <c r="AC25" i="31"/>
  <c r="AB25" i="31"/>
  <c r="AA25" i="31"/>
  <c r="Z25" i="31"/>
  <c r="Y25" i="31"/>
  <c r="X25" i="31"/>
  <c r="I21" i="31"/>
  <c r="H21" i="31"/>
  <c r="G21" i="31"/>
  <c r="F21" i="31"/>
  <c r="E21" i="31"/>
  <c r="D21" i="31"/>
  <c r="J21" i="31" s="1"/>
  <c r="C21" i="31"/>
  <c r="I20" i="31"/>
  <c r="H20" i="31"/>
  <c r="G20" i="31"/>
  <c r="F20" i="31"/>
  <c r="E20" i="31"/>
  <c r="D20" i="31"/>
  <c r="J20" i="31" s="1"/>
  <c r="I19" i="31"/>
  <c r="H19" i="31"/>
  <c r="G19" i="31"/>
  <c r="F19" i="31"/>
  <c r="E19" i="31"/>
  <c r="D19" i="31"/>
  <c r="J19" i="31" s="1"/>
  <c r="AJ22" i="31"/>
  <c r="AI22" i="31"/>
  <c r="AH22" i="31"/>
  <c r="AG22" i="31"/>
  <c r="AF22" i="31"/>
  <c r="AE22" i="31"/>
  <c r="AD22" i="31"/>
  <c r="AC22" i="31"/>
  <c r="AB22" i="31"/>
  <c r="AA22" i="31"/>
  <c r="Z22" i="31"/>
  <c r="Y22" i="31"/>
  <c r="X22" i="31"/>
  <c r="I18" i="31"/>
  <c r="H18" i="31"/>
  <c r="G18" i="31"/>
  <c r="F18" i="31"/>
  <c r="E18" i="31"/>
  <c r="D18" i="31"/>
  <c r="C18" i="31"/>
  <c r="J17" i="31"/>
  <c r="J16" i="31"/>
  <c r="AJ19" i="31"/>
  <c r="AI19" i="31"/>
  <c r="AH19" i="31"/>
  <c r="AG19" i="31"/>
  <c r="AF19" i="31"/>
  <c r="AE19" i="31"/>
  <c r="AD19" i="31"/>
  <c r="AC19" i="31"/>
  <c r="AB19" i="31"/>
  <c r="AA19" i="31"/>
  <c r="Z19" i="31"/>
  <c r="Y19" i="31"/>
  <c r="X19" i="31"/>
  <c r="C15" i="31"/>
  <c r="C19" i="31" s="1"/>
  <c r="J14" i="31"/>
  <c r="AJ16" i="31"/>
  <c r="AI16" i="31"/>
  <c r="AH16" i="31"/>
  <c r="AG16" i="31"/>
  <c r="AF16" i="31"/>
  <c r="AE16" i="31"/>
  <c r="AD16" i="31"/>
  <c r="AC16" i="31"/>
  <c r="AB16" i="31"/>
  <c r="AA16" i="31"/>
  <c r="Z16" i="31"/>
  <c r="Y16" i="31"/>
  <c r="X16" i="31"/>
  <c r="I12" i="31"/>
  <c r="H12" i="31"/>
  <c r="G12" i="31"/>
  <c r="F12" i="31"/>
  <c r="E12" i="31"/>
  <c r="D12" i="31"/>
  <c r="AV11" i="31"/>
  <c r="S20" i="44" s="1"/>
  <c r="AB20" i="44" s="1"/>
  <c r="AU11" i="31"/>
  <c r="AT11" i="31"/>
  <c r="P20" i="44" s="1"/>
  <c r="AQ11" i="31"/>
  <c r="R20" i="44" s="1"/>
  <c r="AP11" i="31"/>
  <c r="AO11" i="31"/>
  <c r="O20" i="44" s="1"/>
  <c r="AA20" i="44" s="1"/>
  <c r="N11" i="31"/>
  <c r="I11" i="31"/>
  <c r="H11" i="31"/>
  <c r="G11" i="31"/>
  <c r="F11" i="31"/>
  <c r="E11" i="31"/>
  <c r="D11" i="31"/>
  <c r="J11" i="31" s="1"/>
  <c r="C11" i="31"/>
  <c r="N10" i="31"/>
  <c r="J10" i="31"/>
  <c r="N9" i="31"/>
  <c r="N8" i="31"/>
  <c r="I8" i="31"/>
  <c r="H8" i="31"/>
  <c r="G8" i="31"/>
  <c r="F8" i="31"/>
  <c r="E8" i="31"/>
  <c r="D8" i="31"/>
  <c r="J8" i="31" s="1"/>
  <c r="C8" i="31"/>
  <c r="N7" i="31"/>
  <c r="N6" i="31"/>
  <c r="I6" i="31"/>
  <c r="H6" i="31"/>
  <c r="G6" i="31"/>
  <c r="F6" i="31"/>
  <c r="E6" i="31"/>
  <c r="D6" i="31"/>
  <c r="J6" i="31" s="1"/>
  <c r="C6" i="31"/>
  <c r="AX11" i="31"/>
  <c r="AR11" i="31"/>
  <c r="AJ9" i="31"/>
  <c r="AI9" i="31"/>
  <c r="AH9" i="31"/>
  <c r="AG9" i="31"/>
  <c r="AF9" i="31"/>
  <c r="AE9" i="31"/>
  <c r="AD9" i="31"/>
  <c r="AC9" i="31"/>
  <c r="AB9" i="31"/>
  <c r="AA9" i="31"/>
  <c r="Z9" i="31"/>
  <c r="Y9" i="31"/>
  <c r="N5" i="31"/>
  <c r="AJ8" i="31"/>
  <c r="AI8" i="31"/>
  <c r="AH8" i="31"/>
  <c r="AG8" i="31"/>
  <c r="AF8" i="31"/>
  <c r="AE8" i="31"/>
  <c r="AD8" i="31"/>
  <c r="AC8" i="31"/>
  <c r="AB8" i="31"/>
  <c r="J4" i="31"/>
  <c r="I4" i="31"/>
  <c r="H4" i="31"/>
  <c r="G4" i="31"/>
  <c r="F4" i="31"/>
  <c r="E4" i="31"/>
  <c r="D4" i="31"/>
  <c r="N3" i="31"/>
  <c r="AN2" i="31"/>
  <c r="N2" i="31"/>
  <c r="T14" i="31" s="1"/>
  <c r="AR13" i="31" l="1"/>
  <c r="U20" i="44"/>
  <c r="L20" i="44" s="1"/>
  <c r="AB13" i="31"/>
  <c r="AH43" i="31"/>
  <c r="AX13" i="31"/>
  <c r="Y20" i="44"/>
  <c r="K20" i="44" s="1"/>
  <c r="AG12" i="31"/>
  <c r="AD13" i="31"/>
  <c r="O9" i="31"/>
  <c r="C20" i="31"/>
  <c r="AH39" i="31"/>
  <c r="D20" i="44"/>
  <c r="AE57" i="31"/>
  <c r="O11" i="31"/>
  <c r="J18" i="31"/>
  <c r="AC13" i="31"/>
  <c r="AH47" i="31"/>
  <c r="AB57" i="31"/>
  <c r="AG51" i="31"/>
  <c r="AG35" i="31" s="1"/>
  <c r="AB12" i="31"/>
  <c r="AD28" i="31"/>
  <c r="O10" i="31"/>
  <c r="AC12" i="31"/>
  <c r="Y13" i="31"/>
  <c r="AD12" i="31"/>
  <c r="Z13" i="31"/>
  <c r="AD25" i="31"/>
  <c r="AE12" i="31"/>
  <c r="AA13" i="31"/>
  <c r="AJ13" i="31"/>
  <c r="AK13" i="31"/>
  <c r="AF57" i="31"/>
  <c r="AF13" i="31"/>
  <c r="AF12" i="31"/>
  <c r="AD57" i="31"/>
  <c r="AG43" i="31"/>
  <c r="AJ57" i="31"/>
  <c r="AH12" i="31"/>
  <c r="AH13" i="31"/>
  <c r="AI12" i="31"/>
  <c r="AI13" i="31"/>
  <c r="AJ12" i="31"/>
  <c r="AG57" i="31"/>
  <c r="N13" i="31"/>
  <c r="N14" i="31" s="1"/>
  <c r="AW11" i="31"/>
  <c r="J12" i="31"/>
  <c r="AC57" i="31"/>
  <c r="AH33" i="31"/>
  <c r="AH35" i="31"/>
  <c r="F20" i="44" s="1"/>
  <c r="Q2" i="31"/>
  <c r="AJ37" i="31"/>
  <c r="AJ33" i="31"/>
  <c r="Y33" i="31"/>
  <c r="Z39" i="31"/>
  <c r="AB33" i="31"/>
  <c r="AC39" i="31"/>
  <c r="AI39" i="31"/>
  <c r="AJ39" i="31"/>
  <c r="AA39" i="31"/>
  <c r="AB39" i="31"/>
  <c r="AS11" i="31"/>
  <c r="AC33" i="31"/>
  <c r="AD39" i="31"/>
  <c r="AI33" i="31"/>
  <c r="X33" i="31"/>
  <c r="S14" i="31"/>
  <c r="AD33" i="31"/>
  <c r="AE39" i="31"/>
  <c r="Z43" i="31"/>
  <c r="AE33" i="31"/>
  <c r="AF39" i="31"/>
  <c r="Y39" i="31"/>
  <c r="AF33" i="31"/>
  <c r="AG39" i="31"/>
  <c r="X39" i="31"/>
  <c r="AW13" i="31" l="1"/>
  <c r="V20" i="44"/>
  <c r="M20" i="44" s="1"/>
  <c r="AS13" i="31"/>
  <c r="X20" i="44"/>
  <c r="AM39" i="31"/>
  <c r="H20" i="44" s="1"/>
  <c r="AM40" i="31"/>
  <c r="AM41" i="31" s="1"/>
  <c r="I20" i="44" s="1"/>
  <c r="AF51" i="31"/>
  <c r="AG53" i="31"/>
  <c r="AK36" i="31"/>
  <c r="Q13" i="31"/>
  <c r="Q14" i="31" s="1"/>
  <c r="N20" i="31"/>
  <c r="AH37" i="31"/>
  <c r="AI37" i="31"/>
  <c r="AF53" i="31" l="1"/>
  <c r="AF35" i="31"/>
  <c r="AE51" i="31"/>
  <c r="AE35" i="31" l="1"/>
  <c r="AI36" i="31" s="1"/>
  <c r="AE53" i="31"/>
  <c r="AD51" i="31"/>
  <c r="AJ36" i="31"/>
  <c r="AG37" i="31"/>
  <c r="AF37" i="31"/>
  <c r="AD53" i="31" l="1"/>
  <c r="AD35" i="31"/>
  <c r="AC51" i="31"/>
  <c r="AC53" i="31" l="1"/>
  <c r="AC35" i="31"/>
  <c r="AB51" i="31"/>
  <c r="AE37" i="31"/>
  <c r="AH36" i="31"/>
  <c r="AG36" i="31" l="1"/>
  <c r="AD37" i="31"/>
  <c r="AA51" i="31"/>
  <c r="AB35" i="31"/>
  <c r="AB53" i="31"/>
  <c r="AF36" i="31" l="1"/>
  <c r="AC37" i="31"/>
  <c r="Z51" i="31"/>
  <c r="AA35" i="31"/>
  <c r="AA53" i="31"/>
  <c r="AB37" i="31" l="1"/>
  <c r="AE36" i="31"/>
  <c r="Y51" i="31"/>
  <c r="Z35" i="31"/>
  <c r="Z53" i="31"/>
  <c r="AD36" i="31" l="1"/>
  <c r="AA37" i="31"/>
  <c r="Y35" i="31"/>
  <c r="X51" i="31"/>
  <c r="Y53" i="31"/>
  <c r="X53" i="31" l="1"/>
  <c r="X35" i="31"/>
  <c r="AC36" i="31"/>
  <c r="Z37" i="31"/>
  <c r="AW5" i="28"/>
  <c r="AX5" i="28" s="1"/>
  <c r="AX11" i="28" s="1"/>
  <c r="AR5" i="28"/>
  <c r="AS5" i="28" s="1"/>
  <c r="AS11" i="28" s="1"/>
  <c r="AV11" i="28"/>
  <c r="S15" i="44" s="1"/>
  <c r="AB15" i="44" s="1"/>
  <c r="AU11" i="28"/>
  <c r="AT11" i="28"/>
  <c r="P15" i="44" s="1"/>
  <c r="AQ11" i="28"/>
  <c r="R15" i="44" s="1"/>
  <c r="AP11" i="28"/>
  <c r="AO11" i="28"/>
  <c r="O15" i="44" s="1"/>
  <c r="AN2" i="28"/>
  <c r="AJ37" i="28"/>
  <c r="AJ81" i="28"/>
  <c r="AJ79" i="28"/>
  <c r="AJ77" i="28"/>
  <c r="AJ75" i="28"/>
  <c r="AJ74" i="28"/>
  <c r="AJ69" i="28"/>
  <c r="AJ67" i="28"/>
  <c r="AJ65" i="28"/>
  <c r="AJ63" i="28"/>
  <c r="AJ62" i="28"/>
  <c r="AJ57" i="28"/>
  <c r="AJ52" i="28"/>
  <c r="AJ51" i="28"/>
  <c r="AJ53" i="28" s="1"/>
  <c r="AJ49" i="28"/>
  <c r="AJ45" i="28"/>
  <c r="AJ43" i="28"/>
  <c r="AJ28" i="28"/>
  <c r="AJ31" i="28" s="1"/>
  <c r="AK33" i="28" s="1"/>
  <c r="AJ24" i="28"/>
  <c r="AJ21" i="28"/>
  <c r="AJ18" i="28"/>
  <c r="AJ15" i="28"/>
  <c r="AJ12" i="28"/>
  <c r="AJ9" i="28"/>
  <c r="AJ8" i="28"/>
  <c r="AJ5" i="28"/>
  <c r="AJ4" i="28"/>
  <c r="AW11" i="28" l="1"/>
  <c r="AS13" i="28"/>
  <c r="X15" i="44"/>
  <c r="AR11" i="28"/>
  <c r="AA15" i="44"/>
  <c r="AX13" i="28"/>
  <c r="Y15" i="44"/>
  <c r="K15" i="44" s="1"/>
  <c r="AW13" i="28"/>
  <c r="V15" i="44"/>
  <c r="M15" i="44" s="1"/>
  <c r="AB36" i="31"/>
  <c r="Y37" i="31"/>
  <c r="AJ35" i="28"/>
  <c r="AJ39" i="28"/>
  <c r="AJ29" i="28"/>
  <c r="AR13" i="28" l="1"/>
  <c r="U15" i="44"/>
  <c r="L15" i="44" s="1"/>
  <c r="AE68" i="30"/>
  <c r="AI68" i="30"/>
  <c r="AI47" i="30"/>
  <c r="AH47" i="30" s="1"/>
  <c r="AH37" i="30"/>
  <c r="AJ37" i="30"/>
  <c r="AJ43" i="30" s="1"/>
  <c r="AF68" i="30"/>
  <c r="AJ68" i="30"/>
  <c r="AJ67" i="30"/>
  <c r="AI67" i="30"/>
  <c r="AH67" i="30"/>
  <c r="AG67" i="30"/>
  <c r="AF67" i="30"/>
  <c r="AE67" i="30"/>
  <c r="AD67" i="30"/>
  <c r="AC67" i="30"/>
  <c r="AB67" i="30"/>
  <c r="AA67" i="30"/>
  <c r="AJ66" i="30"/>
  <c r="AI66" i="30"/>
  <c r="AH66" i="30"/>
  <c r="AG66" i="30"/>
  <c r="AF66" i="30"/>
  <c r="AE66" i="30"/>
  <c r="AD66" i="30"/>
  <c r="AJ62" i="30"/>
  <c r="AI62" i="30"/>
  <c r="AH62" i="30"/>
  <c r="AG62" i="30"/>
  <c r="AF62" i="30"/>
  <c r="AE62" i="30"/>
  <c r="AD62" i="30"/>
  <c r="AC62" i="30"/>
  <c r="AB62" i="30"/>
  <c r="AA62" i="30"/>
  <c r="AJ61" i="30"/>
  <c r="AI61" i="30"/>
  <c r="AH61" i="30"/>
  <c r="AG61" i="30"/>
  <c r="AF61" i="30"/>
  <c r="AE61" i="30"/>
  <c r="AD61" i="30"/>
  <c r="AJ57" i="30"/>
  <c r="AI57" i="30"/>
  <c r="AH57" i="30"/>
  <c r="AG57" i="30"/>
  <c r="AF57" i="30"/>
  <c r="AE57" i="30"/>
  <c r="AD57" i="30"/>
  <c r="AC57" i="30"/>
  <c r="AB57" i="30"/>
  <c r="AA57" i="30"/>
  <c r="Z57" i="30"/>
  <c r="Y57" i="30"/>
  <c r="X57" i="30"/>
  <c r="AJ52" i="30"/>
  <c r="AI52" i="30"/>
  <c r="AH52" i="30"/>
  <c r="AG52" i="30"/>
  <c r="AF52" i="30"/>
  <c r="AE52" i="30"/>
  <c r="AD52" i="30"/>
  <c r="AC52" i="30"/>
  <c r="AB52" i="30"/>
  <c r="AA52" i="30"/>
  <c r="Z52" i="30"/>
  <c r="Y52" i="30"/>
  <c r="AJ51" i="30"/>
  <c r="AJ53" i="30" s="1"/>
  <c r="AI51" i="30"/>
  <c r="AI53" i="30" s="1"/>
  <c r="AH51" i="30"/>
  <c r="AG51" i="30"/>
  <c r="AF51" i="30"/>
  <c r="AE51" i="30"/>
  <c r="AD51" i="30"/>
  <c r="AC51" i="30"/>
  <c r="AC53" i="30" s="1"/>
  <c r="AB51" i="30"/>
  <c r="AB53" i="30" s="1"/>
  <c r="AA51" i="30"/>
  <c r="AA53" i="30" s="1"/>
  <c r="Z51" i="30"/>
  <c r="Z53" i="30" s="1"/>
  <c r="Y51" i="30"/>
  <c r="AJ49" i="30"/>
  <c r="AI49" i="30"/>
  <c r="AJ45" i="30"/>
  <c r="AI45" i="30"/>
  <c r="AH45" i="30"/>
  <c r="AG45" i="30"/>
  <c r="AF45" i="30"/>
  <c r="AE45" i="30"/>
  <c r="AD45" i="30"/>
  <c r="AC45" i="30"/>
  <c r="AB45" i="30"/>
  <c r="AA45" i="30"/>
  <c r="Z45" i="30"/>
  <c r="Y45" i="30"/>
  <c r="X45" i="30"/>
  <c r="AD43" i="30"/>
  <c r="AA43" i="30"/>
  <c r="Z43" i="30"/>
  <c r="Y43" i="30"/>
  <c r="X43" i="30"/>
  <c r="Y39" i="30"/>
  <c r="AD39" i="30"/>
  <c r="AA39" i="30"/>
  <c r="Z39" i="30"/>
  <c r="AI43" i="30"/>
  <c r="AH43" i="30"/>
  <c r="AG43" i="30"/>
  <c r="AF39" i="30"/>
  <c r="AE43" i="30"/>
  <c r="AC43" i="30"/>
  <c r="AB43" i="30"/>
  <c r="X39" i="30"/>
  <c r="AH28" i="30"/>
  <c r="AE28" i="30"/>
  <c r="AE35" i="30" s="1"/>
  <c r="I25" i="30"/>
  <c r="H25" i="30"/>
  <c r="G25" i="30"/>
  <c r="I22" i="30"/>
  <c r="H22" i="30"/>
  <c r="G22" i="30"/>
  <c r="F22" i="30"/>
  <c r="E22" i="30"/>
  <c r="D22" i="30"/>
  <c r="J22" i="30" s="1"/>
  <c r="C22" i="30"/>
  <c r="I21" i="30"/>
  <c r="H21" i="30"/>
  <c r="G21" i="30"/>
  <c r="F21" i="30"/>
  <c r="E21" i="30"/>
  <c r="D21" i="30"/>
  <c r="J21" i="30" s="1"/>
  <c r="Q2" i="30" s="1"/>
  <c r="C21" i="30"/>
  <c r="AH24" i="30"/>
  <c r="AE21" i="30"/>
  <c r="AD28" i="30"/>
  <c r="AC28" i="30"/>
  <c r="I20" i="30"/>
  <c r="H20" i="30"/>
  <c r="G20" i="30"/>
  <c r="F20" i="30"/>
  <c r="E20" i="30"/>
  <c r="D20" i="30"/>
  <c r="J20" i="30" s="1"/>
  <c r="I19" i="30"/>
  <c r="H19" i="30"/>
  <c r="G19" i="30"/>
  <c r="F19" i="30"/>
  <c r="E19" i="30"/>
  <c r="D19" i="30"/>
  <c r="J19" i="30" s="1"/>
  <c r="AJ18" i="30"/>
  <c r="AI18" i="30"/>
  <c r="AD18" i="30"/>
  <c r="AC18" i="30"/>
  <c r="AB18" i="30"/>
  <c r="AA18" i="30"/>
  <c r="Z18" i="30"/>
  <c r="X18" i="30"/>
  <c r="I18" i="30"/>
  <c r="H18" i="30"/>
  <c r="G18" i="30"/>
  <c r="F18" i="30"/>
  <c r="E18" i="30"/>
  <c r="D18" i="30"/>
  <c r="J18" i="30" s="1"/>
  <c r="C18" i="30"/>
  <c r="AH18" i="30"/>
  <c r="AG18" i="30"/>
  <c r="AF18" i="30"/>
  <c r="AE18" i="30"/>
  <c r="J17" i="30"/>
  <c r="J16" i="30"/>
  <c r="AJ15" i="30"/>
  <c r="AI15" i="30"/>
  <c r="AH15" i="30"/>
  <c r="AG15" i="30"/>
  <c r="AF15" i="30"/>
  <c r="AE15" i="30"/>
  <c r="AD15" i="30"/>
  <c r="AC15" i="30"/>
  <c r="AB15" i="30"/>
  <c r="AA15" i="30"/>
  <c r="Z15" i="30"/>
  <c r="Y15" i="30"/>
  <c r="X15" i="30"/>
  <c r="C15" i="30"/>
  <c r="C20" i="30" s="1"/>
  <c r="J14" i="30"/>
  <c r="AJ12" i="30"/>
  <c r="AI12" i="30"/>
  <c r="AH12" i="30"/>
  <c r="AG12" i="30"/>
  <c r="AF12" i="30"/>
  <c r="AE12" i="30"/>
  <c r="AD12" i="30"/>
  <c r="AC12" i="30"/>
  <c r="AB12" i="30"/>
  <c r="AA12" i="30"/>
  <c r="Z12" i="30"/>
  <c r="Y12" i="30"/>
  <c r="X12" i="30"/>
  <c r="I12" i="30"/>
  <c r="H12" i="30"/>
  <c r="G12" i="30"/>
  <c r="F12" i="30"/>
  <c r="E12" i="30"/>
  <c r="D12" i="30"/>
  <c r="N11" i="30"/>
  <c r="I11" i="30"/>
  <c r="H11" i="30"/>
  <c r="G11" i="30"/>
  <c r="F11" i="30"/>
  <c r="E11" i="30"/>
  <c r="D11" i="30"/>
  <c r="J11" i="30" s="1"/>
  <c r="C11" i="30"/>
  <c r="N10" i="30"/>
  <c r="J10" i="30"/>
  <c r="AY9" i="30"/>
  <c r="AY11" i="30" s="1"/>
  <c r="AX9" i="30"/>
  <c r="AX11" i="30" s="1"/>
  <c r="AW9" i="30"/>
  <c r="AV9" i="30"/>
  <c r="AU9" i="30"/>
  <c r="AT9" i="30"/>
  <c r="AT11" i="30" s="1"/>
  <c r="AS9" i="30"/>
  <c r="AS11" i="30" s="1"/>
  <c r="AR9" i="30"/>
  <c r="AQ9" i="30"/>
  <c r="AP9" i="30"/>
  <c r="AJ9" i="30"/>
  <c r="AI9" i="30"/>
  <c r="AH9" i="30"/>
  <c r="AG9" i="30"/>
  <c r="AF9" i="30"/>
  <c r="AE9" i="30"/>
  <c r="AD9" i="30"/>
  <c r="AC9" i="30"/>
  <c r="AB9" i="30"/>
  <c r="AA9" i="30"/>
  <c r="Z9" i="30"/>
  <c r="Y9" i="30"/>
  <c r="N9" i="30"/>
  <c r="AJ8" i="30"/>
  <c r="AI8" i="30"/>
  <c r="AH8" i="30"/>
  <c r="AG8" i="30"/>
  <c r="AF8" i="30"/>
  <c r="AE8" i="30"/>
  <c r="AD8" i="30"/>
  <c r="AC8" i="30"/>
  <c r="AB8" i="30"/>
  <c r="N8" i="30"/>
  <c r="I8" i="30"/>
  <c r="H8" i="30"/>
  <c r="G8" i="30"/>
  <c r="F8" i="30"/>
  <c r="E8" i="30"/>
  <c r="D8" i="30"/>
  <c r="J8" i="30" s="1"/>
  <c r="C8" i="30"/>
  <c r="N7" i="30"/>
  <c r="N6" i="30"/>
  <c r="I6" i="30"/>
  <c r="H6" i="30"/>
  <c r="G6" i="30"/>
  <c r="F6" i="30"/>
  <c r="E6" i="30"/>
  <c r="D6" i="30"/>
  <c r="J6" i="30" s="1"/>
  <c r="C6" i="30"/>
  <c r="AJ5" i="30"/>
  <c r="AI5" i="30"/>
  <c r="AH5" i="30"/>
  <c r="AG5" i="30"/>
  <c r="AF5" i="30"/>
  <c r="AE5" i="30"/>
  <c r="AD5" i="30"/>
  <c r="AC5" i="30"/>
  <c r="AB5" i="30"/>
  <c r="AA5" i="30"/>
  <c r="Z5" i="30"/>
  <c r="Y5" i="30"/>
  <c r="N5" i="30"/>
  <c r="AJ4" i="30"/>
  <c r="AI4" i="30"/>
  <c r="AH4" i="30"/>
  <c r="AG4" i="30"/>
  <c r="AF4" i="30"/>
  <c r="AE4" i="30"/>
  <c r="AD4" i="30"/>
  <c r="AC4" i="30"/>
  <c r="AB4" i="30"/>
  <c r="J4" i="30"/>
  <c r="I4" i="30"/>
  <c r="H4" i="30"/>
  <c r="G4" i="30"/>
  <c r="F4" i="30"/>
  <c r="E4" i="30"/>
  <c r="D4" i="30"/>
  <c r="N3" i="30"/>
  <c r="AO2" i="30"/>
  <c r="N2" i="30"/>
  <c r="T14" i="30" s="1"/>
  <c r="O9" i="30" l="1"/>
  <c r="O10" i="30"/>
  <c r="AJ39" i="30"/>
  <c r="AE53" i="30"/>
  <c r="AF53" i="30"/>
  <c r="J12" i="30"/>
  <c r="AD53" i="30"/>
  <c r="AG53" i="30"/>
  <c r="AH53" i="30"/>
  <c r="AH49" i="30"/>
  <c r="AG47" i="30"/>
  <c r="AH31" i="30"/>
  <c r="O11" i="30"/>
  <c r="Y53" i="30"/>
  <c r="AD35" i="30"/>
  <c r="AD29" i="30"/>
  <c r="X24" i="30"/>
  <c r="X28" i="30"/>
  <c r="X21" i="30"/>
  <c r="AJ21" i="30"/>
  <c r="AJ28" i="30"/>
  <c r="AJ24" i="30"/>
  <c r="AA21" i="30"/>
  <c r="AA28" i="30"/>
  <c r="AA24" i="30"/>
  <c r="Y28" i="30"/>
  <c r="Y21" i="30"/>
  <c r="Y24" i="30"/>
  <c r="AB24" i="30"/>
  <c r="AB28" i="30"/>
  <c r="AB21" i="30"/>
  <c r="AC29" i="30"/>
  <c r="AC35" i="30"/>
  <c r="AI24" i="30"/>
  <c r="AI28" i="30"/>
  <c r="AI21" i="30"/>
  <c r="Z28" i="30"/>
  <c r="Z21" i="30"/>
  <c r="Z24" i="30"/>
  <c r="Y18" i="30"/>
  <c r="C19" i="30"/>
  <c r="AH21" i="30"/>
  <c r="AH35" i="30"/>
  <c r="AB39" i="30"/>
  <c r="AE29" i="30"/>
  <c r="AH29" i="30"/>
  <c r="AC39" i="30"/>
  <c r="N13" i="30"/>
  <c r="N14" i="30" s="1"/>
  <c r="AE24" i="30"/>
  <c r="AG39" i="30"/>
  <c r="AF43" i="30"/>
  <c r="AC21" i="30"/>
  <c r="AH39" i="30"/>
  <c r="AC24" i="30"/>
  <c r="AE39" i="30"/>
  <c r="S14" i="30"/>
  <c r="AD21" i="30"/>
  <c r="AI39" i="30"/>
  <c r="AD24" i="30"/>
  <c r="D12" i="44" l="1"/>
  <c r="AL32" i="30"/>
  <c r="AF47" i="30"/>
  <c r="AG49" i="30"/>
  <c r="AJ31" i="30"/>
  <c r="AK33" i="30" s="1"/>
  <c r="AJ29" i="30"/>
  <c r="AJ35" i="30"/>
  <c r="X29" i="30"/>
  <c r="X35" i="30"/>
  <c r="N20" i="30"/>
  <c r="Q13" i="30"/>
  <c r="Q14" i="30" s="1"/>
  <c r="Z35" i="30"/>
  <c r="Z29" i="30"/>
  <c r="Y35" i="30"/>
  <c r="Y29" i="30"/>
  <c r="AG24" i="30"/>
  <c r="AG21" i="30"/>
  <c r="AG28" i="30"/>
  <c r="AB29" i="30"/>
  <c r="AB35" i="30"/>
  <c r="AF28" i="30"/>
  <c r="AF21" i="30"/>
  <c r="AF24" i="30"/>
  <c r="AI31" i="30"/>
  <c r="F12" i="44" s="1"/>
  <c r="AI29" i="30"/>
  <c r="AI35" i="30"/>
  <c r="AN35" i="30" s="1"/>
  <c r="AA29" i="30"/>
  <c r="AA35" i="30"/>
  <c r="AN36" i="30" l="1"/>
  <c r="AN37" i="30"/>
  <c r="I12" i="44" s="1"/>
  <c r="H12" i="44"/>
  <c r="AE47" i="30"/>
  <c r="AF49" i="30"/>
  <c r="AI33" i="30"/>
  <c r="AG31" i="30"/>
  <c r="AK32" i="30" s="1"/>
  <c r="AG29" i="30"/>
  <c r="AG35" i="30"/>
  <c r="AF35" i="30"/>
  <c r="AF31" i="30"/>
  <c r="AF29" i="30"/>
  <c r="AJ33" i="30"/>
  <c r="AD47" i="30" l="1"/>
  <c r="AE49" i="30"/>
  <c r="AE31" i="30"/>
  <c r="AF33" i="30" s="1"/>
  <c r="AJ32" i="30"/>
  <c r="AG33" i="30"/>
  <c r="AH33" i="30"/>
  <c r="AI32" i="30" l="1"/>
  <c r="AD49" i="30"/>
  <c r="AC47" i="30"/>
  <c r="AD31" i="30"/>
  <c r="Z37" i="29"/>
  <c r="Z38" i="29"/>
  <c r="Z17" i="29"/>
  <c r="Z20" i="29" s="1"/>
  <c r="AA37" i="29"/>
  <c r="AA38" i="29"/>
  <c r="AA17" i="29"/>
  <c r="AA20" i="29" s="1"/>
  <c r="AB37" i="29"/>
  <c r="AF37" i="29"/>
  <c r="AB38" i="29"/>
  <c r="AF38" i="29"/>
  <c r="AB17" i="29"/>
  <c r="AB20" i="29" s="1"/>
  <c r="AF17" i="29"/>
  <c r="AF20" i="29" s="1"/>
  <c r="AC37" i="29"/>
  <c r="AG37" i="29"/>
  <c r="AC38" i="29"/>
  <c r="AG38" i="29"/>
  <c r="AC17" i="29"/>
  <c r="AC20" i="29" s="1"/>
  <c r="AG17" i="29"/>
  <c r="AG20" i="29" s="1"/>
  <c r="AH32" i="30" l="1"/>
  <c r="AC49" i="30"/>
  <c r="AB47" i="30"/>
  <c r="AC31" i="30"/>
  <c r="AD33" i="30" s="1"/>
  <c r="AE33" i="30"/>
  <c r="AD37" i="29"/>
  <c r="AD38" i="29"/>
  <c r="AD17" i="29"/>
  <c r="AD18" i="29" s="1"/>
  <c r="AH17" i="29"/>
  <c r="AH20" i="29" s="1"/>
  <c r="AE37" i="29"/>
  <c r="AE43" i="29" s="1"/>
  <c r="AE38" i="29"/>
  <c r="AH37" i="29"/>
  <c r="AH38" i="29"/>
  <c r="AI56" i="29"/>
  <c r="AI37" i="29"/>
  <c r="AI43" i="29" s="1"/>
  <c r="AI38" i="29"/>
  <c r="AH47" i="29"/>
  <c r="AG47" i="29" s="1"/>
  <c r="AE17" i="29"/>
  <c r="AE18" i="29" s="1"/>
  <c r="AI17" i="29"/>
  <c r="AI20" i="29" s="1"/>
  <c r="AJ87" i="29"/>
  <c r="AI87" i="29"/>
  <c r="AH87" i="29"/>
  <c r="AG87" i="29"/>
  <c r="AF87" i="29"/>
  <c r="AE87" i="29"/>
  <c r="AD87" i="29"/>
  <c r="AC87" i="29"/>
  <c r="AB87" i="29"/>
  <c r="AA87" i="29"/>
  <c r="Z87" i="29"/>
  <c r="AJ85" i="29"/>
  <c r="AI85" i="29"/>
  <c r="AH85" i="29"/>
  <c r="AG85" i="29"/>
  <c r="AF85" i="29"/>
  <c r="AE85" i="29"/>
  <c r="AD85" i="29"/>
  <c r="AC85" i="29"/>
  <c r="AB85" i="29"/>
  <c r="AA85" i="29"/>
  <c r="Z85" i="29"/>
  <c r="AJ83" i="29"/>
  <c r="AI83" i="29"/>
  <c r="AH83" i="29"/>
  <c r="AG83" i="29"/>
  <c r="AF83" i="29"/>
  <c r="AE83" i="29"/>
  <c r="AD83" i="29"/>
  <c r="AC83" i="29"/>
  <c r="AB83" i="29"/>
  <c r="AA83" i="29"/>
  <c r="AJ82" i="29"/>
  <c r="AI82" i="29"/>
  <c r="AH82" i="29"/>
  <c r="AG82" i="29"/>
  <c r="AF82" i="29"/>
  <c r="AE82" i="29"/>
  <c r="AD82" i="29"/>
  <c r="AJ77" i="29"/>
  <c r="AI77" i="29"/>
  <c r="AH77" i="29"/>
  <c r="AG77" i="29"/>
  <c r="AF77" i="29"/>
  <c r="AE77" i="29"/>
  <c r="AD77" i="29"/>
  <c r="AC77" i="29"/>
  <c r="AB77" i="29"/>
  <c r="AA77" i="29"/>
  <c r="Z77" i="29"/>
  <c r="AJ75" i="29"/>
  <c r="AI75" i="29"/>
  <c r="AH75" i="29"/>
  <c r="AG75" i="29"/>
  <c r="AF75" i="29"/>
  <c r="AE75" i="29"/>
  <c r="AD75" i="29"/>
  <c r="AC75" i="29"/>
  <c r="AB75" i="29"/>
  <c r="AA75" i="29"/>
  <c r="Z75" i="29"/>
  <c r="AJ73" i="29"/>
  <c r="AI73" i="29"/>
  <c r="AH73" i="29"/>
  <c r="AG73" i="29"/>
  <c r="AF73" i="29"/>
  <c r="AE73" i="29"/>
  <c r="AD73" i="29"/>
  <c r="AC73" i="29"/>
  <c r="AB73" i="29"/>
  <c r="AA73" i="29"/>
  <c r="AJ72" i="29"/>
  <c r="AI72" i="29"/>
  <c r="AH72" i="29"/>
  <c r="AG72" i="29"/>
  <c r="AF72" i="29"/>
  <c r="AE72" i="29"/>
  <c r="AD72" i="29"/>
  <c r="AJ67" i="29"/>
  <c r="AI67" i="29"/>
  <c r="AH67" i="29"/>
  <c r="AG67" i="29"/>
  <c r="AF67" i="29"/>
  <c r="AE67" i="29"/>
  <c r="AD67" i="29"/>
  <c r="AC67" i="29"/>
  <c r="AB67" i="29"/>
  <c r="AA67" i="29"/>
  <c r="Z67" i="29"/>
  <c r="AJ65" i="29"/>
  <c r="AI65" i="29"/>
  <c r="AH65" i="29"/>
  <c r="AG65" i="29"/>
  <c r="AF65" i="29"/>
  <c r="AE65" i="29"/>
  <c r="AD65" i="29"/>
  <c r="AC65" i="29"/>
  <c r="AB65" i="29"/>
  <c r="AA65" i="29"/>
  <c r="Z65" i="29"/>
  <c r="AJ63" i="29"/>
  <c r="AI63" i="29"/>
  <c r="AH63" i="29"/>
  <c r="AG63" i="29"/>
  <c r="AF63" i="29"/>
  <c r="AE63" i="29"/>
  <c r="AD63" i="29"/>
  <c r="AC63" i="29"/>
  <c r="AB63" i="29"/>
  <c r="AA63" i="29"/>
  <c r="AJ62" i="29"/>
  <c r="AI62" i="29"/>
  <c r="AH62" i="29"/>
  <c r="AG62" i="29"/>
  <c r="AF62" i="29"/>
  <c r="AE62" i="29"/>
  <c r="AD62" i="29"/>
  <c r="AJ57" i="29"/>
  <c r="AI57" i="29"/>
  <c r="AH57" i="29"/>
  <c r="AD57" i="29"/>
  <c r="AA57" i="29"/>
  <c r="Z57" i="29"/>
  <c r="Y57" i="29"/>
  <c r="X57" i="29"/>
  <c r="AG57" i="29"/>
  <c r="AF57" i="29"/>
  <c r="AE57" i="29"/>
  <c r="AD52" i="29"/>
  <c r="AC57" i="29"/>
  <c r="AC52" i="29"/>
  <c r="AJ52" i="29"/>
  <c r="AI52" i="29"/>
  <c r="AE52" i="29"/>
  <c r="AA52" i="29"/>
  <c r="Z52" i="29"/>
  <c r="Y52" i="29"/>
  <c r="AJ51" i="29"/>
  <c r="AI51" i="29"/>
  <c r="AH51" i="29"/>
  <c r="AG51" i="29"/>
  <c r="AF51" i="29"/>
  <c r="AE51" i="29"/>
  <c r="AE53" i="29" s="1"/>
  <c r="AD51" i="29"/>
  <c r="AC51" i="29"/>
  <c r="AB51" i="29"/>
  <c r="AA51" i="29"/>
  <c r="Z51" i="29"/>
  <c r="Y51" i="29"/>
  <c r="Y53" i="29" s="1"/>
  <c r="AJ49" i="29"/>
  <c r="AI49" i="29"/>
  <c r="AH49" i="29"/>
  <c r="AJ45" i="29"/>
  <c r="AI45" i="29"/>
  <c r="AH45" i="29"/>
  <c r="AG45" i="29"/>
  <c r="AF45" i="29"/>
  <c r="AE45" i="29"/>
  <c r="AD45" i="29"/>
  <c r="AC45" i="29"/>
  <c r="AB45" i="29"/>
  <c r="AA45" i="29"/>
  <c r="Z45" i="29"/>
  <c r="Y45" i="29"/>
  <c r="X45" i="29"/>
  <c r="AC43" i="29"/>
  <c r="AB43" i="29"/>
  <c r="AA43" i="29"/>
  <c r="Z43" i="29"/>
  <c r="Y43" i="29"/>
  <c r="X43" i="29"/>
  <c r="AH39" i="29"/>
  <c r="AC39" i="29"/>
  <c r="AB39" i="29"/>
  <c r="AA39" i="29"/>
  <c r="Z39" i="29"/>
  <c r="Y39" i="29"/>
  <c r="X39" i="29"/>
  <c r="AJ39" i="29"/>
  <c r="AF39" i="29"/>
  <c r="AJ43" i="29"/>
  <c r="AH43" i="29"/>
  <c r="AG39" i="29"/>
  <c r="AF43" i="29"/>
  <c r="AD43" i="29"/>
  <c r="AJ28" i="29"/>
  <c r="AJ31" i="29" s="1"/>
  <c r="AK33" i="29" s="1"/>
  <c r="AC28" i="29"/>
  <c r="AB28" i="29"/>
  <c r="AB35" i="29" s="1"/>
  <c r="Z28" i="29"/>
  <c r="Z29" i="29" s="1"/>
  <c r="Y28" i="29"/>
  <c r="X28" i="29"/>
  <c r="X29" i="29" s="1"/>
  <c r="I25" i="29"/>
  <c r="H25" i="29"/>
  <c r="G25" i="29"/>
  <c r="AJ24" i="29"/>
  <c r="AG24" i="29"/>
  <c r="AC24" i="29"/>
  <c r="AB24" i="29"/>
  <c r="Z24" i="29"/>
  <c r="Y24" i="29"/>
  <c r="X24" i="29"/>
  <c r="AG28" i="29"/>
  <c r="AF24" i="29"/>
  <c r="AA28" i="29"/>
  <c r="I22" i="29"/>
  <c r="H22" i="29"/>
  <c r="G22" i="29"/>
  <c r="F22" i="29"/>
  <c r="E22" i="29"/>
  <c r="D22" i="29"/>
  <c r="J22" i="29" s="1"/>
  <c r="C22" i="29"/>
  <c r="AJ21" i="29"/>
  <c r="AG21" i="29"/>
  <c r="AF21" i="29"/>
  <c r="AC21" i="29"/>
  <c r="AB21" i="29"/>
  <c r="AA21" i="29"/>
  <c r="Z21" i="29"/>
  <c r="Y21" i="29"/>
  <c r="X21" i="29"/>
  <c r="I21" i="29"/>
  <c r="H21" i="29"/>
  <c r="G21" i="29"/>
  <c r="F21" i="29"/>
  <c r="E21" i="29"/>
  <c r="D21" i="29"/>
  <c r="J21" i="29" s="1"/>
  <c r="C21" i="29"/>
  <c r="I20" i="29"/>
  <c r="H20" i="29"/>
  <c r="G20" i="29"/>
  <c r="F20" i="29"/>
  <c r="E20" i="29"/>
  <c r="D20" i="29"/>
  <c r="J20" i="29" s="1"/>
  <c r="I19" i="29"/>
  <c r="H19" i="29"/>
  <c r="G19" i="29"/>
  <c r="F19" i="29"/>
  <c r="E19" i="29"/>
  <c r="D19" i="29"/>
  <c r="J19" i="29" s="1"/>
  <c r="AC18" i="29"/>
  <c r="AB18" i="29"/>
  <c r="AA18" i="29"/>
  <c r="Z18" i="29"/>
  <c r="Y18" i="29"/>
  <c r="X18" i="29"/>
  <c r="I18" i="29"/>
  <c r="H18" i="29"/>
  <c r="G18" i="29"/>
  <c r="F18" i="29"/>
  <c r="E18" i="29"/>
  <c r="D18" i="29"/>
  <c r="C18" i="29"/>
  <c r="AJ18" i="29"/>
  <c r="AG18" i="29"/>
  <c r="AF18" i="29"/>
  <c r="J17" i="29"/>
  <c r="J16" i="29"/>
  <c r="AJ15" i="29"/>
  <c r="AI15" i="29"/>
  <c r="AH15" i="29"/>
  <c r="AG15" i="29"/>
  <c r="AF15" i="29"/>
  <c r="AE15" i="29"/>
  <c r="AD15" i="29"/>
  <c r="AC15" i="29"/>
  <c r="AB15" i="29"/>
  <c r="AA15" i="29"/>
  <c r="Z15" i="29"/>
  <c r="Y15" i="29"/>
  <c r="X15" i="29"/>
  <c r="C15" i="29"/>
  <c r="C20" i="29" s="1"/>
  <c r="J14" i="29"/>
  <c r="AJ12" i="29"/>
  <c r="AI12" i="29"/>
  <c r="AH12" i="29"/>
  <c r="AG12" i="29"/>
  <c r="AF12" i="29"/>
  <c r="AE12" i="29"/>
  <c r="AD12" i="29"/>
  <c r="AC12" i="29"/>
  <c r="AB12" i="29"/>
  <c r="AA12" i="29"/>
  <c r="Z12" i="29"/>
  <c r="Y12" i="29"/>
  <c r="X12" i="29"/>
  <c r="I12" i="29"/>
  <c r="H12" i="29"/>
  <c r="G12" i="29"/>
  <c r="F12" i="29"/>
  <c r="E12" i="29"/>
  <c r="D12" i="29"/>
  <c r="AY11" i="29"/>
  <c r="AX11" i="29"/>
  <c r="AW11" i="29"/>
  <c r="S21" i="44" s="1"/>
  <c r="AV11" i="29"/>
  <c r="AU11" i="29"/>
  <c r="P21" i="44" s="1"/>
  <c r="AT11" i="29"/>
  <c r="AS11" i="29"/>
  <c r="AR11" i="29"/>
  <c r="R21" i="44" s="1"/>
  <c r="AQ11" i="29"/>
  <c r="AP11" i="29"/>
  <c r="O21" i="44" s="1"/>
  <c r="N11" i="29"/>
  <c r="I11" i="29"/>
  <c r="H11" i="29"/>
  <c r="G11" i="29"/>
  <c r="F11" i="29"/>
  <c r="E11" i="29"/>
  <c r="D11" i="29"/>
  <c r="J11" i="29" s="1"/>
  <c r="C11" i="29"/>
  <c r="N10" i="29"/>
  <c r="J10" i="29"/>
  <c r="AJ9" i="29"/>
  <c r="AI9" i="29"/>
  <c r="AH9" i="29"/>
  <c r="AG9" i="29"/>
  <c r="AF9" i="29"/>
  <c r="AE9" i="29"/>
  <c r="AD9" i="29"/>
  <c r="AC9" i="29"/>
  <c r="AB9" i="29"/>
  <c r="AA9" i="29"/>
  <c r="Z9" i="29"/>
  <c r="Y9" i="29"/>
  <c r="N9" i="29"/>
  <c r="AJ8" i="29"/>
  <c r="AI8" i="29"/>
  <c r="AH8" i="29"/>
  <c r="AG8" i="29"/>
  <c r="AF8" i="29"/>
  <c r="AE8" i="29"/>
  <c r="AD8" i="29"/>
  <c r="AC8" i="29"/>
  <c r="AB8" i="29"/>
  <c r="N8" i="29"/>
  <c r="I8" i="29"/>
  <c r="H8" i="29"/>
  <c r="G8" i="29"/>
  <c r="F8" i="29"/>
  <c r="E8" i="29"/>
  <c r="D8" i="29"/>
  <c r="J8" i="29" s="1"/>
  <c r="C8" i="29"/>
  <c r="N7" i="29"/>
  <c r="N6" i="29"/>
  <c r="I6" i="29"/>
  <c r="H6" i="29"/>
  <c r="G6" i="29"/>
  <c r="F6" i="29"/>
  <c r="E6" i="29"/>
  <c r="D6" i="29"/>
  <c r="J6" i="29" s="1"/>
  <c r="C6" i="29"/>
  <c r="AJ5" i="29"/>
  <c r="AI5" i="29"/>
  <c r="AH5" i="29"/>
  <c r="AG5" i="29"/>
  <c r="AF5" i="29"/>
  <c r="AE5" i="29"/>
  <c r="AD5" i="29"/>
  <c r="AC5" i="29"/>
  <c r="AB5" i="29"/>
  <c r="AA5" i="29"/>
  <c r="Z5" i="29"/>
  <c r="Y5" i="29"/>
  <c r="N5" i="29"/>
  <c r="AJ4" i="29"/>
  <c r="AI4" i="29"/>
  <c r="AH4" i="29"/>
  <c r="AG4" i="29"/>
  <c r="AF4" i="29"/>
  <c r="AE4" i="29"/>
  <c r="AD4" i="29"/>
  <c r="AC4" i="29"/>
  <c r="AB4" i="29"/>
  <c r="J4" i="29"/>
  <c r="I4" i="29"/>
  <c r="H4" i="29"/>
  <c r="G4" i="29"/>
  <c r="F4" i="29"/>
  <c r="E4" i="29"/>
  <c r="D4" i="29"/>
  <c r="N3" i="29"/>
  <c r="AO2" i="29"/>
  <c r="N2" i="29"/>
  <c r="T14" i="29" s="1"/>
  <c r="O9" i="29" l="1"/>
  <c r="J12" i="29"/>
  <c r="J18" i="29"/>
  <c r="Q2" i="29"/>
  <c r="AA21" i="44"/>
  <c r="AB21" i="44"/>
  <c r="AX13" i="29"/>
  <c r="V21" i="44"/>
  <c r="M21" i="44" s="1"/>
  <c r="AY13" i="29"/>
  <c r="Y21" i="44"/>
  <c r="K21" i="44" s="1"/>
  <c r="AD20" i="29"/>
  <c r="AD28" i="29" s="1"/>
  <c r="AD35" i="29" s="1"/>
  <c r="AE20" i="29"/>
  <c r="AD39" i="29"/>
  <c r="U21" i="44"/>
  <c r="L21" i="44" s="1"/>
  <c r="AS13" i="29"/>
  <c r="AT13" i="29"/>
  <c r="X21" i="44"/>
  <c r="AH28" i="29"/>
  <c r="AH31" i="29" s="1"/>
  <c r="AH21" i="29"/>
  <c r="AH24" i="29"/>
  <c r="AI21" i="29"/>
  <c r="AI24" i="29"/>
  <c r="AH18" i="29"/>
  <c r="AI18" i="29"/>
  <c r="AI53" i="29"/>
  <c r="AD24" i="29"/>
  <c r="C19" i="29"/>
  <c r="AB49" i="30"/>
  <c r="AA47" i="30"/>
  <c r="AB31" i="30"/>
  <c r="AG32" i="30"/>
  <c r="N13" i="29"/>
  <c r="Q13" i="29" s="1"/>
  <c r="Q14" i="29" s="1"/>
  <c r="N14" i="29"/>
  <c r="S14" i="29"/>
  <c r="O10" i="29"/>
  <c r="O11" i="29"/>
  <c r="AF47" i="29"/>
  <c r="AG49" i="29"/>
  <c r="Z53" i="29"/>
  <c r="AA53" i="29"/>
  <c r="AB29" i="29"/>
  <c r="AI39" i="29"/>
  <c r="AJ53" i="29"/>
  <c r="AJ29" i="29"/>
  <c r="AG29" i="29"/>
  <c r="AG35" i="29"/>
  <c r="AG31" i="29"/>
  <c r="AC53" i="29"/>
  <c r="AD53" i="29"/>
  <c r="AA29" i="29"/>
  <c r="AA35" i="29"/>
  <c r="AD29" i="29"/>
  <c r="AG52" i="29"/>
  <c r="AG53" i="29" s="1"/>
  <c r="AF28" i="29"/>
  <c r="AH52" i="29"/>
  <c r="AH53" i="29" s="1"/>
  <c r="AA24" i="29"/>
  <c r="AI28" i="29"/>
  <c r="D21" i="44" s="1"/>
  <c r="AB57" i="29"/>
  <c r="AC29" i="29"/>
  <c r="X35" i="29"/>
  <c r="AJ35" i="29"/>
  <c r="AF52" i="29"/>
  <c r="AF53" i="29" s="1"/>
  <c r="Y35" i="29"/>
  <c r="Y29" i="29"/>
  <c r="Z35" i="29"/>
  <c r="AE39" i="29"/>
  <c r="AB52" i="29"/>
  <c r="AB53" i="29" s="1"/>
  <c r="AC35" i="29"/>
  <c r="AG43" i="29"/>
  <c r="AY11" i="6"/>
  <c r="AX11" i="6"/>
  <c r="AW11" i="6"/>
  <c r="S14" i="44" s="1"/>
  <c r="AV11" i="6"/>
  <c r="AU11" i="6"/>
  <c r="P14" i="44" s="1"/>
  <c r="AT11" i="6"/>
  <c r="AS11" i="6"/>
  <c r="AR11" i="6"/>
  <c r="R14" i="44" s="1"/>
  <c r="AQ11" i="6"/>
  <c r="AP11" i="6"/>
  <c r="O14" i="44" s="1"/>
  <c r="AO2" i="6"/>
  <c r="AJ37" i="6"/>
  <c r="AJ38" i="6"/>
  <c r="AJ17" i="6"/>
  <c r="AJ18" i="6" s="1"/>
  <c r="AJ87" i="6"/>
  <c r="AJ85" i="6"/>
  <c r="AJ83" i="6"/>
  <c r="AJ82" i="6"/>
  <c r="AJ77" i="6"/>
  <c r="AJ75" i="6"/>
  <c r="AJ73" i="6"/>
  <c r="AJ72" i="6"/>
  <c r="AJ67" i="6"/>
  <c r="AJ65" i="6"/>
  <c r="AJ63" i="6"/>
  <c r="AJ62" i="6"/>
  <c r="AJ57" i="6"/>
  <c r="AJ52" i="6"/>
  <c r="AJ51" i="6"/>
  <c r="AJ49" i="6"/>
  <c r="AJ45" i="6"/>
  <c r="AJ28" i="6"/>
  <c r="AJ21" i="6"/>
  <c r="AJ15" i="6"/>
  <c r="AJ12" i="6"/>
  <c r="AJ9" i="6"/>
  <c r="AJ8" i="6"/>
  <c r="AJ5" i="6"/>
  <c r="AJ4" i="6"/>
  <c r="AD21" i="29" l="1"/>
  <c r="AJ53" i="6"/>
  <c r="AA14" i="44"/>
  <c r="AB14" i="44"/>
  <c r="AT13" i="6"/>
  <c r="X14" i="44"/>
  <c r="AX13" i="6"/>
  <c r="V14" i="44"/>
  <c r="M14" i="44" s="1"/>
  <c r="AY13" i="6"/>
  <c r="Y14" i="44"/>
  <c r="K14" i="44" s="1"/>
  <c r="AS13" i="6"/>
  <c r="U14" i="44"/>
  <c r="L14" i="44" s="1"/>
  <c r="AL32" i="29"/>
  <c r="AH35" i="29"/>
  <c r="AE24" i="29"/>
  <c r="AE28" i="29"/>
  <c r="AE21" i="29"/>
  <c r="AH29" i="29"/>
  <c r="N20" i="29"/>
  <c r="AJ39" i="6"/>
  <c r="AH33" i="29"/>
  <c r="AK32" i="29"/>
  <c r="AC33" i="30"/>
  <c r="AF32" i="30"/>
  <c r="AA49" i="30"/>
  <c r="Z47" i="30"/>
  <c r="AA31" i="30"/>
  <c r="AF49" i="29"/>
  <c r="AE47" i="29"/>
  <c r="AI31" i="29"/>
  <c r="F21" i="44" s="1"/>
  <c r="AI29" i="29"/>
  <c r="AI35" i="29"/>
  <c r="AF31" i="29"/>
  <c r="AF29" i="29"/>
  <c r="AF35" i="29"/>
  <c r="AJ31" i="6"/>
  <c r="AK33" i="6" s="1"/>
  <c r="AJ29" i="6"/>
  <c r="AJ35" i="6"/>
  <c r="AJ43" i="6"/>
  <c r="AJ24" i="6"/>
  <c r="AE35" i="29" l="1"/>
  <c r="AE29" i="29"/>
  <c r="AE32" i="30"/>
  <c r="Z49" i="30"/>
  <c r="Y47" i="30"/>
  <c r="Z31" i="30"/>
  <c r="AB33" i="30"/>
  <c r="AE49" i="29"/>
  <c r="AD47" i="29"/>
  <c r="AE31" i="29"/>
  <c r="AI32" i="29"/>
  <c r="AI33" i="29"/>
  <c r="AJ33" i="29"/>
  <c r="AJ32" i="29"/>
  <c r="AG33" i="29"/>
  <c r="AN35" i="29" l="1"/>
  <c r="AN36" i="29"/>
  <c r="H21" i="44"/>
  <c r="AN37" i="29"/>
  <c r="I21" i="44" s="1"/>
  <c r="AD32" i="30"/>
  <c r="Y49" i="30"/>
  <c r="X47" i="30"/>
  <c r="Y31" i="30"/>
  <c r="AA33" i="30"/>
  <c r="AD49" i="29"/>
  <c r="AD31" i="29"/>
  <c r="AH32" i="29" s="1"/>
  <c r="AC47" i="29"/>
  <c r="AF33" i="29"/>
  <c r="X49" i="30" l="1"/>
  <c r="X31" i="30"/>
  <c r="AB32" i="30" s="1"/>
  <c r="AC32" i="30"/>
  <c r="Z33" i="30"/>
  <c r="AE33" i="29"/>
  <c r="AC49" i="29"/>
  <c r="AC31" i="29"/>
  <c r="AB47" i="29"/>
  <c r="Y33" i="30" l="1"/>
  <c r="AA47" i="29"/>
  <c r="AB31" i="29"/>
  <c r="AB49" i="29"/>
  <c r="AD33" i="29"/>
  <c r="AG32" i="29"/>
  <c r="AC33" i="29"/>
  <c r="AF32" i="29" l="1"/>
  <c r="Z47" i="29"/>
  <c r="AA49" i="29"/>
  <c r="AA31" i="29"/>
  <c r="AB33" i="29" s="1"/>
  <c r="AE32" i="29" l="1"/>
  <c r="Z49" i="29"/>
  <c r="Y47" i="29"/>
  <c r="Z31" i="29"/>
  <c r="AD32" i="29" l="1"/>
  <c r="Y49" i="29"/>
  <c r="X47" i="29"/>
  <c r="Y31" i="29"/>
  <c r="Z33" i="29" s="1"/>
  <c r="AA33" i="29"/>
  <c r="D53" i="3"/>
  <c r="D48" i="3"/>
  <c r="D47" i="3"/>
  <c r="D45" i="3"/>
  <c r="D41" i="3"/>
  <c r="D39" i="3"/>
  <c r="D24" i="3"/>
  <c r="D25" i="3" s="1"/>
  <c r="D22" i="3"/>
  <c r="D19" i="3"/>
  <c r="D12" i="3"/>
  <c r="D4" i="3"/>
  <c r="D16" i="3" l="1"/>
  <c r="D13" i="3"/>
  <c r="AC32" i="29"/>
  <c r="X49" i="29"/>
  <c r="X31" i="29"/>
  <c r="AB32" i="29" s="1"/>
  <c r="D49" i="3"/>
  <c r="D31" i="3"/>
  <c r="D27" i="3"/>
  <c r="E29" i="3" l="1"/>
  <c r="H28" i="3"/>
  <c r="Y33" i="29"/>
  <c r="AJ37" i="20" l="1"/>
  <c r="AJ38" i="20"/>
  <c r="AJ17" i="20"/>
  <c r="AJ20" i="20" s="1"/>
  <c r="AJ57" i="20"/>
  <c r="AJ52" i="20"/>
  <c r="AJ51" i="20"/>
  <c r="AJ49" i="20"/>
  <c r="AJ45" i="20"/>
  <c r="AJ43" i="20"/>
  <c r="AJ15" i="20"/>
  <c r="AJ12" i="20"/>
  <c r="AJ9" i="20"/>
  <c r="AJ8" i="20"/>
  <c r="AJ5" i="20"/>
  <c r="AJ4" i="20"/>
  <c r="AJ53" i="20" l="1"/>
  <c r="AJ24" i="20"/>
  <c r="AJ21" i="20"/>
  <c r="AJ28" i="20"/>
  <c r="AJ18" i="20"/>
  <c r="AJ39" i="20"/>
  <c r="AJ29" i="20" l="1"/>
  <c r="AJ35" i="20"/>
  <c r="AJ31" i="20"/>
  <c r="AK33" i="20" s="1"/>
  <c r="AJ38" i="22" l="1"/>
  <c r="AJ43" i="22" s="1"/>
  <c r="AJ39" i="22"/>
  <c r="AJ18" i="22"/>
  <c r="AJ14" i="22" s="1"/>
  <c r="AJ15" i="22" s="1"/>
  <c r="AJ57" i="22"/>
  <c r="AJ52" i="22"/>
  <c r="AJ51" i="22"/>
  <c r="AJ49" i="22"/>
  <c r="AJ29" i="22"/>
  <c r="AJ30" i="22" s="1"/>
  <c r="AJ25" i="22"/>
  <c r="AJ22" i="22"/>
  <c r="AJ12" i="22"/>
  <c r="AJ5" i="22"/>
  <c r="AJ4" i="22"/>
  <c r="AJ53" i="22" l="1"/>
  <c r="AJ19" i="22"/>
  <c r="AJ16" i="22"/>
  <c r="AJ32" i="22"/>
  <c r="AK34" i="22" s="1"/>
  <c r="AJ36" i="22"/>
  <c r="AJ40" i="22"/>
  <c r="AK17" i="7" l="1"/>
  <c r="AK14" i="7" s="1"/>
  <c r="AK15" i="7" s="1"/>
  <c r="AK65" i="7"/>
  <c r="AK63" i="7"/>
  <c r="AK61" i="7"/>
  <c r="AK57" i="7"/>
  <c r="AK52" i="7"/>
  <c r="AK51" i="7"/>
  <c r="AK49" i="7"/>
  <c r="AK45" i="7"/>
  <c r="AK43" i="7"/>
  <c r="AK28" i="7"/>
  <c r="AK35" i="7" s="1"/>
  <c r="AK24" i="7"/>
  <c r="AK21" i="7"/>
  <c r="AK12" i="7"/>
  <c r="AK9" i="7"/>
  <c r="AK8" i="7"/>
  <c r="AK5" i="7"/>
  <c r="AK4" i="7"/>
  <c r="AJ35" i="2"/>
  <c r="AJ40" i="2" s="1"/>
  <c r="AJ54" i="2"/>
  <c r="AJ49" i="2"/>
  <c r="AJ48" i="2"/>
  <c r="AJ46" i="2"/>
  <c r="AJ42" i="2"/>
  <c r="AJ26" i="2"/>
  <c r="AJ29" i="2" s="1"/>
  <c r="AK31" i="2" s="1"/>
  <c r="AJ24" i="2"/>
  <c r="AJ21" i="2"/>
  <c r="AJ18" i="2"/>
  <c r="AJ12" i="2"/>
  <c r="AJ9" i="2"/>
  <c r="AJ8" i="2"/>
  <c r="AJ5" i="2"/>
  <c r="AJ4" i="2"/>
  <c r="AJ50" i="2" l="1"/>
  <c r="AJ44" i="15"/>
  <c r="AJ7" i="15" s="1"/>
  <c r="AK9" i="15" s="1"/>
  <c r="AJ45" i="8"/>
  <c r="AJ7" i="8" s="1"/>
  <c r="AK9" i="8" s="1"/>
  <c r="AJ42" i="4"/>
  <c r="AJ7" i="4" s="1"/>
  <c r="AK9" i="4" s="1"/>
  <c r="AJ45" i="22"/>
  <c r="AK53" i="7"/>
  <c r="AK18" i="7"/>
  <c r="AK39" i="7"/>
  <c r="AK29" i="7"/>
  <c r="AK31" i="7"/>
  <c r="AL33" i="7" s="1"/>
  <c r="AJ33" i="2"/>
  <c r="AJ15" i="2"/>
  <c r="AJ37" i="2"/>
  <c r="AJ27" i="2"/>
  <c r="AJ45" i="25" l="1"/>
  <c r="AJ7" i="25" s="1"/>
  <c r="AK9" i="25" s="1"/>
  <c r="AJ45" i="34"/>
  <c r="AJ7" i="34" s="1"/>
  <c r="AK9" i="34" s="1"/>
  <c r="AJ7" i="22"/>
  <c r="AK9" i="22" s="1"/>
  <c r="Y81" i="28"/>
  <c r="Y79" i="28"/>
  <c r="Y77" i="28"/>
  <c r="Z75" i="28"/>
  <c r="AC74" i="28"/>
  <c r="Y69" i="28"/>
  <c r="Y67" i="28"/>
  <c r="Y65" i="28"/>
  <c r="AC62" i="28"/>
  <c r="AC37" i="28"/>
  <c r="Z37" i="28"/>
  <c r="Z38" i="28"/>
  <c r="AE37" i="28"/>
  <c r="AF37" i="28" l="1"/>
  <c r="AF38" i="28"/>
  <c r="AG37" i="28"/>
  <c r="AG38" i="28"/>
  <c r="AD37" i="28"/>
  <c r="AI81" i="28"/>
  <c r="AH81" i="28"/>
  <c r="AG81" i="28"/>
  <c r="AF81" i="28"/>
  <c r="AE81" i="28"/>
  <c r="AD81" i="28"/>
  <c r="AC81" i="28"/>
  <c r="AB81" i="28"/>
  <c r="AA81" i="28"/>
  <c r="Z81" i="28"/>
  <c r="AI79" i="28"/>
  <c r="AH79" i="28"/>
  <c r="AG79" i="28"/>
  <c r="AF79" i="28"/>
  <c r="AE79" i="28"/>
  <c r="AD79" i="28"/>
  <c r="AC79" i="28"/>
  <c r="AB79" i="28"/>
  <c r="AA79" i="28"/>
  <c r="Z79" i="28"/>
  <c r="AI77" i="28"/>
  <c r="AH77" i="28"/>
  <c r="AG77" i="28"/>
  <c r="AF77" i="28"/>
  <c r="AE77" i="28"/>
  <c r="AD77" i="28"/>
  <c r="AC77" i="28"/>
  <c r="AB77" i="28"/>
  <c r="AA77" i="28"/>
  <c r="Z77" i="28"/>
  <c r="AI75" i="28"/>
  <c r="AH75" i="28"/>
  <c r="AG75" i="28"/>
  <c r="AF75" i="28"/>
  <c r="AE75" i="28"/>
  <c r="AD75" i="28"/>
  <c r="AC75" i="28"/>
  <c r="AB75" i="28"/>
  <c r="AA75" i="28"/>
  <c r="AI74" i="28"/>
  <c r="AH74" i="28"/>
  <c r="AG74" i="28"/>
  <c r="AF74" i="28"/>
  <c r="AE74" i="28"/>
  <c r="AD74" i="28"/>
  <c r="AI69" i="28"/>
  <c r="AH69" i="28"/>
  <c r="AG69" i="28"/>
  <c r="AF69" i="28"/>
  <c r="AE69" i="28"/>
  <c r="AD69" i="28"/>
  <c r="AC69" i="28"/>
  <c r="AB69" i="28"/>
  <c r="AA69" i="28"/>
  <c r="Z69" i="28"/>
  <c r="AH37" i="28"/>
  <c r="AH38" i="28"/>
  <c r="AI38" i="28"/>
  <c r="AI37" i="28"/>
  <c r="AI67" i="28" l="1"/>
  <c r="AH67" i="28"/>
  <c r="AG67" i="28"/>
  <c r="AF67" i="28"/>
  <c r="AE67" i="28"/>
  <c r="AD67" i="28"/>
  <c r="AC67" i="28"/>
  <c r="AB67" i="28"/>
  <c r="AA67" i="28"/>
  <c r="Z67" i="28"/>
  <c r="AI65" i="28"/>
  <c r="AH65" i="28"/>
  <c r="AG65" i="28"/>
  <c r="AF65" i="28"/>
  <c r="AE65" i="28"/>
  <c r="AD65" i="28"/>
  <c r="AC65" i="28"/>
  <c r="AB65" i="28"/>
  <c r="AA65" i="28"/>
  <c r="Z65" i="28"/>
  <c r="AI63" i="28"/>
  <c r="AH63" i="28"/>
  <c r="AG63" i="28"/>
  <c r="AF63" i="28"/>
  <c r="AE63" i="28"/>
  <c r="AD63" i="28"/>
  <c r="AC63" i="28"/>
  <c r="AB63" i="28"/>
  <c r="AA63" i="28"/>
  <c r="AI62" i="28"/>
  <c r="AH62" i="28"/>
  <c r="AG62" i="28"/>
  <c r="AF62" i="28"/>
  <c r="AE62" i="28"/>
  <c r="AD62" i="28"/>
  <c r="AI57" i="28"/>
  <c r="AH57" i="28"/>
  <c r="AG57" i="28"/>
  <c r="AD57" i="28"/>
  <c r="AC57" i="28"/>
  <c r="AB57" i="28"/>
  <c r="AA57" i="28"/>
  <c r="Z57" i="28"/>
  <c r="Y57" i="28"/>
  <c r="X57" i="28"/>
  <c r="AH52" i="28"/>
  <c r="AF57" i="28"/>
  <c r="AE57" i="28"/>
  <c r="AA52" i="28"/>
  <c r="Z52" i="28"/>
  <c r="AI52" i="28"/>
  <c r="AD52" i="28"/>
  <c r="AC52" i="28"/>
  <c r="AB52" i="28"/>
  <c r="Y52" i="28"/>
  <c r="AI51" i="28"/>
  <c r="AI53" i="28" s="1"/>
  <c r="AH51" i="28"/>
  <c r="AG51" i="28"/>
  <c r="AF51" i="28"/>
  <c r="AE51" i="28"/>
  <c r="AD51" i="28"/>
  <c r="AC51" i="28"/>
  <c r="AB51" i="28"/>
  <c r="AA51" i="28"/>
  <c r="Z51" i="28"/>
  <c r="Y51" i="28"/>
  <c r="AI49" i="28"/>
  <c r="AH49" i="28"/>
  <c r="AG49" i="28"/>
  <c r="AF49" i="28"/>
  <c r="AE49" i="28"/>
  <c r="AD49" i="28"/>
  <c r="AC49" i="28"/>
  <c r="AB49" i="28"/>
  <c r="AA49" i="28"/>
  <c r="Z49" i="28"/>
  <c r="Y49" i="28"/>
  <c r="X49" i="28"/>
  <c r="AI45" i="28"/>
  <c r="AH45" i="28"/>
  <c r="AG45" i="28"/>
  <c r="AF45" i="28"/>
  <c r="AE45" i="28"/>
  <c r="AD45" i="28"/>
  <c r="AC45" i="28"/>
  <c r="AB45" i="28"/>
  <c r="AA45" i="28"/>
  <c r="Z45" i="28"/>
  <c r="Y45" i="28"/>
  <c r="X45" i="28"/>
  <c r="AH43" i="28"/>
  <c r="AG43" i="28"/>
  <c r="AF43" i="28"/>
  <c r="AE43" i="28"/>
  <c r="AD43" i="28"/>
  <c r="AC43" i="28"/>
  <c r="AB43" i="28"/>
  <c r="AA43" i="28"/>
  <c r="Z43" i="28"/>
  <c r="Y43" i="28"/>
  <c r="X43" i="28"/>
  <c r="AC39" i="28"/>
  <c r="AB39" i="28"/>
  <c r="AA39" i="28"/>
  <c r="Z39" i="28"/>
  <c r="Y39" i="28"/>
  <c r="X39" i="28"/>
  <c r="AH39" i="28"/>
  <c r="AG39" i="28"/>
  <c r="AF39" i="28"/>
  <c r="AE39" i="28"/>
  <c r="AD39" i="28"/>
  <c r="AI43" i="28"/>
  <c r="AH28" i="28"/>
  <c r="AE28" i="28"/>
  <c r="AE31" i="28" s="1"/>
  <c r="AD28" i="28"/>
  <c r="AD31" i="28" s="1"/>
  <c r="AB28" i="28"/>
  <c r="AB35" i="28" s="1"/>
  <c r="AA28" i="28"/>
  <c r="AA31" i="28" s="1"/>
  <c r="Z28" i="28"/>
  <c r="Z29" i="28" s="1"/>
  <c r="Y28" i="28"/>
  <c r="Y31" i="28" s="1"/>
  <c r="X28" i="28"/>
  <c r="X31" i="28" s="1"/>
  <c r="I25" i="28"/>
  <c r="H25" i="28"/>
  <c r="G25" i="28"/>
  <c r="AH24" i="28"/>
  <c r="AG24" i="28"/>
  <c r="AF24" i="28"/>
  <c r="AE24" i="28"/>
  <c r="AD24" i="28"/>
  <c r="AC24" i="28"/>
  <c r="AB24" i="28"/>
  <c r="Z24" i="28"/>
  <c r="Y24" i="28"/>
  <c r="X24" i="28"/>
  <c r="AI28" i="28"/>
  <c r="AG28" i="28"/>
  <c r="AF28" i="28"/>
  <c r="AC28" i="28"/>
  <c r="AA24" i="28"/>
  <c r="J22" i="28"/>
  <c r="I22" i="28"/>
  <c r="H22" i="28"/>
  <c r="G22" i="28"/>
  <c r="F22" i="28"/>
  <c r="E22" i="28"/>
  <c r="D22" i="28"/>
  <c r="C22" i="28"/>
  <c r="AI21" i="28"/>
  <c r="AH21" i="28"/>
  <c r="AG21" i="28"/>
  <c r="AF21" i="28"/>
  <c r="AE21" i="28"/>
  <c r="AD21" i="28"/>
  <c r="AC21" i="28"/>
  <c r="AB21" i="28"/>
  <c r="AA21" i="28"/>
  <c r="Z21" i="28"/>
  <c r="Y21" i="28"/>
  <c r="X21" i="28"/>
  <c r="I21" i="28"/>
  <c r="H21" i="28"/>
  <c r="G21" i="28"/>
  <c r="F21" i="28"/>
  <c r="E21" i="28"/>
  <c r="D21" i="28"/>
  <c r="J21" i="28" s="1"/>
  <c r="C21" i="28"/>
  <c r="I20" i="28"/>
  <c r="H20" i="28"/>
  <c r="G20" i="28"/>
  <c r="F20" i="28"/>
  <c r="E20" i="28"/>
  <c r="D20" i="28"/>
  <c r="J20" i="28" s="1"/>
  <c r="I19" i="28"/>
  <c r="H19" i="28"/>
  <c r="G19" i="28"/>
  <c r="F19" i="28"/>
  <c r="E19" i="28"/>
  <c r="D19" i="28"/>
  <c r="J19" i="28" s="1"/>
  <c r="AI18" i="28"/>
  <c r="AH18" i="28"/>
  <c r="AG18" i="28"/>
  <c r="AF18" i="28"/>
  <c r="AE18" i="28"/>
  <c r="AD18" i="28"/>
  <c r="Z18" i="28"/>
  <c r="Y18" i="28"/>
  <c r="X18" i="28"/>
  <c r="I18" i="28"/>
  <c r="H18" i="28"/>
  <c r="G18" i="28"/>
  <c r="F18" i="28"/>
  <c r="E18" i="28"/>
  <c r="D18" i="28"/>
  <c r="C18" i="28"/>
  <c r="AC18" i="28"/>
  <c r="AB18" i="28"/>
  <c r="AA18" i="28"/>
  <c r="J17" i="28"/>
  <c r="J16" i="28"/>
  <c r="AI15" i="28"/>
  <c r="AH15" i="28"/>
  <c r="AG15" i="28"/>
  <c r="AF15" i="28"/>
  <c r="AE15" i="28"/>
  <c r="AD15" i="28"/>
  <c r="AC15" i="28"/>
  <c r="AB15" i="28"/>
  <c r="AA15" i="28"/>
  <c r="Z15" i="28"/>
  <c r="Y15" i="28"/>
  <c r="X15" i="28"/>
  <c r="C15" i="28"/>
  <c r="C20" i="28" s="1"/>
  <c r="J14" i="28"/>
  <c r="AI12" i="28"/>
  <c r="AH12" i="28"/>
  <c r="AG12" i="28"/>
  <c r="AF12" i="28"/>
  <c r="AE12" i="28"/>
  <c r="AD12" i="28"/>
  <c r="AC12" i="28"/>
  <c r="AB12" i="28"/>
  <c r="AA12" i="28"/>
  <c r="Z12" i="28"/>
  <c r="Y12" i="28"/>
  <c r="X12" i="28"/>
  <c r="I12" i="28"/>
  <c r="H12" i="28"/>
  <c r="G12" i="28"/>
  <c r="F12" i="28"/>
  <c r="E12" i="28"/>
  <c r="D12" i="28"/>
  <c r="N11" i="28"/>
  <c r="I11" i="28"/>
  <c r="H11" i="28"/>
  <c r="G11" i="28"/>
  <c r="F11" i="28"/>
  <c r="E11" i="28"/>
  <c r="D11" i="28"/>
  <c r="J11" i="28" s="1"/>
  <c r="C11" i="28"/>
  <c r="N10" i="28"/>
  <c r="J10" i="28"/>
  <c r="AI9" i="28"/>
  <c r="AH9" i="28"/>
  <c r="AG9" i="28"/>
  <c r="AF9" i="28"/>
  <c r="AE9" i="28"/>
  <c r="AD9" i="28"/>
  <c r="AC9" i="28"/>
  <c r="AB9" i="28"/>
  <c r="AA9" i="28"/>
  <c r="Z9" i="28"/>
  <c r="Y9" i="28"/>
  <c r="N9" i="28"/>
  <c r="AI8" i="28"/>
  <c r="AH8" i="28"/>
  <c r="AG8" i="28"/>
  <c r="AF8" i="28"/>
  <c r="AE8" i="28"/>
  <c r="AD8" i="28"/>
  <c r="AC8" i="28"/>
  <c r="AB8" i="28"/>
  <c r="N8" i="28"/>
  <c r="I8" i="28"/>
  <c r="H8" i="28"/>
  <c r="G8" i="28"/>
  <c r="F8" i="28"/>
  <c r="E8" i="28"/>
  <c r="D8" i="28"/>
  <c r="J8" i="28" s="1"/>
  <c r="C8" i="28"/>
  <c r="N7" i="28"/>
  <c r="N6" i="28"/>
  <c r="I6" i="28"/>
  <c r="H6" i="28"/>
  <c r="G6" i="28"/>
  <c r="F6" i="28"/>
  <c r="E6" i="28"/>
  <c r="D6" i="28"/>
  <c r="J6" i="28" s="1"/>
  <c r="C6" i="28"/>
  <c r="AI5" i="28"/>
  <c r="AH5" i="28"/>
  <c r="AG5" i="28"/>
  <c r="AF5" i="28"/>
  <c r="AE5" i="28"/>
  <c r="AD5" i="28"/>
  <c r="AC5" i="28"/>
  <c r="AB5" i="28"/>
  <c r="AA5" i="28"/>
  <c r="Z5" i="28"/>
  <c r="Y5" i="28"/>
  <c r="N5" i="28"/>
  <c r="AI4" i="28"/>
  <c r="AH4" i="28"/>
  <c r="AG4" i="28"/>
  <c r="AF4" i="28"/>
  <c r="AE4" i="28"/>
  <c r="AD4" i="28"/>
  <c r="AC4" i="28"/>
  <c r="AB4" i="28"/>
  <c r="J4" i="28"/>
  <c r="I4" i="28"/>
  <c r="H4" i="28"/>
  <c r="G4" i="28"/>
  <c r="F4" i="28"/>
  <c r="E4" i="28"/>
  <c r="D4" i="28"/>
  <c r="N3" i="28"/>
  <c r="N2" i="28"/>
  <c r="S14" i="28" s="1"/>
  <c r="O11" i="28" l="1"/>
  <c r="X35" i="28"/>
  <c r="AH31" i="28"/>
  <c r="D15" i="44"/>
  <c r="Y53" i="28"/>
  <c r="O9" i="28"/>
  <c r="O10" i="28"/>
  <c r="Q2" i="28"/>
  <c r="J12" i="28"/>
  <c r="J18" i="28"/>
  <c r="AC53" i="28"/>
  <c r="N13" i="28"/>
  <c r="N14" i="28" s="1"/>
  <c r="AD53" i="28"/>
  <c r="Z53" i="28"/>
  <c r="AA53" i="28"/>
  <c r="AB53" i="28"/>
  <c r="AH53" i="28"/>
  <c r="AD35" i="28"/>
  <c r="AE35" i="28"/>
  <c r="AH35" i="28"/>
  <c r="AC35" i="28"/>
  <c r="AC29" i="28"/>
  <c r="AC31" i="28"/>
  <c r="AD33" i="28" s="1"/>
  <c r="AG31" i="28"/>
  <c r="AG29" i="28"/>
  <c r="AG35" i="28"/>
  <c r="Y33" i="28"/>
  <c r="AH32" i="28"/>
  <c r="AF31" i="28"/>
  <c r="AJ32" i="28" s="1"/>
  <c r="AF35" i="28"/>
  <c r="AF29" i="28"/>
  <c r="AI31" i="28"/>
  <c r="AJ33" i="28" s="1"/>
  <c r="AI29" i="28"/>
  <c r="AI35" i="28"/>
  <c r="AE32" i="28"/>
  <c r="AE33" i="28"/>
  <c r="Y29" i="28"/>
  <c r="Z31" i="28"/>
  <c r="Z33" i="28" s="1"/>
  <c r="AA29" i="28"/>
  <c r="AB31" i="28"/>
  <c r="AF52" i="28"/>
  <c r="AF53" i="28" s="1"/>
  <c r="AG52" i="28"/>
  <c r="AG53" i="28" s="1"/>
  <c r="C19" i="28"/>
  <c r="AE29" i="28"/>
  <c r="AI24" i="28"/>
  <c r="Y35" i="28"/>
  <c r="Z35" i="28"/>
  <c r="AH29" i="28"/>
  <c r="AA35" i="28"/>
  <c r="AI39" i="28"/>
  <c r="AE52" i="28"/>
  <c r="AE53" i="28" s="1"/>
  <c r="AD29" i="28"/>
  <c r="T14" i="28"/>
  <c r="AB29" i="28"/>
  <c r="X29" i="28"/>
  <c r="AM35" i="28" l="1"/>
  <c r="H15" i="44" s="1"/>
  <c r="AM36" i="28"/>
  <c r="AM37" i="28" s="1"/>
  <c r="I15" i="44" s="1"/>
  <c r="F15" i="44"/>
  <c r="AH33" i="28"/>
  <c r="AK32" i="28"/>
  <c r="Q13" i="28"/>
  <c r="Q14" i="28" s="1"/>
  <c r="N20" i="28"/>
  <c r="AC33" i="28"/>
  <c r="AC32" i="28"/>
  <c r="AA33" i="28"/>
  <c r="AI33" i="28"/>
  <c r="AI32" i="28"/>
  <c r="AG33" i="28"/>
  <c r="AG32" i="28"/>
  <c r="AB32" i="28"/>
  <c r="AB33" i="28"/>
  <c r="AF32" i="28"/>
  <c r="AF33" i="28"/>
  <c r="AD32" i="28"/>
  <c r="J33" i="27" l="1"/>
  <c r="J34" i="27" s="1"/>
  <c r="F33" i="27"/>
  <c r="F34" i="27" s="1"/>
  <c r="E33" i="27"/>
  <c r="E34" i="27" s="1"/>
  <c r="I33" i="27"/>
  <c r="I34" i="27" s="1"/>
  <c r="G33" i="27"/>
  <c r="G34" i="27" s="1"/>
  <c r="H33" i="27"/>
  <c r="D33" i="27"/>
  <c r="D34" i="27" s="1"/>
  <c r="C33" i="27"/>
  <c r="B33" i="27"/>
  <c r="J18" i="27"/>
  <c r="J19" i="27"/>
  <c r="J24" i="27"/>
  <c r="J27" i="27" s="1"/>
  <c r="J31" i="27" s="1"/>
  <c r="J23" i="27"/>
  <c r="J26" i="27" s="1"/>
  <c r="J30" i="27" s="1"/>
  <c r="J16" i="27"/>
  <c r="J14" i="27"/>
  <c r="J38" i="27" s="1"/>
  <c r="F18" i="27"/>
  <c r="F19" i="27"/>
  <c r="F24" i="27"/>
  <c r="F27" i="27" s="1"/>
  <c r="F31" i="27" s="1"/>
  <c r="F23" i="27"/>
  <c r="F26" i="27" s="1"/>
  <c r="F30" i="27" s="1"/>
  <c r="F16" i="27"/>
  <c r="F14" i="27"/>
  <c r="F38" i="27" s="1"/>
  <c r="E19" i="27"/>
  <c r="E18" i="27"/>
  <c r="E24" i="27"/>
  <c r="E27" i="27" s="1"/>
  <c r="E31" i="27" s="1"/>
  <c r="E23" i="27"/>
  <c r="E26" i="27" s="1"/>
  <c r="E30" i="27" s="1"/>
  <c r="E16" i="27"/>
  <c r="E14" i="27"/>
  <c r="E38" i="27" s="1"/>
  <c r="I18" i="27"/>
  <c r="I19" i="27"/>
  <c r="I24" i="27"/>
  <c r="I27" i="27" s="1"/>
  <c r="I31" i="27" s="1"/>
  <c r="I23" i="27"/>
  <c r="I26" i="27" s="1"/>
  <c r="I30" i="27" s="1"/>
  <c r="I16" i="27"/>
  <c r="I14" i="27"/>
  <c r="I38" i="27" s="1"/>
  <c r="G18" i="27"/>
  <c r="G19" i="27"/>
  <c r="G24" i="27"/>
  <c r="G27" i="27" s="1"/>
  <c r="G31" i="27" s="1"/>
  <c r="G23" i="27"/>
  <c r="G26" i="27" s="1"/>
  <c r="G30" i="27" s="1"/>
  <c r="G16" i="27"/>
  <c r="G14" i="27"/>
  <c r="H19" i="27"/>
  <c r="H18" i="27"/>
  <c r="H12" i="27"/>
  <c r="H14" i="27" s="1"/>
  <c r="H38" i="27" s="1"/>
  <c r="H24" i="27"/>
  <c r="H27" i="27" s="1"/>
  <c r="H31" i="27" s="1"/>
  <c r="H23" i="27"/>
  <c r="H26" i="27" s="1"/>
  <c r="H16" i="27"/>
  <c r="D19" i="27"/>
  <c r="D18" i="27"/>
  <c r="D24" i="27"/>
  <c r="D27" i="27" s="1"/>
  <c r="D31" i="27" s="1"/>
  <c r="D23" i="27"/>
  <c r="D26" i="27" s="1"/>
  <c r="D30" i="27" s="1"/>
  <c r="D16" i="27"/>
  <c r="D14" i="27"/>
  <c r="C19" i="27"/>
  <c r="C18" i="27"/>
  <c r="C12" i="27"/>
  <c r="C14" i="27" s="1"/>
  <c r="C24" i="27"/>
  <c r="C27" i="27" s="1"/>
  <c r="C31" i="27" s="1"/>
  <c r="C23" i="27"/>
  <c r="C26" i="27" s="1"/>
  <c r="C16" i="27"/>
  <c r="B24" i="27"/>
  <c r="B27" i="27" s="1"/>
  <c r="B23" i="27"/>
  <c r="B26" i="27" s="1"/>
  <c r="B19" i="27"/>
  <c r="B18" i="27"/>
  <c r="B16" i="27"/>
  <c r="B12" i="27"/>
  <c r="B14" i="27" s="1"/>
  <c r="B38" i="27" s="1"/>
  <c r="M32" i="26"/>
  <c r="L32" i="26"/>
  <c r="K32" i="26"/>
  <c r="J32" i="26"/>
  <c r="G32" i="26"/>
  <c r="D32" i="26"/>
  <c r="C32" i="26"/>
  <c r="B32" i="26"/>
  <c r="M29" i="26"/>
  <c r="L29" i="26"/>
  <c r="M28" i="26"/>
  <c r="L28" i="26"/>
  <c r="K28" i="26"/>
  <c r="K29" i="26" s="1"/>
  <c r="J28" i="26"/>
  <c r="J29" i="26" s="1"/>
  <c r="I28" i="26"/>
  <c r="I29" i="26" s="1"/>
  <c r="G28" i="26"/>
  <c r="G29" i="26" s="1"/>
  <c r="F28" i="26"/>
  <c r="F29" i="26" s="1"/>
  <c r="E28" i="26"/>
  <c r="E29" i="26" s="1"/>
  <c r="D28" i="26"/>
  <c r="D29" i="26" s="1"/>
  <c r="C28" i="26"/>
  <c r="C29" i="26" s="1"/>
  <c r="B28" i="26"/>
  <c r="B29" i="26" s="1"/>
  <c r="G26" i="26"/>
  <c r="F26" i="26"/>
  <c r="D26" i="26"/>
  <c r="M25" i="26"/>
  <c r="M26" i="26" s="1"/>
  <c r="L25" i="26"/>
  <c r="L26" i="26" s="1"/>
  <c r="K25" i="26"/>
  <c r="K26" i="26" s="1"/>
  <c r="J25" i="26"/>
  <c r="J26" i="26" s="1"/>
  <c r="I25" i="26"/>
  <c r="I26" i="26" s="1"/>
  <c r="G25" i="26"/>
  <c r="F25" i="26"/>
  <c r="E25" i="26"/>
  <c r="E26" i="26" s="1"/>
  <c r="D25" i="26"/>
  <c r="C25" i="26"/>
  <c r="C26" i="26" s="1"/>
  <c r="B25" i="26"/>
  <c r="B26" i="26" s="1"/>
  <c r="M22" i="26"/>
  <c r="L22" i="26"/>
  <c r="K22" i="26"/>
  <c r="J22" i="26"/>
  <c r="I22" i="26"/>
  <c r="H22" i="26"/>
  <c r="G22" i="26"/>
  <c r="F22" i="26"/>
  <c r="E22" i="26"/>
  <c r="D22" i="26"/>
  <c r="C22" i="26"/>
  <c r="B22" i="26"/>
  <c r="E19" i="26"/>
  <c r="E21" i="26" s="1"/>
  <c r="M17" i="26"/>
  <c r="L17" i="26"/>
  <c r="K17" i="26"/>
  <c r="J17" i="26"/>
  <c r="I17" i="26"/>
  <c r="H17" i="26"/>
  <c r="G17" i="26"/>
  <c r="F17" i="26"/>
  <c r="E17" i="26"/>
  <c r="D17" i="26"/>
  <c r="C17" i="26"/>
  <c r="B17" i="26"/>
  <c r="H34" i="27" l="1"/>
  <c r="C34" i="27"/>
  <c r="B34" i="27"/>
  <c r="J36" i="27"/>
  <c r="F36" i="27"/>
  <c r="E36" i="27"/>
  <c r="I36" i="27"/>
  <c r="C30" i="27"/>
  <c r="C36" i="27" s="1"/>
  <c r="G38" i="27"/>
  <c r="G36" i="27"/>
  <c r="B31" i="27"/>
  <c r="B30" i="27"/>
  <c r="B36" i="27" s="1"/>
  <c r="H30" i="27"/>
  <c r="H36" i="27" s="1"/>
  <c r="D38" i="27"/>
  <c r="D36" i="27"/>
  <c r="C38" i="27"/>
  <c r="C48" i="27" l="1"/>
  <c r="C49" i="27"/>
  <c r="C47" i="27"/>
  <c r="E49" i="27"/>
  <c r="E48" i="27"/>
  <c r="E47" i="27"/>
  <c r="J49" i="27"/>
  <c r="J47" i="27"/>
  <c r="J48" i="27"/>
  <c r="D47" i="27"/>
  <c r="D49" i="27"/>
  <c r="D48" i="27"/>
  <c r="I49" i="27"/>
  <c r="I48" i="27"/>
  <c r="I47" i="27"/>
  <c r="H47" i="27"/>
  <c r="H49" i="27"/>
  <c r="H48" i="27"/>
  <c r="F49" i="27"/>
  <c r="F47" i="27"/>
  <c r="F48" i="27"/>
  <c r="B49" i="27"/>
  <c r="B48" i="27"/>
  <c r="B47" i="27"/>
  <c r="G48" i="27"/>
  <c r="G47" i="27"/>
  <c r="G49" i="27"/>
  <c r="I40" i="27"/>
  <c r="I43" i="27"/>
  <c r="I44" i="27"/>
  <c r="I42" i="27"/>
  <c r="B40" i="27"/>
  <c r="B42" i="27"/>
  <c r="B43" i="27"/>
  <c r="B44" i="27"/>
  <c r="C40" i="27"/>
  <c r="C42" i="27"/>
  <c r="C43" i="27"/>
  <c r="C44" i="27"/>
  <c r="F40" i="27"/>
  <c r="F44" i="27"/>
  <c r="F42" i="27"/>
  <c r="F43" i="27"/>
  <c r="J40" i="27"/>
  <c r="J44" i="27"/>
  <c r="J42" i="27"/>
  <c r="J43" i="27"/>
  <c r="H40" i="27"/>
  <c r="H43" i="27"/>
  <c r="H44" i="27"/>
  <c r="H42" i="27"/>
  <c r="G40" i="27"/>
  <c r="G43" i="27"/>
  <c r="G44" i="27"/>
  <c r="G42" i="27"/>
  <c r="E40" i="27"/>
  <c r="E44" i="27"/>
  <c r="E42" i="27"/>
  <c r="E43" i="27"/>
  <c r="D40" i="27"/>
  <c r="D42" i="27"/>
  <c r="D43" i="27"/>
  <c r="D44" i="27"/>
  <c r="Y49" i="25" l="1"/>
  <c r="X43" i="25"/>
  <c r="Y38" i="25"/>
  <c r="Y43" i="25" s="1"/>
  <c r="Y39" i="25"/>
  <c r="X40" i="25"/>
  <c r="Y17" i="25"/>
  <c r="Z38" i="25"/>
  <c r="Z39" i="25"/>
  <c r="Z17" i="25"/>
  <c r="AA39" i="25"/>
  <c r="AA38" i="25"/>
  <c r="AA40" i="25" s="1"/>
  <c r="AA17" i="25"/>
  <c r="AA18" i="25" s="1"/>
  <c r="AC17" i="25"/>
  <c r="AD17" i="25"/>
  <c r="AG17" i="25"/>
  <c r="AC18" i="25"/>
  <c r="AH17" i="25"/>
  <c r="AB17" i="25"/>
  <c r="AF17" i="25"/>
  <c r="AF18" i="25" s="1"/>
  <c r="AB38" i="25"/>
  <c r="AF38" i="25"/>
  <c r="AB39" i="25"/>
  <c r="AF39" i="25"/>
  <c r="AF40" i="25" s="1"/>
  <c r="AC38" i="25"/>
  <c r="AC43" i="25" s="1"/>
  <c r="AG38" i="25"/>
  <c r="AG43" i="25" s="1"/>
  <c r="AC39" i="25"/>
  <c r="AG39" i="25"/>
  <c r="AD38" i="25"/>
  <c r="AD43" i="25" s="1"/>
  <c r="AD39" i="25"/>
  <c r="AE38" i="25"/>
  <c r="AE43" i="25" s="1"/>
  <c r="AH38" i="25"/>
  <c r="AI38" i="25"/>
  <c r="AH39" i="25"/>
  <c r="AE39" i="25"/>
  <c r="AI39" i="25"/>
  <c r="AH29" i="25"/>
  <c r="AF29" i="25"/>
  <c r="AE29" i="25"/>
  <c r="AC29" i="25"/>
  <c r="AB29" i="25"/>
  <c r="AA29" i="25"/>
  <c r="Z29" i="25"/>
  <c r="Y29" i="25"/>
  <c r="X29" i="25"/>
  <c r="AI29" i="25"/>
  <c r="AE17" i="25"/>
  <c r="AE18" i="25" s="1"/>
  <c r="AI17" i="25"/>
  <c r="AI57" i="25"/>
  <c r="AH57" i="25"/>
  <c r="AF57" i="25"/>
  <c r="AE57" i="25"/>
  <c r="AD57" i="25"/>
  <c r="AC57" i="25"/>
  <c r="AB57" i="25"/>
  <c r="AA57" i="25"/>
  <c r="Z57" i="25"/>
  <c r="Y57" i="25"/>
  <c r="X57" i="25"/>
  <c r="AG51" i="25"/>
  <c r="AI52" i="25"/>
  <c r="AH52" i="25"/>
  <c r="AG52" i="25"/>
  <c r="AF52" i="25"/>
  <c r="AE52" i="25"/>
  <c r="AD52" i="25"/>
  <c r="AC52" i="25"/>
  <c r="AB52" i="25"/>
  <c r="AA52" i="25"/>
  <c r="Z52" i="25"/>
  <c r="Y52" i="25"/>
  <c r="AI51" i="25"/>
  <c r="AH51" i="25"/>
  <c r="AF51" i="25"/>
  <c r="AE51" i="25"/>
  <c r="AD51" i="25"/>
  <c r="AC51" i="25"/>
  <c r="AB51" i="25"/>
  <c r="AA51" i="25"/>
  <c r="Z51" i="25"/>
  <c r="Y51" i="25"/>
  <c r="AI49" i="25"/>
  <c r="AH49" i="25"/>
  <c r="AG49" i="25"/>
  <c r="AF49" i="25"/>
  <c r="AE49" i="25"/>
  <c r="AD49" i="25"/>
  <c r="AC49" i="25"/>
  <c r="AB49" i="25"/>
  <c r="AA49" i="25"/>
  <c r="Z49" i="25"/>
  <c r="Z43" i="25"/>
  <c r="AG40" i="25"/>
  <c r="I25" i="25"/>
  <c r="H25" i="25"/>
  <c r="G25" i="25"/>
  <c r="I22" i="25"/>
  <c r="H22" i="25"/>
  <c r="G22" i="25"/>
  <c r="F22" i="25"/>
  <c r="E22" i="25"/>
  <c r="D22" i="25"/>
  <c r="C22" i="25"/>
  <c r="I21" i="25"/>
  <c r="H21" i="25"/>
  <c r="G21" i="25"/>
  <c r="F21" i="25"/>
  <c r="E21" i="25"/>
  <c r="D21" i="25"/>
  <c r="C21" i="25"/>
  <c r="AH24" i="25"/>
  <c r="AE24" i="25"/>
  <c r="AC21" i="25"/>
  <c r="G20" i="25"/>
  <c r="G19" i="25"/>
  <c r="AH18" i="25"/>
  <c r="AB18" i="25"/>
  <c r="X18" i="25"/>
  <c r="I18" i="25"/>
  <c r="H18" i="25"/>
  <c r="G18" i="25"/>
  <c r="F18" i="25"/>
  <c r="E18" i="25"/>
  <c r="D18" i="25"/>
  <c r="C18" i="25"/>
  <c r="AG18" i="25"/>
  <c r="AD18" i="25"/>
  <c r="J17" i="25"/>
  <c r="J16" i="25"/>
  <c r="AI15" i="25"/>
  <c r="AH15" i="25"/>
  <c r="AG15" i="25"/>
  <c r="AF15" i="25"/>
  <c r="AE15" i="25"/>
  <c r="AD15" i="25"/>
  <c r="AC15" i="25"/>
  <c r="AB15" i="25"/>
  <c r="AA15" i="25"/>
  <c r="Z15" i="25"/>
  <c r="Y15" i="25"/>
  <c r="X15" i="25"/>
  <c r="I15" i="25"/>
  <c r="I19" i="25" s="1"/>
  <c r="H15" i="25"/>
  <c r="H19" i="25" s="1"/>
  <c r="F15" i="25"/>
  <c r="F20" i="25" s="1"/>
  <c r="E15" i="25"/>
  <c r="E19" i="25" s="1"/>
  <c r="D15" i="25"/>
  <c r="D20" i="25" s="1"/>
  <c r="C15" i="25"/>
  <c r="C20" i="25" s="1"/>
  <c r="J14" i="25"/>
  <c r="AI12" i="25"/>
  <c r="AH12" i="25"/>
  <c r="AG12" i="25"/>
  <c r="AF12" i="25"/>
  <c r="AE12" i="25"/>
  <c r="AD12" i="25"/>
  <c r="AC12" i="25"/>
  <c r="AB12" i="25"/>
  <c r="AA12" i="25"/>
  <c r="Z12" i="25"/>
  <c r="Y12" i="25"/>
  <c r="X12" i="25"/>
  <c r="I12" i="25"/>
  <c r="H12" i="25"/>
  <c r="G12" i="25"/>
  <c r="F12" i="25"/>
  <c r="E12" i="25"/>
  <c r="D12" i="25"/>
  <c r="N11" i="25"/>
  <c r="I11" i="25"/>
  <c r="H11" i="25"/>
  <c r="G11" i="25"/>
  <c r="F11" i="25"/>
  <c r="E11" i="25"/>
  <c r="D11" i="25"/>
  <c r="C11" i="25"/>
  <c r="N10" i="25"/>
  <c r="J10" i="25"/>
  <c r="N9" i="25"/>
  <c r="N8" i="25"/>
  <c r="I8" i="25"/>
  <c r="H8" i="25"/>
  <c r="G8" i="25"/>
  <c r="F8" i="25"/>
  <c r="E8" i="25"/>
  <c r="D8" i="25"/>
  <c r="C8" i="25"/>
  <c r="N7" i="25"/>
  <c r="N6" i="25"/>
  <c r="I6" i="25"/>
  <c r="H6" i="25"/>
  <c r="G6" i="25"/>
  <c r="F6" i="25"/>
  <c r="E6" i="25"/>
  <c r="D6" i="25"/>
  <c r="C6" i="25"/>
  <c r="AI5" i="25"/>
  <c r="AH5" i="25"/>
  <c r="AG5" i="25"/>
  <c r="AF5" i="25"/>
  <c r="AE5" i="25"/>
  <c r="AD5" i="25"/>
  <c r="AC5" i="25"/>
  <c r="AB5" i="25"/>
  <c r="AA5" i="25"/>
  <c r="Z5" i="25"/>
  <c r="Y5" i="25"/>
  <c r="N5" i="25"/>
  <c r="AI4" i="25"/>
  <c r="AH4" i="25"/>
  <c r="AG4" i="25"/>
  <c r="AF4" i="25"/>
  <c r="AE4" i="25"/>
  <c r="AD4" i="25"/>
  <c r="AC4" i="25"/>
  <c r="AB4" i="25"/>
  <c r="J4" i="25"/>
  <c r="I4" i="25"/>
  <c r="H4" i="25"/>
  <c r="G4" i="25"/>
  <c r="F4" i="25"/>
  <c r="E4" i="25"/>
  <c r="D4" i="25"/>
  <c r="N3" i="25"/>
  <c r="N2" i="25"/>
  <c r="T14" i="25" s="1"/>
  <c r="AY11" i="15"/>
  <c r="AY13" i="15" s="1"/>
  <c r="AX11" i="15"/>
  <c r="AW11" i="15"/>
  <c r="S6" i="44" s="1"/>
  <c r="AV11" i="15"/>
  <c r="AU11" i="15"/>
  <c r="P6" i="44" s="1"/>
  <c r="AT11" i="15"/>
  <c r="AT13" i="15" s="1"/>
  <c r="AS11" i="15"/>
  <c r="AR11" i="15"/>
  <c r="R6" i="44" s="1"/>
  <c r="AQ11" i="15"/>
  <c r="AP11" i="15"/>
  <c r="O6" i="44" s="1"/>
  <c r="AO2" i="15"/>
  <c r="AE40" i="25" l="1"/>
  <c r="AB6" i="44"/>
  <c r="AA6" i="44"/>
  <c r="AX13" i="15"/>
  <c r="V6" i="44"/>
  <c r="M6" i="44" s="1"/>
  <c r="AS13" i="15"/>
  <c r="U6" i="44"/>
  <c r="L6" i="44" s="1"/>
  <c r="AH40" i="25"/>
  <c r="Y40" i="25"/>
  <c r="J18" i="25"/>
  <c r="J6" i="25"/>
  <c r="AF53" i="25"/>
  <c r="S14" i="25"/>
  <c r="F19" i="25"/>
  <c r="AB40" i="25"/>
  <c r="AA43" i="25"/>
  <c r="Z40" i="25"/>
  <c r="J8" i="25"/>
  <c r="D19" i="25"/>
  <c r="J21" i="25"/>
  <c r="Q2" i="25" s="1"/>
  <c r="O10" i="25"/>
  <c r="J12" i="25"/>
  <c r="J11" i="25"/>
  <c r="C19" i="25"/>
  <c r="O11" i="25"/>
  <c r="J22" i="25"/>
  <c r="O9" i="25"/>
  <c r="AG53" i="25"/>
  <c r="Y53" i="25"/>
  <c r="AI40" i="25"/>
  <c r="AB53" i="25"/>
  <c r="Z53" i="25"/>
  <c r="AA53" i="25"/>
  <c r="AC53" i="25"/>
  <c r="AD53" i="25"/>
  <c r="AE53" i="25"/>
  <c r="AH53" i="25"/>
  <c r="AI53" i="25"/>
  <c r="X24" i="25"/>
  <c r="X21" i="25"/>
  <c r="Z21" i="25"/>
  <c r="Z24" i="25"/>
  <c r="AA21" i="25"/>
  <c r="AA24" i="25"/>
  <c r="AB21" i="25"/>
  <c r="AB24" i="25"/>
  <c r="AI24" i="25"/>
  <c r="AI21" i="25"/>
  <c r="Y21" i="25"/>
  <c r="Y24" i="25"/>
  <c r="E20" i="25"/>
  <c r="AC40" i="25"/>
  <c r="AI18" i="25"/>
  <c r="AD29" i="25"/>
  <c r="AH21" i="25"/>
  <c r="AD40" i="25"/>
  <c r="AF43" i="25"/>
  <c r="N13" i="25"/>
  <c r="Y18" i="25"/>
  <c r="H20" i="25"/>
  <c r="AH43" i="25"/>
  <c r="Z18" i="25"/>
  <c r="I20" i="25"/>
  <c r="AG29" i="25"/>
  <c r="AC24" i="25"/>
  <c r="AI43" i="25"/>
  <c r="AB43" i="25"/>
  <c r="AG57" i="25"/>
  <c r="AE21" i="25"/>
  <c r="AE23" i="24"/>
  <c r="AE24" i="24" s="1"/>
  <c r="AI23" i="24"/>
  <c r="AD53" i="24"/>
  <c r="AD56" i="24" s="1"/>
  <c r="AI45" i="24"/>
  <c r="AI53" i="24" s="1"/>
  <c r="AI54" i="24" s="1"/>
  <c r="AH45" i="24"/>
  <c r="AH49" i="24" s="1"/>
  <c r="AG45" i="24"/>
  <c r="AG53" i="24" s="1"/>
  <c r="AG56" i="24" s="1"/>
  <c r="AK57" i="24" s="1"/>
  <c r="AF45" i="24"/>
  <c r="AF49" i="24" s="1"/>
  <c r="AE45" i="24"/>
  <c r="AE49" i="24" s="1"/>
  <c r="AD45" i="24"/>
  <c r="AC45" i="24"/>
  <c r="AC46" i="24" s="1"/>
  <c r="AB45" i="24"/>
  <c r="AB49" i="24" s="1"/>
  <c r="AA45" i="24"/>
  <c r="AA46" i="24" s="1"/>
  <c r="Z45" i="24"/>
  <c r="Z53" i="24" s="1"/>
  <c r="Z56" i="24" s="1"/>
  <c r="Y45" i="24"/>
  <c r="Y53" i="24" s="1"/>
  <c r="Y56" i="24" s="1"/>
  <c r="X45" i="24"/>
  <c r="X53" i="24" s="1"/>
  <c r="X56" i="24" s="1"/>
  <c r="AJ45" i="24"/>
  <c r="AJ53" i="24" s="1"/>
  <c r="AJ56" i="24" s="1"/>
  <c r="AK58" i="24" s="1"/>
  <c r="AF23" i="24"/>
  <c r="AJ23" i="24"/>
  <c r="AK25" i="24" s="1"/>
  <c r="AI11" i="24"/>
  <c r="AH11" i="24"/>
  <c r="AH35" i="24" s="1"/>
  <c r="AG11" i="24"/>
  <c r="AK12" i="24" s="1"/>
  <c r="AF11" i="24"/>
  <c r="AE11" i="24"/>
  <c r="AD11" i="24"/>
  <c r="AD13" i="24" s="1"/>
  <c r="AC11" i="24"/>
  <c r="AC35" i="24" s="1"/>
  <c r="AB11" i="24"/>
  <c r="AB35" i="24" s="1"/>
  <c r="AA11" i="24"/>
  <c r="AA35" i="24" s="1"/>
  <c r="Z11" i="24"/>
  <c r="Z35" i="24" s="1"/>
  <c r="Y11" i="24"/>
  <c r="Y35" i="24" s="1"/>
  <c r="X11" i="24"/>
  <c r="X35" i="24" s="1"/>
  <c r="X40" i="24" s="1"/>
  <c r="AJ11" i="24"/>
  <c r="AK13" i="24" s="1"/>
  <c r="AJ76" i="24"/>
  <c r="AI76" i="24"/>
  <c r="AH76" i="24"/>
  <c r="AG76" i="24"/>
  <c r="AF76" i="24"/>
  <c r="AE76" i="24"/>
  <c r="AD76" i="24"/>
  <c r="AC76" i="24"/>
  <c r="AB76" i="24"/>
  <c r="AA76" i="24"/>
  <c r="Z76" i="24"/>
  <c r="Y76" i="24"/>
  <c r="AJ75" i="24"/>
  <c r="AI75" i="24"/>
  <c r="AH75" i="24"/>
  <c r="AG75" i="24"/>
  <c r="AF75" i="24"/>
  <c r="AE75" i="24"/>
  <c r="AD75" i="24"/>
  <c r="AC75" i="24"/>
  <c r="AB75" i="24"/>
  <c r="AJ72" i="24"/>
  <c r="AI72" i="24"/>
  <c r="AH72" i="24"/>
  <c r="AG72" i="24"/>
  <c r="AF72" i="24"/>
  <c r="AE72" i="24"/>
  <c r="AD72" i="24"/>
  <c r="AC72" i="24"/>
  <c r="AB72" i="24"/>
  <c r="AA72" i="24"/>
  <c r="Z72" i="24"/>
  <c r="Y72" i="24"/>
  <c r="AJ71" i="24"/>
  <c r="AI71" i="24"/>
  <c r="AH71" i="24"/>
  <c r="AG71" i="24"/>
  <c r="AF71" i="24"/>
  <c r="AE71" i="24"/>
  <c r="AD71" i="24"/>
  <c r="AC71" i="24"/>
  <c r="AB71" i="24"/>
  <c r="AJ68" i="24"/>
  <c r="AI68" i="24"/>
  <c r="AH68" i="24"/>
  <c r="AG68" i="24"/>
  <c r="AF68" i="24"/>
  <c r="AE68" i="24"/>
  <c r="AD68" i="24"/>
  <c r="AC68" i="24"/>
  <c r="AB68" i="24"/>
  <c r="AA68" i="24"/>
  <c r="Z68" i="24"/>
  <c r="Y68" i="24"/>
  <c r="AJ67" i="24"/>
  <c r="AI67" i="24"/>
  <c r="AH67" i="24"/>
  <c r="AG67" i="24"/>
  <c r="AF67" i="24"/>
  <c r="AE67" i="24"/>
  <c r="AD67" i="24"/>
  <c r="AC67" i="24"/>
  <c r="AB67" i="24"/>
  <c r="AJ64" i="24"/>
  <c r="AI64" i="24"/>
  <c r="AH64" i="24"/>
  <c r="AG64" i="24"/>
  <c r="AF64" i="24"/>
  <c r="AE64" i="24"/>
  <c r="AD64" i="24"/>
  <c r="AC64" i="24"/>
  <c r="AB64" i="24"/>
  <c r="AA64" i="24"/>
  <c r="Z64" i="24"/>
  <c r="Y64" i="24"/>
  <c r="AJ63" i="24"/>
  <c r="AI63" i="24"/>
  <c r="AH63" i="24"/>
  <c r="AG63" i="24"/>
  <c r="AF63" i="24"/>
  <c r="AE63" i="24"/>
  <c r="AD63" i="24"/>
  <c r="AC63" i="24"/>
  <c r="AB63" i="24"/>
  <c r="AJ33" i="24"/>
  <c r="AI33" i="24"/>
  <c r="AH33" i="24"/>
  <c r="AG33" i="24"/>
  <c r="AF33" i="24"/>
  <c r="AE33" i="24"/>
  <c r="AD33" i="24"/>
  <c r="AC33" i="24"/>
  <c r="AB33" i="24"/>
  <c r="AA33" i="24"/>
  <c r="Z33" i="24"/>
  <c r="Y33" i="24"/>
  <c r="AJ32" i="24"/>
  <c r="AI32" i="24"/>
  <c r="AH32" i="24"/>
  <c r="AG32" i="24"/>
  <c r="AF32" i="24"/>
  <c r="AE32" i="24"/>
  <c r="AD32" i="24"/>
  <c r="AC32" i="24"/>
  <c r="AB32" i="24"/>
  <c r="AJ29" i="24"/>
  <c r="AI29" i="24"/>
  <c r="AH29" i="24"/>
  <c r="AG29" i="24"/>
  <c r="AF29" i="24"/>
  <c r="AE29" i="24"/>
  <c r="AD29" i="24"/>
  <c r="AC29" i="24"/>
  <c r="AB29" i="24"/>
  <c r="AA29" i="24"/>
  <c r="Z29" i="24"/>
  <c r="Y29" i="24"/>
  <c r="AJ28" i="24"/>
  <c r="AI28" i="24"/>
  <c r="AH28" i="24"/>
  <c r="AG28" i="24"/>
  <c r="AF28" i="24"/>
  <c r="AE28" i="24"/>
  <c r="AD28" i="24"/>
  <c r="AC28" i="24"/>
  <c r="AB28" i="24"/>
  <c r="AI25" i="24"/>
  <c r="AH25" i="24"/>
  <c r="AD25" i="24"/>
  <c r="AC25" i="24"/>
  <c r="AB25" i="24"/>
  <c r="AA25" i="24"/>
  <c r="Z25" i="24"/>
  <c r="Y25" i="24"/>
  <c r="AH24" i="24"/>
  <c r="AG24" i="24"/>
  <c r="AF24" i="24"/>
  <c r="AD24" i="24"/>
  <c r="AC24" i="24"/>
  <c r="AB24" i="24"/>
  <c r="AJ21" i="24"/>
  <c r="AI21" i="24"/>
  <c r="AH21" i="24"/>
  <c r="AG21" i="24"/>
  <c r="AF21" i="24"/>
  <c r="AE21" i="24"/>
  <c r="AD21" i="24"/>
  <c r="AC21" i="24"/>
  <c r="AB21" i="24"/>
  <c r="AA21" i="24"/>
  <c r="Z21" i="24"/>
  <c r="Y21" i="24"/>
  <c r="AJ20" i="24"/>
  <c r="AI20" i="24"/>
  <c r="AH20" i="24"/>
  <c r="AG20" i="24"/>
  <c r="AF20" i="24"/>
  <c r="AE20" i="24"/>
  <c r="AD20" i="24"/>
  <c r="AC20" i="24"/>
  <c r="AB20" i="24"/>
  <c r="AJ17" i="24"/>
  <c r="AI17" i="24"/>
  <c r="AH17" i="24"/>
  <c r="AG17" i="24"/>
  <c r="AF17" i="24"/>
  <c r="AE17" i="24"/>
  <c r="AD17" i="24"/>
  <c r="AC17" i="24"/>
  <c r="AB17" i="24"/>
  <c r="AA17" i="24"/>
  <c r="Z17" i="24"/>
  <c r="Y17" i="24"/>
  <c r="AJ16" i="24"/>
  <c r="AI16" i="24"/>
  <c r="AH16" i="24"/>
  <c r="AG16" i="24"/>
  <c r="AF16" i="24"/>
  <c r="AE16" i="24"/>
  <c r="AD16" i="24"/>
  <c r="AC16" i="24"/>
  <c r="AB16" i="24"/>
  <c r="AJ9" i="24"/>
  <c r="AI9" i="24"/>
  <c r="AH9" i="24"/>
  <c r="AG9" i="24"/>
  <c r="AF9" i="24"/>
  <c r="AE9" i="24"/>
  <c r="AD9" i="24"/>
  <c r="AC9" i="24"/>
  <c r="AB9" i="24"/>
  <c r="AA9" i="24"/>
  <c r="Z9" i="24"/>
  <c r="Y9" i="24"/>
  <c r="AJ8" i="24"/>
  <c r="AI8" i="24"/>
  <c r="AH8" i="24"/>
  <c r="AG8" i="24"/>
  <c r="AF8" i="24"/>
  <c r="AE8" i="24"/>
  <c r="AD8" i="24"/>
  <c r="AC8" i="24"/>
  <c r="AB8" i="24"/>
  <c r="AJ84" i="24"/>
  <c r="AI84" i="24"/>
  <c r="AH84" i="24"/>
  <c r="AG84" i="24"/>
  <c r="AF84" i="24"/>
  <c r="AE84" i="24"/>
  <c r="AD84" i="24"/>
  <c r="AC84" i="24"/>
  <c r="AB84" i="24"/>
  <c r="AA84" i="24"/>
  <c r="Z84" i="24"/>
  <c r="Y84" i="24"/>
  <c r="X84" i="24"/>
  <c r="I25" i="24"/>
  <c r="H25" i="24"/>
  <c r="G25" i="24"/>
  <c r="AG49" i="24"/>
  <c r="AD49" i="24"/>
  <c r="AC49" i="24"/>
  <c r="Z49" i="24"/>
  <c r="Y49" i="24"/>
  <c r="X49" i="24"/>
  <c r="I22" i="24"/>
  <c r="H22" i="24"/>
  <c r="G22" i="24"/>
  <c r="F22" i="24"/>
  <c r="E22" i="24"/>
  <c r="D22" i="24"/>
  <c r="J22" i="24" s="1"/>
  <c r="C22" i="24"/>
  <c r="AG46" i="24"/>
  <c r="AD46" i="24"/>
  <c r="Z46" i="24"/>
  <c r="Y46" i="24"/>
  <c r="X46" i="24"/>
  <c r="I21" i="24"/>
  <c r="H21" i="24"/>
  <c r="G21" i="24"/>
  <c r="F21" i="24"/>
  <c r="E21" i="24"/>
  <c r="D21" i="24"/>
  <c r="J21" i="24" s="1"/>
  <c r="C21" i="24"/>
  <c r="I20" i="24"/>
  <c r="H20" i="24"/>
  <c r="G20" i="24"/>
  <c r="F20" i="24"/>
  <c r="E20" i="24"/>
  <c r="D20" i="24"/>
  <c r="J20" i="24" s="1"/>
  <c r="I19" i="24"/>
  <c r="H19" i="24"/>
  <c r="G19" i="24"/>
  <c r="F19" i="24"/>
  <c r="E19" i="24"/>
  <c r="D19" i="24"/>
  <c r="J19" i="24" s="1"/>
  <c r="I18" i="24"/>
  <c r="H18" i="24"/>
  <c r="G18" i="24"/>
  <c r="F18" i="24"/>
  <c r="E18" i="24"/>
  <c r="D18" i="24"/>
  <c r="J18" i="24" s="1"/>
  <c r="C18" i="24"/>
  <c r="J17" i="24"/>
  <c r="J16" i="24"/>
  <c r="C15" i="24"/>
  <c r="C19" i="24" s="1"/>
  <c r="AJ43" i="24"/>
  <c r="AB43" i="24"/>
  <c r="Z43" i="24"/>
  <c r="X43" i="24"/>
  <c r="J14" i="24"/>
  <c r="I12" i="24"/>
  <c r="H12" i="24"/>
  <c r="G12" i="24"/>
  <c r="F12" i="24"/>
  <c r="E12" i="24"/>
  <c r="D12" i="24"/>
  <c r="N11" i="24"/>
  <c r="I11" i="24"/>
  <c r="H11" i="24"/>
  <c r="G11" i="24"/>
  <c r="F11" i="24"/>
  <c r="E11" i="24"/>
  <c r="D11" i="24"/>
  <c r="J11" i="24" s="1"/>
  <c r="C11" i="24"/>
  <c r="N10" i="24"/>
  <c r="J10" i="24"/>
  <c r="AZ9" i="24"/>
  <c r="AZ11" i="24" s="1"/>
  <c r="AX9" i="24"/>
  <c r="AX11" i="24" s="1"/>
  <c r="AW9" i="24"/>
  <c r="AV9" i="24"/>
  <c r="AU9" i="24"/>
  <c r="AT9" i="24"/>
  <c r="AT11" i="24" s="1"/>
  <c r="AR9" i="24"/>
  <c r="AR11" i="24" s="1"/>
  <c r="AQ9" i="24"/>
  <c r="AP9" i="24"/>
  <c r="AO9" i="24"/>
  <c r="N9" i="24"/>
  <c r="N8" i="24"/>
  <c r="I8" i="24"/>
  <c r="H8" i="24"/>
  <c r="G8" i="24"/>
  <c r="F8" i="24"/>
  <c r="E8" i="24"/>
  <c r="D8" i="24"/>
  <c r="J8" i="24" s="1"/>
  <c r="C8" i="24"/>
  <c r="N7" i="24"/>
  <c r="N6" i="24"/>
  <c r="I6" i="24"/>
  <c r="H6" i="24"/>
  <c r="G6" i="24"/>
  <c r="F6" i="24"/>
  <c r="E6" i="24"/>
  <c r="D6" i="24"/>
  <c r="J6" i="24" s="1"/>
  <c r="C6" i="24"/>
  <c r="AJ5" i="24"/>
  <c r="AI5" i="24"/>
  <c r="AH5" i="24"/>
  <c r="AG5" i="24"/>
  <c r="AF5" i="24"/>
  <c r="AE5" i="24"/>
  <c r="AD5" i="24"/>
  <c r="AC5" i="24"/>
  <c r="AB5" i="24"/>
  <c r="AA5" i="24"/>
  <c r="Z5" i="24"/>
  <c r="Y5" i="24"/>
  <c r="N5" i="24"/>
  <c r="AJ4" i="24"/>
  <c r="AI4" i="24"/>
  <c r="AH4" i="24"/>
  <c r="AG4" i="24"/>
  <c r="AF4" i="24"/>
  <c r="AE4" i="24"/>
  <c r="AD4" i="24"/>
  <c r="AC4" i="24"/>
  <c r="AB4" i="24"/>
  <c r="J4" i="24"/>
  <c r="I4" i="24"/>
  <c r="H4" i="24"/>
  <c r="G4" i="24"/>
  <c r="F4" i="24"/>
  <c r="E4" i="24"/>
  <c r="D4" i="24"/>
  <c r="N3" i="24"/>
  <c r="AN2" i="24"/>
  <c r="N2" i="24"/>
  <c r="T14" i="24" s="1"/>
  <c r="AD35" i="24" l="1"/>
  <c r="AD40" i="24" s="1"/>
  <c r="J19" i="25"/>
  <c r="AI13" i="24"/>
  <c r="J20" i="25"/>
  <c r="AA49" i="24"/>
  <c r="Y13" i="24"/>
  <c r="Z13" i="24"/>
  <c r="AE25" i="24"/>
  <c r="AA13" i="24"/>
  <c r="AI35" i="24"/>
  <c r="AI40" i="24" s="1"/>
  <c r="AJ49" i="24"/>
  <c r="AH13" i="24"/>
  <c r="AC13" i="24"/>
  <c r="AE35" i="24"/>
  <c r="AI36" i="24" s="1"/>
  <c r="AJ13" i="24"/>
  <c r="AB13" i="24"/>
  <c r="AF13" i="24"/>
  <c r="AH36" i="24"/>
  <c r="AH40" i="24"/>
  <c r="AC40" i="24"/>
  <c r="AC37" i="24"/>
  <c r="AB40" i="24"/>
  <c r="AB36" i="24"/>
  <c r="AB37" i="24"/>
  <c r="Y37" i="24"/>
  <c r="Y40" i="24"/>
  <c r="AA40" i="24"/>
  <c r="AA37" i="24"/>
  <c r="Z37" i="24"/>
  <c r="Z40" i="24"/>
  <c r="AF46" i="24"/>
  <c r="AJ12" i="24"/>
  <c r="AF35" i="24"/>
  <c r="AI12" i="24"/>
  <c r="AJ46" i="24"/>
  <c r="AJ35" i="24"/>
  <c r="AF53" i="24"/>
  <c r="AF56" i="24" s="1"/>
  <c r="AJ57" i="24" s="1"/>
  <c r="AH46" i="24"/>
  <c r="AJ24" i="24"/>
  <c r="AI24" i="24"/>
  <c r="AB12" i="24"/>
  <c r="AD37" i="24"/>
  <c r="AC12" i="24"/>
  <c r="AH12" i="24"/>
  <c r="AD12" i="24"/>
  <c r="AE12" i="24"/>
  <c r="AE13" i="24"/>
  <c r="AA53" i="24"/>
  <c r="AA54" i="24" s="1"/>
  <c r="AH53" i="24"/>
  <c r="AH60" i="24" s="1"/>
  <c r="AF12" i="24"/>
  <c r="AB53" i="24"/>
  <c r="AB60" i="24" s="1"/>
  <c r="AG35" i="24"/>
  <c r="AG36" i="24" s="1"/>
  <c r="AI49" i="24"/>
  <c r="AG12" i="24"/>
  <c r="AG13" i="24"/>
  <c r="AC53" i="24"/>
  <c r="AC60" i="24" s="1"/>
  <c r="AH36" i="25"/>
  <c r="AH32" i="25"/>
  <c r="AH30" i="25"/>
  <c r="AA32" i="25"/>
  <c r="AA36" i="25"/>
  <c r="AA30" i="25"/>
  <c r="Y32" i="25"/>
  <c r="Y30" i="25"/>
  <c r="N14" i="25"/>
  <c r="N20" i="25"/>
  <c r="Q13" i="25"/>
  <c r="Q14" i="25" s="1"/>
  <c r="Z36" i="25"/>
  <c r="Z32" i="25"/>
  <c r="Z30" i="25"/>
  <c r="AF21" i="25"/>
  <c r="AF24" i="25"/>
  <c r="AE32" i="25"/>
  <c r="AE30" i="25"/>
  <c r="AE36" i="25"/>
  <c r="AI36" i="25"/>
  <c r="AI32" i="25"/>
  <c r="AJ34" i="25" s="1"/>
  <c r="AI30" i="25"/>
  <c r="X32" i="25"/>
  <c r="X30" i="25"/>
  <c r="AC30" i="25"/>
  <c r="AC32" i="25"/>
  <c r="AC36" i="25"/>
  <c r="AD21" i="25"/>
  <c r="AD24" i="25"/>
  <c r="AG24" i="25"/>
  <c r="AG21" i="25"/>
  <c r="AB36" i="25"/>
  <c r="AB32" i="25"/>
  <c r="AB30" i="25"/>
  <c r="AE53" i="24"/>
  <c r="AE56" i="24" s="1"/>
  <c r="AI46" i="24"/>
  <c r="AJ25" i="24"/>
  <c r="AE40" i="24"/>
  <c r="AE36" i="24"/>
  <c r="AI37" i="24"/>
  <c r="AB46" i="24"/>
  <c r="AE46" i="24"/>
  <c r="AC36" i="24"/>
  <c r="AD36" i="24"/>
  <c r="AF25" i="24"/>
  <c r="AG25" i="24"/>
  <c r="O10" i="24"/>
  <c r="Q2" i="24"/>
  <c r="O9" i="24"/>
  <c r="O11" i="24"/>
  <c r="C20" i="24"/>
  <c r="J12" i="24"/>
  <c r="N13" i="24"/>
  <c r="N20" i="24" s="1"/>
  <c r="AI43" i="24"/>
  <c r="X54" i="24"/>
  <c r="AC43" i="24"/>
  <c r="AJ54" i="24"/>
  <c r="AI56" i="24"/>
  <c r="AA43" i="24"/>
  <c r="AH43" i="24"/>
  <c r="AG43" i="24"/>
  <c r="Y58" i="24"/>
  <c r="AD57" i="24"/>
  <c r="Z58" i="24"/>
  <c r="S14" i="24"/>
  <c r="AF43" i="24"/>
  <c r="AE60" i="24"/>
  <c r="AD60" i="24"/>
  <c r="AD54" i="24"/>
  <c r="AG60" i="24"/>
  <c r="AG54" i="24"/>
  <c r="AI60" i="24"/>
  <c r="X60" i="24"/>
  <c r="AJ60" i="24"/>
  <c r="Y60" i="24"/>
  <c r="Y54" i="24"/>
  <c r="Z60" i="24"/>
  <c r="Z54" i="24"/>
  <c r="AF37" i="24" l="1"/>
  <c r="AE37" i="24"/>
  <c r="AB54" i="24"/>
  <c r="AB56" i="24"/>
  <c r="AC54" i="24"/>
  <c r="AG37" i="24"/>
  <c r="AK37" i="24"/>
  <c r="AJ40" i="24"/>
  <c r="AJ36" i="24"/>
  <c r="AF36" i="24"/>
  <c r="AF40" i="24"/>
  <c r="AF54" i="24"/>
  <c r="AH56" i="24"/>
  <c r="AH58" i="24" s="1"/>
  <c r="AC56" i="24"/>
  <c r="AD58" i="24" s="1"/>
  <c r="AF60" i="24"/>
  <c r="AA60" i="24"/>
  <c r="AG58" i="24"/>
  <c r="AK36" i="24"/>
  <c r="AG40" i="24"/>
  <c r="AH37" i="24"/>
  <c r="AA56" i="24"/>
  <c r="AA58" i="24" s="1"/>
  <c r="AH54" i="24"/>
  <c r="AJ37" i="24"/>
  <c r="AA34" i="25"/>
  <c r="AI34" i="25"/>
  <c r="AI33" i="25"/>
  <c r="AE33" i="25"/>
  <c r="AF32" i="25"/>
  <c r="AJ33" i="25" s="1"/>
  <c r="AF30" i="25"/>
  <c r="AF36" i="25"/>
  <c r="AB33" i="25"/>
  <c r="AB34" i="25"/>
  <c r="Y34" i="25"/>
  <c r="AD32" i="25"/>
  <c r="AE34" i="25" s="1"/>
  <c r="AD30" i="25"/>
  <c r="AD36" i="25"/>
  <c r="AM36" i="25" s="1"/>
  <c r="AC33" i="25"/>
  <c r="AC34" i="25"/>
  <c r="AG32" i="25"/>
  <c r="AK33" i="25" s="1"/>
  <c r="AG30" i="25"/>
  <c r="AG36" i="25"/>
  <c r="AH34" i="25"/>
  <c r="Z34" i="25"/>
  <c r="AE54" i="24"/>
  <c r="AE58" i="24"/>
  <c r="AF58" i="24"/>
  <c r="Q13" i="24"/>
  <c r="Q14" i="24" s="1"/>
  <c r="N14" i="24"/>
  <c r="AM36" i="24"/>
  <c r="AM37" i="24" s="1"/>
  <c r="AI58" i="24"/>
  <c r="AM35" i="24"/>
  <c r="AB57" i="24"/>
  <c r="AF57" i="24"/>
  <c r="AI57" i="24"/>
  <c r="AJ58" i="24"/>
  <c r="AE43" i="24"/>
  <c r="AD43" i="24"/>
  <c r="Y43" i="24"/>
  <c r="AB58" i="24" l="1"/>
  <c r="AG57" i="24"/>
  <c r="AC58" i="24"/>
  <c r="AM37" i="25"/>
  <c r="AM38" i="25" s="1"/>
  <c r="AE57" i="24"/>
  <c r="AH57" i="24"/>
  <c r="AC57" i="24"/>
  <c r="AH33" i="25"/>
  <c r="AF34" i="25"/>
  <c r="AF33" i="25"/>
  <c r="AG34" i="25"/>
  <c r="AG33" i="25"/>
  <c r="AD33" i="25"/>
  <c r="AD34" i="25"/>
  <c r="D280" i="23"/>
  <c r="D267" i="23"/>
  <c r="D254" i="23"/>
  <c r="D241" i="23"/>
  <c r="D228" i="23"/>
  <c r="D215" i="23"/>
  <c r="D202" i="23"/>
  <c r="D189" i="23"/>
  <c r="X61" i="22" s="1"/>
  <c r="D176" i="23"/>
  <c r="Y61" i="22" s="1"/>
  <c r="D163" i="23"/>
  <c r="Z61" i="22" s="1"/>
  <c r="D150" i="23"/>
  <c r="AA61" i="22" s="1"/>
  <c r="D137" i="23"/>
  <c r="AB61" i="22" s="1"/>
  <c r="D124" i="23"/>
  <c r="AC61" i="22" s="1"/>
  <c r="D111" i="23"/>
  <c r="AD61" i="22" s="1"/>
  <c r="D98" i="23"/>
  <c r="AE61" i="22" s="1"/>
  <c r="D85" i="23"/>
  <c r="AF61" i="22" s="1"/>
  <c r="D72" i="23"/>
  <c r="AG61" i="22" s="1"/>
  <c r="D59" i="23"/>
  <c r="AH61" i="22" s="1"/>
  <c r="AN62" i="22" s="1"/>
  <c r="D46" i="23"/>
  <c r="AI61" i="22" s="1"/>
  <c r="D33" i="23"/>
  <c r="AJ61" i="22" s="1"/>
  <c r="AK63" i="22" s="1"/>
  <c r="AK62" i="22" l="1"/>
  <c r="AJ62" i="22"/>
  <c r="AJ63" i="22"/>
  <c r="X38" i="22"/>
  <c r="X39" i="22"/>
  <c r="Y39" i="22"/>
  <c r="Y38" i="22"/>
  <c r="AA39" i="22"/>
  <c r="AA38" i="22"/>
  <c r="AB38" i="22"/>
  <c r="AB39" i="22"/>
  <c r="X18" i="22"/>
  <c r="AC38" i="22"/>
  <c r="AC39" i="22"/>
  <c r="Y18" i="22"/>
  <c r="Z38" i="22"/>
  <c r="Z39" i="22"/>
  <c r="Z18" i="22"/>
  <c r="AE38" i="22"/>
  <c r="AE39" i="22"/>
  <c r="AA18" i="22"/>
  <c r="AJ71" i="20" l="1"/>
  <c r="AI71" i="20"/>
  <c r="AH71" i="20"/>
  <c r="AG71" i="20"/>
  <c r="AF71" i="20"/>
  <c r="AE71" i="20"/>
  <c r="AD71" i="20"/>
  <c r="AC71" i="20"/>
  <c r="AB71" i="20"/>
  <c r="AA71" i="20"/>
  <c r="Z71" i="20"/>
  <c r="Y71" i="20"/>
  <c r="AJ70" i="20"/>
  <c r="AI70" i="20"/>
  <c r="AH70" i="20"/>
  <c r="AG70" i="20"/>
  <c r="AF70" i="20"/>
  <c r="AE70" i="20"/>
  <c r="AD70" i="20"/>
  <c r="AC70" i="20"/>
  <c r="AB70" i="20"/>
  <c r="AJ68" i="20"/>
  <c r="AI68" i="20"/>
  <c r="AH68" i="20"/>
  <c r="AG68" i="20"/>
  <c r="AF68" i="20"/>
  <c r="AE68" i="20"/>
  <c r="AD68" i="20"/>
  <c r="AC68" i="20"/>
  <c r="AB68" i="20"/>
  <c r="AA68" i="20"/>
  <c r="Z68" i="20"/>
  <c r="Y68" i="20"/>
  <c r="AJ67" i="20"/>
  <c r="AI67" i="20"/>
  <c r="AH67" i="20"/>
  <c r="AG67" i="20"/>
  <c r="AF67" i="20"/>
  <c r="AE67" i="20"/>
  <c r="AD67" i="20"/>
  <c r="AC67" i="20"/>
  <c r="AB67" i="20"/>
  <c r="AJ65" i="20"/>
  <c r="AI65" i="20"/>
  <c r="AH65" i="20"/>
  <c r="AG65" i="20"/>
  <c r="AF65" i="20"/>
  <c r="AE65" i="20"/>
  <c r="AD65" i="20"/>
  <c r="AC65" i="20"/>
  <c r="AB65" i="20"/>
  <c r="AA65" i="20"/>
  <c r="Z65" i="20"/>
  <c r="Y65" i="20"/>
  <c r="AJ64" i="20"/>
  <c r="AI64" i="20"/>
  <c r="AH64" i="20"/>
  <c r="AG64" i="20"/>
  <c r="AF64" i="20"/>
  <c r="AE64" i="20"/>
  <c r="AD64" i="20"/>
  <c r="AC64" i="20"/>
  <c r="AB64" i="20"/>
  <c r="AJ62" i="20"/>
  <c r="AJ61" i="20"/>
  <c r="AI62" i="20"/>
  <c r="AH62" i="20"/>
  <c r="AG62" i="20"/>
  <c r="AF62" i="20"/>
  <c r="AE62" i="20"/>
  <c r="AD62" i="20"/>
  <c r="AC62" i="20"/>
  <c r="AB62" i="20"/>
  <c r="AA62" i="20"/>
  <c r="Z62" i="20"/>
  <c r="Y62" i="20"/>
  <c r="AI61" i="20"/>
  <c r="AH61" i="20"/>
  <c r="AG61" i="20"/>
  <c r="AF61" i="20"/>
  <c r="AE61" i="20"/>
  <c r="AD61" i="20"/>
  <c r="AC61" i="20"/>
  <c r="AB61" i="20"/>
  <c r="AI63" i="22" l="1"/>
  <c r="AH63" i="22"/>
  <c r="AG63" i="22"/>
  <c r="AF63" i="22"/>
  <c r="AE63" i="22"/>
  <c r="AD63" i="22"/>
  <c r="AC63" i="22"/>
  <c r="AB63" i="22"/>
  <c r="AA63" i="22"/>
  <c r="Z63" i="22"/>
  <c r="Y63" i="22"/>
  <c r="AA66" i="22"/>
  <c r="AA70" i="22"/>
  <c r="AF70" i="22"/>
  <c r="AF66" i="22"/>
  <c r="AI71" i="22"/>
  <c r="AI67" i="22"/>
  <c r="AG62" i="22"/>
  <c r="AH62" i="22"/>
  <c r="AI62" i="22"/>
  <c r="AF62" i="22"/>
  <c r="AE62" i="22"/>
  <c r="AD62" i="22"/>
  <c r="AC62" i="22"/>
  <c r="AB62" i="22"/>
  <c r="AB56" i="22"/>
  <c r="AB57" i="22" s="1"/>
  <c r="AF56" i="22"/>
  <c r="AF52" i="22" s="1"/>
  <c r="AF38" i="22"/>
  <c r="AF43" i="22" s="1"/>
  <c r="AF39" i="22"/>
  <c r="AB18" i="22"/>
  <c r="AB14" i="22" s="1"/>
  <c r="AB15" i="22" s="1"/>
  <c r="AF18" i="22"/>
  <c r="AF14" i="22" s="1"/>
  <c r="AF19" i="22" s="1"/>
  <c r="AG56" i="22"/>
  <c r="AG38" i="22"/>
  <c r="AG39" i="22"/>
  <c r="AC18" i="22"/>
  <c r="AC14" i="22" s="1"/>
  <c r="AG18" i="22"/>
  <c r="AH56" i="22"/>
  <c r="AD38" i="22"/>
  <c r="AD43" i="22" s="1"/>
  <c r="AD39" i="22"/>
  <c r="AD18" i="22"/>
  <c r="AD14" i="22" s="1"/>
  <c r="AD19" i="22" s="1"/>
  <c r="AH18" i="22"/>
  <c r="AH14" i="22" s="1"/>
  <c r="AH16" i="22" s="1"/>
  <c r="AH43" i="22"/>
  <c r="AI38" i="22"/>
  <c r="AI43" i="22" s="1"/>
  <c r="AI39" i="22"/>
  <c r="AE18" i="22"/>
  <c r="AE14" i="22" s="1"/>
  <c r="AE19" i="22" s="1"/>
  <c r="AI18" i="22"/>
  <c r="AI14" i="22" s="1"/>
  <c r="AI16" i="22" s="1"/>
  <c r="AH29" i="22"/>
  <c r="AH36" i="22" s="1"/>
  <c r="AG29" i="22"/>
  <c r="AG36" i="22" s="1"/>
  <c r="AF29" i="22"/>
  <c r="AF36" i="22" s="1"/>
  <c r="AE29" i="22"/>
  <c r="AE32" i="22" s="1"/>
  <c r="AD29" i="22"/>
  <c r="AD32" i="22" s="1"/>
  <c r="AC29" i="22"/>
  <c r="AC32" i="22" s="1"/>
  <c r="AB29" i="22"/>
  <c r="AB32" i="22" s="1"/>
  <c r="AA29" i="22"/>
  <c r="AA32" i="22" s="1"/>
  <c r="Z29" i="22"/>
  <c r="Z32" i="22" s="1"/>
  <c r="Y29" i="22"/>
  <c r="Y32" i="22" s="1"/>
  <c r="X29" i="22"/>
  <c r="X36" i="22" s="1"/>
  <c r="AI29" i="22"/>
  <c r="AI36" i="22" s="1"/>
  <c r="AG14" i="22"/>
  <c r="AG15" i="22" s="1"/>
  <c r="AI57" i="22"/>
  <c r="AH57" i="22"/>
  <c r="AE57" i="22"/>
  <c r="AD57" i="22"/>
  <c r="AC57" i="22"/>
  <c r="AA57" i="22"/>
  <c r="Z57" i="22"/>
  <c r="Y57" i="22"/>
  <c r="X57" i="22"/>
  <c r="AI52" i="22"/>
  <c r="AE52" i="22"/>
  <c r="AD52" i="22"/>
  <c r="AB52" i="22"/>
  <c r="AA52" i="22"/>
  <c r="Z52" i="22"/>
  <c r="Y52" i="22"/>
  <c r="AI51" i="22"/>
  <c r="AH51" i="22"/>
  <c r="AG51" i="22"/>
  <c r="AF51" i="22"/>
  <c r="AE51" i="22"/>
  <c r="AD51" i="22"/>
  <c r="AC51" i="22"/>
  <c r="AB51" i="22"/>
  <c r="AA51" i="22"/>
  <c r="Z51" i="22"/>
  <c r="Y51" i="22"/>
  <c r="AI49" i="22"/>
  <c r="AH49" i="22"/>
  <c r="AG49" i="22"/>
  <c r="AF49" i="22"/>
  <c r="AE49" i="22"/>
  <c r="AD49" i="22"/>
  <c r="AC49" i="22"/>
  <c r="AB49" i="22"/>
  <c r="AA49" i="22"/>
  <c r="Z49" i="22"/>
  <c r="Y49" i="22"/>
  <c r="X49" i="22"/>
  <c r="AE43" i="22"/>
  <c r="AC43" i="22"/>
  <c r="AB43" i="22"/>
  <c r="AA43" i="22"/>
  <c r="Z43" i="22"/>
  <c r="Y43" i="22"/>
  <c r="X43" i="22"/>
  <c r="I25" i="22"/>
  <c r="H25" i="22"/>
  <c r="G25" i="22"/>
  <c r="AI25" i="22"/>
  <c r="AH25" i="22"/>
  <c r="AG25" i="22"/>
  <c r="AF25" i="22"/>
  <c r="AE25" i="22"/>
  <c r="AD25" i="22"/>
  <c r="AC25" i="22"/>
  <c r="AB25" i="22"/>
  <c r="AA25" i="22"/>
  <c r="Z25" i="22"/>
  <c r="Y25" i="22"/>
  <c r="X25" i="22"/>
  <c r="I22" i="22"/>
  <c r="H22" i="22"/>
  <c r="G22" i="22"/>
  <c r="F22" i="22"/>
  <c r="E22" i="22"/>
  <c r="D22" i="22"/>
  <c r="C22" i="22"/>
  <c r="AI22" i="22"/>
  <c r="AH22" i="22"/>
  <c r="AG22" i="22"/>
  <c r="AF22" i="22"/>
  <c r="AE22" i="22"/>
  <c r="AD22" i="22"/>
  <c r="AC22" i="22"/>
  <c r="AB22" i="22"/>
  <c r="AA22" i="22"/>
  <c r="Z22" i="22"/>
  <c r="Y22" i="22"/>
  <c r="X22" i="22"/>
  <c r="I21" i="22"/>
  <c r="H21" i="22"/>
  <c r="G21" i="22"/>
  <c r="F21" i="22"/>
  <c r="E21" i="22"/>
  <c r="D21" i="22"/>
  <c r="C21" i="22"/>
  <c r="G20" i="22"/>
  <c r="G19" i="22"/>
  <c r="I18" i="22"/>
  <c r="H18" i="22"/>
  <c r="G18" i="22"/>
  <c r="F18" i="22"/>
  <c r="E18" i="22"/>
  <c r="D18" i="22"/>
  <c r="C18" i="22"/>
  <c r="J17" i="22"/>
  <c r="J16" i="22"/>
  <c r="I15" i="22"/>
  <c r="I19" i="22" s="1"/>
  <c r="H15" i="22"/>
  <c r="H19" i="22" s="1"/>
  <c r="F15" i="22"/>
  <c r="F19" i="22" s="1"/>
  <c r="E15" i="22"/>
  <c r="E19" i="22" s="1"/>
  <c r="D15" i="22"/>
  <c r="D19" i="22" s="1"/>
  <c r="C15" i="22"/>
  <c r="C19" i="22" s="1"/>
  <c r="AA14" i="22"/>
  <c r="AA15" i="22" s="1"/>
  <c r="Z14" i="22"/>
  <c r="Z15" i="22" s="1"/>
  <c r="Y14" i="22"/>
  <c r="Y15" i="22" s="1"/>
  <c r="X14" i="22"/>
  <c r="X15" i="22" s="1"/>
  <c r="J14" i="22"/>
  <c r="AI12" i="22"/>
  <c r="AH12" i="22"/>
  <c r="AG12" i="22"/>
  <c r="AF12" i="22"/>
  <c r="AE12" i="22"/>
  <c r="AD12" i="22"/>
  <c r="AC12" i="22"/>
  <c r="AB12" i="22"/>
  <c r="AA12" i="22"/>
  <c r="Z12" i="22"/>
  <c r="Y12" i="22"/>
  <c r="X12" i="22"/>
  <c r="I12" i="22"/>
  <c r="H12" i="22"/>
  <c r="G12" i="22"/>
  <c r="F12" i="22"/>
  <c r="E12" i="22"/>
  <c r="D12" i="22"/>
  <c r="AZ11" i="22"/>
  <c r="AZ13" i="22" s="1"/>
  <c r="AY11" i="22"/>
  <c r="AY13" i="22" s="1"/>
  <c r="AX11" i="22"/>
  <c r="AW11" i="22"/>
  <c r="AV11" i="22"/>
  <c r="AU11" i="22"/>
  <c r="AU13" i="22" s="1"/>
  <c r="AT11" i="22"/>
  <c r="AT13" i="22" s="1"/>
  <c r="AS11" i="22"/>
  <c r="AR11" i="22"/>
  <c r="AQ11" i="22"/>
  <c r="N11" i="22"/>
  <c r="I11" i="22"/>
  <c r="H11" i="22"/>
  <c r="G11" i="22"/>
  <c r="F11" i="22"/>
  <c r="E11" i="22"/>
  <c r="D11" i="22"/>
  <c r="C11" i="22"/>
  <c r="N10" i="22"/>
  <c r="J10" i="22"/>
  <c r="N9" i="22"/>
  <c r="N8" i="22"/>
  <c r="I8" i="22"/>
  <c r="H8" i="22"/>
  <c r="G8" i="22"/>
  <c r="F8" i="22"/>
  <c r="E8" i="22"/>
  <c r="D8" i="22"/>
  <c r="C8" i="22"/>
  <c r="N7" i="22"/>
  <c r="N6" i="22"/>
  <c r="I6" i="22"/>
  <c r="H6" i="22"/>
  <c r="G6" i="22"/>
  <c r="F6" i="22"/>
  <c r="E6" i="22"/>
  <c r="D6" i="22"/>
  <c r="C6" i="22"/>
  <c r="AI5" i="22"/>
  <c r="AH5" i="22"/>
  <c r="AG5" i="22"/>
  <c r="AF5" i="22"/>
  <c r="AE5" i="22"/>
  <c r="AD5" i="22"/>
  <c r="AC5" i="22"/>
  <c r="AB5" i="22"/>
  <c r="AA5" i="22"/>
  <c r="Z5" i="22"/>
  <c r="Y5" i="22"/>
  <c r="N5" i="22"/>
  <c r="AI4" i="22"/>
  <c r="AH4" i="22"/>
  <c r="AG4" i="22"/>
  <c r="AF4" i="22"/>
  <c r="AE4" i="22"/>
  <c r="AD4" i="22"/>
  <c r="AC4" i="22"/>
  <c r="AB4" i="22"/>
  <c r="J4" i="22"/>
  <c r="I4" i="22"/>
  <c r="H4" i="22"/>
  <c r="G4" i="22"/>
  <c r="F4" i="22"/>
  <c r="E4" i="22"/>
  <c r="D4" i="22"/>
  <c r="N3" i="22"/>
  <c r="AP2" i="22"/>
  <c r="N2" i="22"/>
  <c r="AC52" i="22" l="1"/>
  <c r="AB66" i="22"/>
  <c r="AB68" i="22" s="1"/>
  <c r="AA68" i="22"/>
  <c r="AG66" i="22"/>
  <c r="AK67" i="22" s="1"/>
  <c r="AF68" i="22"/>
  <c r="AJ71" i="22"/>
  <c r="AF72" i="22"/>
  <c r="AE71" i="22"/>
  <c r="AA72" i="22"/>
  <c r="AE67" i="22"/>
  <c r="AF57" i="22"/>
  <c r="AC66" i="22"/>
  <c r="AC68" i="22" s="1"/>
  <c r="AB67" i="22"/>
  <c r="AB70" i="22"/>
  <c r="AB72" i="22" s="1"/>
  <c r="AG70" i="22"/>
  <c r="AE36" i="22"/>
  <c r="AH40" i="22"/>
  <c r="AG52" i="22"/>
  <c r="AG53" i="22" s="1"/>
  <c r="AF67" i="22"/>
  <c r="AJ67" i="22"/>
  <c r="Z16" i="22"/>
  <c r="AA53" i="22"/>
  <c r="AA16" i="22"/>
  <c r="Y53" i="22"/>
  <c r="Z53" i="22"/>
  <c r="AG40" i="22"/>
  <c r="AH52" i="22"/>
  <c r="AH53" i="22" s="1"/>
  <c r="AG43" i="22"/>
  <c r="AG57" i="22"/>
  <c r="AE16" i="22"/>
  <c r="J22" i="22"/>
  <c r="AB53" i="22"/>
  <c r="AC53" i="22"/>
  <c r="AE53" i="22"/>
  <c r="X16" i="22"/>
  <c r="Y16" i="22"/>
  <c r="AB16" i="22"/>
  <c r="AF16" i="22"/>
  <c r="AD53" i="22"/>
  <c r="AC15" i="22"/>
  <c r="AC16" i="22"/>
  <c r="AC36" i="22"/>
  <c r="AG16" i="22"/>
  <c r="AG19" i="22"/>
  <c r="AD36" i="22"/>
  <c r="AD16" i="22"/>
  <c r="AH19" i="22"/>
  <c r="AH15" i="22"/>
  <c r="AF53" i="22"/>
  <c r="AI19" i="22"/>
  <c r="AI15" i="22"/>
  <c r="O11" i="22"/>
  <c r="O10" i="22"/>
  <c r="J11" i="22"/>
  <c r="J18" i="22"/>
  <c r="J21" i="22"/>
  <c r="Q2" i="22" s="1"/>
  <c r="J8" i="22"/>
  <c r="O9" i="22"/>
  <c r="AD15" i="22"/>
  <c r="J12" i="22"/>
  <c r="J6" i="22"/>
  <c r="N13" i="22"/>
  <c r="N20" i="22" s="1"/>
  <c r="AF15" i="22"/>
  <c r="Y36" i="22"/>
  <c r="AO33" i="22" s="1"/>
  <c r="H9" i="44" s="1"/>
  <c r="AE15" i="22"/>
  <c r="AI53" i="22"/>
  <c r="AA36" i="22"/>
  <c r="Z36" i="22"/>
  <c r="Z34" i="22"/>
  <c r="AA34" i="22"/>
  <c r="AB36" i="22"/>
  <c r="AD33" i="22"/>
  <c r="AD34" i="22"/>
  <c r="AC33" i="22"/>
  <c r="AC34" i="22"/>
  <c r="AE33" i="22"/>
  <c r="AE34" i="22"/>
  <c r="J19" i="22"/>
  <c r="AB34" i="22"/>
  <c r="C20" i="22"/>
  <c r="AF30" i="22"/>
  <c r="AF32" i="22"/>
  <c r="AJ33" i="22" s="1"/>
  <c r="D20" i="22"/>
  <c r="AG30" i="22"/>
  <c r="AG32" i="22"/>
  <c r="AK33" i="22" s="1"/>
  <c r="AI40" i="22"/>
  <c r="T14" i="22"/>
  <c r="E20" i="22"/>
  <c r="AH30" i="22"/>
  <c r="AH32" i="22"/>
  <c r="X40" i="22"/>
  <c r="S14" i="22"/>
  <c r="F20" i="22"/>
  <c r="AI30" i="22"/>
  <c r="AI32" i="22"/>
  <c r="AJ34" i="22" s="1"/>
  <c r="Y40" i="22"/>
  <c r="X19" i="22"/>
  <c r="X30" i="22"/>
  <c r="X32" i="22"/>
  <c r="AB33" i="22" s="1"/>
  <c r="Z40" i="22"/>
  <c r="Y19" i="22"/>
  <c r="H20" i="22"/>
  <c r="Y30" i="22"/>
  <c r="AA40" i="22"/>
  <c r="Z19" i="22"/>
  <c r="I20" i="22"/>
  <c r="Z30" i="22"/>
  <c r="AB40" i="22"/>
  <c r="AA19" i="22"/>
  <c r="AA30" i="22"/>
  <c r="AC40" i="22"/>
  <c r="AB19" i="22"/>
  <c r="AB30" i="22"/>
  <c r="AD40" i="22"/>
  <c r="AC19" i="22"/>
  <c r="AC30" i="22"/>
  <c r="AE40" i="22"/>
  <c r="AD30" i="22"/>
  <c r="AF40" i="22"/>
  <c r="AE30" i="22"/>
  <c r="F9" i="44" l="1"/>
  <c r="AF71" i="22"/>
  <c r="AO34" i="22"/>
  <c r="AO35" i="22" s="1"/>
  <c r="I9" i="44" s="1"/>
  <c r="AG72" i="22"/>
  <c r="AK71" i="22"/>
  <c r="AG67" i="22"/>
  <c r="AH66" i="22"/>
  <c r="AG68" i="22"/>
  <c r="AH70" i="22"/>
  <c r="AB71" i="22"/>
  <c r="AC70" i="22"/>
  <c r="AC72" i="22" s="1"/>
  <c r="AC67" i="22"/>
  <c r="AD66" i="22"/>
  <c r="Q13" i="22"/>
  <c r="Q14" i="22" s="1"/>
  <c r="N14" i="22"/>
  <c r="AG33" i="22"/>
  <c r="AG34" i="22"/>
  <c r="J20" i="22"/>
  <c r="AI33" i="22"/>
  <c r="AI34" i="22"/>
  <c r="AF33" i="22"/>
  <c r="AF34" i="22"/>
  <c r="Y34" i="22"/>
  <c r="AH33" i="22"/>
  <c r="AH34" i="22"/>
  <c r="AD68" i="22" l="1"/>
  <c r="AE68" i="22"/>
  <c r="AI68" i="22"/>
  <c r="AH68" i="22"/>
  <c r="AI72" i="22"/>
  <c r="AH72" i="22"/>
  <c r="AD67" i="22"/>
  <c r="AH67" i="22"/>
  <c r="AC71" i="22"/>
  <c r="AD70" i="22"/>
  <c r="AG71" i="22"/>
  <c r="AP2" i="7"/>
  <c r="AZ9" i="7"/>
  <c r="AY9" i="7"/>
  <c r="AX9" i="7"/>
  <c r="S17" i="44" s="1"/>
  <c r="AB17" i="44" s="1"/>
  <c r="AW9" i="7"/>
  <c r="AV9" i="7"/>
  <c r="P17" i="44" s="1"/>
  <c r="AA17" i="44" s="1"/>
  <c r="AU9" i="7"/>
  <c r="AU11" i="7" s="1"/>
  <c r="AT9" i="7"/>
  <c r="AT11" i="7" s="1"/>
  <c r="AS9" i="7"/>
  <c r="AR9" i="7"/>
  <c r="AQ9" i="7"/>
  <c r="O53" i="21"/>
  <c r="N53" i="21"/>
  <c r="M53" i="21"/>
  <c r="L53" i="21"/>
  <c r="K53" i="21"/>
  <c r="J53" i="21"/>
  <c r="I53" i="21"/>
  <c r="H53" i="21"/>
  <c r="G53" i="21"/>
  <c r="F53" i="21"/>
  <c r="E53" i="21"/>
  <c r="O24" i="21"/>
  <c r="N24" i="21"/>
  <c r="AY11" i="18"/>
  <c r="AX11" i="18"/>
  <c r="AW11" i="18"/>
  <c r="S11" i="44" s="1"/>
  <c r="AV11" i="18"/>
  <c r="AU11" i="18"/>
  <c r="P11" i="44" s="1"/>
  <c r="AT11" i="18"/>
  <c r="AS11" i="18"/>
  <c r="AR11" i="18"/>
  <c r="R11" i="44" s="1"/>
  <c r="AQ11" i="18"/>
  <c r="AP11" i="18"/>
  <c r="O11" i="44" s="1"/>
  <c r="AO2" i="18"/>
  <c r="AZ11" i="5"/>
  <c r="AY11" i="5"/>
  <c r="AX11" i="5"/>
  <c r="S10" i="44" s="1"/>
  <c r="AW11" i="5"/>
  <c r="AV11" i="5"/>
  <c r="P10" i="44" s="1"/>
  <c r="AU11" i="5"/>
  <c r="AT11" i="5"/>
  <c r="AS11" i="5"/>
  <c r="R10" i="44" s="1"/>
  <c r="AR11" i="5"/>
  <c r="AQ11" i="5"/>
  <c r="O10" i="44" s="1"/>
  <c r="AP2" i="5"/>
  <c r="S4" i="44"/>
  <c r="P4" i="44"/>
  <c r="R4" i="44"/>
  <c r="O4" i="44"/>
  <c r="AB4" i="44" l="1"/>
  <c r="AY13" i="18"/>
  <c r="Y11" i="44"/>
  <c r="K11" i="44" s="1"/>
  <c r="AS13" i="18"/>
  <c r="U11" i="44"/>
  <c r="L11" i="44" s="1"/>
  <c r="AT13" i="18"/>
  <c r="X11" i="44"/>
  <c r="AB11" i="44"/>
  <c r="AA11" i="44"/>
  <c r="AX13" i="18"/>
  <c r="V11" i="44"/>
  <c r="M11" i="44" s="1"/>
  <c r="V4" i="44"/>
  <c r="M4" i="44" s="1"/>
  <c r="Y4" i="44"/>
  <c r="K4" i="44" s="1"/>
  <c r="U4" i="44"/>
  <c r="L4" i="44" s="1"/>
  <c r="AA4" i="44"/>
  <c r="X4" i="44"/>
  <c r="AY11" i="7"/>
  <c r="V17" i="44"/>
  <c r="M17" i="44" s="1"/>
  <c r="AZ11" i="7"/>
  <c r="Y17" i="44"/>
  <c r="K17" i="44" s="1"/>
  <c r="AA10" i="44"/>
  <c r="AB10" i="44"/>
  <c r="AT13" i="5"/>
  <c r="U10" i="44"/>
  <c r="L10" i="44" s="1"/>
  <c r="AU13" i="5"/>
  <c r="X10" i="44"/>
  <c r="AY13" i="5"/>
  <c r="V10" i="44"/>
  <c r="M10" i="44" s="1"/>
  <c r="AZ13" i="5"/>
  <c r="Y10" i="44"/>
  <c r="K10" i="44" s="1"/>
  <c r="AE72" i="22"/>
  <c r="AD72" i="22"/>
  <c r="AH71" i="22"/>
  <c r="AD71" i="22"/>
  <c r="AP2" i="20"/>
  <c r="AP2" i="2"/>
  <c r="AZ11" i="2" l="1"/>
  <c r="AY11" i="2"/>
  <c r="AX11" i="2"/>
  <c r="S3" i="44" s="1"/>
  <c r="AW11" i="2"/>
  <c r="AV11" i="2"/>
  <c r="P3" i="44" s="1"/>
  <c r="AU11" i="2"/>
  <c r="AT11" i="2"/>
  <c r="AS11" i="2"/>
  <c r="R3" i="44" s="1"/>
  <c r="AR11" i="2"/>
  <c r="AQ11" i="2"/>
  <c r="O3" i="44" s="1"/>
  <c r="AB3" i="44" l="1"/>
  <c r="AA3" i="44"/>
  <c r="AY13" i="2"/>
  <c r="V3" i="44"/>
  <c r="M3" i="44" s="1"/>
  <c r="AT13" i="2"/>
  <c r="U3" i="44"/>
  <c r="L3" i="44" s="1"/>
  <c r="AU13" i="2"/>
  <c r="X3" i="44"/>
  <c r="AZ13" i="2"/>
  <c r="Y3" i="44"/>
  <c r="K3" i="44" s="1"/>
  <c r="AZ9" i="20"/>
  <c r="AY9" i="20"/>
  <c r="AX9" i="20"/>
  <c r="S18" i="44" s="1"/>
  <c r="AW9" i="20"/>
  <c r="AV9" i="20"/>
  <c r="P18" i="44" s="1"/>
  <c r="AU9" i="20"/>
  <c r="AT9" i="20"/>
  <c r="AS9" i="20"/>
  <c r="R18" i="44" s="1"/>
  <c r="AR9" i="20"/>
  <c r="AQ9" i="20"/>
  <c r="O18" i="44" s="1"/>
  <c r="AB18" i="44" l="1"/>
  <c r="AA18" i="44"/>
  <c r="AT11" i="20"/>
  <c r="U18" i="44"/>
  <c r="L18" i="44" s="1"/>
  <c r="AU11" i="20"/>
  <c r="X18" i="44"/>
  <c r="AY11" i="20"/>
  <c r="V18" i="44"/>
  <c r="M18" i="44" s="1"/>
  <c r="AZ11" i="20"/>
  <c r="Y18" i="44"/>
  <c r="K18" i="44" s="1"/>
  <c r="AA38" i="14"/>
  <c r="X17" i="14"/>
  <c r="AB38" i="14"/>
  <c r="AB39" i="14"/>
  <c r="X37" i="18"/>
  <c r="X38" i="18"/>
  <c r="Y37" i="18"/>
  <c r="Y38" i="18"/>
  <c r="AA37" i="18"/>
  <c r="AA38" i="18"/>
  <c r="X37" i="20"/>
  <c r="X38" i="20"/>
  <c r="Y37" i="20"/>
  <c r="Y38" i="20"/>
  <c r="X37" i="7" l="1"/>
  <c r="X35" i="5"/>
  <c r="X17" i="5"/>
  <c r="Y35" i="5"/>
  <c r="Y36" i="5"/>
  <c r="Y17" i="5"/>
  <c r="AA37" i="20"/>
  <c r="AA38" i="20"/>
  <c r="AB37" i="20"/>
  <c r="AB38" i="20"/>
  <c r="X17" i="20"/>
  <c r="AC37" i="20"/>
  <c r="AC38" i="20"/>
  <c r="Y17" i="20"/>
  <c r="Z37" i="20"/>
  <c r="Z38" i="20"/>
  <c r="Z17" i="20"/>
  <c r="AE37" i="20"/>
  <c r="AE38" i="20"/>
  <c r="AA17" i="20"/>
  <c r="AG37" i="20"/>
  <c r="AG38" i="20"/>
  <c r="AF37" i="20"/>
  <c r="AF38" i="20"/>
  <c r="AB17" i="20"/>
  <c r="AF17" i="20"/>
  <c r="AC17" i="20"/>
  <c r="AG17" i="20"/>
  <c r="AD37" i="20"/>
  <c r="AD38" i="20"/>
  <c r="AD17" i="20"/>
  <c r="AH17" i="20"/>
  <c r="AH37" i="20"/>
  <c r="AI37" i="20"/>
  <c r="AH38" i="20"/>
  <c r="AI38" i="20"/>
  <c r="AE17" i="20"/>
  <c r="AI17" i="20"/>
  <c r="AI57" i="20" l="1"/>
  <c r="AH57" i="20"/>
  <c r="AG57" i="20"/>
  <c r="AF57" i="20"/>
  <c r="AE57" i="20"/>
  <c r="AD57" i="20"/>
  <c r="AC57" i="20"/>
  <c r="AB57" i="20"/>
  <c r="AA57" i="20"/>
  <c r="Z57" i="20"/>
  <c r="Y57" i="20"/>
  <c r="X57" i="20"/>
  <c r="AI52" i="20"/>
  <c r="AH52" i="20"/>
  <c r="AG52" i="20"/>
  <c r="AF52" i="20"/>
  <c r="AE52" i="20"/>
  <c r="AD52" i="20"/>
  <c r="AC52" i="20"/>
  <c r="AB52" i="20"/>
  <c r="AA52" i="20"/>
  <c r="Z52" i="20"/>
  <c r="Y52" i="20"/>
  <c r="AI51" i="20"/>
  <c r="AH51" i="20"/>
  <c r="AG51" i="20"/>
  <c r="AF51" i="20"/>
  <c r="AE51" i="20"/>
  <c r="AD51" i="20"/>
  <c r="AC51" i="20"/>
  <c r="AB51" i="20"/>
  <c r="AA51" i="20"/>
  <c r="Z51" i="20"/>
  <c r="Y51" i="20"/>
  <c r="AE49" i="20"/>
  <c r="AI49" i="20"/>
  <c r="AH49" i="20"/>
  <c r="AG49" i="20"/>
  <c r="AF49" i="20"/>
  <c r="AD49" i="20"/>
  <c r="AC49" i="20"/>
  <c r="AB49" i="20"/>
  <c r="AA49" i="20"/>
  <c r="Z49" i="20"/>
  <c r="Y49" i="20"/>
  <c r="X49" i="20"/>
  <c r="AI45" i="20"/>
  <c r="AH45" i="20"/>
  <c r="AG45" i="20"/>
  <c r="AF45" i="20"/>
  <c r="AE45" i="20"/>
  <c r="AD45" i="20"/>
  <c r="AC45" i="20"/>
  <c r="AB45" i="20"/>
  <c r="AA45" i="20"/>
  <c r="Z45" i="20"/>
  <c r="Y45" i="20"/>
  <c r="X45" i="20"/>
  <c r="AH43" i="20"/>
  <c r="AG43" i="20"/>
  <c r="AF43" i="20"/>
  <c r="AE43" i="20"/>
  <c r="AA43" i="20"/>
  <c r="Y43" i="20"/>
  <c r="X43" i="20"/>
  <c r="AA39" i="20"/>
  <c r="Y39" i="20"/>
  <c r="X39" i="20"/>
  <c r="AH39" i="20"/>
  <c r="AG39" i="20"/>
  <c r="AF39" i="20"/>
  <c r="AE39" i="20"/>
  <c r="AI43" i="20"/>
  <c r="AD43" i="20"/>
  <c r="AC43" i="20"/>
  <c r="AB43" i="20"/>
  <c r="Z43" i="20"/>
  <c r="I25" i="20"/>
  <c r="H25" i="20"/>
  <c r="G25" i="20"/>
  <c r="I22" i="20"/>
  <c r="H22" i="20"/>
  <c r="G22" i="20"/>
  <c r="F22" i="20"/>
  <c r="E22" i="20"/>
  <c r="D22" i="20"/>
  <c r="J22" i="20" s="1"/>
  <c r="C22" i="20"/>
  <c r="I21" i="20"/>
  <c r="H21" i="20"/>
  <c r="G21" i="20"/>
  <c r="F21" i="20"/>
  <c r="E21" i="20"/>
  <c r="D21" i="20"/>
  <c r="J21" i="20" s="1"/>
  <c r="C21" i="20"/>
  <c r="AF20" i="20"/>
  <c r="AF24" i="20" s="1"/>
  <c r="AA20" i="20"/>
  <c r="AA21" i="20" s="1"/>
  <c r="Z20" i="20"/>
  <c r="Z21" i="20" s="1"/>
  <c r="I20" i="20"/>
  <c r="H20" i="20"/>
  <c r="G20" i="20"/>
  <c r="F20" i="20"/>
  <c r="E20" i="20"/>
  <c r="D20" i="20"/>
  <c r="J20" i="20" s="1"/>
  <c r="I19" i="20"/>
  <c r="H19" i="20"/>
  <c r="G19" i="20"/>
  <c r="F19" i="20"/>
  <c r="E19" i="20"/>
  <c r="D19" i="20"/>
  <c r="J19" i="20" s="1"/>
  <c r="AI18" i="20"/>
  <c r="AH18" i="20"/>
  <c r="AG18" i="20"/>
  <c r="AF18" i="20"/>
  <c r="Z18" i="20"/>
  <c r="Y18" i="20"/>
  <c r="I18" i="20"/>
  <c r="H18" i="20"/>
  <c r="G18" i="20"/>
  <c r="F18" i="20"/>
  <c r="E18" i="20"/>
  <c r="D18" i="20"/>
  <c r="J18" i="20" s="1"/>
  <c r="C18" i="20"/>
  <c r="AI20" i="20"/>
  <c r="AH20" i="20"/>
  <c r="AG20" i="20"/>
  <c r="AE18" i="20"/>
  <c r="AD18" i="20"/>
  <c r="AC18" i="20"/>
  <c r="AB18" i="20"/>
  <c r="AA18" i="20"/>
  <c r="Y20" i="20"/>
  <c r="X20" i="20"/>
  <c r="J17" i="20"/>
  <c r="J16" i="20"/>
  <c r="AI15" i="20"/>
  <c r="AH15" i="20"/>
  <c r="AG15" i="20"/>
  <c r="AF15" i="20"/>
  <c r="AE15" i="20"/>
  <c r="AD15" i="20"/>
  <c r="AC15" i="20"/>
  <c r="AB15" i="20"/>
  <c r="Z15" i="20"/>
  <c r="Y15" i="20"/>
  <c r="X15" i="20"/>
  <c r="C15" i="20"/>
  <c r="C19" i="20" s="1"/>
  <c r="AA15" i="20"/>
  <c r="J14" i="20"/>
  <c r="AI12" i="20"/>
  <c r="AH12" i="20"/>
  <c r="AG12" i="20"/>
  <c r="AF12" i="20"/>
  <c r="AE12" i="20"/>
  <c r="AD12" i="20"/>
  <c r="AC12" i="20"/>
  <c r="AB12" i="20"/>
  <c r="AA12" i="20"/>
  <c r="Z12" i="20"/>
  <c r="Y12" i="20"/>
  <c r="X12" i="20"/>
  <c r="I12" i="20"/>
  <c r="H12" i="20"/>
  <c r="G12" i="20"/>
  <c r="F12" i="20"/>
  <c r="E12" i="20"/>
  <c r="D12" i="20"/>
  <c r="N11" i="20"/>
  <c r="I11" i="20"/>
  <c r="H11" i="20"/>
  <c r="G11" i="20"/>
  <c r="F11" i="20"/>
  <c r="E11" i="20"/>
  <c r="D11" i="20"/>
  <c r="J11" i="20" s="1"/>
  <c r="C11" i="20"/>
  <c r="N10" i="20"/>
  <c r="J10" i="20"/>
  <c r="AI9" i="20"/>
  <c r="AH9" i="20"/>
  <c r="AG9" i="20"/>
  <c r="AF9" i="20"/>
  <c r="AE9" i="20"/>
  <c r="AD9" i="20"/>
  <c r="AC9" i="20"/>
  <c r="AB9" i="20"/>
  <c r="AA9" i="20"/>
  <c r="Z9" i="20"/>
  <c r="Y9" i="20"/>
  <c r="N9" i="20"/>
  <c r="AI8" i="20"/>
  <c r="AH8" i="20"/>
  <c r="AG8" i="20"/>
  <c r="AF8" i="20"/>
  <c r="AE8" i="20"/>
  <c r="AD8" i="20"/>
  <c r="AC8" i="20"/>
  <c r="AB8" i="20"/>
  <c r="N8" i="20"/>
  <c r="I8" i="20"/>
  <c r="H8" i="20"/>
  <c r="G8" i="20"/>
  <c r="F8" i="20"/>
  <c r="E8" i="20"/>
  <c r="D8" i="20"/>
  <c r="J8" i="20" s="1"/>
  <c r="C8" i="20"/>
  <c r="N7" i="20"/>
  <c r="N6" i="20"/>
  <c r="I6" i="20"/>
  <c r="H6" i="20"/>
  <c r="G6" i="20"/>
  <c r="F6" i="20"/>
  <c r="E6" i="20"/>
  <c r="D6" i="20"/>
  <c r="J6" i="20" s="1"/>
  <c r="C6" i="20"/>
  <c r="AI5" i="20"/>
  <c r="AH5" i="20"/>
  <c r="AG5" i="20"/>
  <c r="AF5" i="20"/>
  <c r="AE5" i="20"/>
  <c r="AD5" i="20"/>
  <c r="AC5" i="20"/>
  <c r="AB5" i="20"/>
  <c r="AA5" i="20"/>
  <c r="Z5" i="20"/>
  <c r="Y5" i="20"/>
  <c r="N5" i="20"/>
  <c r="AI4" i="20"/>
  <c r="AH4" i="20"/>
  <c r="AG4" i="20"/>
  <c r="AF4" i="20"/>
  <c r="AE4" i="20"/>
  <c r="AD4" i="20"/>
  <c r="AC4" i="20"/>
  <c r="AB4" i="20"/>
  <c r="J4" i="20"/>
  <c r="I4" i="20"/>
  <c r="H4" i="20"/>
  <c r="G4" i="20"/>
  <c r="F4" i="20"/>
  <c r="E4" i="20"/>
  <c r="D4" i="20"/>
  <c r="N3" i="20"/>
  <c r="N2" i="20"/>
  <c r="T14" i="20" s="1"/>
  <c r="C20" i="20" l="1"/>
  <c r="Z24" i="20"/>
  <c r="J12" i="20"/>
  <c r="AI53" i="20"/>
  <c r="N13" i="20"/>
  <c r="Q13" i="20" s="1"/>
  <c r="Q14" i="20" s="1"/>
  <c r="Q2" i="20"/>
  <c r="AF21" i="20"/>
  <c r="AF28" i="20"/>
  <c r="AF35" i="20" s="1"/>
  <c r="O9" i="20"/>
  <c r="O10" i="20"/>
  <c r="AH53" i="20"/>
  <c r="S14" i="20"/>
  <c r="O11" i="20"/>
  <c r="Z53" i="20"/>
  <c r="AA53" i="20"/>
  <c r="AB53" i="20"/>
  <c r="AC53" i="20"/>
  <c r="AD53" i="20"/>
  <c r="AE53" i="20"/>
  <c r="AF53" i="20"/>
  <c r="AG53" i="20"/>
  <c r="Y53" i="20"/>
  <c r="X24" i="20"/>
  <c r="X21" i="20"/>
  <c r="X28" i="20"/>
  <c r="Y28" i="20"/>
  <c r="Y24" i="20"/>
  <c r="Y21" i="20"/>
  <c r="AI24" i="20"/>
  <c r="AI21" i="20"/>
  <c r="AI28" i="20"/>
  <c r="D18" i="44" s="1"/>
  <c r="AG24" i="20"/>
  <c r="AG28" i="20"/>
  <c r="AG21" i="20"/>
  <c r="AH24" i="20"/>
  <c r="AH28" i="20"/>
  <c r="AH21" i="20"/>
  <c r="AD20" i="20"/>
  <c r="X18" i="20"/>
  <c r="AE20" i="20"/>
  <c r="AA24" i="20"/>
  <c r="AI39" i="20"/>
  <c r="Z28" i="20"/>
  <c r="AB20" i="20"/>
  <c r="AC20" i="20"/>
  <c r="AA28" i="20"/>
  <c r="Z39" i="20"/>
  <c r="AB39" i="20"/>
  <c r="AC39" i="20"/>
  <c r="AD39" i="20"/>
  <c r="AJ63" i="7"/>
  <c r="AI63" i="7"/>
  <c r="AH63" i="7"/>
  <c r="AG63" i="7"/>
  <c r="AF63" i="7"/>
  <c r="AE63" i="7"/>
  <c r="AD63" i="7"/>
  <c r="AC63" i="7"/>
  <c r="AB63" i="7"/>
  <c r="AJ61" i="7"/>
  <c r="AI61" i="7"/>
  <c r="AH61" i="7"/>
  <c r="AG61" i="7"/>
  <c r="AF61" i="7"/>
  <c r="AE61" i="7"/>
  <c r="AD61" i="7"/>
  <c r="AC61" i="7"/>
  <c r="AB61" i="7"/>
  <c r="AJ65" i="7"/>
  <c r="AI65" i="7"/>
  <c r="AH65" i="7"/>
  <c r="AG65" i="7"/>
  <c r="AF65" i="7"/>
  <c r="AE65" i="7"/>
  <c r="AD65" i="7"/>
  <c r="AC65" i="7"/>
  <c r="AB65" i="7"/>
  <c r="AA65" i="7"/>
  <c r="Z65" i="7"/>
  <c r="Y65" i="7"/>
  <c r="X65" i="7"/>
  <c r="AF31" i="20" l="1"/>
  <c r="AJ32" i="20" s="1"/>
  <c r="AF29" i="20"/>
  <c r="N14" i="20"/>
  <c r="N20" i="20"/>
  <c r="Z31" i="20"/>
  <c r="Z29" i="20"/>
  <c r="Z35" i="20"/>
  <c r="AI35" i="20"/>
  <c r="AI31" i="20"/>
  <c r="AI29" i="20"/>
  <c r="AD21" i="20"/>
  <c r="AD28" i="20"/>
  <c r="AD24" i="20"/>
  <c r="AC21" i="20"/>
  <c r="AC28" i="20"/>
  <c r="AC24" i="20"/>
  <c r="AE28" i="20"/>
  <c r="AE24" i="20"/>
  <c r="AE21" i="20"/>
  <c r="AA35" i="20"/>
  <c r="AA31" i="20"/>
  <c r="AA29" i="20"/>
  <c r="Y29" i="20"/>
  <c r="Y31" i="20"/>
  <c r="Y35" i="20"/>
  <c r="X35" i="20"/>
  <c r="X31" i="20"/>
  <c r="X29" i="20"/>
  <c r="AG31" i="20"/>
  <c r="AK32" i="20" s="1"/>
  <c r="AG35" i="20"/>
  <c r="AG29" i="20"/>
  <c r="AH35" i="20"/>
  <c r="AH29" i="20"/>
  <c r="AH31" i="20"/>
  <c r="AB24" i="20"/>
  <c r="AB21" i="20"/>
  <c r="AB28" i="20"/>
  <c r="AB37" i="18"/>
  <c r="AB38" i="18"/>
  <c r="X20" i="18"/>
  <c r="X17" i="18"/>
  <c r="AJ33" i="20" l="1"/>
  <c r="AM32" i="20"/>
  <c r="AL32" i="20"/>
  <c r="F18" i="44"/>
  <c r="AA33" i="20"/>
  <c r="AD31" i="20"/>
  <c r="AD29" i="20"/>
  <c r="AD35" i="20"/>
  <c r="Y33" i="20"/>
  <c r="AH33" i="20"/>
  <c r="AB31" i="20"/>
  <c r="AB29" i="20"/>
  <c r="AB35" i="20"/>
  <c r="AO35" i="20" s="1"/>
  <c r="AI33" i="20"/>
  <c r="AC31" i="20"/>
  <c r="AC29" i="20"/>
  <c r="AC35" i="20"/>
  <c r="AG33" i="20"/>
  <c r="AE31" i="20"/>
  <c r="AI32" i="20" s="1"/>
  <c r="AE29" i="20"/>
  <c r="AE35" i="20"/>
  <c r="Z33" i="20"/>
  <c r="AO36" i="20" l="1"/>
  <c r="AO37" i="20" s="1"/>
  <c r="I18" i="44" s="1"/>
  <c r="H18" i="44"/>
  <c r="AD33" i="20"/>
  <c r="AD32" i="20"/>
  <c r="AC32" i="20"/>
  <c r="AC33" i="20"/>
  <c r="AB32" i="20"/>
  <c r="AB33" i="20"/>
  <c r="AF32" i="20"/>
  <c r="AE32" i="20"/>
  <c r="AE33" i="20"/>
  <c r="AF33" i="20"/>
  <c r="AH32" i="20"/>
  <c r="AG32" i="20"/>
  <c r="AC37" i="18" l="1"/>
  <c r="AC38" i="18"/>
  <c r="Y17" i="18"/>
  <c r="Y20" i="18" s="1"/>
  <c r="Z37" i="18"/>
  <c r="Z38" i="18"/>
  <c r="Z17" i="18"/>
  <c r="Z20" i="18" s="1"/>
  <c r="AE37" i="18" l="1"/>
  <c r="AE38" i="18"/>
  <c r="AA14" i="18"/>
  <c r="AA17" i="18"/>
  <c r="AA20" i="18" l="1"/>
  <c r="AF37" i="18"/>
  <c r="AF38" i="18"/>
  <c r="AB17" i="18"/>
  <c r="AB20" i="18" s="1"/>
  <c r="AF17" i="18"/>
  <c r="AF20" i="18" s="1"/>
  <c r="AG37" i="18"/>
  <c r="AG38" i="18"/>
  <c r="AC17" i="18"/>
  <c r="AC18" i="18" s="1"/>
  <c r="AG17" i="18"/>
  <c r="AG18" i="18" s="1"/>
  <c r="AD37" i="18"/>
  <c r="AD43" i="18" s="1"/>
  <c r="AD38" i="18"/>
  <c r="AD17" i="18"/>
  <c r="AD18" i="18" s="1"/>
  <c r="AH17" i="18"/>
  <c r="AH20" i="18" s="1"/>
  <c r="AH21" i="18" s="1"/>
  <c r="AH38" i="18"/>
  <c r="AI38" i="18"/>
  <c r="AH43" i="18"/>
  <c r="AI43" i="18"/>
  <c r="AG49" i="18"/>
  <c r="AA49" i="18"/>
  <c r="Z49" i="18"/>
  <c r="Y49" i="18"/>
  <c r="X49" i="18"/>
  <c r="AE17" i="18"/>
  <c r="AE18" i="18" s="1"/>
  <c r="AI17" i="18"/>
  <c r="AI20" i="18" s="1"/>
  <c r="AI28" i="18" s="1"/>
  <c r="AI76" i="18"/>
  <c r="AH76" i="18"/>
  <c r="AG76" i="18"/>
  <c r="AF76" i="18"/>
  <c r="AE76" i="18"/>
  <c r="AD76" i="18"/>
  <c r="AC76" i="18"/>
  <c r="AB76" i="18"/>
  <c r="AA76" i="18"/>
  <c r="Z76" i="18"/>
  <c r="AI74" i="18"/>
  <c r="AH74" i="18"/>
  <c r="AG74" i="18"/>
  <c r="AF74" i="18"/>
  <c r="AE74" i="18"/>
  <c r="AD74" i="18"/>
  <c r="AC74" i="18"/>
  <c r="AB74" i="18"/>
  <c r="AA74" i="18"/>
  <c r="Z74" i="18"/>
  <c r="AI72" i="18"/>
  <c r="AH72" i="18"/>
  <c r="AG72" i="18"/>
  <c r="AF72" i="18"/>
  <c r="AE72" i="18"/>
  <c r="AD72" i="18"/>
  <c r="AC72" i="18"/>
  <c r="AB72" i="18"/>
  <c r="AA72" i="18"/>
  <c r="AI71" i="18"/>
  <c r="AH71" i="18"/>
  <c r="AG71" i="18"/>
  <c r="AF71" i="18"/>
  <c r="AE71" i="18"/>
  <c r="AD71" i="18"/>
  <c r="AI67" i="18"/>
  <c r="AH67" i="18"/>
  <c r="AG67" i="18"/>
  <c r="AF67" i="18"/>
  <c r="AE67" i="18"/>
  <c r="AD67" i="18"/>
  <c r="AC67" i="18"/>
  <c r="AB67" i="18"/>
  <c r="AA67" i="18"/>
  <c r="Z67" i="18"/>
  <c r="AI65" i="18"/>
  <c r="AH65" i="18"/>
  <c r="AG65" i="18"/>
  <c r="AF65" i="18"/>
  <c r="AE65" i="18"/>
  <c r="AD65" i="18"/>
  <c r="AC65" i="18"/>
  <c r="AB65" i="18"/>
  <c r="AA65" i="18"/>
  <c r="Z65" i="18"/>
  <c r="AI63" i="18"/>
  <c r="AH63" i="18"/>
  <c r="AG63" i="18"/>
  <c r="AF63" i="18"/>
  <c r="AE63" i="18"/>
  <c r="AD63" i="18"/>
  <c r="AC63" i="18"/>
  <c r="AB63" i="18"/>
  <c r="AA63" i="18"/>
  <c r="AI62" i="18"/>
  <c r="AH62" i="18"/>
  <c r="AG62" i="18"/>
  <c r="AF62" i="18"/>
  <c r="AE62" i="18"/>
  <c r="AI57" i="18"/>
  <c r="AH57" i="18"/>
  <c r="AG57" i="18"/>
  <c r="AF57" i="18"/>
  <c r="AE57" i="18"/>
  <c r="AD57" i="18"/>
  <c r="AC57" i="18"/>
  <c r="AB57" i="18"/>
  <c r="AA57" i="18"/>
  <c r="Z57" i="18"/>
  <c r="Y57" i="18"/>
  <c r="X57" i="18"/>
  <c r="AI52" i="18"/>
  <c r="AH52" i="18"/>
  <c r="AG52" i="18"/>
  <c r="AF52" i="18"/>
  <c r="AE52" i="18"/>
  <c r="AD52" i="18"/>
  <c r="AC52" i="18"/>
  <c r="AB52" i="18"/>
  <c r="AA52" i="18"/>
  <c r="Z52" i="18"/>
  <c r="Y52" i="18"/>
  <c r="AI51" i="18"/>
  <c r="AH51" i="18"/>
  <c r="AG51" i="18"/>
  <c r="AF51" i="18"/>
  <c r="AE51" i="18"/>
  <c r="AD51" i="18"/>
  <c r="AC51" i="18"/>
  <c r="AB51" i="18"/>
  <c r="AA51" i="18"/>
  <c r="Z51" i="18"/>
  <c r="Y51" i="18"/>
  <c r="AI49" i="18"/>
  <c r="AH49" i="18"/>
  <c r="AF49" i="18"/>
  <c r="AE49" i="18"/>
  <c r="AD49" i="18"/>
  <c r="AC49" i="18"/>
  <c r="AB49" i="18"/>
  <c r="AI45" i="18"/>
  <c r="AH45" i="18"/>
  <c r="AG45" i="18"/>
  <c r="AF45" i="18"/>
  <c r="AE45" i="18"/>
  <c r="AD45" i="18"/>
  <c r="AC45" i="18"/>
  <c r="AB45" i="18"/>
  <c r="AA45" i="18"/>
  <c r="Z45" i="18"/>
  <c r="Y45" i="18"/>
  <c r="X45" i="18"/>
  <c r="AG43" i="18"/>
  <c r="AF43" i="18"/>
  <c r="AA43" i="18"/>
  <c r="Z43" i="18"/>
  <c r="Y43" i="18"/>
  <c r="X43" i="18"/>
  <c r="AA39" i="18"/>
  <c r="Z39" i="18"/>
  <c r="Y39" i="18"/>
  <c r="X39" i="18"/>
  <c r="AF39" i="18"/>
  <c r="AE43" i="18"/>
  <c r="AC43" i="18"/>
  <c r="AB43" i="18"/>
  <c r="AA28" i="18"/>
  <c r="AA31" i="18" s="1"/>
  <c r="Z28" i="18"/>
  <c r="Z35" i="18" s="1"/>
  <c r="Y28" i="18"/>
  <c r="Y35" i="18" s="1"/>
  <c r="X28" i="18"/>
  <c r="X35" i="18" s="1"/>
  <c r="I25" i="18"/>
  <c r="H25" i="18"/>
  <c r="G25" i="18"/>
  <c r="AA24" i="18"/>
  <c r="Z24" i="18"/>
  <c r="Y24" i="18"/>
  <c r="X24" i="18"/>
  <c r="I22" i="18"/>
  <c r="H22" i="18"/>
  <c r="G22" i="18"/>
  <c r="F22" i="18"/>
  <c r="E22" i="18"/>
  <c r="D22" i="18"/>
  <c r="J22" i="18" s="1"/>
  <c r="C22" i="18"/>
  <c r="AA21" i="18"/>
  <c r="Z21" i="18"/>
  <c r="Y21" i="18"/>
  <c r="X21" i="18"/>
  <c r="I21" i="18"/>
  <c r="H21" i="18"/>
  <c r="G21" i="18"/>
  <c r="F21" i="18"/>
  <c r="E21" i="18"/>
  <c r="D21" i="18"/>
  <c r="J21" i="18" s="1"/>
  <c r="C21" i="18"/>
  <c r="I20" i="18"/>
  <c r="H20" i="18"/>
  <c r="G20" i="18"/>
  <c r="F20" i="18"/>
  <c r="E20" i="18"/>
  <c r="D20" i="18"/>
  <c r="J20" i="18" s="1"/>
  <c r="I19" i="18"/>
  <c r="H19" i="18"/>
  <c r="G19" i="18"/>
  <c r="F19" i="18"/>
  <c r="E19" i="18"/>
  <c r="D19" i="18"/>
  <c r="J19" i="18" s="1"/>
  <c r="AF18" i="18"/>
  <c r="AB18" i="18"/>
  <c r="AA18" i="18"/>
  <c r="Z18" i="18"/>
  <c r="Y18" i="18"/>
  <c r="X18" i="18"/>
  <c r="I18" i="18"/>
  <c r="H18" i="18"/>
  <c r="G18" i="18"/>
  <c r="F18" i="18"/>
  <c r="E18" i="18"/>
  <c r="D18" i="18"/>
  <c r="C18" i="18"/>
  <c r="J17" i="18"/>
  <c r="J16" i="18"/>
  <c r="AI15" i="18"/>
  <c r="AH15" i="18"/>
  <c r="AG15" i="18"/>
  <c r="AF15" i="18"/>
  <c r="AE15" i="18"/>
  <c r="AD15" i="18"/>
  <c r="AC15" i="18"/>
  <c r="AB15" i="18"/>
  <c r="AA15" i="18"/>
  <c r="Z15" i="18"/>
  <c r="Y15" i="18"/>
  <c r="X15" i="18"/>
  <c r="C15" i="18"/>
  <c r="C19" i="18" s="1"/>
  <c r="J14" i="18"/>
  <c r="AI12" i="18"/>
  <c r="AH12" i="18"/>
  <c r="AG12" i="18"/>
  <c r="AF12" i="18"/>
  <c r="AE12" i="18"/>
  <c r="AD12" i="18"/>
  <c r="AC12" i="18"/>
  <c r="AB12" i="18"/>
  <c r="AA12" i="18"/>
  <c r="Z12" i="18"/>
  <c r="Y12" i="18"/>
  <c r="X12" i="18"/>
  <c r="I12" i="18"/>
  <c r="H12" i="18"/>
  <c r="G12" i="18"/>
  <c r="F12" i="18"/>
  <c r="E12" i="18"/>
  <c r="D12" i="18"/>
  <c r="N11" i="18"/>
  <c r="I11" i="18"/>
  <c r="H11" i="18"/>
  <c r="G11" i="18"/>
  <c r="F11" i="18"/>
  <c r="E11" i="18"/>
  <c r="D11" i="18"/>
  <c r="J11" i="18" s="1"/>
  <c r="C11" i="18"/>
  <c r="N10" i="18"/>
  <c r="J10" i="18"/>
  <c r="AI9" i="18"/>
  <c r="AH9" i="18"/>
  <c r="AG9" i="18"/>
  <c r="AF9" i="18"/>
  <c r="AE9" i="18"/>
  <c r="AD9" i="18"/>
  <c r="AC9" i="18"/>
  <c r="AB9" i="18"/>
  <c r="AA9" i="18"/>
  <c r="Z9" i="18"/>
  <c r="Y9" i="18"/>
  <c r="N9" i="18"/>
  <c r="AI8" i="18"/>
  <c r="AH8" i="18"/>
  <c r="AG8" i="18"/>
  <c r="AF8" i="18"/>
  <c r="AE8" i="18"/>
  <c r="AD8" i="18"/>
  <c r="AC8" i="18"/>
  <c r="AB8" i="18"/>
  <c r="N8" i="18"/>
  <c r="I8" i="18"/>
  <c r="H8" i="18"/>
  <c r="G8" i="18"/>
  <c r="F8" i="18"/>
  <c r="E8" i="18"/>
  <c r="D8" i="18"/>
  <c r="J8" i="18" s="1"/>
  <c r="C8" i="18"/>
  <c r="N7" i="18"/>
  <c r="N6" i="18"/>
  <c r="I6" i="18"/>
  <c r="H6" i="18"/>
  <c r="G6" i="18"/>
  <c r="F6" i="18"/>
  <c r="E6" i="18"/>
  <c r="D6" i="18"/>
  <c r="J6" i="18" s="1"/>
  <c r="C6" i="18"/>
  <c r="AI5" i="18"/>
  <c r="AH5" i="18"/>
  <c r="AG5" i="18"/>
  <c r="AF5" i="18"/>
  <c r="AE5" i="18"/>
  <c r="AD5" i="18"/>
  <c r="AC5" i="18"/>
  <c r="AB5" i="18"/>
  <c r="AA5" i="18"/>
  <c r="Z5" i="18"/>
  <c r="Y5" i="18"/>
  <c r="N5" i="18"/>
  <c r="AI4" i="18"/>
  <c r="AH4" i="18"/>
  <c r="AG4" i="18"/>
  <c r="AF4" i="18"/>
  <c r="AE4" i="18"/>
  <c r="AD4" i="18"/>
  <c r="AC4" i="18"/>
  <c r="AB4" i="18"/>
  <c r="J4" i="18"/>
  <c r="I4" i="18"/>
  <c r="H4" i="18"/>
  <c r="G4" i="18"/>
  <c r="F4" i="18"/>
  <c r="E4" i="18"/>
  <c r="D4" i="18"/>
  <c r="N3" i="18"/>
  <c r="N2" i="18"/>
  <c r="T14" i="18" s="1"/>
  <c r="AI18" i="18" l="1"/>
  <c r="J12" i="18"/>
  <c r="AI31" i="18"/>
  <c r="D11" i="44"/>
  <c r="O10" i="18"/>
  <c r="F11" i="44"/>
  <c r="AH18" i="18"/>
  <c r="AE20" i="18"/>
  <c r="AE21" i="18" s="1"/>
  <c r="AD20" i="18"/>
  <c r="AD28" i="18" s="1"/>
  <c r="AD31" i="18" s="1"/>
  <c r="AC53" i="18"/>
  <c r="AC20" i="18"/>
  <c r="AC24" i="18" s="1"/>
  <c r="AE53" i="18"/>
  <c r="AF53" i="18"/>
  <c r="AI39" i="18"/>
  <c r="J18" i="18"/>
  <c r="AF28" i="18"/>
  <c r="AF35" i="18" s="1"/>
  <c r="AF24" i="18"/>
  <c r="AF21" i="18"/>
  <c r="AB21" i="18"/>
  <c r="AB24" i="18"/>
  <c r="AB28" i="18"/>
  <c r="AB31" i="18" s="1"/>
  <c r="AG20" i="18"/>
  <c r="AG24" i="18" s="1"/>
  <c r="AH39" i="18"/>
  <c r="Q2" i="18"/>
  <c r="AI21" i="18"/>
  <c r="C20" i="18"/>
  <c r="AG53" i="18"/>
  <c r="O9" i="18"/>
  <c r="N13" i="18"/>
  <c r="N20" i="18" s="1"/>
  <c r="O11" i="18"/>
  <c r="Y53" i="18"/>
  <c r="Z53" i="18"/>
  <c r="AA53" i="18"/>
  <c r="AB53" i="18"/>
  <c r="AA35" i="18"/>
  <c r="AG39" i="18"/>
  <c r="AD53" i="18"/>
  <c r="AH53" i="18"/>
  <c r="AH24" i="18"/>
  <c r="AH28" i="18"/>
  <c r="AH35" i="18" s="1"/>
  <c r="AI53" i="18"/>
  <c r="X31" i="18"/>
  <c r="Y31" i="18"/>
  <c r="Z31" i="18"/>
  <c r="AI24" i="18"/>
  <c r="AI35" i="18"/>
  <c r="AE39" i="18"/>
  <c r="AF31" i="18"/>
  <c r="AJ32" i="18" s="1"/>
  <c r="S14" i="18"/>
  <c r="AI29" i="18"/>
  <c r="X29" i="18"/>
  <c r="Y29" i="18"/>
  <c r="Z29" i="18"/>
  <c r="AA29" i="18"/>
  <c r="AB39" i="18"/>
  <c r="AC39" i="18"/>
  <c r="AD39" i="18"/>
  <c r="AJ33" i="18" l="1"/>
  <c r="AE28" i="18"/>
  <c r="AE29" i="18" s="1"/>
  <c r="AE24" i="18"/>
  <c r="AD24" i="18"/>
  <c r="AD21" i="18"/>
  <c r="AB35" i="18"/>
  <c r="AD35" i="18"/>
  <c r="AD29" i="18"/>
  <c r="AC21" i="18"/>
  <c r="AC28" i="18"/>
  <c r="AF29" i="18"/>
  <c r="AC35" i="18"/>
  <c r="Q13" i="18"/>
  <c r="Q14" i="18" s="1"/>
  <c r="N14" i="18"/>
  <c r="Z33" i="18"/>
  <c r="AB32" i="18"/>
  <c r="AB33" i="18"/>
  <c r="AD32" i="18"/>
  <c r="AE31" i="18"/>
  <c r="AI32" i="18" s="1"/>
  <c r="AB29" i="18"/>
  <c r="AG28" i="18"/>
  <c r="AG35" i="18" s="1"/>
  <c r="AG21" i="18"/>
  <c r="Y33" i="18"/>
  <c r="AH31" i="18"/>
  <c r="AH29" i="18"/>
  <c r="AE35" i="18"/>
  <c r="AA33" i="18"/>
  <c r="AF32" i="18"/>
  <c r="AE32" i="18"/>
  <c r="AN35" i="18" l="1"/>
  <c r="AN36" i="18"/>
  <c r="AN37" i="18" s="1"/>
  <c r="I11" i="44" s="1"/>
  <c r="AI33" i="18"/>
  <c r="AL32" i="18"/>
  <c r="AC31" i="18"/>
  <c r="AC29" i="18"/>
  <c r="H11" i="44"/>
  <c r="AF33" i="18"/>
  <c r="AG29" i="18"/>
  <c r="AG31" i="18"/>
  <c r="AG33" i="18" s="1"/>
  <c r="AE33" i="18"/>
  <c r="AH32" i="18"/>
  <c r="AK32" i="18" l="1"/>
  <c r="AG32" i="18"/>
  <c r="AC33" i="18"/>
  <c r="AD33" i="18"/>
  <c r="AC32" i="18"/>
  <c r="AH33" i="18"/>
  <c r="AB37" i="15"/>
  <c r="AF37" i="15"/>
  <c r="AB38" i="15"/>
  <c r="AF38" i="15"/>
  <c r="AC37" i="15"/>
  <c r="AG37" i="15"/>
  <c r="AC38" i="15"/>
  <c r="AG38" i="15"/>
  <c r="AD37" i="15"/>
  <c r="AD42" i="15" s="1"/>
  <c r="AD38" i="15"/>
  <c r="AH38" i="15"/>
  <c r="AH37" i="15"/>
  <c r="AH42" i="15" s="1"/>
  <c r="AE38" i="15"/>
  <c r="AE37" i="15"/>
  <c r="AI39" i="15"/>
  <c r="AH28" i="15"/>
  <c r="AG28" i="15"/>
  <c r="AF28" i="15"/>
  <c r="AE28" i="15"/>
  <c r="AE31" i="15" s="1"/>
  <c r="AD28" i="15"/>
  <c r="AD29" i="15" s="1"/>
  <c r="AC28" i="15"/>
  <c r="AB28" i="15"/>
  <c r="AB35" i="15" s="1"/>
  <c r="AA28" i="15"/>
  <c r="AA35" i="15" s="1"/>
  <c r="Z28" i="15"/>
  <c r="Z29" i="15" s="1"/>
  <c r="Y28" i="15"/>
  <c r="Y31" i="15" s="1"/>
  <c r="X28" i="15"/>
  <c r="X35" i="15" s="1"/>
  <c r="D6" i="44"/>
  <c r="Y18" i="15"/>
  <c r="Z15" i="15"/>
  <c r="AA15" i="15"/>
  <c r="AB18" i="15"/>
  <c r="AC18" i="15"/>
  <c r="AD18" i="15"/>
  <c r="AE18" i="15"/>
  <c r="AF18" i="15"/>
  <c r="AG18" i="15"/>
  <c r="AH18" i="15"/>
  <c r="AI18" i="15"/>
  <c r="AI75" i="15"/>
  <c r="AH75" i="15"/>
  <c r="AG75" i="15"/>
  <c r="AE75" i="15"/>
  <c r="AD75" i="15"/>
  <c r="AC75" i="15"/>
  <c r="AA75" i="15"/>
  <c r="Z75" i="15"/>
  <c r="AF75" i="15"/>
  <c r="AB75" i="15"/>
  <c r="AI73" i="15"/>
  <c r="AH73" i="15"/>
  <c r="AG73" i="15"/>
  <c r="AF73" i="15"/>
  <c r="AE73" i="15"/>
  <c r="AD73" i="15"/>
  <c r="AC73" i="15"/>
  <c r="AB73" i="15"/>
  <c r="AA73" i="15"/>
  <c r="Z73" i="15"/>
  <c r="AI71" i="15"/>
  <c r="AH71" i="15"/>
  <c r="AG71" i="15"/>
  <c r="AF71" i="15"/>
  <c r="AE71" i="15"/>
  <c r="AD71" i="15"/>
  <c r="AC71" i="15"/>
  <c r="AB71" i="15"/>
  <c r="AA71" i="15"/>
  <c r="AI70" i="15"/>
  <c r="AH70" i="15"/>
  <c r="AG70" i="15"/>
  <c r="AF70" i="15"/>
  <c r="AE70" i="15"/>
  <c r="AD70" i="15"/>
  <c r="AI66" i="15"/>
  <c r="AH66" i="15"/>
  <c r="AG66" i="15"/>
  <c r="AE66" i="15"/>
  <c r="AD66" i="15"/>
  <c r="AC66" i="15"/>
  <c r="AB66" i="15"/>
  <c r="AA66" i="15"/>
  <c r="Z66" i="15"/>
  <c r="AF66" i="15"/>
  <c r="AI64" i="15"/>
  <c r="AH64" i="15"/>
  <c r="AG64" i="15"/>
  <c r="AF64" i="15"/>
  <c r="AE64" i="15"/>
  <c r="AD64" i="15"/>
  <c r="AC64" i="15"/>
  <c r="AB64" i="15"/>
  <c r="AA64" i="15"/>
  <c r="Z64" i="15"/>
  <c r="AI62" i="15"/>
  <c r="AH62" i="15"/>
  <c r="AG62" i="15"/>
  <c r="AF62" i="15"/>
  <c r="AE62" i="15"/>
  <c r="AD62" i="15"/>
  <c r="AC62" i="15"/>
  <c r="AB62" i="15"/>
  <c r="AA62" i="15"/>
  <c r="AI61" i="15"/>
  <c r="AH61" i="15"/>
  <c r="AG61" i="15"/>
  <c r="AF61" i="15"/>
  <c r="AE61" i="15"/>
  <c r="AD61" i="15"/>
  <c r="AI56" i="15"/>
  <c r="AH56" i="15"/>
  <c r="AG56" i="15"/>
  <c r="AF56" i="15"/>
  <c r="AE56" i="15"/>
  <c r="AD56" i="15"/>
  <c r="AC56" i="15"/>
  <c r="AB56" i="15"/>
  <c r="AA56" i="15"/>
  <c r="Z56" i="15"/>
  <c r="Y56" i="15"/>
  <c r="X56" i="15"/>
  <c r="AI51" i="15"/>
  <c r="AH51" i="15"/>
  <c r="AG51" i="15"/>
  <c r="AF51" i="15"/>
  <c r="AE51" i="15"/>
  <c r="AD51" i="15"/>
  <c r="AC51" i="15"/>
  <c r="AB51" i="15"/>
  <c r="AA51" i="15"/>
  <c r="Z51" i="15"/>
  <c r="Y51" i="15"/>
  <c r="AI50" i="15"/>
  <c r="AH50" i="15"/>
  <c r="AG50" i="15"/>
  <c r="AF50" i="15"/>
  <c r="AE50" i="15"/>
  <c r="AD50" i="15"/>
  <c r="AC50" i="15"/>
  <c r="AB50" i="15"/>
  <c r="AA50" i="15"/>
  <c r="Z50" i="15"/>
  <c r="Y50" i="15"/>
  <c r="AI48" i="15"/>
  <c r="AH48" i="15"/>
  <c r="AG48" i="15"/>
  <c r="AF48" i="15"/>
  <c r="AE48" i="15"/>
  <c r="AD48" i="15"/>
  <c r="AC48" i="15"/>
  <c r="AB48" i="15"/>
  <c r="AA48" i="15"/>
  <c r="Z48" i="15"/>
  <c r="Y48" i="15"/>
  <c r="X48" i="15"/>
  <c r="AC42" i="15"/>
  <c r="AB42" i="15"/>
  <c r="AA42" i="15"/>
  <c r="Z42" i="15"/>
  <c r="Y42" i="15"/>
  <c r="X42" i="15"/>
  <c r="AC39" i="15"/>
  <c r="AB39" i="15"/>
  <c r="AA39" i="15"/>
  <c r="Z39" i="15"/>
  <c r="Y39" i="15"/>
  <c r="X39" i="15"/>
  <c r="AG42" i="15"/>
  <c r="AE42" i="15"/>
  <c r="AF31" i="15"/>
  <c r="AJ32" i="15" s="1"/>
  <c r="X31" i="15"/>
  <c r="I25" i="15"/>
  <c r="H25" i="15"/>
  <c r="G25" i="15"/>
  <c r="AF24" i="15"/>
  <c r="AE24" i="15"/>
  <c r="AD24" i="15"/>
  <c r="AC24" i="15"/>
  <c r="AB24" i="15"/>
  <c r="AA24" i="15"/>
  <c r="Z24" i="15"/>
  <c r="Y24" i="15"/>
  <c r="X24" i="15"/>
  <c r="I22" i="15"/>
  <c r="H22" i="15"/>
  <c r="G22" i="15"/>
  <c r="F22" i="15"/>
  <c r="E22" i="15"/>
  <c r="D22" i="15"/>
  <c r="J22" i="15" s="1"/>
  <c r="C22" i="15"/>
  <c r="AI21" i="15"/>
  <c r="AH21" i="15"/>
  <c r="AG21" i="15"/>
  <c r="AF21" i="15"/>
  <c r="AE21" i="15"/>
  <c r="AD21" i="15"/>
  <c r="AC21" i="15"/>
  <c r="AB21" i="15"/>
  <c r="AA21" i="15"/>
  <c r="Z21" i="15"/>
  <c r="Y21" i="15"/>
  <c r="X21" i="15"/>
  <c r="I21" i="15"/>
  <c r="H21" i="15"/>
  <c r="G21" i="15"/>
  <c r="F21" i="15"/>
  <c r="E21" i="15"/>
  <c r="D21" i="15"/>
  <c r="J21" i="15" s="1"/>
  <c r="C21" i="15"/>
  <c r="I20" i="15"/>
  <c r="H20" i="15"/>
  <c r="G20" i="15"/>
  <c r="F20" i="15"/>
  <c r="E20" i="15"/>
  <c r="D20" i="15"/>
  <c r="J20" i="15" s="1"/>
  <c r="I19" i="15"/>
  <c r="H19" i="15"/>
  <c r="G19" i="15"/>
  <c r="F19" i="15"/>
  <c r="E19" i="15"/>
  <c r="D19" i="15"/>
  <c r="J19" i="15" s="1"/>
  <c r="I18" i="15"/>
  <c r="H18" i="15"/>
  <c r="G18" i="15"/>
  <c r="F18" i="15"/>
  <c r="E18" i="15"/>
  <c r="D18" i="15"/>
  <c r="C18" i="15"/>
  <c r="AA18" i="15"/>
  <c r="J17" i="15"/>
  <c r="J16" i="15"/>
  <c r="C15" i="15"/>
  <c r="C19" i="15" s="1"/>
  <c r="X18" i="15"/>
  <c r="J14" i="15"/>
  <c r="AI12" i="15"/>
  <c r="AH12" i="15"/>
  <c r="AG12" i="15"/>
  <c r="AF12" i="15"/>
  <c r="AE12" i="15"/>
  <c r="AD12" i="15"/>
  <c r="AC12" i="15"/>
  <c r="AB12" i="15"/>
  <c r="AA12" i="15"/>
  <c r="Z12" i="15"/>
  <c r="Y12" i="15"/>
  <c r="X12" i="15"/>
  <c r="I12" i="15"/>
  <c r="H12" i="15"/>
  <c r="G12" i="15"/>
  <c r="F12" i="15"/>
  <c r="E12" i="15"/>
  <c r="D12" i="15"/>
  <c r="N11" i="15"/>
  <c r="O11" i="15" s="1"/>
  <c r="I11" i="15"/>
  <c r="H11" i="15"/>
  <c r="G11" i="15"/>
  <c r="F11" i="15"/>
  <c r="E11" i="15"/>
  <c r="D11" i="15"/>
  <c r="J11" i="15" s="1"/>
  <c r="C11" i="15"/>
  <c r="N10" i="15"/>
  <c r="J10" i="15"/>
  <c r="AA9" i="15"/>
  <c r="Z9" i="15"/>
  <c r="Y9" i="15"/>
  <c r="N9" i="15"/>
  <c r="N8" i="15"/>
  <c r="I8" i="15"/>
  <c r="H8" i="15"/>
  <c r="G8" i="15"/>
  <c r="F8" i="15"/>
  <c r="E8" i="15"/>
  <c r="D8" i="15"/>
  <c r="J8" i="15" s="1"/>
  <c r="C8" i="15"/>
  <c r="N7" i="15"/>
  <c r="N6" i="15"/>
  <c r="I6" i="15"/>
  <c r="H6" i="15"/>
  <c r="G6" i="15"/>
  <c r="F6" i="15"/>
  <c r="E6" i="15"/>
  <c r="D6" i="15"/>
  <c r="J6" i="15" s="1"/>
  <c r="C6" i="15"/>
  <c r="AI5" i="15"/>
  <c r="AH5" i="15"/>
  <c r="AG5" i="15"/>
  <c r="AF5" i="15"/>
  <c r="AE5" i="15"/>
  <c r="AD5" i="15"/>
  <c r="AC5" i="15"/>
  <c r="AB5" i="15"/>
  <c r="AA5" i="15"/>
  <c r="Z5" i="15"/>
  <c r="Y5" i="15"/>
  <c r="N5" i="15"/>
  <c r="AI4" i="15"/>
  <c r="AH4" i="15"/>
  <c r="AG4" i="15"/>
  <c r="AF4" i="15"/>
  <c r="AE4" i="15"/>
  <c r="AD4" i="15"/>
  <c r="AC4" i="15"/>
  <c r="AB4" i="15"/>
  <c r="J4" i="15"/>
  <c r="I4" i="15"/>
  <c r="H4" i="15"/>
  <c r="G4" i="15"/>
  <c r="F4" i="15"/>
  <c r="E4" i="15"/>
  <c r="D4" i="15"/>
  <c r="N3" i="15"/>
  <c r="N2" i="15"/>
  <c r="T14" i="15" s="1"/>
  <c r="J12" i="15" l="1"/>
  <c r="AI42" i="15"/>
  <c r="AA52" i="15"/>
  <c r="AB52" i="15"/>
  <c r="AI52" i="15"/>
  <c r="AF39" i="15"/>
  <c r="Z52" i="15"/>
  <c r="J18" i="15"/>
  <c r="AC52" i="15"/>
  <c r="O10" i="15"/>
  <c r="C20" i="15"/>
  <c r="AE52" i="15"/>
  <c r="AF52" i="15"/>
  <c r="N13" i="15"/>
  <c r="N20" i="15" s="1"/>
  <c r="AH52" i="15"/>
  <c r="O9" i="15"/>
  <c r="AD52" i="15"/>
  <c r="AG52" i="15"/>
  <c r="Y52" i="15"/>
  <c r="AE35" i="15"/>
  <c r="AD35" i="15"/>
  <c r="AF35" i="15"/>
  <c r="AC15" i="15"/>
  <c r="AF33" i="15"/>
  <c r="AC35" i="15"/>
  <c r="AC29" i="15"/>
  <c r="AC31" i="15"/>
  <c r="Q2" i="15"/>
  <c r="Y33" i="15"/>
  <c r="AG29" i="15"/>
  <c r="AG31" i="15"/>
  <c r="AK32" i="15" s="1"/>
  <c r="AG35" i="15"/>
  <c r="AH31" i="15"/>
  <c r="AH29" i="15"/>
  <c r="AH35" i="15"/>
  <c r="AI31" i="15"/>
  <c r="AI35" i="15"/>
  <c r="Y29" i="15"/>
  <c r="Z31" i="15"/>
  <c r="Z33" i="15" s="1"/>
  <c r="AE15" i="15"/>
  <c r="AA29" i="15"/>
  <c r="AA31" i="15"/>
  <c r="AF15" i="15"/>
  <c r="AB29" i="15"/>
  <c r="AB31" i="15"/>
  <c r="S14" i="15"/>
  <c r="AG15" i="15"/>
  <c r="AH15" i="15"/>
  <c r="AD31" i="15"/>
  <c r="X15" i="15"/>
  <c r="AI24" i="15"/>
  <c r="AF29" i="15"/>
  <c r="Y35" i="15"/>
  <c r="AD39" i="15"/>
  <c r="Z35" i="15"/>
  <c r="AE39" i="15"/>
  <c r="Z18" i="15"/>
  <c r="AF42" i="15"/>
  <c r="AG24" i="15"/>
  <c r="AI15" i="15"/>
  <c r="AH24" i="15"/>
  <c r="AE29" i="15"/>
  <c r="Y15" i="15"/>
  <c r="AG39" i="15"/>
  <c r="AD15" i="15"/>
  <c r="AB15" i="15"/>
  <c r="X29" i="15"/>
  <c r="AH39" i="15"/>
  <c r="AJ33" i="15" l="1"/>
  <c r="F6" i="44"/>
  <c r="AN35" i="15"/>
  <c r="H6" i="44" s="1"/>
  <c r="AL32" i="15"/>
  <c r="I6" i="44"/>
  <c r="N14" i="15"/>
  <c r="Q13" i="15"/>
  <c r="Q14" i="15" s="1"/>
  <c r="AG32" i="15"/>
  <c r="AG33" i="15"/>
  <c r="AC33" i="15"/>
  <c r="AC32" i="15"/>
  <c r="AB32" i="15"/>
  <c r="AB33" i="15"/>
  <c r="AH32" i="15"/>
  <c r="AH33" i="15"/>
  <c r="AF32" i="15"/>
  <c r="AD33" i="15"/>
  <c r="AD32" i="15"/>
  <c r="AI32" i="15"/>
  <c r="AI33" i="15"/>
  <c r="AA33" i="15"/>
  <c r="AE32" i="15"/>
  <c r="AE33" i="15"/>
  <c r="AC38" i="14" l="1"/>
  <c r="Y17" i="14"/>
  <c r="Y20" i="14" s="1"/>
  <c r="Z38" i="14"/>
  <c r="Z43" i="14" s="1"/>
  <c r="Z17" i="14"/>
  <c r="Z20" i="14" s="1"/>
  <c r="Z24" i="14" s="1"/>
  <c r="AE38" i="14"/>
  <c r="AE43" i="14" s="1"/>
  <c r="AA17" i="14"/>
  <c r="AA18" i="14" s="1"/>
  <c r="AF38" i="14"/>
  <c r="AF43" i="14" s="1"/>
  <c r="AB17" i="14"/>
  <c r="AB20" i="14" s="1"/>
  <c r="AB24" i="14" s="1"/>
  <c r="AF17" i="14"/>
  <c r="AF20" i="14" s="1"/>
  <c r="AG55" i="14"/>
  <c r="AG57" i="14" s="1"/>
  <c r="AG38" i="14"/>
  <c r="AG43" i="14" s="1"/>
  <c r="AC17" i="14"/>
  <c r="AC18" i="14" s="1"/>
  <c r="AG17" i="14"/>
  <c r="AD38" i="14"/>
  <c r="AD17" i="14"/>
  <c r="AD18" i="14"/>
  <c r="AH17" i="14"/>
  <c r="AH38" i="14"/>
  <c r="AH40" i="14" s="1"/>
  <c r="AI38" i="14"/>
  <c r="AH20" i="14"/>
  <c r="AH21" i="14" s="1"/>
  <c r="AG20" i="14"/>
  <c r="AG21" i="14" s="1"/>
  <c r="AE20" i="14"/>
  <c r="AE29" i="14" s="1"/>
  <c r="AE36" i="14" s="1"/>
  <c r="AD20" i="14"/>
  <c r="AD24" i="14" s="1"/>
  <c r="AC20" i="14"/>
  <c r="AC29" i="14" s="1"/>
  <c r="AC32" i="14" s="1"/>
  <c r="AC63" i="14" s="1"/>
  <c r="X20" i="14"/>
  <c r="X21" i="14" s="1"/>
  <c r="AE17" i="14"/>
  <c r="AI17" i="14"/>
  <c r="AI20" i="14" s="1"/>
  <c r="AI57" i="14"/>
  <c r="AH57" i="14"/>
  <c r="AF57" i="14"/>
  <c r="AE57" i="14"/>
  <c r="AD57" i="14"/>
  <c r="AC57" i="14"/>
  <c r="AB57" i="14"/>
  <c r="AA57" i="14"/>
  <c r="Z57" i="14"/>
  <c r="Y57" i="14"/>
  <c r="X57" i="14"/>
  <c r="AI52" i="14"/>
  <c r="AH52" i="14"/>
  <c r="AG52" i="14"/>
  <c r="AF52" i="14"/>
  <c r="AE52" i="14"/>
  <c r="AD52" i="14"/>
  <c r="AC52" i="14"/>
  <c r="AB52" i="14"/>
  <c r="AA52" i="14"/>
  <c r="Z52" i="14"/>
  <c r="Y52" i="14"/>
  <c r="AI51" i="14"/>
  <c r="AF51" i="14"/>
  <c r="AE51" i="14"/>
  <c r="AD51" i="14"/>
  <c r="AC51" i="14"/>
  <c r="AB51" i="14"/>
  <c r="AA51" i="14"/>
  <c r="Z51" i="14"/>
  <c r="Y51" i="14"/>
  <c r="AI49" i="14"/>
  <c r="AI65" i="14" s="1"/>
  <c r="AH49" i="14"/>
  <c r="AH65" i="14" s="1"/>
  <c r="AG49" i="14"/>
  <c r="AG65" i="14" s="1"/>
  <c r="AF49" i="14"/>
  <c r="AF65" i="14" s="1"/>
  <c r="AE49" i="14"/>
  <c r="AE65" i="14" s="1"/>
  <c r="AD49" i="14"/>
  <c r="AD65" i="14" s="1"/>
  <c r="AD66" i="14" s="1"/>
  <c r="AC49" i="14"/>
  <c r="AC65" i="14" s="1"/>
  <c r="AB49" i="14"/>
  <c r="AB65" i="14" s="1"/>
  <c r="AA49" i="14"/>
  <c r="AA65" i="14" s="1"/>
  <c r="Z49" i="14"/>
  <c r="Z65" i="14" s="1"/>
  <c r="AI45" i="14"/>
  <c r="AH45" i="14"/>
  <c r="AG45" i="14"/>
  <c r="AF45" i="14"/>
  <c r="AE45" i="14"/>
  <c r="AD45" i="14"/>
  <c r="AC45" i="14"/>
  <c r="AB45" i="14"/>
  <c r="AA45" i="14"/>
  <c r="Z45" i="14"/>
  <c r="AA43" i="14"/>
  <c r="AA40" i="14"/>
  <c r="AI43" i="14"/>
  <c r="AD43" i="14"/>
  <c r="AC40" i="14"/>
  <c r="AB43" i="14"/>
  <c r="X29" i="14"/>
  <c r="X32" i="14" s="1"/>
  <c r="X63" i="14" s="1"/>
  <c r="I25" i="14"/>
  <c r="H25" i="14"/>
  <c r="G25" i="14"/>
  <c r="I22" i="14"/>
  <c r="H22" i="14"/>
  <c r="G22" i="14"/>
  <c r="F22" i="14"/>
  <c r="E22" i="14"/>
  <c r="J22" i="14" s="1"/>
  <c r="D22" i="14"/>
  <c r="C22" i="14"/>
  <c r="I21" i="14"/>
  <c r="H21" i="14"/>
  <c r="G21" i="14"/>
  <c r="F21" i="14"/>
  <c r="E21" i="14"/>
  <c r="D21" i="14"/>
  <c r="C21" i="14"/>
  <c r="G20" i="14"/>
  <c r="G19" i="14"/>
  <c r="AI18" i="14"/>
  <c r="AH18" i="14"/>
  <c r="AG18" i="14"/>
  <c r="AE18" i="14"/>
  <c r="Z18" i="14"/>
  <c r="Y18" i="14"/>
  <c r="X18" i="14"/>
  <c r="I18" i="14"/>
  <c r="H18" i="14"/>
  <c r="G18" i="14"/>
  <c r="F18" i="14"/>
  <c r="E18" i="14"/>
  <c r="D18" i="14"/>
  <c r="C18" i="14"/>
  <c r="J17" i="14"/>
  <c r="J16" i="14"/>
  <c r="AI15" i="14"/>
  <c r="AH15" i="14"/>
  <c r="AG15" i="14"/>
  <c r="AF15" i="14"/>
  <c r="AE15" i="14"/>
  <c r="AD15" i="14"/>
  <c r="AC15" i="14"/>
  <c r="AB15" i="14"/>
  <c r="AA15" i="14"/>
  <c r="Z15" i="14"/>
  <c r="Y15" i="14"/>
  <c r="X15" i="14"/>
  <c r="I15" i="14"/>
  <c r="I19" i="14" s="1"/>
  <c r="H15" i="14"/>
  <c r="H20" i="14" s="1"/>
  <c r="F15" i="14"/>
  <c r="F20" i="14" s="1"/>
  <c r="E15" i="14"/>
  <c r="E20" i="14" s="1"/>
  <c r="D15" i="14"/>
  <c r="D19" i="14" s="1"/>
  <c r="C15" i="14"/>
  <c r="C19" i="14" s="1"/>
  <c r="J14" i="14"/>
  <c r="AI12" i="14"/>
  <c r="AH12" i="14"/>
  <c r="AG12" i="14"/>
  <c r="AF12" i="14"/>
  <c r="AE12" i="14"/>
  <c r="AD12" i="14"/>
  <c r="AC12" i="14"/>
  <c r="AB12" i="14"/>
  <c r="AA12" i="14"/>
  <c r="Z12" i="14"/>
  <c r="Y12" i="14"/>
  <c r="X12" i="14"/>
  <c r="I12" i="14"/>
  <c r="H12" i="14"/>
  <c r="G12" i="14"/>
  <c r="F12" i="14"/>
  <c r="E12" i="14"/>
  <c r="D12" i="14"/>
  <c r="N11" i="14"/>
  <c r="I11" i="14"/>
  <c r="H11" i="14"/>
  <c r="G11" i="14"/>
  <c r="F11" i="14"/>
  <c r="E11" i="14"/>
  <c r="D11" i="14"/>
  <c r="C11" i="14"/>
  <c r="N10" i="14"/>
  <c r="J10" i="14"/>
  <c r="AI9" i="14"/>
  <c r="AH9" i="14"/>
  <c r="AG9" i="14"/>
  <c r="AF9" i="14"/>
  <c r="AE9" i="14"/>
  <c r="AD9" i="14"/>
  <c r="AC9" i="14"/>
  <c r="AB9" i="14"/>
  <c r="AA9" i="14"/>
  <c r="Z9" i="14"/>
  <c r="Y9" i="14"/>
  <c r="N9" i="14"/>
  <c r="AI8" i="14"/>
  <c r="AH8" i="14"/>
  <c r="AG8" i="14"/>
  <c r="AF8" i="14"/>
  <c r="AE8" i="14"/>
  <c r="AD8" i="14"/>
  <c r="AC8" i="14"/>
  <c r="AB8" i="14"/>
  <c r="N8" i="14"/>
  <c r="I8" i="14"/>
  <c r="H8" i="14"/>
  <c r="G8" i="14"/>
  <c r="F8" i="14"/>
  <c r="E8" i="14"/>
  <c r="D8" i="14"/>
  <c r="C8" i="14"/>
  <c r="N7" i="14"/>
  <c r="N6" i="14"/>
  <c r="I6" i="14"/>
  <c r="H6" i="14"/>
  <c r="G6" i="14"/>
  <c r="F6" i="14"/>
  <c r="E6" i="14"/>
  <c r="D6" i="14"/>
  <c r="C6" i="14"/>
  <c r="AI5" i="14"/>
  <c r="AI62" i="14" s="1"/>
  <c r="AH5" i="14"/>
  <c r="AH62" i="14" s="1"/>
  <c r="AG5" i="14"/>
  <c r="AG62" i="14" s="1"/>
  <c r="AF5" i="14"/>
  <c r="AF62" i="14" s="1"/>
  <c r="AE5" i="14"/>
  <c r="AE62" i="14" s="1"/>
  <c r="AD5" i="14"/>
  <c r="AD62" i="14" s="1"/>
  <c r="AC5" i="14"/>
  <c r="AC62" i="14" s="1"/>
  <c r="AB5" i="14"/>
  <c r="AB62" i="14" s="1"/>
  <c r="AA5" i="14"/>
  <c r="AA62" i="14" s="1"/>
  <c r="Z5" i="14"/>
  <c r="Z62" i="14" s="1"/>
  <c r="Y5" i="14"/>
  <c r="Y62" i="14" s="1"/>
  <c r="N5" i="14"/>
  <c r="AI4" i="14"/>
  <c r="AH4" i="14"/>
  <c r="AG4" i="14"/>
  <c r="AF4" i="14"/>
  <c r="AE4" i="14"/>
  <c r="AD4" i="14"/>
  <c r="AC4" i="14"/>
  <c r="AB4" i="14"/>
  <c r="J4" i="14"/>
  <c r="I4" i="14"/>
  <c r="H4" i="14"/>
  <c r="G4" i="14"/>
  <c r="F4" i="14"/>
  <c r="E4" i="14"/>
  <c r="D4" i="14"/>
  <c r="N3" i="14"/>
  <c r="N2" i="14"/>
  <c r="S14" i="14" s="1"/>
  <c r="J11" i="14" l="1"/>
  <c r="AG66" i="14"/>
  <c r="AH66" i="14"/>
  <c r="AB66" i="14"/>
  <c r="E19" i="14"/>
  <c r="AI66" i="14"/>
  <c r="AJ66" i="14"/>
  <c r="AA66" i="14"/>
  <c r="AE24" i="14"/>
  <c r="AG24" i="14"/>
  <c r="AC66" i="14"/>
  <c r="AE53" i="14"/>
  <c r="AE66" i="14"/>
  <c r="AF66" i="14"/>
  <c r="AF53" i="14"/>
  <c r="AG51" i="14"/>
  <c r="AG53" i="14" s="1"/>
  <c r="N13" i="14"/>
  <c r="N20" i="14" s="1"/>
  <c r="AI29" i="14"/>
  <c r="AI24" i="14"/>
  <c r="AI21" i="14"/>
  <c r="F19" i="14"/>
  <c r="AH24" i="14"/>
  <c r="Y53" i="14"/>
  <c r="H19" i="14"/>
  <c r="J19" i="14" s="1"/>
  <c r="AM45" i="14"/>
  <c r="AA53" i="14"/>
  <c r="J12" i="14"/>
  <c r="AB18" i="14"/>
  <c r="AH51" i="14"/>
  <c r="AH53" i="14" s="1"/>
  <c r="O9" i="14"/>
  <c r="AD29" i="14"/>
  <c r="AD32" i="14" s="1"/>
  <c r="AD63" i="14" s="1"/>
  <c r="AE21" i="14"/>
  <c r="J8" i="14"/>
  <c r="O10" i="14"/>
  <c r="J21" i="14"/>
  <c r="Q2" i="14" s="1"/>
  <c r="J6" i="14"/>
  <c r="J18" i="14"/>
  <c r="AF18" i="14"/>
  <c r="AG29" i="14"/>
  <c r="AG36" i="14" s="1"/>
  <c r="Z53" i="14"/>
  <c r="X24" i="14"/>
  <c r="O11" i="14"/>
  <c r="Y24" i="14"/>
  <c r="Y29" i="14"/>
  <c r="Y32" i="14" s="1"/>
  <c r="Y21" i="14"/>
  <c r="Z40" i="14"/>
  <c r="Z29" i="14"/>
  <c r="Z32" i="14" s="1"/>
  <c r="Z21" i="14"/>
  <c r="AA20" i="14"/>
  <c r="AA24" i="14" s="1"/>
  <c r="AA21" i="14"/>
  <c r="AB21" i="14"/>
  <c r="AB29" i="14"/>
  <c r="AB32" i="14" s="1"/>
  <c r="AB63" i="14" s="1"/>
  <c r="AF29" i="14"/>
  <c r="AF36" i="14" s="1"/>
  <c r="AF24" i="14"/>
  <c r="AF21" i="14"/>
  <c r="AC24" i="14"/>
  <c r="AC21" i="14"/>
  <c r="AD53" i="14"/>
  <c r="AH29" i="14"/>
  <c r="AH32" i="14" s="1"/>
  <c r="AD21" i="14"/>
  <c r="AI53" i="14"/>
  <c r="AC53" i="14"/>
  <c r="AB53" i="14"/>
  <c r="AD36" i="14"/>
  <c r="AI36" i="14"/>
  <c r="T14" i="14"/>
  <c r="AE30" i="14"/>
  <c r="AE32" i="14"/>
  <c r="AE63" i="14" s="1"/>
  <c r="AB40" i="14"/>
  <c r="AC43" i="14"/>
  <c r="AD40" i="14"/>
  <c r="AE40" i="14"/>
  <c r="AI30" i="14"/>
  <c r="AF40" i="14"/>
  <c r="C20" i="14"/>
  <c r="AH43" i="14"/>
  <c r="D20" i="14"/>
  <c r="X30" i="14"/>
  <c r="AC36" i="14"/>
  <c r="AG40" i="14"/>
  <c r="I20" i="14"/>
  <c r="AI40" i="14"/>
  <c r="AC30" i="14"/>
  <c r="AD30" i="14"/>
  <c r="AD34" i="14" l="1"/>
  <c r="AD64" i="14" s="1"/>
  <c r="AI32" i="14"/>
  <c r="F24" i="44" s="1"/>
  <c r="D24" i="44"/>
  <c r="N14" i="14"/>
  <c r="AI34" i="14"/>
  <c r="AI64" i="14" s="1"/>
  <c r="AL33" i="14"/>
  <c r="AH63" i="14"/>
  <c r="AD33" i="14"/>
  <c r="Z63" i="14"/>
  <c r="AF30" i="14"/>
  <c r="Y34" i="14"/>
  <c r="Y64" i="14" s="1"/>
  <c r="Y63" i="14"/>
  <c r="J20" i="14"/>
  <c r="AF32" i="14"/>
  <c r="AF34" i="14" s="1"/>
  <c r="AF64" i="14" s="1"/>
  <c r="AJ34" i="14"/>
  <c r="AJ64" i="14" s="1"/>
  <c r="AI63" i="14"/>
  <c r="Z34" i="14"/>
  <c r="Z64" i="14" s="1"/>
  <c r="Q13" i="14"/>
  <c r="Q14" i="14" s="1"/>
  <c r="AI33" i="14"/>
  <c r="AA29" i="14"/>
  <c r="AA32" i="14" s="1"/>
  <c r="AH30" i="14"/>
  <c r="AH33" i="14"/>
  <c r="AA36" i="14"/>
  <c r="AG32" i="14"/>
  <c r="AG33" i="14" s="1"/>
  <c r="AG30" i="14"/>
  <c r="AH36" i="14"/>
  <c r="Z30" i="14"/>
  <c r="Z36" i="14"/>
  <c r="Y30" i="14"/>
  <c r="AC33" i="14"/>
  <c r="AB33" i="14"/>
  <c r="AC34" i="14"/>
  <c r="AC64" i="14" s="1"/>
  <c r="AB36" i="14"/>
  <c r="AB30" i="14"/>
  <c r="AE34" i="14"/>
  <c r="AE64" i="14" s="1"/>
  <c r="AL68" i="14" l="1"/>
  <c r="AL69" i="14" s="1"/>
  <c r="AL70" i="14" s="1"/>
  <c r="AN36" i="14"/>
  <c r="AN37" i="14"/>
  <c r="AG34" i="14"/>
  <c r="AG64" i="14" s="1"/>
  <c r="AF33" i="14"/>
  <c r="AJ33" i="14"/>
  <c r="AF63" i="14"/>
  <c r="AK33" i="14"/>
  <c r="AG63" i="14"/>
  <c r="AA34" i="14"/>
  <c r="AA64" i="14" s="1"/>
  <c r="AA63" i="14"/>
  <c r="H24" i="44"/>
  <c r="AN38" i="14"/>
  <c r="I24" i="44" s="1"/>
  <c r="AB34" i="14"/>
  <c r="AB64" i="14" s="1"/>
  <c r="AE33" i="14"/>
  <c r="AH34" i="14"/>
  <c r="AH64" i="14" s="1"/>
  <c r="AA30" i="14"/>
  <c r="AE38" i="13"/>
  <c r="AE37" i="13"/>
  <c r="AF38" i="13"/>
  <c r="AF37" i="13"/>
  <c r="AF43" i="13" s="1"/>
  <c r="AJ37" i="13"/>
  <c r="AG38" i="13"/>
  <c r="AG37" i="13"/>
  <c r="AG43" i="13" s="1"/>
  <c r="AD38" i="13"/>
  <c r="AD37" i="13"/>
  <c r="AD43" i="13" s="1"/>
  <c r="AI38" i="13"/>
  <c r="AI37" i="13"/>
  <c r="AH38" i="13"/>
  <c r="AH37" i="13"/>
  <c r="AJ38" i="13"/>
  <c r="AI18" i="13"/>
  <c r="AJ57" i="13"/>
  <c r="AI57" i="13"/>
  <c r="AH57" i="13"/>
  <c r="AG57" i="13"/>
  <c r="AF57" i="13"/>
  <c r="AE57" i="13"/>
  <c r="AD57" i="13"/>
  <c r="AC57" i="13"/>
  <c r="AB57" i="13"/>
  <c r="AA57" i="13"/>
  <c r="Z57" i="13"/>
  <c r="Y57" i="13"/>
  <c r="X57" i="13"/>
  <c r="AJ52" i="13"/>
  <c r="AI52" i="13"/>
  <c r="AH52" i="13"/>
  <c r="AG52" i="13"/>
  <c r="AF52" i="13"/>
  <c r="AE52" i="13"/>
  <c r="AD52" i="13"/>
  <c r="AC52" i="13"/>
  <c r="AB52" i="13"/>
  <c r="AA52" i="13"/>
  <c r="Z52" i="13"/>
  <c r="Y52" i="13"/>
  <c r="AJ51" i="13"/>
  <c r="AI51" i="13"/>
  <c r="AH51" i="13"/>
  <c r="AG51" i="13"/>
  <c r="AG53" i="13" s="1"/>
  <c r="AF51" i="13"/>
  <c r="AF53" i="13" s="1"/>
  <c r="AE51" i="13"/>
  <c r="AE53" i="13" s="1"/>
  <c r="AD51" i="13"/>
  <c r="AD53" i="13" s="1"/>
  <c r="AC51" i="13"/>
  <c r="AB51" i="13"/>
  <c r="AA51" i="13"/>
  <c r="Z51" i="13"/>
  <c r="Y51" i="13"/>
  <c r="Y53" i="13" s="1"/>
  <c r="AJ49" i="13"/>
  <c r="AI49" i="13"/>
  <c r="AH49" i="13"/>
  <c r="AG49" i="13"/>
  <c r="AF49" i="13"/>
  <c r="AE49" i="13"/>
  <c r="AD49" i="13"/>
  <c r="AC49" i="13"/>
  <c r="AB49" i="13"/>
  <c r="AA49" i="13"/>
  <c r="Z49" i="13"/>
  <c r="Y49" i="13"/>
  <c r="X49" i="13"/>
  <c r="AJ45" i="13"/>
  <c r="AI45" i="13"/>
  <c r="AH45" i="13"/>
  <c r="AG45" i="13"/>
  <c r="AF45" i="13"/>
  <c r="AE45" i="13"/>
  <c r="AD45" i="13"/>
  <c r="AC45" i="13"/>
  <c r="AB45" i="13"/>
  <c r="AA45" i="13"/>
  <c r="Z45" i="13"/>
  <c r="Y45" i="13"/>
  <c r="X45" i="13"/>
  <c r="AH43" i="13"/>
  <c r="AC43" i="13"/>
  <c r="AB43" i="13"/>
  <c r="X43" i="13"/>
  <c r="AC39" i="13"/>
  <c r="AA39" i="13"/>
  <c r="X39" i="13"/>
  <c r="AE43" i="13"/>
  <c r="AB39" i="13"/>
  <c r="AA43" i="13"/>
  <c r="Z43" i="13"/>
  <c r="Y43" i="13"/>
  <c r="AJ28" i="13"/>
  <c r="AI28" i="13"/>
  <c r="AI31" i="13" s="1"/>
  <c r="AH28" i="13"/>
  <c r="AH35" i="13" s="1"/>
  <c r="AG28" i="13"/>
  <c r="AG31" i="13" s="1"/>
  <c r="AK32" i="13" s="1"/>
  <c r="AF28" i="13"/>
  <c r="AF35" i="13" s="1"/>
  <c r="AE28" i="13"/>
  <c r="AE35" i="13" s="1"/>
  <c r="AD28" i="13"/>
  <c r="AD31" i="13" s="1"/>
  <c r="AC28" i="13"/>
  <c r="AC35" i="13" s="1"/>
  <c r="AB28" i="13"/>
  <c r="AB29" i="13" s="1"/>
  <c r="AA28" i="13"/>
  <c r="AA31" i="13" s="1"/>
  <c r="Z28" i="13"/>
  <c r="Z31" i="13" s="1"/>
  <c r="Y28" i="13"/>
  <c r="Y35" i="13" s="1"/>
  <c r="X28" i="13"/>
  <c r="X29" i="13" s="1"/>
  <c r="I25" i="13"/>
  <c r="H25" i="13"/>
  <c r="G25" i="13"/>
  <c r="AJ24" i="13"/>
  <c r="AI24" i="13"/>
  <c r="AH24" i="13"/>
  <c r="AG24" i="13"/>
  <c r="AF24" i="13"/>
  <c r="AE24" i="13"/>
  <c r="AD24" i="13"/>
  <c r="AC24" i="13"/>
  <c r="AB24" i="13"/>
  <c r="AA24" i="13"/>
  <c r="Z24" i="13"/>
  <c r="Y24" i="13"/>
  <c r="X24" i="13"/>
  <c r="I22" i="13"/>
  <c r="H22" i="13"/>
  <c r="G22" i="13"/>
  <c r="F22" i="13"/>
  <c r="E22" i="13"/>
  <c r="D22" i="13"/>
  <c r="J22" i="13" s="1"/>
  <c r="C22" i="13"/>
  <c r="AJ21" i="13"/>
  <c r="AI21" i="13"/>
  <c r="AH21" i="13"/>
  <c r="AG21" i="13"/>
  <c r="AF21" i="13"/>
  <c r="AE21" i="13"/>
  <c r="AD21" i="13"/>
  <c r="AC21" i="13"/>
  <c r="AB21" i="13"/>
  <c r="AA21" i="13"/>
  <c r="Z21" i="13"/>
  <c r="Y21" i="13"/>
  <c r="X21" i="13"/>
  <c r="I21" i="13"/>
  <c r="H21" i="13"/>
  <c r="G21" i="13"/>
  <c r="F21" i="13"/>
  <c r="E21" i="13"/>
  <c r="D21" i="13"/>
  <c r="J21" i="13" s="1"/>
  <c r="C21" i="13"/>
  <c r="I20" i="13"/>
  <c r="H20" i="13"/>
  <c r="G20" i="13"/>
  <c r="F20" i="13"/>
  <c r="E20" i="13"/>
  <c r="D20" i="13"/>
  <c r="J20" i="13" s="1"/>
  <c r="I19" i="13"/>
  <c r="H19" i="13"/>
  <c r="G19" i="13"/>
  <c r="F19" i="13"/>
  <c r="E19" i="13"/>
  <c r="D19" i="13"/>
  <c r="J19" i="13" s="1"/>
  <c r="AA18" i="13"/>
  <c r="I18" i="13"/>
  <c r="H18" i="13"/>
  <c r="G18" i="13"/>
  <c r="F18" i="13"/>
  <c r="E18" i="13"/>
  <c r="D18" i="13"/>
  <c r="C18" i="13"/>
  <c r="J17" i="13"/>
  <c r="J16" i="13"/>
  <c r="AA15" i="13"/>
  <c r="C15" i="13"/>
  <c r="C19" i="13" s="1"/>
  <c r="AJ18" i="13"/>
  <c r="AC15" i="13"/>
  <c r="AB18" i="13"/>
  <c r="Z15" i="13"/>
  <c r="Y18" i="13"/>
  <c r="X18" i="13"/>
  <c r="J14" i="13"/>
  <c r="AJ12" i="13"/>
  <c r="AI12" i="13"/>
  <c r="AH12" i="13"/>
  <c r="AG12" i="13"/>
  <c r="AF12" i="13"/>
  <c r="AE12" i="13"/>
  <c r="AD12" i="13"/>
  <c r="AC12" i="13"/>
  <c r="AB12" i="13"/>
  <c r="AA12" i="13"/>
  <c r="Z12" i="13"/>
  <c r="Y12" i="13"/>
  <c r="X12" i="13"/>
  <c r="I12" i="13"/>
  <c r="H12" i="13"/>
  <c r="G12" i="13"/>
  <c r="F12" i="13"/>
  <c r="E12" i="13"/>
  <c r="D12" i="13"/>
  <c r="J12" i="13" s="1"/>
  <c r="N11" i="13"/>
  <c r="I11" i="13"/>
  <c r="H11" i="13"/>
  <c r="G11" i="13"/>
  <c r="F11" i="13"/>
  <c r="E11" i="13"/>
  <c r="D11" i="13"/>
  <c r="J11" i="13" s="1"/>
  <c r="C11" i="13"/>
  <c r="N10" i="13"/>
  <c r="J10" i="13"/>
  <c r="AJ9" i="13"/>
  <c r="AI9" i="13"/>
  <c r="AH9" i="13"/>
  <c r="AG9" i="13"/>
  <c r="AF9" i="13"/>
  <c r="AE9" i="13"/>
  <c r="AD9" i="13"/>
  <c r="AC9" i="13"/>
  <c r="AB9" i="13"/>
  <c r="AA9" i="13"/>
  <c r="Z9" i="13"/>
  <c r="Y9" i="13"/>
  <c r="N9" i="13"/>
  <c r="AJ8" i="13"/>
  <c r="AI8" i="13"/>
  <c r="AH8" i="13"/>
  <c r="AG8" i="13"/>
  <c r="AF8" i="13"/>
  <c r="AE8" i="13"/>
  <c r="AD8" i="13"/>
  <c r="AC8" i="13"/>
  <c r="AB8" i="13"/>
  <c r="N8" i="13"/>
  <c r="I8" i="13"/>
  <c r="H8" i="13"/>
  <c r="G8" i="13"/>
  <c r="F8" i="13"/>
  <c r="E8" i="13"/>
  <c r="D8" i="13"/>
  <c r="J8" i="13" s="1"/>
  <c r="C8" i="13"/>
  <c r="N7" i="13"/>
  <c r="N6" i="13"/>
  <c r="I6" i="13"/>
  <c r="H6" i="13"/>
  <c r="G6" i="13"/>
  <c r="F6" i="13"/>
  <c r="E6" i="13"/>
  <c r="D6" i="13"/>
  <c r="J6" i="13" s="1"/>
  <c r="C6" i="13"/>
  <c r="AJ5" i="13"/>
  <c r="AI5" i="13"/>
  <c r="AH5" i="13"/>
  <c r="AG5" i="13"/>
  <c r="AF5" i="13"/>
  <c r="AE5" i="13"/>
  <c r="AD5" i="13"/>
  <c r="AC5" i="13"/>
  <c r="AB5" i="13"/>
  <c r="AA5" i="13"/>
  <c r="Z5" i="13"/>
  <c r="Y5" i="13"/>
  <c r="N5" i="13"/>
  <c r="AJ4" i="13"/>
  <c r="AI4" i="13"/>
  <c r="AH4" i="13"/>
  <c r="AG4" i="13"/>
  <c r="AF4" i="13"/>
  <c r="AE4" i="13"/>
  <c r="AD4" i="13"/>
  <c r="AC4" i="13"/>
  <c r="AB4" i="13"/>
  <c r="J4" i="13"/>
  <c r="I4" i="13"/>
  <c r="H4" i="13"/>
  <c r="G4" i="13"/>
  <c r="F4" i="13"/>
  <c r="E4" i="13"/>
  <c r="D4" i="13"/>
  <c r="N3" i="13"/>
  <c r="N2" i="13"/>
  <c r="S14" i="13" s="1"/>
  <c r="O10" i="13" l="1"/>
  <c r="J18" i="13"/>
  <c r="AJ39" i="13"/>
  <c r="AJ35" i="13"/>
  <c r="D23" i="44"/>
  <c r="Z53" i="13"/>
  <c r="AI53" i="13"/>
  <c r="AJ53" i="13"/>
  <c r="AC53" i="13"/>
  <c r="AM32" i="13"/>
  <c r="AH53" i="13"/>
  <c r="Q2" i="13"/>
  <c r="C20" i="13"/>
  <c r="AH39" i="13"/>
  <c r="O9" i="13"/>
  <c r="N13" i="13"/>
  <c r="Q13" i="13" s="1"/>
  <c r="Q14" i="13" s="1"/>
  <c r="O11" i="13"/>
  <c r="T14" i="13"/>
  <c r="AA53" i="13"/>
  <c r="AI39" i="13"/>
  <c r="AB53" i="13"/>
  <c r="AA29" i="13"/>
  <c r="AC29" i="13"/>
  <c r="AH29" i="13"/>
  <c r="AB31" i="13"/>
  <c r="AB33" i="13" s="1"/>
  <c r="AC31" i="13"/>
  <c r="AH31" i="13"/>
  <c r="AG15" i="13"/>
  <c r="AG18" i="13"/>
  <c r="AD33" i="13"/>
  <c r="AD32" i="13"/>
  <c r="AH18" i="13"/>
  <c r="AH15" i="13"/>
  <c r="AA33" i="13"/>
  <c r="AD35" i="13"/>
  <c r="AE39" i="13"/>
  <c r="AF29" i="13"/>
  <c r="AD29" i="13"/>
  <c r="AD39" i="13"/>
  <c r="AE29" i="13"/>
  <c r="AJ15" i="13"/>
  <c r="AE31" i="13"/>
  <c r="AI32" i="13" s="1"/>
  <c r="AG35" i="13"/>
  <c r="AF39" i="13"/>
  <c r="Y15" i="13"/>
  <c r="AG29" i="13"/>
  <c r="AF31" i="13"/>
  <c r="AG33" i="13" s="1"/>
  <c r="AG39" i="13"/>
  <c r="AI15" i="13"/>
  <c r="AB15" i="13"/>
  <c r="Y29" i="13"/>
  <c r="X31" i="13"/>
  <c r="AJ31" i="13"/>
  <c r="AK33" i="13" s="1"/>
  <c r="Z35" i="13"/>
  <c r="Y39" i="13"/>
  <c r="AJ43" i="13"/>
  <c r="Z18" i="13"/>
  <c r="AI29" i="13"/>
  <c r="X35" i="13"/>
  <c r="AD15" i="13"/>
  <c r="AJ29" i="13"/>
  <c r="AI43" i="13"/>
  <c r="AF15" i="13"/>
  <c r="Z29" i="13"/>
  <c r="Y31" i="13"/>
  <c r="Z33" i="13" s="1"/>
  <c r="AA35" i="13"/>
  <c r="Z39" i="13"/>
  <c r="AE15" i="13"/>
  <c r="AC18" i="13"/>
  <c r="AB35" i="13"/>
  <c r="X15" i="13"/>
  <c r="AI35" i="13"/>
  <c r="AO35" i="13" l="1"/>
  <c r="H23" i="44" s="1"/>
  <c r="AO36" i="13"/>
  <c r="AO37" i="13" s="1"/>
  <c r="F23" i="44"/>
  <c r="AH33" i="13"/>
  <c r="AL32" i="13"/>
  <c r="AC32" i="13"/>
  <c r="N14" i="13"/>
  <c r="N20" i="13"/>
  <c r="AH32" i="13"/>
  <c r="AC33" i="13"/>
  <c r="AI33" i="13"/>
  <c r="AG32" i="13"/>
  <c r="AB32" i="13"/>
  <c r="AF32" i="13"/>
  <c r="AF33" i="13"/>
  <c r="AE18" i="13"/>
  <c r="AE33" i="13"/>
  <c r="AE32" i="13"/>
  <c r="AD18" i="13"/>
  <c r="Y33" i="13"/>
  <c r="AJ33" i="13"/>
  <c r="AJ32" i="13"/>
  <c r="AF18" i="13"/>
  <c r="AC37" i="11" l="1"/>
  <c r="AG37" i="11"/>
  <c r="AH44" i="11"/>
  <c r="AG44" i="11"/>
  <c r="AF44" i="11"/>
  <c r="AE44" i="11"/>
  <c r="AD44" i="11"/>
  <c r="AC44" i="11"/>
  <c r="AB44" i="11"/>
  <c r="AA44" i="11"/>
  <c r="Z44" i="11"/>
  <c r="Y44" i="11"/>
  <c r="X44" i="11"/>
  <c r="AI44" i="11"/>
  <c r="AD37" i="11"/>
  <c r="AH37" i="11"/>
  <c r="AH42" i="11" s="1"/>
  <c r="AE37" i="11"/>
  <c r="AI42" i="11"/>
  <c r="AH28" i="11"/>
  <c r="AH31" i="11" s="1"/>
  <c r="AG28" i="11"/>
  <c r="AG31" i="11" s="1"/>
  <c r="AK32" i="11" s="1"/>
  <c r="AF28" i="11"/>
  <c r="AF35" i="11" s="1"/>
  <c r="AE28" i="11"/>
  <c r="AE35" i="11" s="1"/>
  <c r="AD28" i="11"/>
  <c r="AD31" i="11" s="1"/>
  <c r="AC28" i="11"/>
  <c r="AC31" i="11" s="1"/>
  <c r="AB28" i="11"/>
  <c r="AB31" i="11" s="1"/>
  <c r="AA28" i="11"/>
  <c r="AA31" i="11" s="1"/>
  <c r="Z28" i="11"/>
  <c r="Z31" i="11" s="1"/>
  <c r="Y28" i="11"/>
  <c r="Y31" i="11" s="1"/>
  <c r="X28" i="11"/>
  <c r="X31" i="11" s="1"/>
  <c r="AI28" i="11"/>
  <c r="X18" i="11"/>
  <c r="Y18" i="11"/>
  <c r="Z15" i="11"/>
  <c r="AA18" i="11"/>
  <c r="AD15" i="11"/>
  <c r="AE18" i="11"/>
  <c r="AI56" i="11"/>
  <c r="AH56" i="11"/>
  <c r="AG56" i="11"/>
  <c r="AF56" i="11"/>
  <c r="AE56" i="11"/>
  <c r="AD56" i="11"/>
  <c r="AC56" i="11"/>
  <c r="AB56" i="11"/>
  <c r="AA56" i="11"/>
  <c r="Z56" i="11"/>
  <c r="Y56" i="11"/>
  <c r="X56" i="11"/>
  <c r="AI51" i="11"/>
  <c r="AH51" i="11"/>
  <c r="AG51" i="11"/>
  <c r="AF51" i="11"/>
  <c r="AE51" i="11"/>
  <c r="AD51" i="11"/>
  <c r="AC51" i="11"/>
  <c r="AB51" i="11"/>
  <c r="AA51" i="11"/>
  <c r="Z51" i="11"/>
  <c r="Y51" i="11"/>
  <c r="AI50" i="11"/>
  <c r="AH50" i="11"/>
  <c r="AG50" i="11"/>
  <c r="AF50" i="11"/>
  <c r="AE50" i="11"/>
  <c r="AD50" i="11"/>
  <c r="AC50" i="11"/>
  <c r="AB50" i="11"/>
  <c r="AA50" i="11"/>
  <c r="Z50" i="11"/>
  <c r="Y50" i="11"/>
  <c r="AI48" i="11"/>
  <c r="AH48" i="11"/>
  <c r="AG48" i="11"/>
  <c r="AF48" i="11"/>
  <c r="AE48" i="11"/>
  <c r="AD48" i="11"/>
  <c r="AC48" i="11"/>
  <c r="AB48" i="11"/>
  <c r="AA48" i="11"/>
  <c r="Z48" i="11"/>
  <c r="Y48" i="11"/>
  <c r="X48" i="11"/>
  <c r="AF42" i="11"/>
  <c r="AB42" i="11"/>
  <c r="AA42" i="11"/>
  <c r="AG39" i="11"/>
  <c r="AF39" i="11"/>
  <c r="AE42" i="11"/>
  <c r="AD42" i="11"/>
  <c r="AC42" i="11"/>
  <c r="AB39" i="11"/>
  <c r="AA39" i="11"/>
  <c r="Z42" i="11"/>
  <c r="Y39" i="11"/>
  <c r="X39" i="11"/>
  <c r="I25" i="11"/>
  <c r="H25" i="11"/>
  <c r="G25" i="11"/>
  <c r="AI24" i="11"/>
  <c r="AH24" i="11"/>
  <c r="AG24" i="11"/>
  <c r="AF24" i="11"/>
  <c r="AE24" i="11"/>
  <c r="AD24" i="11"/>
  <c r="AC24" i="11"/>
  <c r="AB24" i="11"/>
  <c r="AA24" i="11"/>
  <c r="Z24" i="11"/>
  <c r="Y24" i="11"/>
  <c r="X24" i="11"/>
  <c r="I22" i="11"/>
  <c r="H22" i="11"/>
  <c r="G22" i="11"/>
  <c r="F22" i="11"/>
  <c r="E22" i="11"/>
  <c r="D22" i="11"/>
  <c r="C22" i="11"/>
  <c r="AI21" i="11"/>
  <c r="AH21" i="11"/>
  <c r="AG21" i="11"/>
  <c r="AF21" i="11"/>
  <c r="AE21" i="11"/>
  <c r="AD21" i="11"/>
  <c r="AC21" i="11"/>
  <c r="AB21" i="11"/>
  <c r="AA21" i="11"/>
  <c r="Z21" i="11"/>
  <c r="Y21" i="11"/>
  <c r="X21" i="11"/>
  <c r="I21" i="11"/>
  <c r="H21" i="11"/>
  <c r="G21" i="11"/>
  <c r="F21" i="11"/>
  <c r="E21" i="11"/>
  <c r="J21" i="11" s="1"/>
  <c r="D21" i="11"/>
  <c r="C21" i="11"/>
  <c r="G20" i="11"/>
  <c r="G19" i="11"/>
  <c r="AI18" i="11"/>
  <c r="AH18" i="11"/>
  <c r="AG18" i="11"/>
  <c r="AD18" i="11"/>
  <c r="AB18" i="11"/>
  <c r="I18" i="11"/>
  <c r="H18" i="11"/>
  <c r="G18" i="11"/>
  <c r="F18" i="11"/>
  <c r="E18" i="11"/>
  <c r="D18" i="11"/>
  <c r="C18" i="11"/>
  <c r="J17" i="11"/>
  <c r="J16" i="11"/>
  <c r="AI15" i="11"/>
  <c r="AH15" i="11"/>
  <c r="AG15" i="11"/>
  <c r="AC15" i="11"/>
  <c r="AB15" i="11"/>
  <c r="X15" i="11"/>
  <c r="I15" i="11"/>
  <c r="I20" i="11" s="1"/>
  <c r="H15" i="11"/>
  <c r="H20" i="11" s="1"/>
  <c r="F15" i="11"/>
  <c r="F19" i="11" s="1"/>
  <c r="E15" i="11"/>
  <c r="E20" i="11" s="1"/>
  <c r="D15" i="11"/>
  <c r="D20" i="11" s="1"/>
  <c r="C15" i="11"/>
  <c r="C20" i="11" s="1"/>
  <c r="AF15" i="11"/>
  <c r="AC18" i="11"/>
  <c r="J14" i="11"/>
  <c r="AI12" i="11"/>
  <c r="AH12" i="11"/>
  <c r="AG12" i="11"/>
  <c r="AF12" i="11"/>
  <c r="AE12" i="11"/>
  <c r="AD12" i="11"/>
  <c r="AC12" i="11"/>
  <c r="AB12" i="11"/>
  <c r="AA12" i="11"/>
  <c r="Z12" i="11"/>
  <c r="Y12" i="11"/>
  <c r="X12" i="11"/>
  <c r="I12" i="11"/>
  <c r="H12" i="11"/>
  <c r="G12" i="11"/>
  <c r="F12" i="11"/>
  <c r="E12" i="11"/>
  <c r="D12" i="11"/>
  <c r="N11" i="11"/>
  <c r="I11" i="11"/>
  <c r="H11" i="11"/>
  <c r="G11" i="11"/>
  <c r="F11" i="11"/>
  <c r="E11" i="11"/>
  <c r="D11" i="11"/>
  <c r="C11" i="11"/>
  <c r="N10" i="11"/>
  <c r="J10" i="11"/>
  <c r="AI9" i="11"/>
  <c r="AH9" i="11"/>
  <c r="AG9" i="11"/>
  <c r="AF9" i="11"/>
  <c r="AE9" i="11"/>
  <c r="AD9" i="11"/>
  <c r="AC9" i="11"/>
  <c r="AB9" i="11"/>
  <c r="AA9" i="11"/>
  <c r="Z9" i="11"/>
  <c r="Y9" i="11"/>
  <c r="N9" i="11"/>
  <c r="AI8" i="11"/>
  <c r="AH8" i="11"/>
  <c r="AG8" i="11"/>
  <c r="AF8" i="11"/>
  <c r="AE8" i="11"/>
  <c r="AD8" i="11"/>
  <c r="AC8" i="11"/>
  <c r="AB8" i="11"/>
  <c r="N8" i="11"/>
  <c r="I8" i="11"/>
  <c r="H8" i="11"/>
  <c r="G8" i="11"/>
  <c r="F8" i="11"/>
  <c r="E8" i="11"/>
  <c r="D8" i="11"/>
  <c r="C8" i="11"/>
  <c r="N7" i="11"/>
  <c r="N6" i="11"/>
  <c r="I6" i="11"/>
  <c r="H6" i="11"/>
  <c r="G6" i="11"/>
  <c r="F6" i="11"/>
  <c r="E6" i="11"/>
  <c r="D6" i="11"/>
  <c r="C6" i="11"/>
  <c r="AI5" i="11"/>
  <c r="AH5" i="11"/>
  <c r="AG5" i="11"/>
  <c r="AF5" i="11"/>
  <c r="AE5" i="11"/>
  <c r="AD5" i="11"/>
  <c r="AC5" i="11"/>
  <c r="AB5" i="11"/>
  <c r="AA5" i="11"/>
  <c r="Z5" i="11"/>
  <c r="Y5" i="11"/>
  <c r="N5" i="11"/>
  <c r="AI4" i="11"/>
  <c r="AH4" i="11"/>
  <c r="AG4" i="11"/>
  <c r="AF4" i="11"/>
  <c r="AE4" i="11"/>
  <c r="AD4" i="11"/>
  <c r="AC4" i="11"/>
  <c r="AB4" i="11"/>
  <c r="J4" i="11"/>
  <c r="I4" i="11"/>
  <c r="H4" i="11"/>
  <c r="G4" i="11"/>
  <c r="F4" i="11"/>
  <c r="E4" i="11"/>
  <c r="D4" i="11"/>
  <c r="N3" i="11"/>
  <c r="N2" i="11"/>
  <c r="T14" i="11" s="1"/>
  <c r="AH39" i="11" l="1"/>
  <c r="AI31" i="11"/>
  <c r="D8" i="44"/>
  <c r="J6" i="11"/>
  <c r="AA52" i="11"/>
  <c r="AL32" i="11"/>
  <c r="Z52" i="11"/>
  <c r="AD52" i="11"/>
  <c r="J12" i="11"/>
  <c r="AH52" i="11"/>
  <c r="N13" i="11"/>
  <c r="N14" i="11" s="1"/>
  <c r="AF52" i="11"/>
  <c r="Q2" i="11"/>
  <c r="AC52" i="11"/>
  <c r="AC35" i="11"/>
  <c r="J8" i="11"/>
  <c r="D19" i="11"/>
  <c r="O11" i="11"/>
  <c r="C19" i="11"/>
  <c r="J18" i="11"/>
  <c r="E19" i="11"/>
  <c r="J22" i="11"/>
  <c r="J11" i="11"/>
  <c r="O10" i="11"/>
  <c r="AE52" i="11"/>
  <c r="AG52" i="11"/>
  <c r="AI52" i="11"/>
  <c r="Y52" i="11"/>
  <c r="AB52" i="11"/>
  <c r="AD35" i="11"/>
  <c r="Z29" i="11"/>
  <c r="Y33" i="11"/>
  <c r="AG35" i="11"/>
  <c r="AI35" i="11"/>
  <c r="AG32" i="11"/>
  <c r="AH32" i="11"/>
  <c r="AH33" i="11"/>
  <c r="AI33" i="11"/>
  <c r="Z33" i="11"/>
  <c r="AA33" i="11"/>
  <c r="AB32" i="11"/>
  <c r="AB33" i="11"/>
  <c r="AC32" i="11"/>
  <c r="AC33" i="11"/>
  <c r="AD32" i="11"/>
  <c r="AD33" i="11"/>
  <c r="AA15" i="11"/>
  <c r="H19" i="11"/>
  <c r="AC29" i="11"/>
  <c r="AH35" i="11"/>
  <c r="AG42" i="11"/>
  <c r="X29" i="11"/>
  <c r="AC39" i="11"/>
  <c r="AD29" i="11"/>
  <c r="AI39" i="11"/>
  <c r="AF31" i="11"/>
  <c r="AJ32" i="11" s="1"/>
  <c r="Y35" i="11"/>
  <c r="X42" i="11"/>
  <c r="S14" i="11"/>
  <c r="AE15" i="11"/>
  <c r="AG29" i="11"/>
  <c r="Z35" i="11"/>
  <c r="Z39" i="11"/>
  <c r="Y42" i="11"/>
  <c r="I19" i="11"/>
  <c r="AE29" i="11"/>
  <c r="AE31" i="11"/>
  <c r="X35" i="11"/>
  <c r="O9" i="11"/>
  <c r="AF18" i="11"/>
  <c r="AF29" i="11"/>
  <c r="AH29" i="11"/>
  <c r="AA35" i="11"/>
  <c r="F20" i="11"/>
  <c r="J20" i="11" s="1"/>
  <c r="AI29" i="11"/>
  <c r="AB35" i="11"/>
  <c r="Y29" i="11"/>
  <c r="AD39" i="11"/>
  <c r="Z18" i="11"/>
  <c r="AE39" i="11"/>
  <c r="Y15" i="11"/>
  <c r="AA29" i="11"/>
  <c r="AB29" i="11"/>
  <c r="AN36" i="11" l="1"/>
  <c r="AJ33" i="11"/>
  <c r="F8" i="44"/>
  <c r="AN37" i="11"/>
  <c r="Q13" i="11"/>
  <c r="Q14" i="11" s="1"/>
  <c r="N20" i="11"/>
  <c r="J19" i="11"/>
  <c r="AF32" i="11"/>
  <c r="AF33" i="11"/>
  <c r="AG33" i="11"/>
  <c r="AE32" i="11"/>
  <c r="AE33" i="11"/>
  <c r="AI32" i="11"/>
  <c r="X41" i="10" l="1"/>
  <c r="Y41" i="10"/>
  <c r="AA41" i="10"/>
  <c r="AB41" i="10"/>
  <c r="X15" i="10"/>
  <c r="X11" i="10"/>
  <c r="AC41" i="10"/>
  <c r="AC43" i="10" s="1"/>
  <c r="Y15" i="10"/>
  <c r="Y16" i="10" s="1"/>
  <c r="Z41" i="10"/>
  <c r="Z43" i="10" s="1"/>
  <c r="Z15" i="10"/>
  <c r="Z16" i="10" s="1"/>
  <c r="AE41" i="10"/>
  <c r="AE47" i="10" s="1"/>
  <c r="AA15" i="10"/>
  <c r="AA16" i="10" s="1"/>
  <c r="AF41" i="10"/>
  <c r="AB15" i="10"/>
  <c r="AG41" i="10"/>
  <c r="AC15" i="10"/>
  <c r="AC16" i="10" s="1"/>
  <c r="AG15" i="10"/>
  <c r="AD41" i="10"/>
  <c r="AD15" i="10"/>
  <c r="AH15" i="10"/>
  <c r="AI41" i="10"/>
  <c r="AI47" i="10" s="1"/>
  <c r="AE15" i="10"/>
  <c r="AI15" i="10"/>
  <c r="AI16" i="10" s="1"/>
  <c r="AH41" i="10"/>
  <c r="AH43" i="10" s="1"/>
  <c r="AJ41" i="10"/>
  <c r="AJ47" i="10" s="1"/>
  <c r="AF15" i="10"/>
  <c r="AJ15" i="10"/>
  <c r="AJ16" i="10" s="1"/>
  <c r="AI11" i="10"/>
  <c r="AH11" i="10"/>
  <c r="AG11" i="10"/>
  <c r="AK12" i="10" s="1"/>
  <c r="AF11" i="10"/>
  <c r="AE11" i="10"/>
  <c r="AD11" i="10"/>
  <c r="AC11" i="10"/>
  <c r="AB11" i="10"/>
  <c r="AA11" i="10"/>
  <c r="AB13" i="10" s="1"/>
  <c r="Z11" i="10"/>
  <c r="Z13" i="10" s="1"/>
  <c r="Y11" i="10"/>
  <c r="Y13" i="10" s="1"/>
  <c r="AJ11" i="10"/>
  <c r="AK13" i="10" s="1"/>
  <c r="AJ5" i="10"/>
  <c r="AI5" i="10"/>
  <c r="AH5" i="10"/>
  <c r="AG5" i="10"/>
  <c r="AF5" i="10"/>
  <c r="AE5" i="10"/>
  <c r="AD5" i="10"/>
  <c r="AC5" i="10"/>
  <c r="AB5" i="10"/>
  <c r="AA5" i="10"/>
  <c r="Z5" i="10"/>
  <c r="Y5" i="10"/>
  <c r="AJ4" i="10"/>
  <c r="AI4" i="10"/>
  <c r="AH4" i="10"/>
  <c r="AG4" i="10"/>
  <c r="AF4" i="10"/>
  <c r="AE4" i="10"/>
  <c r="AD4" i="10"/>
  <c r="AC4" i="10"/>
  <c r="AB4" i="10"/>
  <c r="AJ59" i="10"/>
  <c r="AI59" i="10"/>
  <c r="AH59" i="10"/>
  <c r="AG59" i="10"/>
  <c r="AF59" i="10"/>
  <c r="AE59" i="10"/>
  <c r="AD59" i="10"/>
  <c r="AC59" i="10"/>
  <c r="AB59" i="10"/>
  <c r="AA59" i="10"/>
  <c r="Z59" i="10"/>
  <c r="Y59" i="10"/>
  <c r="X59" i="10"/>
  <c r="AJ54" i="10"/>
  <c r="AI54" i="10"/>
  <c r="AH54" i="10"/>
  <c r="AG54" i="10"/>
  <c r="AF54" i="10"/>
  <c r="AE54" i="10"/>
  <c r="AD54" i="10"/>
  <c r="AC54" i="10"/>
  <c r="AB54" i="10"/>
  <c r="AA54" i="10"/>
  <c r="Z54" i="10"/>
  <c r="Y54" i="10"/>
  <c r="AJ53" i="10"/>
  <c r="AI53" i="10"/>
  <c r="AH53" i="10"/>
  <c r="AH55" i="10" s="1"/>
  <c r="AG53" i="10"/>
  <c r="AF53" i="10"/>
  <c r="AE53" i="10"/>
  <c r="AD53" i="10"/>
  <c r="AC53" i="10"/>
  <c r="AB53" i="10"/>
  <c r="AA53" i="10"/>
  <c r="Z53" i="10"/>
  <c r="Y53" i="10"/>
  <c r="AJ51" i="10"/>
  <c r="AI51" i="10"/>
  <c r="AH51" i="10"/>
  <c r="AG51" i="10"/>
  <c r="AF51" i="10"/>
  <c r="AE51" i="10"/>
  <c r="AD51" i="10"/>
  <c r="AC51" i="10"/>
  <c r="AB51" i="10"/>
  <c r="AA51" i="10"/>
  <c r="Z51" i="10"/>
  <c r="Y51" i="10"/>
  <c r="X51" i="10"/>
  <c r="AC47" i="10"/>
  <c r="AB47" i="10"/>
  <c r="AA47" i="10"/>
  <c r="Z47" i="10"/>
  <c r="X47" i="10"/>
  <c r="AA43" i="10"/>
  <c r="X43" i="10"/>
  <c r="AG47" i="10"/>
  <c r="AF43" i="10"/>
  <c r="AD47" i="10"/>
  <c r="AB43" i="10"/>
  <c r="Y47" i="10"/>
  <c r="AJ32" i="10"/>
  <c r="AJ39" i="10" s="1"/>
  <c r="AI32" i="10"/>
  <c r="AI39" i="10" s="1"/>
  <c r="AH32" i="10"/>
  <c r="AG32" i="10"/>
  <c r="AG35" i="10" s="1"/>
  <c r="AK36" i="10" s="1"/>
  <c r="AF32" i="10"/>
  <c r="AF35" i="10" s="1"/>
  <c r="AE32" i="10"/>
  <c r="AE35" i="10" s="1"/>
  <c r="AD32" i="10"/>
  <c r="AD33" i="10" s="1"/>
  <c r="AC32" i="10"/>
  <c r="AC39" i="10" s="1"/>
  <c r="AB32" i="10"/>
  <c r="AB33" i="10" s="1"/>
  <c r="AA32" i="10"/>
  <c r="AA39" i="10" s="1"/>
  <c r="Z32" i="10"/>
  <c r="Z33" i="10" s="1"/>
  <c r="Y32" i="10"/>
  <c r="Y35" i="10" s="1"/>
  <c r="X32" i="10"/>
  <c r="X35" i="10" s="1"/>
  <c r="I25" i="10"/>
  <c r="H25" i="10"/>
  <c r="G25" i="10"/>
  <c r="AJ28" i="10"/>
  <c r="AI28" i="10"/>
  <c r="AH28" i="10"/>
  <c r="AG28" i="10"/>
  <c r="AF28" i="10"/>
  <c r="AE28" i="10"/>
  <c r="AD28" i="10"/>
  <c r="AC28" i="10"/>
  <c r="AB28" i="10"/>
  <c r="AA28" i="10"/>
  <c r="Z28" i="10"/>
  <c r="Y28" i="10"/>
  <c r="X28" i="10"/>
  <c r="I22" i="10"/>
  <c r="H22" i="10"/>
  <c r="G22" i="10"/>
  <c r="F22" i="10"/>
  <c r="E22" i="10"/>
  <c r="D22" i="10"/>
  <c r="J22" i="10" s="1"/>
  <c r="C22" i="10"/>
  <c r="AJ25" i="10"/>
  <c r="AI25" i="10"/>
  <c r="AH25" i="10"/>
  <c r="AG25" i="10"/>
  <c r="AF25" i="10"/>
  <c r="AE25" i="10"/>
  <c r="AD25" i="10"/>
  <c r="AC25" i="10"/>
  <c r="AB25" i="10"/>
  <c r="AA25" i="10"/>
  <c r="Z25" i="10"/>
  <c r="Y25" i="10"/>
  <c r="X25" i="10"/>
  <c r="I21" i="10"/>
  <c r="H21" i="10"/>
  <c r="G21" i="10"/>
  <c r="F21" i="10"/>
  <c r="E21" i="10"/>
  <c r="D21" i="10"/>
  <c r="J21" i="10" s="1"/>
  <c r="C21" i="10"/>
  <c r="I20" i="10"/>
  <c r="H20" i="10"/>
  <c r="G20" i="10"/>
  <c r="F20" i="10"/>
  <c r="E20" i="10"/>
  <c r="D20" i="10"/>
  <c r="J20" i="10" s="1"/>
  <c r="I19" i="10"/>
  <c r="H19" i="10"/>
  <c r="G19" i="10"/>
  <c r="F19" i="10"/>
  <c r="E19" i="10"/>
  <c r="D19" i="10"/>
  <c r="J19" i="10" s="1"/>
  <c r="I18" i="10"/>
  <c r="H18" i="10"/>
  <c r="G18" i="10"/>
  <c r="F18" i="10"/>
  <c r="E18" i="10"/>
  <c r="D18" i="10"/>
  <c r="J18" i="10" s="1"/>
  <c r="C18" i="10"/>
  <c r="AH18" i="10"/>
  <c r="AG18" i="10"/>
  <c r="J17" i="10"/>
  <c r="J16" i="10"/>
  <c r="C15" i="10"/>
  <c r="C19" i="10" s="1"/>
  <c r="AJ18" i="10"/>
  <c r="AJ19" i="10" s="1"/>
  <c r="AI18" i="10"/>
  <c r="AI22" i="10" s="1"/>
  <c r="AC18" i="10"/>
  <c r="AC22" i="10" s="1"/>
  <c r="AB18" i="10"/>
  <c r="AB19" i="10" s="1"/>
  <c r="AA18" i="10"/>
  <c r="AA22" i="10" s="1"/>
  <c r="Z18" i="10"/>
  <c r="Z22" i="10" s="1"/>
  <c r="Y18" i="10"/>
  <c r="Y22" i="10" s="1"/>
  <c r="X18" i="10"/>
  <c r="X22" i="10" s="1"/>
  <c r="J14" i="10"/>
  <c r="AH16" i="10"/>
  <c r="AG16" i="10"/>
  <c r="AF16" i="10"/>
  <c r="AE16" i="10"/>
  <c r="AD16" i="10"/>
  <c r="AB16" i="10"/>
  <c r="X16" i="10"/>
  <c r="I12" i="10"/>
  <c r="H12" i="10"/>
  <c r="G12" i="10"/>
  <c r="F12" i="10"/>
  <c r="E12" i="10"/>
  <c r="J12" i="10" s="1"/>
  <c r="D12" i="10"/>
  <c r="N11" i="10"/>
  <c r="I11" i="10"/>
  <c r="H11" i="10"/>
  <c r="G11" i="10"/>
  <c r="F11" i="10"/>
  <c r="E11" i="10"/>
  <c r="D11" i="10"/>
  <c r="J11" i="10" s="1"/>
  <c r="C11" i="10"/>
  <c r="N10" i="10"/>
  <c r="J10" i="10"/>
  <c r="N9" i="10"/>
  <c r="N8" i="10"/>
  <c r="I8" i="10"/>
  <c r="H8" i="10"/>
  <c r="G8" i="10"/>
  <c r="F8" i="10"/>
  <c r="E8" i="10"/>
  <c r="D8" i="10"/>
  <c r="J8" i="10" s="1"/>
  <c r="C8" i="10"/>
  <c r="N7" i="10"/>
  <c r="N6" i="10"/>
  <c r="I6" i="10"/>
  <c r="H6" i="10"/>
  <c r="G6" i="10"/>
  <c r="F6" i="10"/>
  <c r="E6" i="10"/>
  <c r="D6" i="10"/>
  <c r="J6" i="10" s="1"/>
  <c r="C6" i="10"/>
  <c r="AJ9" i="10"/>
  <c r="AI9" i="10"/>
  <c r="AH9" i="10"/>
  <c r="AG9" i="10"/>
  <c r="AF9" i="10"/>
  <c r="AE9" i="10"/>
  <c r="AD9" i="10"/>
  <c r="AC9" i="10"/>
  <c r="AB9" i="10"/>
  <c r="AA9" i="10"/>
  <c r="Z9" i="10"/>
  <c r="Y9" i="10"/>
  <c r="N5" i="10"/>
  <c r="AJ8" i="10"/>
  <c r="AI8" i="10"/>
  <c r="AH8" i="10"/>
  <c r="AG8" i="10"/>
  <c r="AF8" i="10"/>
  <c r="AE8" i="10"/>
  <c r="AD8" i="10"/>
  <c r="AC8" i="10"/>
  <c r="AB8" i="10"/>
  <c r="J4" i="10"/>
  <c r="I4" i="10"/>
  <c r="H4" i="10"/>
  <c r="G4" i="10"/>
  <c r="F4" i="10"/>
  <c r="E4" i="10"/>
  <c r="D4" i="10"/>
  <c r="N3" i="10"/>
  <c r="N2" i="10"/>
  <c r="S14" i="10" s="1"/>
  <c r="AF13" i="10" l="1"/>
  <c r="AH35" i="10"/>
  <c r="D19" i="44"/>
  <c r="AI12" i="10"/>
  <c r="Q2" i="10"/>
  <c r="AE13" i="10"/>
  <c r="AI13" i="10"/>
  <c r="AF12" i="10"/>
  <c r="AJ13" i="10"/>
  <c r="AC12" i="10"/>
  <c r="AC13" i="10"/>
  <c r="O9" i="10"/>
  <c r="N13" i="10"/>
  <c r="N20" i="10" s="1"/>
  <c r="Y55" i="10"/>
  <c r="Z55" i="10"/>
  <c r="AE12" i="10"/>
  <c r="AA13" i="10"/>
  <c r="AB12" i="10"/>
  <c r="AG12" i="10"/>
  <c r="AG13" i="10"/>
  <c r="AD55" i="10"/>
  <c r="AD13" i="10"/>
  <c r="AD12" i="10"/>
  <c r="AH13" i="10"/>
  <c r="AH12" i="10"/>
  <c r="AG55" i="10"/>
  <c r="T14" i="10"/>
  <c r="AJ12" i="10"/>
  <c r="AB22" i="10"/>
  <c r="AB55" i="10"/>
  <c r="AC55" i="10"/>
  <c r="AE55" i="10"/>
  <c r="O10" i="10"/>
  <c r="C20" i="10"/>
  <c r="O11" i="10"/>
  <c r="AI55" i="10"/>
  <c r="AA55" i="10"/>
  <c r="AF55" i="10"/>
  <c r="AJ55" i="10"/>
  <c r="AA33" i="10"/>
  <c r="AC33" i="10"/>
  <c r="AB35" i="10"/>
  <c r="AF36" i="10" s="1"/>
  <c r="AC35" i="10"/>
  <c r="AG36" i="10" s="1"/>
  <c r="Y33" i="10"/>
  <c r="Z35" i="10"/>
  <c r="Z37" i="10" s="1"/>
  <c r="AA35" i="10"/>
  <c r="AE36" i="10" s="1"/>
  <c r="AJ35" i="10"/>
  <c r="AK37" i="10" s="1"/>
  <c r="Y37" i="10"/>
  <c r="AG37" i="10"/>
  <c r="AH19" i="10"/>
  <c r="AH22" i="10"/>
  <c r="AH37" i="10"/>
  <c r="AG22" i="10"/>
  <c r="AG19" i="10"/>
  <c r="AF37" i="10"/>
  <c r="AD39" i="10"/>
  <c r="AD43" i="10"/>
  <c r="AI19" i="10"/>
  <c r="AD35" i="10"/>
  <c r="AE43" i="10"/>
  <c r="X19" i="10"/>
  <c r="AJ22" i="10"/>
  <c r="AG39" i="10"/>
  <c r="Y19" i="10"/>
  <c r="Z19" i="10"/>
  <c r="AA19" i="10"/>
  <c r="AI33" i="10"/>
  <c r="X39" i="10"/>
  <c r="AI43" i="10"/>
  <c r="AH47" i="10"/>
  <c r="AD18" i="10"/>
  <c r="AD19" i="10" s="1"/>
  <c r="X33" i="10"/>
  <c r="AJ33" i="10"/>
  <c r="AI35" i="10"/>
  <c r="Y39" i="10"/>
  <c r="AJ43" i="10"/>
  <c r="Z39" i="10"/>
  <c r="Y43" i="10"/>
  <c r="AE39" i="10"/>
  <c r="AE33" i="10"/>
  <c r="AG33" i="10"/>
  <c r="AH39" i="10"/>
  <c r="AG43" i="10"/>
  <c r="AF47" i="10"/>
  <c r="AH33" i="10"/>
  <c r="AE18" i="10"/>
  <c r="AE19" i="10" s="1"/>
  <c r="AC19" i="10"/>
  <c r="AF18" i="10"/>
  <c r="AF19" i="10" s="1"/>
  <c r="AF39" i="10"/>
  <c r="AF33" i="10"/>
  <c r="AB39" i="10"/>
  <c r="AM39" i="10" l="1"/>
  <c r="H19" i="44" s="1"/>
  <c r="AM40" i="10"/>
  <c r="AM41" i="10" s="1"/>
  <c r="I19" i="44" s="1"/>
  <c r="F19" i="44"/>
  <c r="Q13" i="10"/>
  <c r="Q14" i="10" s="1"/>
  <c r="N14" i="10"/>
  <c r="AB36" i="10"/>
  <c r="AJ37" i="10"/>
  <c r="AE22" i="10"/>
  <c r="AJ36" i="10"/>
  <c r="AC37" i="10"/>
  <c r="AA37" i="10"/>
  <c r="AF22" i="10"/>
  <c r="AC36" i="10"/>
  <c r="AB37" i="10"/>
  <c r="AI36" i="10"/>
  <c r="AI37" i="10"/>
  <c r="AD37" i="10"/>
  <c r="AD36" i="10"/>
  <c r="AH36" i="10"/>
  <c r="AE37" i="10"/>
  <c r="AD22" i="10"/>
  <c r="AI38" i="6" l="1"/>
  <c r="AI37" i="6"/>
  <c r="AI23" i="6"/>
  <c r="AI87" i="6"/>
  <c r="AI85" i="6"/>
  <c r="AI83" i="6"/>
  <c r="AI82" i="6"/>
  <c r="AI77" i="6"/>
  <c r="AI75" i="6"/>
  <c r="AI73" i="6"/>
  <c r="AI72" i="6"/>
  <c r="AI67" i="6"/>
  <c r="AI65" i="6"/>
  <c r="AI63" i="6"/>
  <c r="AI62" i="6"/>
  <c r="AI57" i="6"/>
  <c r="AI52" i="6"/>
  <c r="AI51" i="6"/>
  <c r="AI53" i="6" s="1"/>
  <c r="AI49" i="6"/>
  <c r="AI45" i="6"/>
  <c r="AI28" i="6"/>
  <c r="AI24" i="6"/>
  <c r="AI21" i="6"/>
  <c r="AI18" i="6"/>
  <c r="AI15" i="6"/>
  <c r="AI12" i="6"/>
  <c r="AI9" i="6"/>
  <c r="AI8" i="6"/>
  <c r="AI5" i="6"/>
  <c r="AI4" i="6"/>
  <c r="AH38" i="6"/>
  <c r="AH37" i="6"/>
  <c r="AH43" i="6" s="1"/>
  <c r="AH87" i="6"/>
  <c r="AH85" i="6"/>
  <c r="AH83" i="6"/>
  <c r="AH82" i="6"/>
  <c r="AH77" i="6"/>
  <c r="AH75" i="6"/>
  <c r="AH73" i="6"/>
  <c r="AH72" i="6"/>
  <c r="AH67" i="6"/>
  <c r="AH65" i="6"/>
  <c r="AH63" i="6"/>
  <c r="AH62" i="6"/>
  <c r="AH57" i="6"/>
  <c r="AH51" i="6"/>
  <c r="AH49" i="6"/>
  <c r="AH45" i="6"/>
  <c r="AH28" i="6"/>
  <c r="AH31" i="6" s="1"/>
  <c r="AH24" i="6"/>
  <c r="AH21" i="6"/>
  <c r="AH18" i="6"/>
  <c r="AH15" i="6"/>
  <c r="AH12" i="6"/>
  <c r="AH9" i="6"/>
  <c r="AH8" i="6"/>
  <c r="AH5" i="6"/>
  <c r="AH4" i="6"/>
  <c r="AI31" i="6" l="1"/>
  <c r="D14" i="44"/>
  <c r="AL32" i="6"/>
  <c r="AI39" i="6"/>
  <c r="AI35" i="6"/>
  <c r="AI33" i="6"/>
  <c r="AI43" i="6"/>
  <c r="AI29" i="6"/>
  <c r="AH35" i="6"/>
  <c r="AH39" i="6"/>
  <c r="AH29" i="6"/>
  <c r="AJ33" i="6" l="1"/>
  <c r="F14" i="44"/>
  <c r="Y37" i="7"/>
  <c r="AA37" i="7"/>
  <c r="AB37" i="7"/>
  <c r="X17" i="7"/>
  <c r="X14" i="7" s="1"/>
  <c r="AC37" i="7"/>
  <c r="Y17" i="7"/>
  <c r="Y14" i="7" s="1"/>
  <c r="Z37" i="7"/>
  <c r="Z17" i="7"/>
  <c r="Z14" i="7"/>
  <c r="AE37" i="7"/>
  <c r="AA17" i="7"/>
  <c r="AA14" i="7" s="1"/>
  <c r="AF37" i="7"/>
  <c r="AB17" i="7"/>
  <c r="AB14" i="7" s="1"/>
  <c r="AG37" i="7"/>
  <c r="AC17" i="7"/>
  <c r="AC14" i="7" s="1"/>
  <c r="AG17" i="7"/>
  <c r="AG14" i="7"/>
  <c r="AD37" i="7"/>
  <c r="AD17" i="7"/>
  <c r="AD14" i="7" s="1"/>
  <c r="AH17" i="7"/>
  <c r="AH14" i="7" s="1"/>
  <c r="AH18" i="7" s="1"/>
  <c r="AI37" i="7"/>
  <c r="AI39" i="7" s="1"/>
  <c r="AE17" i="7"/>
  <c r="AI17" i="7"/>
  <c r="AE14" i="7"/>
  <c r="AI14" i="7"/>
  <c r="AI18" i="7" s="1"/>
  <c r="AH37" i="7"/>
  <c r="AH39" i="7" s="1"/>
  <c r="AJ37" i="7"/>
  <c r="AJ43" i="7" s="1"/>
  <c r="AF17" i="7"/>
  <c r="AF14" i="7" s="1"/>
  <c r="AJ17" i="7"/>
  <c r="AJ14" i="7" s="1"/>
  <c r="AJ15" i="7" s="1"/>
  <c r="AJ57" i="7"/>
  <c r="AJ52" i="7"/>
  <c r="AJ51" i="7"/>
  <c r="AJ53" i="7" s="1"/>
  <c r="AJ49" i="7"/>
  <c r="AJ45" i="7"/>
  <c r="AJ28" i="7"/>
  <c r="AJ24" i="7"/>
  <c r="AJ21" i="7"/>
  <c r="AJ12" i="7"/>
  <c r="AJ9" i="7"/>
  <c r="AJ8" i="7"/>
  <c r="AJ5" i="7"/>
  <c r="AJ4" i="7"/>
  <c r="AI57" i="7"/>
  <c r="AI52" i="7"/>
  <c r="AI51" i="7"/>
  <c r="AI49" i="7"/>
  <c r="AI45" i="7"/>
  <c r="AI28" i="7"/>
  <c r="AI29" i="7" s="1"/>
  <c r="AI24" i="7"/>
  <c r="AI21" i="7"/>
  <c r="AI12" i="7"/>
  <c r="AI9" i="7"/>
  <c r="AI8" i="7"/>
  <c r="AI5" i="7"/>
  <c r="AI4" i="7"/>
  <c r="AH57" i="7"/>
  <c r="AH52" i="7"/>
  <c r="AH51" i="7"/>
  <c r="AH49" i="7"/>
  <c r="AH45" i="7"/>
  <c r="AH28" i="7"/>
  <c r="AH31" i="7" s="1"/>
  <c r="AL32" i="7" s="1"/>
  <c r="AH24" i="7"/>
  <c r="AH21" i="7"/>
  <c r="AH12" i="7"/>
  <c r="AH9" i="7"/>
  <c r="AH8" i="7"/>
  <c r="AH5" i="7"/>
  <c r="AH4" i="7"/>
  <c r="AJ31" i="7" l="1"/>
  <c r="AK33" i="7" s="1"/>
  <c r="D17" i="44"/>
  <c r="AH15" i="7"/>
  <c r="AI43" i="7"/>
  <c r="AJ39" i="7"/>
  <c r="AH43" i="7"/>
  <c r="AI35" i="7"/>
  <c r="AI15" i="7"/>
  <c r="AJ35" i="7"/>
  <c r="AH35" i="7"/>
  <c r="AJ29" i="7"/>
  <c r="AJ18" i="7"/>
  <c r="AH53" i="7"/>
  <c r="AI31" i="7"/>
  <c r="F17" i="44" s="1"/>
  <c r="AI53" i="7"/>
  <c r="AH29" i="7"/>
  <c r="AI33" i="7" l="1"/>
  <c r="AM32" i="7"/>
  <c r="AJ33" i="7"/>
  <c r="AI35" i="5" l="1"/>
  <c r="AI17" i="5"/>
  <c r="AI54" i="5"/>
  <c r="AI49" i="5"/>
  <c r="AI48" i="5"/>
  <c r="AI50" i="5" s="1"/>
  <c r="AI46" i="5"/>
  <c r="AI42" i="5"/>
  <c r="AI37" i="5"/>
  <c r="AI26" i="5"/>
  <c r="D10" i="44" s="1"/>
  <c r="AI24" i="5"/>
  <c r="AI21" i="5"/>
  <c r="AI14" i="5"/>
  <c r="AI15" i="5" s="1"/>
  <c r="AI12" i="5"/>
  <c r="AI9" i="5"/>
  <c r="AI8" i="5"/>
  <c r="AI5" i="5"/>
  <c r="AI4" i="5"/>
  <c r="AH35" i="5"/>
  <c r="AH37" i="5" s="1"/>
  <c r="AH17" i="5"/>
  <c r="AH14" i="5" s="1"/>
  <c r="AH15" i="5" s="1"/>
  <c r="AH54" i="5"/>
  <c r="AH49" i="5"/>
  <c r="AH48" i="5"/>
  <c r="AH46" i="5"/>
  <c r="AH42" i="5"/>
  <c r="AH26" i="5"/>
  <c r="AH24" i="5"/>
  <c r="AH21" i="5"/>
  <c r="AH12" i="5"/>
  <c r="AH9" i="5"/>
  <c r="AH8" i="5"/>
  <c r="AH5" i="5"/>
  <c r="AH4" i="5"/>
  <c r="AB72" i="4"/>
  <c r="AB73" i="4" s="1"/>
  <c r="AF72" i="4"/>
  <c r="AF73" i="4" s="1"/>
  <c r="AB63" i="4"/>
  <c r="AB64" i="4" s="1"/>
  <c r="AF63" i="4"/>
  <c r="AF64" i="4" s="1"/>
  <c r="AI73" i="4"/>
  <c r="AH73" i="4"/>
  <c r="AG73" i="4"/>
  <c r="AE73" i="4"/>
  <c r="AD73" i="4"/>
  <c r="AC73" i="4"/>
  <c r="AA73" i="4"/>
  <c r="Z73" i="4"/>
  <c r="AI71" i="4"/>
  <c r="AH71" i="4"/>
  <c r="AG71" i="4"/>
  <c r="AF71" i="4"/>
  <c r="AE71" i="4"/>
  <c r="AD71" i="4"/>
  <c r="AC71" i="4"/>
  <c r="AB71" i="4"/>
  <c r="AA71" i="4"/>
  <c r="Z71" i="4"/>
  <c r="AI69" i="4"/>
  <c r="AH69" i="4"/>
  <c r="AG69" i="4"/>
  <c r="AF69" i="4"/>
  <c r="AE69" i="4"/>
  <c r="AD69" i="4"/>
  <c r="AC69" i="4"/>
  <c r="AB69" i="4"/>
  <c r="AA69" i="4"/>
  <c r="AI68" i="4"/>
  <c r="AH68" i="4"/>
  <c r="AG68" i="4"/>
  <c r="AF68" i="4"/>
  <c r="AE68" i="4"/>
  <c r="AD68" i="4"/>
  <c r="AI64" i="4"/>
  <c r="AH64" i="4"/>
  <c r="AI62" i="4"/>
  <c r="AH62" i="4"/>
  <c r="AI60" i="4"/>
  <c r="AH60" i="4"/>
  <c r="AI59" i="4"/>
  <c r="AH59" i="4"/>
  <c r="AG64" i="4"/>
  <c r="AE64" i="4"/>
  <c r="AD64" i="4"/>
  <c r="AC64" i="4"/>
  <c r="AA64" i="4"/>
  <c r="Z64" i="4"/>
  <c r="AG62" i="4"/>
  <c r="AF62" i="4"/>
  <c r="AE62" i="4"/>
  <c r="AD62" i="4"/>
  <c r="AC62" i="4"/>
  <c r="AB62" i="4"/>
  <c r="AA62" i="4"/>
  <c r="Z62" i="4"/>
  <c r="AG60" i="4"/>
  <c r="AF60" i="4"/>
  <c r="AE60" i="4"/>
  <c r="AD60" i="4"/>
  <c r="AC60" i="4"/>
  <c r="AB60" i="4"/>
  <c r="AA60" i="4"/>
  <c r="AG59" i="4"/>
  <c r="AF59" i="4"/>
  <c r="AE59" i="4"/>
  <c r="AD59" i="4"/>
  <c r="AH35" i="4"/>
  <c r="AH40" i="4" s="1"/>
  <c r="AI35" i="4"/>
  <c r="AI40" i="4" s="1"/>
  <c r="AI23" i="4"/>
  <c r="AI14" i="4"/>
  <c r="AI54" i="4"/>
  <c r="AI49" i="4"/>
  <c r="AI48" i="4"/>
  <c r="AI46" i="4"/>
  <c r="AI21" i="4"/>
  <c r="AI12" i="4"/>
  <c r="AI5" i="4"/>
  <c r="AI4" i="4"/>
  <c r="AH23" i="4"/>
  <c r="AH24" i="4" s="1"/>
  <c r="AH54" i="4"/>
  <c r="AH49" i="4"/>
  <c r="AH48" i="4"/>
  <c r="AH46" i="4"/>
  <c r="AH21" i="4"/>
  <c r="AH14" i="4"/>
  <c r="AH18" i="4" s="1"/>
  <c r="AH12" i="4"/>
  <c r="AH5" i="4"/>
  <c r="AH4" i="4"/>
  <c r="AI40" i="2"/>
  <c r="AI54" i="2"/>
  <c r="AI49" i="2"/>
  <c r="AI48" i="2"/>
  <c r="AI46" i="2"/>
  <c r="AI42" i="2"/>
  <c r="AI26" i="2"/>
  <c r="AI24" i="2"/>
  <c r="AI21" i="2"/>
  <c r="AI14" i="2"/>
  <c r="AI18" i="2" s="1"/>
  <c r="AI12" i="2"/>
  <c r="AI9" i="2"/>
  <c r="AI8" i="2"/>
  <c r="AI5" i="2"/>
  <c r="AI4" i="2"/>
  <c r="AH35" i="2"/>
  <c r="AH37" i="2" s="1"/>
  <c r="AH54" i="2"/>
  <c r="AH49" i="2"/>
  <c r="AH48" i="2"/>
  <c r="AH46" i="2"/>
  <c r="AH42" i="2"/>
  <c r="AH26" i="2"/>
  <c r="AH29" i="2" s="1"/>
  <c r="AH24" i="2"/>
  <c r="AH21" i="2"/>
  <c r="AH14" i="2"/>
  <c r="AH18" i="2" s="1"/>
  <c r="AH12" i="2"/>
  <c r="AH9" i="2"/>
  <c r="AH8" i="2"/>
  <c r="AH5" i="2"/>
  <c r="AH4" i="2"/>
  <c r="AA33" i="2"/>
  <c r="AB38" i="8"/>
  <c r="AF38" i="8"/>
  <c r="AH50" i="4" l="1"/>
  <c r="AH50" i="5"/>
  <c r="AI29" i="2"/>
  <c r="AI15" i="4"/>
  <c r="BE5" i="4"/>
  <c r="BE10" i="4" s="1"/>
  <c r="AI26" i="4"/>
  <c r="AL23" i="4"/>
  <c r="AL30" i="2"/>
  <c r="AI50" i="4"/>
  <c r="AI29" i="5"/>
  <c r="AI33" i="5"/>
  <c r="AH29" i="5"/>
  <c r="AH33" i="5"/>
  <c r="AH40" i="5"/>
  <c r="AI45" i="8"/>
  <c r="AI7" i="8" s="1"/>
  <c r="AI42" i="4"/>
  <c r="AI7" i="4" s="1"/>
  <c r="AI44" i="15"/>
  <c r="AI7" i="15" s="1"/>
  <c r="AI45" i="22"/>
  <c r="AI45" i="34" s="1"/>
  <c r="AI7" i="34" s="1"/>
  <c r="AH44" i="15"/>
  <c r="AH7" i="15" s="1"/>
  <c r="AL8" i="15" s="1"/>
  <c r="AH45" i="8"/>
  <c r="AH7" i="8" s="1"/>
  <c r="AL8" i="8" s="1"/>
  <c r="AH42" i="4"/>
  <c r="AH7" i="4" s="1"/>
  <c r="AL8" i="4" s="1"/>
  <c r="AH45" i="22"/>
  <c r="AH45" i="34" s="1"/>
  <c r="AH7" i="34" s="1"/>
  <c r="AI50" i="2"/>
  <c r="AH50" i="2"/>
  <c r="AI18" i="5"/>
  <c r="AI31" i="5"/>
  <c r="AI40" i="5"/>
  <c r="AI27" i="5"/>
  <c r="AH18" i="5"/>
  <c r="AH27" i="5"/>
  <c r="AI24" i="4"/>
  <c r="AI33" i="4"/>
  <c r="AI18" i="4"/>
  <c r="AI37" i="4"/>
  <c r="AI29" i="4"/>
  <c r="AM30" i="4" s="1"/>
  <c r="AH26" i="4"/>
  <c r="AH33" i="4" s="1"/>
  <c r="AH15" i="4"/>
  <c r="AH37" i="4"/>
  <c r="AH27" i="4"/>
  <c r="AI33" i="2"/>
  <c r="AI31" i="2"/>
  <c r="AI15" i="2"/>
  <c r="AI37" i="2"/>
  <c r="AI27" i="2"/>
  <c r="AH33" i="2"/>
  <c r="AH40" i="2"/>
  <c r="AH27" i="2"/>
  <c r="AH15" i="2"/>
  <c r="AC38" i="8"/>
  <c r="AG38" i="8"/>
  <c r="AD38" i="8"/>
  <c r="AD43" i="8" s="1"/>
  <c r="AI72" i="8"/>
  <c r="AI70" i="8"/>
  <c r="AI69" i="8"/>
  <c r="AI65" i="8"/>
  <c r="AI63" i="8"/>
  <c r="AI62" i="8"/>
  <c r="AH38" i="8"/>
  <c r="AH43" i="8" s="1"/>
  <c r="AE38" i="8"/>
  <c r="AE43" i="8" s="1"/>
  <c r="AI43" i="8"/>
  <c r="AE36" i="8"/>
  <c r="AA36" i="8"/>
  <c r="Y51" i="8"/>
  <c r="Z51" i="8"/>
  <c r="AA51" i="8"/>
  <c r="AB51" i="8"/>
  <c r="AC51" i="8"/>
  <c r="AD51" i="8"/>
  <c r="AE51" i="8"/>
  <c r="AF51" i="8"/>
  <c r="AG51" i="8"/>
  <c r="AG53" i="8" s="1"/>
  <c r="AH51" i="8"/>
  <c r="AI51" i="8"/>
  <c r="Y52" i="8"/>
  <c r="Z52" i="8"/>
  <c r="AA52" i="8"/>
  <c r="AB52" i="8"/>
  <c r="AC52" i="8"/>
  <c r="AD52" i="8"/>
  <c r="AE52" i="8"/>
  <c r="AF52" i="8"/>
  <c r="AG52" i="8"/>
  <c r="AH52" i="8"/>
  <c r="AI52" i="8"/>
  <c r="AI57" i="8"/>
  <c r="AH57" i="8"/>
  <c r="AG57" i="8"/>
  <c r="AF57" i="8"/>
  <c r="AE57" i="8"/>
  <c r="AD57" i="8"/>
  <c r="AC57" i="8"/>
  <c r="AB57" i="8"/>
  <c r="AA57" i="8"/>
  <c r="Z57" i="8"/>
  <c r="Y57" i="8"/>
  <c r="X57" i="8"/>
  <c r="AI49" i="8"/>
  <c r="AH49" i="8"/>
  <c r="AG49" i="8"/>
  <c r="AF49" i="8"/>
  <c r="AE49" i="8"/>
  <c r="AD49" i="8"/>
  <c r="AC49" i="8"/>
  <c r="AB49" i="8"/>
  <c r="AA49" i="8"/>
  <c r="Z49" i="8"/>
  <c r="Y49" i="8"/>
  <c r="X49" i="8"/>
  <c r="AG43" i="8"/>
  <c r="AF43" i="8"/>
  <c r="AC43" i="8"/>
  <c r="AB43" i="8"/>
  <c r="AA43" i="8"/>
  <c r="Z40" i="8"/>
  <c r="Y43" i="8"/>
  <c r="X43" i="8"/>
  <c r="AA32" i="8"/>
  <c r="I25" i="8"/>
  <c r="H25" i="8"/>
  <c r="G25" i="8"/>
  <c r="AI24" i="8"/>
  <c r="AH24" i="8"/>
  <c r="AG24" i="8"/>
  <c r="AF24" i="8"/>
  <c r="AE24" i="8"/>
  <c r="AD24" i="8"/>
  <c r="AC24" i="8"/>
  <c r="AB24" i="8"/>
  <c r="AA24" i="8"/>
  <c r="Z24" i="8"/>
  <c r="Y24" i="8"/>
  <c r="X24" i="8"/>
  <c r="I22" i="8"/>
  <c r="H22" i="8"/>
  <c r="G22" i="8"/>
  <c r="F22" i="8"/>
  <c r="E22" i="8"/>
  <c r="D22" i="8"/>
  <c r="C22" i="8"/>
  <c r="AI21" i="8"/>
  <c r="AH21" i="8"/>
  <c r="AG21" i="8"/>
  <c r="AF21" i="8"/>
  <c r="AE21" i="8"/>
  <c r="AD21" i="8"/>
  <c r="AC21" i="8"/>
  <c r="AB21" i="8"/>
  <c r="AA21" i="8"/>
  <c r="Z21" i="8"/>
  <c r="Y21" i="8"/>
  <c r="X21" i="8"/>
  <c r="I21" i="8"/>
  <c r="H21" i="8"/>
  <c r="G21" i="8"/>
  <c r="F21" i="8"/>
  <c r="E21" i="8"/>
  <c r="D21" i="8"/>
  <c r="C21" i="8"/>
  <c r="G20" i="8"/>
  <c r="G19" i="8"/>
  <c r="AI18" i="8"/>
  <c r="AH18" i="8"/>
  <c r="AG18" i="8"/>
  <c r="AD18" i="8"/>
  <c r="Y18" i="8"/>
  <c r="X18" i="8"/>
  <c r="I18" i="8"/>
  <c r="H18" i="8"/>
  <c r="G18" i="8"/>
  <c r="F18" i="8"/>
  <c r="E18" i="8"/>
  <c r="D18" i="8"/>
  <c r="C18" i="8"/>
  <c r="J17" i="8"/>
  <c r="J16" i="8"/>
  <c r="AI15" i="8"/>
  <c r="AH15" i="8"/>
  <c r="AG15" i="8"/>
  <c r="AD15" i="8"/>
  <c r="AC15" i="8"/>
  <c r="AB15" i="8"/>
  <c r="Y15" i="8"/>
  <c r="X15" i="8"/>
  <c r="I15" i="8"/>
  <c r="I20" i="8" s="1"/>
  <c r="H15" i="8"/>
  <c r="H19" i="8" s="1"/>
  <c r="F15" i="8"/>
  <c r="F20" i="8" s="1"/>
  <c r="E15" i="8"/>
  <c r="E20" i="8" s="1"/>
  <c r="D15" i="8"/>
  <c r="D19" i="8" s="1"/>
  <c r="C15" i="8"/>
  <c r="C19" i="8" s="1"/>
  <c r="AF18" i="8"/>
  <c r="AE18" i="8"/>
  <c r="AC18" i="8"/>
  <c r="AB18" i="8"/>
  <c r="AA18" i="8"/>
  <c r="Z18" i="8"/>
  <c r="J14" i="8"/>
  <c r="AI12" i="8"/>
  <c r="AH12" i="8"/>
  <c r="AG12" i="8"/>
  <c r="AF12" i="8"/>
  <c r="AE12" i="8"/>
  <c r="AD12" i="8"/>
  <c r="AC12" i="8"/>
  <c r="AB12" i="8"/>
  <c r="AA12" i="8"/>
  <c r="Z12" i="8"/>
  <c r="Y12" i="8"/>
  <c r="X12" i="8"/>
  <c r="I12" i="8"/>
  <c r="H12" i="8"/>
  <c r="G12" i="8"/>
  <c r="F12" i="8"/>
  <c r="E12" i="8"/>
  <c r="D12" i="8"/>
  <c r="N11" i="8"/>
  <c r="I11" i="8"/>
  <c r="H11" i="8"/>
  <c r="G11" i="8"/>
  <c r="F11" i="8"/>
  <c r="E11" i="8"/>
  <c r="D11" i="8"/>
  <c r="C11" i="8"/>
  <c r="N10" i="8"/>
  <c r="J10" i="8"/>
  <c r="AA9" i="8"/>
  <c r="Z9" i="8"/>
  <c r="Y9" i="8"/>
  <c r="N9" i="8"/>
  <c r="N8" i="8"/>
  <c r="I8" i="8"/>
  <c r="H8" i="8"/>
  <c r="G8" i="8"/>
  <c r="F8" i="8"/>
  <c r="E8" i="8"/>
  <c r="D8" i="8"/>
  <c r="C8" i="8"/>
  <c r="N7" i="8"/>
  <c r="N6" i="8"/>
  <c r="I6" i="8"/>
  <c r="H6" i="8"/>
  <c r="G6" i="8"/>
  <c r="F6" i="8"/>
  <c r="E6" i="8"/>
  <c r="D6" i="8"/>
  <c r="C6" i="8"/>
  <c r="AI5" i="8"/>
  <c r="AH5" i="8"/>
  <c r="AG5" i="8"/>
  <c r="AF5" i="8"/>
  <c r="AE5" i="8"/>
  <c r="AD5" i="8"/>
  <c r="AC5" i="8"/>
  <c r="AB5" i="8"/>
  <c r="AA5" i="8"/>
  <c r="Z5" i="8"/>
  <c r="Y5" i="8"/>
  <c r="N5" i="8"/>
  <c r="AI4" i="8"/>
  <c r="AH4" i="8"/>
  <c r="AG4" i="8"/>
  <c r="AF4" i="8"/>
  <c r="AE4" i="8"/>
  <c r="AD4" i="8"/>
  <c r="AC4" i="8"/>
  <c r="AB4" i="8"/>
  <c r="J4" i="8"/>
  <c r="I4" i="8"/>
  <c r="H4" i="8"/>
  <c r="G4" i="8"/>
  <c r="F4" i="8"/>
  <c r="E4" i="8"/>
  <c r="D4" i="8"/>
  <c r="N3" i="8"/>
  <c r="N2" i="8"/>
  <c r="T14" i="8" s="1"/>
  <c r="AJ9" i="8" l="1"/>
  <c r="AM8" i="8"/>
  <c r="AJ9" i="15"/>
  <c r="AM8" i="15"/>
  <c r="J11" i="8"/>
  <c r="AA53" i="8"/>
  <c r="AJ31" i="2"/>
  <c r="AM30" i="2"/>
  <c r="F3" i="44"/>
  <c r="AJ31" i="5"/>
  <c r="AM30" i="5"/>
  <c r="F10" i="44"/>
  <c r="AJ9" i="4"/>
  <c r="AM8" i="4"/>
  <c r="AJ31" i="4"/>
  <c r="BE7" i="4"/>
  <c r="AL26" i="4"/>
  <c r="D5" i="44" s="1"/>
  <c r="AL24" i="4"/>
  <c r="AI27" i="4"/>
  <c r="BE6" i="4"/>
  <c r="BE11" i="4" s="1"/>
  <c r="AH29" i="4"/>
  <c r="AI31" i="4" s="1"/>
  <c r="AL30" i="5"/>
  <c r="AI9" i="34"/>
  <c r="AJ9" i="34"/>
  <c r="AB32" i="8"/>
  <c r="AB34" i="8" s="1"/>
  <c r="AB36" i="8"/>
  <c r="AC32" i="8"/>
  <c r="AC36" i="8"/>
  <c r="AD30" i="8"/>
  <c r="AD36" i="8"/>
  <c r="AF32" i="8"/>
  <c r="AJ33" i="8" s="1"/>
  <c r="AF36" i="8"/>
  <c r="AG30" i="8"/>
  <c r="AG36" i="8"/>
  <c r="AH32" i="8"/>
  <c r="AH36" i="8"/>
  <c r="Y53" i="8"/>
  <c r="AI32" i="8"/>
  <c r="AI36" i="8"/>
  <c r="X32" i="8"/>
  <c r="Y32" i="8"/>
  <c r="AC33" i="8" s="1"/>
  <c r="AI9" i="8"/>
  <c r="Z32" i="8"/>
  <c r="AA34" i="8" s="1"/>
  <c r="Z36" i="8"/>
  <c r="AE30" i="8"/>
  <c r="AF53" i="8"/>
  <c r="AH7" i="22"/>
  <c r="AL8" i="22" s="1"/>
  <c r="AH45" i="25"/>
  <c r="AH7" i="25" s="1"/>
  <c r="AI7" i="22"/>
  <c r="AI45" i="25"/>
  <c r="AI9" i="15"/>
  <c r="AI9" i="4"/>
  <c r="D20" i="8"/>
  <c r="AI53" i="8"/>
  <c r="AI40" i="8"/>
  <c r="AH53" i="8"/>
  <c r="AD53" i="8"/>
  <c r="J21" i="8"/>
  <c r="Q2" i="8" s="1"/>
  <c r="AB53" i="8"/>
  <c r="H20" i="8"/>
  <c r="O11" i="8"/>
  <c r="I19" i="8"/>
  <c r="J6" i="8"/>
  <c r="O10" i="8"/>
  <c r="J22" i="8"/>
  <c r="J12" i="8"/>
  <c r="O9" i="8"/>
  <c r="AC53" i="8"/>
  <c r="S14" i="8"/>
  <c r="J18" i="8"/>
  <c r="E19" i="8"/>
  <c r="F19" i="8"/>
  <c r="J8" i="8"/>
  <c r="Z53" i="8"/>
  <c r="AE53" i="8"/>
  <c r="AB33" i="8"/>
  <c r="AD32" i="8"/>
  <c r="N13" i="8"/>
  <c r="Z15" i="8"/>
  <c r="AA15" i="8"/>
  <c r="AC30" i="8"/>
  <c r="AH40" i="8"/>
  <c r="AF30" i="8"/>
  <c r="Y40" i="8"/>
  <c r="Y36" i="8" s="1"/>
  <c r="AE15" i="8"/>
  <c r="AG32" i="8"/>
  <c r="AK33" i="8" s="1"/>
  <c r="Z43" i="8"/>
  <c r="AF15" i="8"/>
  <c r="AH30" i="8"/>
  <c r="AA40" i="8"/>
  <c r="AE32" i="8"/>
  <c r="X40" i="8"/>
  <c r="X36" i="8" s="1"/>
  <c r="AI30" i="8"/>
  <c r="AB40" i="8"/>
  <c r="C20" i="8"/>
  <c r="X30" i="8"/>
  <c r="AC40" i="8"/>
  <c r="Y30" i="8"/>
  <c r="AD40" i="8"/>
  <c r="Z30" i="8"/>
  <c r="AE40" i="8"/>
  <c r="AA30" i="8"/>
  <c r="AF40" i="8"/>
  <c r="AB30" i="8"/>
  <c r="AG40" i="8"/>
  <c r="C47" i="3"/>
  <c r="C49" i="3" s="1"/>
  <c r="C39" i="3"/>
  <c r="C53" i="3"/>
  <c r="C45" i="3"/>
  <c r="C41" i="3"/>
  <c r="H38" i="3" s="1"/>
  <c r="C24" i="3"/>
  <c r="C22" i="3"/>
  <c r="C19" i="3"/>
  <c r="C16" i="3"/>
  <c r="C4" i="3"/>
  <c r="B34" i="3"/>
  <c r="B33" i="3"/>
  <c r="B39" i="3" s="1"/>
  <c r="B53" i="3"/>
  <c r="B47" i="3"/>
  <c r="B45" i="3"/>
  <c r="B41" i="3"/>
  <c r="B24" i="3"/>
  <c r="B22" i="3"/>
  <c r="B19" i="3"/>
  <c r="B16" i="3"/>
  <c r="B13" i="3"/>
  <c r="B10" i="3"/>
  <c r="AF57" i="7"/>
  <c r="AE57" i="7"/>
  <c r="AD57" i="7"/>
  <c r="AA57" i="7"/>
  <c r="Z57" i="7"/>
  <c r="Y57" i="7"/>
  <c r="X57" i="7"/>
  <c r="AG57" i="7"/>
  <c r="AF52" i="7"/>
  <c r="AE52" i="7"/>
  <c r="AD52" i="7"/>
  <c r="AC57" i="7"/>
  <c r="AB52" i="7"/>
  <c r="AG52" i="7"/>
  <c r="AA52" i="7"/>
  <c r="Z52" i="7"/>
  <c r="Y52" i="7"/>
  <c r="AG51" i="7"/>
  <c r="AG53" i="7" s="1"/>
  <c r="AF51" i="7"/>
  <c r="AE51" i="7"/>
  <c r="AD51" i="7"/>
  <c r="AC51" i="7"/>
  <c r="AB51" i="7"/>
  <c r="AA51" i="7"/>
  <c r="Z51" i="7"/>
  <c r="Y51" i="7"/>
  <c r="AG49" i="7"/>
  <c r="AF49" i="7"/>
  <c r="AE49" i="7"/>
  <c r="AD49" i="7"/>
  <c r="AC49" i="7"/>
  <c r="AB49" i="7"/>
  <c r="AA49" i="7"/>
  <c r="Z49" i="7"/>
  <c r="Y49" i="7"/>
  <c r="X49" i="7"/>
  <c r="AG45" i="7"/>
  <c r="AF45" i="7"/>
  <c r="AE45" i="7"/>
  <c r="AD45" i="7"/>
  <c r="AC45" i="7"/>
  <c r="AB45" i="7"/>
  <c r="AA45" i="7"/>
  <c r="Z45" i="7"/>
  <c r="Y45" i="7"/>
  <c r="X45" i="7"/>
  <c r="AC43" i="7"/>
  <c r="AB43" i="7"/>
  <c r="AA43" i="7"/>
  <c r="Y43" i="7"/>
  <c r="X43" i="7"/>
  <c r="AG39" i="7"/>
  <c r="AC39" i="7"/>
  <c r="AB39" i="7"/>
  <c r="AA39" i="7"/>
  <c r="Y39" i="7"/>
  <c r="X39" i="7"/>
  <c r="AG43" i="7"/>
  <c r="AF39" i="7"/>
  <c r="AE39" i="7"/>
  <c r="AD43" i="7"/>
  <c r="Z39" i="7"/>
  <c r="AG28" i="7"/>
  <c r="AF28" i="7"/>
  <c r="AE28" i="7"/>
  <c r="AD28" i="7"/>
  <c r="AC28" i="7"/>
  <c r="AB28" i="7"/>
  <c r="Z28" i="7"/>
  <c r="Y28" i="7"/>
  <c r="Y35" i="7" s="1"/>
  <c r="X28" i="7"/>
  <c r="X35" i="7" s="1"/>
  <c r="I25" i="7"/>
  <c r="H25" i="7"/>
  <c r="G25" i="7"/>
  <c r="AG24" i="7"/>
  <c r="AE24" i="7"/>
  <c r="AD24" i="7"/>
  <c r="AC24" i="7"/>
  <c r="AB24" i="7"/>
  <c r="Z24" i="7"/>
  <c r="Y24" i="7"/>
  <c r="X24" i="7"/>
  <c r="AF24" i="7"/>
  <c r="AA28" i="7"/>
  <c r="AA35" i="7" s="1"/>
  <c r="I22" i="7"/>
  <c r="H22" i="7"/>
  <c r="G22" i="7"/>
  <c r="F22" i="7"/>
  <c r="E22" i="7"/>
  <c r="D22" i="7"/>
  <c r="J22" i="7" s="1"/>
  <c r="C22" i="7"/>
  <c r="AG21" i="7"/>
  <c r="AF21" i="7"/>
  <c r="AE21" i="7"/>
  <c r="AD21" i="7"/>
  <c r="AC21" i="7"/>
  <c r="AB21" i="7"/>
  <c r="AA21" i="7"/>
  <c r="Z21" i="7"/>
  <c r="Y21" i="7"/>
  <c r="X21" i="7"/>
  <c r="I21" i="7"/>
  <c r="H21" i="7"/>
  <c r="G21" i="7"/>
  <c r="F21" i="7"/>
  <c r="E21" i="7"/>
  <c r="D21" i="7"/>
  <c r="J21" i="7" s="1"/>
  <c r="C21" i="7"/>
  <c r="I20" i="7"/>
  <c r="H20" i="7"/>
  <c r="G20" i="7"/>
  <c r="F20" i="7"/>
  <c r="E20" i="7"/>
  <c r="D20" i="7"/>
  <c r="J20" i="7" s="1"/>
  <c r="I19" i="7"/>
  <c r="H19" i="7"/>
  <c r="G19" i="7"/>
  <c r="F19" i="7"/>
  <c r="E19" i="7"/>
  <c r="D19" i="7"/>
  <c r="J19" i="7" s="1"/>
  <c r="AE18" i="7"/>
  <c r="AD18" i="7"/>
  <c r="AC18" i="7"/>
  <c r="AB18" i="7"/>
  <c r="AA18" i="7"/>
  <c r="Z18" i="7"/>
  <c r="Y18" i="7"/>
  <c r="X18" i="7"/>
  <c r="I18" i="7"/>
  <c r="H18" i="7"/>
  <c r="G18" i="7"/>
  <c r="F18" i="7"/>
  <c r="E18" i="7"/>
  <c r="D18" i="7"/>
  <c r="C18" i="7"/>
  <c r="AG18" i="7"/>
  <c r="AF18" i="7"/>
  <c r="J17" i="7"/>
  <c r="J16" i="7"/>
  <c r="AG15" i="7"/>
  <c r="AF15" i="7"/>
  <c r="AE15" i="7"/>
  <c r="AD15" i="7"/>
  <c r="AC15" i="7"/>
  <c r="AB15" i="7"/>
  <c r="AA15" i="7"/>
  <c r="Z15" i="7"/>
  <c r="Y15" i="7"/>
  <c r="X15" i="7"/>
  <c r="C15" i="7"/>
  <c r="C19" i="7" s="1"/>
  <c r="J14" i="7"/>
  <c r="AG12" i="7"/>
  <c r="AF12" i="7"/>
  <c r="AE12" i="7"/>
  <c r="AD12" i="7"/>
  <c r="AC12" i="7"/>
  <c r="AB12" i="7"/>
  <c r="AA12" i="7"/>
  <c r="Z12" i="7"/>
  <c r="Y12" i="7"/>
  <c r="X12" i="7"/>
  <c r="I12" i="7"/>
  <c r="H12" i="7"/>
  <c r="G12" i="7"/>
  <c r="F12" i="7"/>
  <c r="E12" i="7"/>
  <c r="D12" i="7"/>
  <c r="N11" i="7"/>
  <c r="I11" i="7"/>
  <c r="H11" i="7"/>
  <c r="G11" i="7"/>
  <c r="F11" i="7"/>
  <c r="E11" i="7"/>
  <c r="D11" i="7"/>
  <c r="J11" i="7" s="1"/>
  <c r="C11" i="7"/>
  <c r="N10" i="7"/>
  <c r="J10" i="7"/>
  <c r="AG9" i="7"/>
  <c r="AF9" i="7"/>
  <c r="AE9" i="7"/>
  <c r="AD9" i="7"/>
  <c r="AC9" i="7"/>
  <c r="AB9" i="7"/>
  <c r="AA9" i="7"/>
  <c r="Z9" i="7"/>
  <c r="Y9" i="7"/>
  <c r="N9" i="7"/>
  <c r="AG8" i="7"/>
  <c r="AF8" i="7"/>
  <c r="AE8" i="7"/>
  <c r="AD8" i="7"/>
  <c r="AC8" i="7"/>
  <c r="AB8" i="7"/>
  <c r="N8" i="7"/>
  <c r="I8" i="7"/>
  <c r="H8" i="7"/>
  <c r="G8" i="7"/>
  <c r="F8" i="7"/>
  <c r="E8" i="7"/>
  <c r="D8" i="7"/>
  <c r="J8" i="7" s="1"/>
  <c r="C8" i="7"/>
  <c r="N7" i="7"/>
  <c r="N6" i="7"/>
  <c r="I6" i="7"/>
  <c r="H6" i="7"/>
  <c r="G6" i="7"/>
  <c r="F6" i="7"/>
  <c r="E6" i="7"/>
  <c r="D6" i="7"/>
  <c r="J6" i="7" s="1"/>
  <c r="C6" i="7"/>
  <c r="AG5" i="7"/>
  <c r="AF5" i="7"/>
  <c r="AE5" i="7"/>
  <c r="AD5" i="7"/>
  <c r="AC5" i="7"/>
  <c r="AB5" i="7"/>
  <c r="AA5" i="7"/>
  <c r="Z5" i="7"/>
  <c r="Y5" i="7"/>
  <c r="N5" i="7"/>
  <c r="AG4" i="7"/>
  <c r="AF4" i="7"/>
  <c r="AE4" i="7"/>
  <c r="AD4" i="7"/>
  <c r="AC4" i="7"/>
  <c r="AB4" i="7"/>
  <c r="J4" i="7"/>
  <c r="I4" i="7"/>
  <c r="H4" i="7"/>
  <c r="G4" i="7"/>
  <c r="F4" i="7"/>
  <c r="E4" i="7"/>
  <c r="D4" i="7"/>
  <c r="N3" i="7"/>
  <c r="N2" i="7"/>
  <c r="T14" i="7" s="1"/>
  <c r="D4" i="44" l="1"/>
  <c r="C31" i="3"/>
  <c r="AJ9" i="22"/>
  <c r="AM8" i="22"/>
  <c r="B49" i="3"/>
  <c r="AN36" i="8"/>
  <c r="AN37" i="8"/>
  <c r="AN38" i="8" s="1"/>
  <c r="I7" i="44" s="1"/>
  <c r="AF33" i="8"/>
  <c r="AC34" i="8"/>
  <c r="AJ34" i="8"/>
  <c r="AN41" i="8"/>
  <c r="F7" i="44"/>
  <c r="BH6" i="4"/>
  <c r="BH11" i="4" s="1"/>
  <c r="AL29" i="4"/>
  <c r="AL33" i="4"/>
  <c r="AL27" i="4"/>
  <c r="Y34" i="8"/>
  <c r="H7" i="44"/>
  <c r="AL33" i="8"/>
  <c r="AI34" i="8"/>
  <c r="AF34" i="8"/>
  <c r="AH33" i="8"/>
  <c r="J20" i="8"/>
  <c r="Z34" i="8"/>
  <c r="AH34" i="8"/>
  <c r="C25" i="3"/>
  <c r="B25" i="3"/>
  <c r="B31" i="3"/>
  <c r="O9" i="7"/>
  <c r="AI9" i="22"/>
  <c r="AI7" i="25"/>
  <c r="AF29" i="7"/>
  <c r="AF35" i="7"/>
  <c r="X31" i="7"/>
  <c r="Y53" i="7"/>
  <c r="Y31" i="7"/>
  <c r="Y33" i="7" s="1"/>
  <c r="Z53" i="7"/>
  <c r="Z29" i="7"/>
  <c r="Z35" i="7"/>
  <c r="AO35" i="7" s="1"/>
  <c r="AB53" i="7"/>
  <c r="AB29" i="7"/>
  <c r="AB35" i="7"/>
  <c r="AC29" i="7"/>
  <c r="AC35" i="7"/>
  <c r="AG29" i="7"/>
  <c r="AG35" i="7"/>
  <c r="AD31" i="7"/>
  <c r="AH32" i="7" s="1"/>
  <c r="AD35" i="7"/>
  <c r="AE31" i="7"/>
  <c r="AI32" i="7" s="1"/>
  <c r="AE35" i="7"/>
  <c r="J12" i="7"/>
  <c r="J18" i="7"/>
  <c r="O10" i="7"/>
  <c r="X29" i="7"/>
  <c r="Y29" i="7"/>
  <c r="AD53" i="7"/>
  <c r="AE53" i="7"/>
  <c r="AF53" i="7"/>
  <c r="AG31" i="7"/>
  <c r="Q2" i="7"/>
  <c r="AF31" i="7"/>
  <c r="AJ32" i="7" s="1"/>
  <c r="C20" i="7"/>
  <c r="J19" i="8"/>
  <c r="AI33" i="8"/>
  <c r="AG34" i="8"/>
  <c r="AG33" i="8"/>
  <c r="AE33" i="8"/>
  <c r="AE34" i="8"/>
  <c r="N20" i="8"/>
  <c r="N14" i="8"/>
  <c r="Q13" i="8"/>
  <c r="Q14" i="8" s="1"/>
  <c r="AD33" i="8"/>
  <c r="AD34" i="8"/>
  <c r="C27" i="3"/>
  <c r="G28" i="3" s="1"/>
  <c r="B27" i="3"/>
  <c r="B35" i="3"/>
  <c r="O11" i="7"/>
  <c r="N13" i="7"/>
  <c r="N20" i="7" s="1"/>
  <c r="AA53" i="7"/>
  <c r="Z31" i="7"/>
  <c r="AD29" i="7"/>
  <c r="AE29" i="7"/>
  <c r="AA31" i="7"/>
  <c r="AA33" i="7" s="1"/>
  <c r="AA29" i="7"/>
  <c r="Z43" i="7"/>
  <c r="S14" i="7"/>
  <c r="AE43" i="7"/>
  <c r="AC52" i="7"/>
  <c r="AC53" i="7" s="1"/>
  <c r="AC31" i="7"/>
  <c r="AD39" i="7"/>
  <c r="AF43" i="7"/>
  <c r="AB31" i="7"/>
  <c r="AA24" i="7"/>
  <c r="AB57" i="7"/>
  <c r="AO36" i="7" l="1"/>
  <c r="H17" i="44"/>
  <c r="AM31" i="4"/>
  <c r="F5" i="44"/>
  <c r="D29" i="3"/>
  <c r="F4" i="44"/>
  <c r="BH7" i="4"/>
  <c r="AL31" i="4"/>
  <c r="AL30" i="4"/>
  <c r="AO37" i="7"/>
  <c r="I17" i="44" s="1"/>
  <c r="AI9" i="25"/>
  <c r="AJ9" i="25"/>
  <c r="Z33" i="7"/>
  <c r="AE33" i="7"/>
  <c r="AH33" i="7"/>
  <c r="AK32" i="7"/>
  <c r="AE32" i="7"/>
  <c r="AF32" i="7"/>
  <c r="AG32" i="7"/>
  <c r="AF33" i="7"/>
  <c r="AD33" i="7"/>
  <c r="AD32" i="7"/>
  <c r="AG33" i="7"/>
  <c r="C29" i="3"/>
  <c r="Q13" i="7"/>
  <c r="Q14" i="7" s="1"/>
  <c r="N14" i="7"/>
  <c r="AB33" i="7"/>
  <c r="AB32" i="7"/>
  <c r="AC33" i="7"/>
  <c r="AC32" i="7"/>
  <c r="AG87" i="6" l="1"/>
  <c r="AF87" i="6"/>
  <c r="AE87" i="6"/>
  <c r="AD87" i="6"/>
  <c r="AC87" i="6"/>
  <c r="AB87" i="6"/>
  <c r="AA87" i="6"/>
  <c r="Z87" i="6"/>
  <c r="AG85" i="6"/>
  <c r="AF85" i="6"/>
  <c r="AE85" i="6"/>
  <c r="AD85" i="6"/>
  <c r="AC85" i="6"/>
  <c r="AB85" i="6"/>
  <c r="AA85" i="6"/>
  <c r="Z85" i="6"/>
  <c r="AG77" i="6"/>
  <c r="AF77" i="6"/>
  <c r="AE77" i="6"/>
  <c r="AD77" i="6"/>
  <c r="AC77" i="6"/>
  <c r="AB77" i="6"/>
  <c r="AA77" i="6"/>
  <c r="Z77" i="6"/>
  <c r="AG75" i="6"/>
  <c r="AF75" i="6"/>
  <c r="AE75" i="6"/>
  <c r="AD75" i="6"/>
  <c r="AC75" i="6"/>
  <c r="AB75" i="6"/>
  <c r="AA75" i="6"/>
  <c r="Z75" i="6"/>
  <c r="AF67" i="6"/>
  <c r="AE67" i="6"/>
  <c r="AD67" i="6"/>
  <c r="AC67" i="6"/>
  <c r="AB67" i="6"/>
  <c r="AA67" i="6"/>
  <c r="Z67" i="6"/>
  <c r="AG67" i="6"/>
  <c r="AF65" i="6"/>
  <c r="AE65" i="6"/>
  <c r="AD65" i="6"/>
  <c r="AC65" i="6"/>
  <c r="AB65" i="6"/>
  <c r="AA65" i="6"/>
  <c r="Z65" i="6"/>
  <c r="AG65" i="6"/>
  <c r="AG83" i="6"/>
  <c r="AF83" i="6"/>
  <c r="AE83" i="6"/>
  <c r="AD83" i="6"/>
  <c r="AC83" i="6"/>
  <c r="AB83" i="6"/>
  <c r="AA83" i="6"/>
  <c r="AG82" i="6"/>
  <c r="AF82" i="6"/>
  <c r="AE82" i="6"/>
  <c r="AD82" i="6"/>
  <c r="AG73" i="6"/>
  <c r="AF73" i="6"/>
  <c r="AE73" i="6"/>
  <c r="AD73" i="6"/>
  <c r="AC73" i="6"/>
  <c r="AB73" i="6"/>
  <c r="AA73" i="6"/>
  <c r="AG72" i="6"/>
  <c r="AF72" i="6"/>
  <c r="AE72" i="6"/>
  <c r="AD72" i="6"/>
  <c r="AG63" i="6"/>
  <c r="AF63" i="6"/>
  <c r="AE63" i="6"/>
  <c r="AD63" i="6"/>
  <c r="AC63" i="6"/>
  <c r="AB63" i="6"/>
  <c r="AA63" i="6"/>
  <c r="AG62" i="6"/>
  <c r="AF62" i="6"/>
  <c r="AE62" i="6"/>
  <c r="AD62" i="6"/>
  <c r="Z56" i="6"/>
  <c r="AD56" i="6"/>
  <c r="Z38" i="6"/>
  <c r="Z37" i="6"/>
  <c r="AA56" i="6"/>
  <c r="AE56" i="6"/>
  <c r="AE38" i="6"/>
  <c r="AE37" i="6"/>
  <c r="AA23" i="6"/>
  <c r="AA28" i="6" s="1"/>
  <c r="AA35" i="6" s="1"/>
  <c r="AA17" i="6"/>
  <c r="AE17" i="6"/>
  <c r="AB56" i="6"/>
  <c r="AF56" i="6"/>
  <c r="AF38" i="6"/>
  <c r="AF37" i="6"/>
  <c r="AF23" i="6"/>
  <c r="AF28" i="6" s="1"/>
  <c r="AF35" i="6" s="1"/>
  <c r="AB17" i="6"/>
  <c r="AF17" i="6"/>
  <c r="AC56" i="6"/>
  <c r="AG56" i="6"/>
  <c r="AH52" i="6" s="1"/>
  <c r="AH53" i="6" s="1"/>
  <c r="AD38" i="6"/>
  <c r="AG38" i="6"/>
  <c r="AD37" i="6"/>
  <c r="AG37" i="6"/>
  <c r="AE28" i="6"/>
  <c r="AE35" i="6" s="1"/>
  <c r="AD28" i="6"/>
  <c r="AD35" i="6" s="1"/>
  <c r="AB28" i="6"/>
  <c r="AB35" i="6" s="1"/>
  <c r="Z28" i="6"/>
  <c r="Z35" i="6" s="1"/>
  <c r="Y28" i="6"/>
  <c r="X28" i="6"/>
  <c r="AC23" i="6"/>
  <c r="AC28" i="6" s="1"/>
  <c r="AC35" i="6" s="1"/>
  <c r="AC17" i="6"/>
  <c r="AG23" i="6"/>
  <c r="AG28" i="6" s="1"/>
  <c r="AG35" i="6" s="1"/>
  <c r="AG17" i="6"/>
  <c r="AN35" i="6" l="1"/>
  <c r="AN36" i="6"/>
  <c r="H14" i="44"/>
  <c r="AN37" i="6"/>
  <c r="I14" i="44" s="1"/>
  <c r="AG57" i="6"/>
  <c r="AF57" i="6"/>
  <c r="AE57" i="6"/>
  <c r="AD57" i="6"/>
  <c r="AC57" i="6"/>
  <c r="AB57" i="6"/>
  <c r="AA57" i="6"/>
  <c r="Z57" i="6"/>
  <c r="Y57" i="6"/>
  <c r="X57" i="6"/>
  <c r="AG52" i="6"/>
  <c r="AF52" i="6"/>
  <c r="AE52" i="6"/>
  <c r="AD52" i="6"/>
  <c r="AC52" i="6"/>
  <c r="AB52" i="6"/>
  <c r="AA52" i="6"/>
  <c r="Z52" i="6"/>
  <c r="Y52" i="6"/>
  <c r="AG51" i="6"/>
  <c r="AF51" i="6"/>
  <c r="AE51" i="6"/>
  <c r="AD51" i="6"/>
  <c r="AC51" i="6"/>
  <c r="AB51" i="6"/>
  <c r="AA51" i="6"/>
  <c r="Z51" i="6"/>
  <c r="Y51" i="6"/>
  <c r="AG49" i="6"/>
  <c r="AF49" i="6"/>
  <c r="AE49" i="6"/>
  <c r="AD49" i="6"/>
  <c r="AC49" i="6"/>
  <c r="AB49" i="6"/>
  <c r="AA49" i="6"/>
  <c r="Z49" i="6"/>
  <c r="Y49" i="6"/>
  <c r="X49" i="6"/>
  <c r="AG45" i="6"/>
  <c r="AF45" i="6"/>
  <c r="AE45" i="6"/>
  <c r="AD45" i="6"/>
  <c r="AC45" i="6"/>
  <c r="AB45" i="6"/>
  <c r="AA45" i="6"/>
  <c r="Z45" i="6"/>
  <c r="Y45" i="6"/>
  <c r="X45" i="6"/>
  <c r="AE43" i="6"/>
  <c r="Z43" i="6"/>
  <c r="Y43" i="6"/>
  <c r="X43" i="6"/>
  <c r="AG39" i="6"/>
  <c r="AF39" i="6"/>
  <c r="AC39" i="6"/>
  <c r="Z39" i="6"/>
  <c r="Y39" i="6"/>
  <c r="Y35" i="6" s="1"/>
  <c r="X39" i="6"/>
  <c r="X35" i="6" s="1"/>
  <c r="AG43" i="6"/>
  <c r="AF43" i="6"/>
  <c r="AE39" i="6"/>
  <c r="AD43" i="6"/>
  <c r="AC43" i="6"/>
  <c r="AB39" i="6"/>
  <c r="AA39" i="6"/>
  <c r="AE31" i="6"/>
  <c r="AI32" i="6" s="1"/>
  <c r="AD31" i="6"/>
  <c r="AH32" i="6" s="1"/>
  <c r="AG29" i="6"/>
  <c r="AF31" i="6"/>
  <c r="AJ32" i="6" s="1"/>
  <c r="AE29" i="6"/>
  <c r="AD29" i="6"/>
  <c r="AC31" i="6"/>
  <c r="AB31" i="6"/>
  <c r="AA31" i="6"/>
  <c r="Z29" i="6"/>
  <c r="Y31" i="6"/>
  <c r="X31" i="6"/>
  <c r="I25" i="6"/>
  <c r="H25" i="6"/>
  <c r="G25" i="6"/>
  <c r="AG24" i="6"/>
  <c r="AF24" i="6"/>
  <c r="AE24" i="6"/>
  <c r="AD24" i="6"/>
  <c r="AC24" i="6"/>
  <c r="AB24" i="6"/>
  <c r="AA24" i="6"/>
  <c r="Z24" i="6"/>
  <c r="Y24" i="6"/>
  <c r="X24" i="6"/>
  <c r="I22" i="6"/>
  <c r="H22" i="6"/>
  <c r="G22" i="6"/>
  <c r="F22" i="6"/>
  <c r="E22" i="6"/>
  <c r="D22" i="6"/>
  <c r="J22" i="6" s="1"/>
  <c r="C22" i="6"/>
  <c r="AG21" i="6"/>
  <c r="AF21" i="6"/>
  <c r="AE21" i="6"/>
  <c r="AD21" i="6"/>
  <c r="AC21" i="6"/>
  <c r="AB21" i="6"/>
  <c r="AA21" i="6"/>
  <c r="Z21" i="6"/>
  <c r="Y21" i="6"/>
  <c r="X21" i="6"/>
  <c r="I21" i="6"/>
  <c r="H21" i="6"/>
  <c r="G21" i="6"/>
  <c r="F21" i="6"/>
  <c r="E21" i="6"/>
  <c r="D21" i="6"/>
  <c r="J21" i="6" s="1"/>
  <c r="C21" i="6"/>
  <c r="I20" i="6"/>
  <c r="H20" i="6"/>
  <c r="G20" i="6"/>
  <c r="F20" i="6"/>
  <c r="E20" i="6"/>
  <c r="D20" i="6"/>
  <c r="J20" i="6" s="1"/>
  <c r="I19" i="6"/>
  <c r="H19" i="6"/>
  <c r="G19" i="6"/>
  <c r="F19" i="6"/>
  <c r="E19" i="6"/>
  <c r="D19" i="6"/>
  <c r="J19" i="6" s="1"/>
  <c r="I18" i="6"/>
  <c r="H18" i="6"/>
  <c r="G18" i="6"/>
  <c r="F18" i="6"/>
  <c r="E18" i="6"/>
  <c r="D18" i="6"/>
  <c r="J18" i="6" s="1"/>
  <c r="C18" i="6"/>
  <c r="J17" i="6"/>
  <c r="J16" i="6"/>
  <c r="C15" i="6"/>
  <c r="C19" i="6" s="1"/>
  <c r="AG15" i="6"/>
  <c r="AF18" i="6"/>
  <c r="AE15" i="6"/>
  <c r="AD15" i="6"/>
  <c r="Y18" i="6"/>
  <c r="X18" i="6"/>
  <c r="J14" i="6"/>
  <c r="AG12" i="6"/>
  <c r="AF12" i="6"/>
  <c r="AE12" i="6"/>
  <c r="AD12" i="6"/>
  <c r="AC12" i="6"/>
  <c r="AB12" i="6"/>
  <c r="AA12" i="6"/>
  <c r="Z12" i="6"/>
  <c r="Y12" i="6"/>
  <c r="X12" i="6"/>
  <c r="I12" i="6"/>
  <c r="H12" i="6"/>
  <c r="G12" i="6"/>
  <c r="F12" i="6"/>
  <c r="E12" i="6"/>
  <c r="D12" i="6"/>
  <c r="N11" i="6"/>
  <c r="I11" i="6"/>
  <c r="H11" i="6"/>
  <c r="G11" i="6"/>
  <c r="F11" i="6"/>
  <c r="E11" i="6"/>
  <c r="D11" i="6"/>
  <c r="J11" i="6" s="1"/>
  <c r="C11" i="6"/>
  <c r="N10" i="6"/>
  <c r="J10" i="6"/>
  <c r="AG9" i="6"/>
  <c r="AF9" i="6"/>
  <c r="AE9" i="6"/>
  <c r="AD9" i="6"/>
  <c r="AC9" i="6"/>
  <c r="AB9" i="6"/>
  <c r="AA9" i="6"/>
  <c r="Z9" i="6"/>
  <c r="Y9" i="6"/>
  <c r="N9" i="6"/>
  <c r="AG8" i="6"/>
  <c r="AF8" i="6"/>
  <c r="AE8" i="6"/>
  <c r="AD8" i="6"/>
  <c r="AC8" i="6"/>
  <c r="AB8" i="6"/>
  <c r="N8" i="6"/>
  <c r="I8" i="6"/>
  <c r="H8" i="6"/>
  <c r="G8" i="6"/>
  <c r="F8" i="6"/>
  <c r="E8" i="6"/>
  <c r="D8" i="6"/>
  <c r="J8" i="6" s="1"/>
  <c r="C8" i="6"/>
  <c r="N7" i="6"/>
  <c r="N6" i="6"/>
  <c r="I6" i="6"/>
  <c r="H6" i="6"/>
  <c r="G6" i="6"/>
  <c r="F6" i="6"/>
  <c r="E6" i="6"/>
  <c r="D6" i="6"/>
  <c r="J6" i="6" s="1"/>
  <c r="C6" i="6"/>
  <c r="AG5" i="6"/>
  <c r="AF5" i="6"/>
  <c r="AE5" i="6"/>
  <c r="AD5" i="6"/>
  <c r="AC5" i="6"/>
  <c r="AB5" i="6"/>
  <c r="AA5" i="6"/>
  <c r="Z5" i="6"/>
  <c r="Y5" i="6"/>
  <c r="N5" i="6"/>
  <c r="AG4" i="6"/>
  <c r="AF4" i="6"/>
  <c r="AE4" i="6"/>
  <c r="AD4" i="6"/>
  <c r="AC4" i="6"/>
  <c r="AB4" i="6"/>
  <c r="J4" i="6"/>
  <c r="I4" i="6"/>
  <c r="H4" i="6"/>
  <c r="G4" i="6"/>
  <c r="F4" i="6"/>
  <c r="E4" i="6"/>
  <c r="D4" i="6"/>
  <c r="N3" i="6"/>
  <c r="N2" i="6"/>
  <c r="T14" i="6" s="1"/>
  <c r="Y53" i="6" l="1"/>
  <c r="O10" i="6"/>
  <c r="O9" i="6"/>
  <c r="J12" i="6"/>
  <c r="O11" i="6"/>
  <c r="AB53" i="6"/>
  <c r="AF53" i="6"/>
  <c r="X15" i="6"/>
  <c r="X29" i="6"/>
  <c r="Y15" i="6"/>
  <c r="N13" i="6"/>
  <c r="N20" i="6" s="1"/>
  <c r="S14" i="6"/>
  <c r="AA53" i="6"/>
  <c r="Z53" i="6"/>
  <c r="AC53" i="6"/>
  <c r="AD53" i="6"/>
  <c r="AG53" i="6"/>
  <c r="AE53" i="6"/>
  <c r="AG18" i="6"/>
  <c r="AA29" i="6"/>
  <c r="AF33" i="6"/>
  <c r="AB29" i="6"/>
  <c r="AC29" i="6"/>
  <c r="AF29" i="6"/>
  <c r="AE32" i="6"/>
  <c r="Z31" i="6"/>
  <c r="AD32" i="6" s="1"/>
  <c r="AD18" i="6"/>
  <c r="AF15" i="6"/>
  <c r="Q2" i="6"/>
  <c r="AB33" i="6"/>
  <c r="AF32" i="6"/>
  <c r="AB32" i="6"/>
  <c r="Y33" i="6"/>
  <c r="AB18" i="6"/>
  <c r="AB15" i="6"/>
  <c r="AC15" i="6"/>
  <c r="AC18" i="6"/>
  <c r="AC33" i="6"/>
  <c r="Y29" i="6"/>
  <c r="AD39" i="6"/>
  <c r="C20" i="6"/>
  <c r="Z15" i="6"/>
  <c r="AG31" i="6"/>
  <c r="AD33" i="6"/>
  <c r="AA15" i="6"/>
  <c r="AE33" i="6"/>
  <c r="AA43" i="6"/>
  <c r="AE18" i="6"/>
  <c r="AC32" i="6"/>
  <c r="AB43" i="6"/>
  <c r="AH33" i="6" l="1"/>
  <c r="AK32" i="6"/>
  <c r="N14" i="6"/>
  <c r="Q13" i="6"/>
  <c r="Q14" i="6" s="1"/>
  <c r="Z18" i="6"/>
  <c r="Z33" i="6"/>
  <c r="AA33" i="6"/>
  <c r="AG33" i="6"/>
  <c r="AG32" i="6"/>
  <c r="AA18" i="6"/>
  <c r="Z35" i="5" l="1"/>
  <c r="Z17" i="5"/>
  <c r="AD17" i="5"/>
  <c r="AC12" i="5"/>
  <c r="AA35" i="5"/>
  <c r="AE35" i="5"/>
  <c r="AA17" i="5"/>
  <c r="AE17" i="5"/>
  <c r="AB35" i="5"/>
  <c r="AF35" i="5"/>
  <c r="AC35" i="5"/>
  <c r="AD35" i="5"/>
  <c r="AB17" i="5" l="1"/>
  <c r="AF17" i="5"/>
  <c r="AF14" i="5" s="1"/>
  <c r="AF15" i="5" s="1"/>
  <c r="AG35" i="5"/>
  <c r="AG40" i="5" s="1"/>
  <c r="AC17" i="5"/>
  <c r="AG17" i="5"/>
  <c r="AG54" i="5"/>
  <c r="AF54" i="5"/>
  <c r="AE54" i="5"/>
  <c r="AD54" i="5"/>
  <c r="AC54" i="5"/>
  <c r="AB54" i="5"/>
  <c r="AA54" i="5"/>
  <c r="Z54" i="5"/>
  <c r="Y54" i="5"/>
  <c r="X54" i="5"/>
  <c r="AG49" i="5"/>
  <c r="AF49" i="5"/>
  <c r="AE49" i="5"/>
  <c r="AD49" i="5"/>
  <c r="AC49" i="5"/>
  <c r="AB49" i="5"/>
  <c r="AA49" i="5"/>
  <c r="Z49" i="5"/>
  <c r="Y49" i="5"/>
  <c r="AG48" i="5"/>
  <c r="AF48" i="5"/>
  <c r="AE48" i="5"/>
  <c r="AD48" i="5"/>
  <c r="AC48" i="5"/>
  <c r="AB48" i="5"/>
  <c r="AA48" i="5"/>
  <c r="Z48" i="5"/>
  <c r="Y48" i="5"/>
  <c r="AG46" i="5"/>
  <c r="AF46" i="5"/>
  <c r="AE46" i="5"/>
  <c r="AD46" i="5"/>
  <c r="AC46" i="5"/>
  <c r="AB46" i="5"/>
  <c r="AA46" i="5"/>
  <c r="Z46" i="5"/>
  <c r="Y46" i="5"/>
  <c r="X46" i="5"/>
  <c r="AG42" i="5"/>
  <c r="AF42" i="5"/>
  <c r="AE42" i="5"/>
  <c r="AD42" i="5"/>
  <c r="AC42" i="5"/>
  <c r="AB42" i="5"/>
  <c r="AA42" i="5"/>
  <c r="Z42" i="5"/>
  <c r="Y42" i="5"/>
  <c r="X42" i="5"/>
  <c r="AE40" i="5"/>
  <c r="AD40" i="5"/>
  <c r="AC40" i="5"/>
  <c r="AB40" i="5"/>
  <c r="X40" i="5"/>
  <c r="AG37" i="5"/>
  <c r="AF37" i="5"/>
  <c r="AB37" i="5"/>
  <c r="AD37" i="5"/>
  <c r="AC37" i="5"/>
  <c r="AF40" i="5"/>
  <c r="AE37" i="5"/>
  <c r="AA37" i="5"/>
  <c r="Z37" i="5"/>
  <c r="Y37" i="5"/>
  <c r="X37" i="5"/>
  <c r="AF26" i="5"/>
  <c r="AF33" i="5" s="1"/>
  <c r="AE26" i="5"/>
  <c r="AE33" i="5" s="1"/>
  <c r="AD26" i="5"/>
  <c r="AD33" i="5" s="1"/>
  <c r="AC26" i="5"/>
  <c r="AC33" i="5" s="1"/>
  <c r="AB26" i="5"/>
  <c r="AB33" i="5" s="1"/>
  <c r="AA26" i="5"/>
  <c r="AA33" i="5" s="1"/>
  <c r="Z26" i="5"/>
  <c r="Z33" i="5" s="1"/>
  <c r="Y26" i="5"/>
  <c r="Y33" i="5" s="1"/>
  <c r="X26" i="5"/>
  <c r="X33" i="5" s="1"/>
  <c r="I25" i="5"/>
  <c r="H25" i="5"/>
  <c r="G25" i="5"/>
  <c r="AF24" i="5"/>
  <c r="AE24" i="5"/>
  <c r="AD24" i="5"/>
  <c r="AC24" i="5"/>
  <c r="AB24" i="5"/>
  <c r="AA24" i="5"/>
  <c r="Z24" i="5"/>
  <c r="Y24" i="5"/>
  <c r="X24" i="5"/>
  <c r="AG26" i="5"/>
  <c r="AG33" i="5" s="1"/>
  <c r="J22" i="5"/>
  <c r="I22" i="5"/>
  <c r="H22" i="5"/>
  <c r="G22" i="5"/>
  <c r="F22" i="5"/>
  <c r="E22" i="5"/>
  <c r="D22" i="5"/>
  <c r="C22" i="5"/>
  <c r="AG21" i="5"/>
  <c r="AF21" i="5"/>
  <c r="AE21" i="5"/>
  <c r="AD21" i="5"/>
  <c r="AC21" i="5"/>
  <c r="AB21" i="5"/>
  <c r="AA21" i="5"/>
  <c r="Z21" i="5"/>
  <c r="Y21" i="5"/>
  <c r="X21" i="5"/>
  <c r="I21" i="5"/>
  <c r="H21" i="5"/>
  <c r="G21" i="5"/>
  <c r="F21" i="5"/>
  <c r="E21" i="5"/>
  <c r="D21" i="5"/>
  <c r="J21" i="5" s="1"/>
  <c r="C21" i="5"/>
  <c r="I20" i="5"/>
  <c r="H20" i="5"/>
  <c r="G20" i="5"/>
  <c r="F20" i="5"/>
  <c r="E20" i="5"/>
  <c r="D20" i="5"/>
  <c r="J20" i="5" s="1"/>
  <c r="I19" i="5"/>
  <c r="H19" i="5"/>
  <c r="G19" i="5"/>
  <c r="F19" i="5"/>
  <c r="E19" i="5"/>
  <c r="D19" i="5"/>
  <c r="J19" i="5" s="1"/>
  <c r="I18" i="5"/>
  <c r="H18" i="5"/>
  <c r="G18" i="5"/>
  <c r="F18" i="5"/>
  <c r="E18" i="5"/>
  <c r="D18" i="5"/>
  <c r="C18" i="5"/>
  <c r="AE14" i="5"/>
  <c r="J17" i="5"/>
  <c r="J16" i="5"/>
  <c r="C15" i="5"/>
  <c r="C19" i="5" s="1"/>
  <c r="AG14" i="5"/>
  <c r="AG15" i="5" s="1"/>
  <c r="AD14" i="5"/>
  <c r="AD18" i="5" s="1"/>
  <c r="AC14" i="5"/>
  <c r="AC18" i="5" s="1"/>
  <c r="AB14" i="5"/>
  <c r="AB18" i="5" s="1"/>
  <c r="AA14" i="5"/>
  <c r="AA15" i="5" s="1"/>
  <c r="Z14" i="5"/>
  <c r="Z18" i="5" s="1"/>
  <c r="Y14" i="5"/>
  <c r="Y18" i="5" s="1"/>
  <c r="X14" i="5"/>
  <c r="X15" i="5" s="1"/>
  <c r="J14" i="5"/>
  <c r="AG12" i="5"/>
  <c r="AF12" i="5"/>
  <c r="AE12" i="5"/>
  <c r="AD12" i="5"/>
  <c r="AB12" i="5"/>
  <c r="AA12" i="5"/>
  <c r="Z12" i="5"/>
  <c r="Y12" i="5"/>
  <c r="X12" i="5"/>
  <c r="I12" i="5"/>
  <c r="H12" i="5"/>
  <c r="G12" i="5"/>
  <c r="F12" i="5"/>
  <c r="E12" i="5"/>
  <c r="D12" i="5"/>
  <c r="J12" i="5" s="1"/>
  <c r="N11" i="5"/>
  <c r="I11" i="5"/>
  <c r="H11" i="5"/>
  <c r="G11" i="5"/>
  <c r="F11" i="5"/>
  <c r="E11" i="5"/>
  <c r="D11" i="5"/>
  <c r="J11" i="5" s="1"/>
  <c r="C11" i="5"/>
  <c r="N10" i="5"/>
  <c r="J10" i="5"/>
  <c r="AG9" i="5"/>
  <c r="AF9" i="5"/>
  <c r="AE9" i="5"/>
  <c r="AD9" i="5"/>
  <c r="AC9" i="5"/>
  <c r="AB9" i="5"/>
  <c r="AA9" i="5"/>
  <c r="Z9" i="5"/>
  <c r="Y9" i="5"/>
  <c r="N9" i="5"/>
  <c r="AG8" i="5"/>
  <c r="AF8" i="5"/>
  <c r="AE8" i="5"/>
  <c r="AD8" i="5"/>
  <c r="AC8" i="5"/>
  <c r="AB8" i="5"/>
  <c r="N8" i="5"/>
  <c r="I8" i="5"/>
  <c r="H8" i="5"/>
  <c r="G8" i="5"/>
  <c r="F8" i="5"/>
  <c r="E8" i="5"/>
  <c r="D8" i="5"/>
  <c r="J8" i="5" s="1"/>
  <c r="C8" i="5"/>
  <c r="N7" i="5"/>
  <c r="N6" i="5"/>
  <c r="I6" i="5"/>
  <c r="H6" i="5"/>
  <c r="G6" i="5"/>
  <c r="F6" i="5"/>
  <c r="E6" i="5"/>
  <c r="D6" i="5"/>
  <c r="J6" i="5" s="1"/>
  <c r="C6" i="5"/>
  <c r="AG5" i="5"/>
  <c r="AF5" i="5"/>
  <c r="AE5" i="5"/>
  <c r="AD5" i="5"/>
  <c r="AC5" i="5"/>
  <c r="AB5" i="5"/>
  <c r="AA5" i="5"/>
  <c r="Z5" i="5"/>
  <c r="Y5" i="5"/>
  <c r="N5" i="5"/>
  <c r="AG4" i="5"/>
  <c r="AF4" i="5"/>
  <c r="AE4" i="5"/>
  <c r="AD4" i="5"/>
  <c r="AC4" i="5"/>
  <c r="AB4" i="5"/>
  <c r="J4" i="5"/>
  <c r="I4" i="5"/>
  <c r="H4" i="5"/>
  <c r="G4" i="5"/>
  <c r="F4" i="5"/>
  <c r="E4" i="5"/>
  <c r="D4" i="5"/>
  <c r="N3" i="5"/>
  <c r="N2" i="5"/>
  <c r="T14" i="5" s="1"/>
  <c r="X35" i="4"/>
  <c r="X40" i="4" s="1"/>
  <c r="Y35" i="4"/>
  <c r="Y37" i="4" s="1"/>
  <c r="X14" i="4"/>
  <c r="X18" i="4" s="1"/>
  <c r="Y14" i="4"/>
  <c r="Y15" i="4" s="1"/>
  <c r="AD14" i="4"/>
  <c r="AD15" i="4" s="1"/>
  <c r="Z36" i="4"/>
  <c r="Z35" i="4"/>
  <c r="AD36" i="4"/>
  <c r="AD35" i="4"/>
  <c r="Z14" i="4"/>
  <c r="AG23" i="4"/>
  <c r="AG26" i="4" s="1"/>
  <c r="AG33" i="4" s="1"/>
  <c r="AA36" i="4"/>
  <c r="AA35" i="4"/>
  <c r="AE36" i="4"/>
  <c r="AE35" i="4"/>
  <c r="AE40" i="4" s="1"/>
  <c r="AA17" i="4"/>
  <c r="AA14" i="4" s="1"/>
  <c r="AA15" i="4" s="1"/>
  <c r="AE17" i="4"/>
  <c r="AE14" i="4" s="1"/>
  <c r="AE15" i="4" s="1"/>
  <c r="AB35" i="4"/>
  <c r="AB36" i="4"/>
  <c r="AF36" i="4"/>
  <c r="AF35" i="4"/>
  <c r="AB14" i="4"/>
  <c r="AB15" i="4" s="1"/>
  <c r="AF14" i="4"/>
  <c r="AF15" i="4" s="1"/>
  <c r="AC35" i="4"/>
  <c r="AC40" i="4" s="1"/>
  <c r="AC36" i="4"/>
  <c r="AG35" i="4"/>
  <c r="AG37" i="4" s="1"/>
  <c r="AG54" i="4"/>
  <c r="AC23" i="4"/>
  <c r="AC26" i="4" s="1"/>
  <c r="AC33" i="4" s="1"/>
  <c r="AC14" i="4"/>
  <c r="AC15" i="4" s="1"/>
  <c r="AG14" i="4"/>
  <c r="AG18" i="4" s="1"/>
  <c r="AF54" i="4"/>
  <c r="AE54" i="4"/>
  <c r="AD54" i="4"/>
  <c r="AC54" i="4"/>
  <c r="AB54" i="4"/>
  <c r="AA54" i="4"/>
  <c r="Z54" i="4"/>
  <c r="Y54" i="4"/>
  <c r="X54" i="4"/>
  <c r="AG49" i="4"/>
  <c r="AF49" i="4"/>
  <c r="AE49" i="4"/>
  <c r="AD49" i="4"/>
  <c r="AC49" i="4"/>
  <c r="AB49" i="4"/>
  <c r="AA49" i="4"/>
  <c r="Z49" i="4"/>
  <c r="Y49" i="4"/>
  <c r="AG48" i="4"/>
  <c r="AF48" i="4"/>
  <c r="AE48" i="4"/>
  <c r="AD48" i="4"/>
  <c r="AC48" i="4"/>
  <c r="AB48" i="4"/>
  <c r="AA48" i="4"/>
  <c r="Z48" i="4"/>
  <c r="Y48" i="4"/>
  <c r="AG46" i="4"/>
  <c r="AF46" i="4"/>
  <c r="AE46" i="4"/>
  <c r="AD46" i="4"/>
  <c r="AC46" i="4"/>
  <c r="AB46" i="4"/>
  <c r="AA46" i="4"/>
  <c r="Z46" i="4"/>
  <c r="Y46" i="4"/>
  <c r="X46" i="4"/>
  <c r="AF40" i="4"/>
  <c r="AD40" i="4"/>
  <c r="AF26" i="4"/>
  <c r="AF33" i="4" s="1"/>
  <c r="AE26" i="4"/>
  <c r="AE33" i="4" s="1"/>
  <c r="AD26" i="4"/>
  <c r="AD33" i="4" s="1"/>
  <c r="AB26" i="4"/>
  <c r="AB33" i="4" s="1"/>
  <c r="AA26" i="4"/>
  <c r="AA33" i="4" s="1"/>
  <c r="Z26" i="4"/>
  <c r="Z33" i="4" s="1"/>
  <c r="Y26" i="4"/>
  <c r="Y33" i="4" s="1"/>
  <c r="X26" i="4"/>
  <c r="X33" i="4" s="1"/>
  <c r="I25" i="4"/>
  <c r="H25" i="4"/>
  <c r="G25" i="4"/>
  <c r="AF24" i="4"/>
  <c r="AE24" i="4"/>
  <c r="AD24" i="4"/>
  <c r="AB24" i="4"/>
  <c r="AA24" i="4"/>
  <c r="Z24" i="4"/>
  <c r="Y24" i="4"/>
  <c r="X24" i="4"/>
  <c r="I22" i="4"/>
  <c r="H22" i="4"/>
  <c r="G22" i="4"/>
  <c r="F22" i="4"/>
  <c r="E22" i="4"/>
  <c r="D22" i="4"/>
  <c r="J22" i="4" s="1"/>
  <c r="C22" i="4"/>
  <c r="AG21" i="4"/>
  <c r="AF21" i="4"/>
  <c r="AE21" i="4"/>
  <c r="AD21" i="4"/>
  <c r="AC21" i="4"/>
  <c r="AB21" i="4"/>
  <c r="AA21" i="4"/>
  <c r="Z21" i="4"/>
  <c r="Y21" i="4"/>
  <c r="X21" i="4"/>
  <c r="I21" i="4"/>
  <c r="H21" i="4"/>
  <c r="G21" i="4"/>
  <c r="F21" i="4"/>
  <c r="E21" i="4"/>
  <c r="D21" i="4"/>
  <c r="J21" i="4" s="1"/>
  <c r="C21" i="4"/>
  <c r="H20" i="4"/>
  <c r="G20" i="4"/>
  <c r="F20" i="4"/>
  <c r="E20" i="4"/>
  <c r="D20" i="4"/>
  <c r="I19" i="4"/>
  <c r="G19" i="4"/>
  <c r="I18" i="4"/>
  <c r="H18" i="4"/>
  <c r="G18" i="4"/>
  <c r="F18" i="4"/>
  <c r="E18" i="4"/>
  <c r="D18" i="4"/>
  <c r="C18" i="4"/>
  <c r="J17" i="4"/>
  <c r="J16" i="4"/>
  <c r="Z15" i="4"/>
  <c r="I20" i="4"/>
  <c r="H19" i="4"/>
  <c r="F19" i="4"/>
  <c r="E19" i="4"/>
  <c r="D19" i="4"/>
  <c r="J19" i="4" s="1"/>
  <c r="C15" i="4"/>
  <c r="C19" i="4" s="1"/>
  <c r="Z18" i="4"/>
  <c r="J14" i="4"/>
  <c r="AG12" i="4"/>
  <c r="AF12" i="4"/>
  <c r="AE12" i="4"/>
  <c r="AD12" i="4"/>
  <c r="AC12" i="4"/>
  <c r="AB12" i="4"/>
  <c r="AA12" i="4"/>
  <c r="Z12" i="4"/>
  <c r="Y12" i="4"/>
  <c r="X12" i="4"/>
  <c r="I12" i="4"/>
  <c r="H12" i="4"/>
  <c r="G12" i="4"/>
  <c r="F12" i="4"/>
  <c r="E12" i="4"/>
  <c r="D12" i="4"/>
  <c r="N11" i="4"/>
  <c r="I11" i="4"/>
  <c r="H11" i="4"/>
  <c r="G11" i="4"/>
  <c r="F11" i="4"/>
  <c r="E11" i="4"/>
  <c r="D11" i="4"/>
  <c r="J11" i="4" s="1"/>
  <c r="C11" i="4"/>
  <c r="N10" i="4"/>
  <c r="J10" i="4"/>
  <c r="N9" i="4"/>
  <c r="N8" i="4"/>
  <c r="I8" i="4"/>
  <c r="H8" i="4"/>
  <c r="G8" i="4"/>
  <c r="F8" i="4"/>
  <c r="E8" i="4"/>
  <c r="D8" i="4"/>
  <c r="J8" i="4" s="1"/>
  <c r="C8" i="4"/>
  <c r="N7" i="4"/>
  <c r="N6" i="4"/>
  <c r="I6" i="4"/>
  <c r="H6" i="4"/>
  <c r="G6" i="4"/>
  <c r="F6" i="4"/>
  <c r="E6" i="4"/>
  <c r="D6" i="4"/>
  <c r="J6" i="4" s="1"/>
  <c r="C6" i="4"/>
  <c r="AG5" i="4"/>
  <c r="AF5" i="4"/>
  <c r="AE5" i="4"/>
  <c r="AD5" i="4"/>
  <c r="AC5" i="4"/>
  <c r="AB5" i="4"/>
  <c r="AA5" i="4"/>
  <c r="Z5" i="4"/>
  <c r="Y5" i="4"/>
  <c r="N5" i="4"/>
  <c r="AG4" i="4"/>
  <c r="AF4" i="4"/>
  <c r="AE4" i="4"/>
  <c r="AD4" i="4"/>
  <c r="AC4" i="4"/>
  <c r="AB4" i="4"/>
  <c r="J4" i="4"/>
  <c r="I4" i="4"/>
  <c r="H4" i="4"/>
  <c r="G4" i="4"/>
  <c r="F4" i="4"/>
  <c r="E4" i="4"/>
  <c r="D4" i="4"/>
  <c r="N3" i="4"/>
  <c r="N2" i="4"/>
  <c r="T14" i="4" s="1"/>
  <c r="AG35" i="2"/>
  <c r="AG14" i="2"/>
  <c r="AO33" i="5" l="1"/>
  <c r="AO34" i="5"/>
  <c r="AO33" i="4"/>
  <c r="AO34" i="4"/>
  <c r="AO35" i="4" s="1"/>
  <c r="I5" i="44" s="1"/>
  <c r="Y27" i="5"/>
  <c r="AG24" i="4"/>
  <c r="Q2" i="5"/>
  <c r="H5" i="44"/>
  <c r="J18" i="4"/>
  <c r="H10" i="44"/>
  <c r="AO35" i="5"/>
  <c r="I10" i="44" s="1"/>
  <c r="O9" i="5"/>
  <c r="O9" i="4"/>
  <c r="AD37" i="4"/>
  <c r="J20" i="4"/>
  <c r="AA37" i="4"/>
  <c r="C20" i="4"/>
  <c r="X15" i="4"/>
  <c r="AF37" i="4"/>
  <c r="AE27" i="5"/>
  <c r="AF27" i="5"/>
  <c r="X29" i="5"/>
  <c r="Y29" i="5"/>
  <c r="Z29" i="5"/>
  <c r="AB27" i="5"/>
  <c r="AC27" i="5"/>
  <c r="AA27" i="5"/>
  <c r="AD27" i="5"/>
  <c r="X37" i="4"/>
  <c r="AB37" i="4"/>
  <c r="O10" i="4"/>
  <c r="AC29" i="4"/>
  <c r="AB29" i="4"/>
  <c r="AC24" i="4"/>
  <c r="Z37" i="4"/>
  <c r="AE29" i="4"/>
  <c r="AI30" i="4" s="1"/>
  <c r="AG40" i="4"/>
  <c r="AA18" i="4"/>
  <c r="X29" i="4"/>
  <c r="AF27" i="4"/>
  <c r="AG27" i="4"/>
  <c r="Y29" i="4"/>
  <c r="AD27" i="4"/>
  <c r="J12" i="4"/>
  <c r="Z29" i="4"/>
  <c r="AA27" i="4"/>
  <c r="Y50" i="5"/>
  <c r="O10" i="5"/>
  <c r="J18" i="5"/>
  <c r="C20" i="5"/>
  <c r="Z50" i="5"/>
  <c r="O11" i="5"/>
  <c r="O11" i="4"/>
  <c r="N13" i="4"/>
  <c r="Q13" i="4" s="1"/>
  <c r="Q14" i="4" s="1"/>
  <c r="N13" i="5"/>
  <c r="N14" i="5" s="1"/>
  <c r="Z27" i="5"/>
  <c r="AA50" i="5"/>
  <c r="AE50" i="5"/>
  <c r="AB50" i="5"/>
  <c r="AD50" i="5"/>
  <c r="AF29" i="5"/>
  <c r="AJ30" i="5" s="1"/>
  <c r="AG50" i="5"/>
  <c r="AC50" i="5"/>
  <c r="AF50" i="5"/>
  <c r="X27" i="5"/>
  <c r="AA29" i="5"/>
  <c r="AB29" i="5"/>
  <c r="AF18" i="5"/>
  <c r="Z15" i="5"/>
  <c r="AB15" i="5"/>
  <c r="AC15" i="5"/>
  <c r="AD15" i="5"/>
  <c r="AG29" i="5"/>
  <c r="AG27" i="5"/>
  <c r="AE15" i="5"/>
  <c r="AE18" i="5"/>
  <c r="Y15" i="5"/>
  <c r="AA18" i="5"/>
  <c r="AG24" i="5"/>
  <c r="AG18" i="5"/>
  <c r="AC29" i="5"/>
  <c r="Y40" i="5"/>
  <c r="AD29" i="5"/>
  <c r="AH30" i="5" s="1"/>
  <c r="Z40" i="5"/>
  <c r="AE29" i="5"/>
  <c r="AI30" i="5" s="1"/>
  <c r="AA40" i="5"/>
  <c r="X18" i="5"/>
  <c r="S14" i="5"/>
  <c r="Y50" i="4"/>
  <c r="Y18" i="4"/>
  <c r="Z50" i="4"/>
  <c r="AE37" i="4"/>
  <c r="AA50" i="4"/>
  <c r="AF50" i="4"/>
  <c r="AG50" i="4"/>
  <c r="AG15" i="4"/>
  <c r="AE50" i="4"/>
  <c r="AB50" i="4"/>
  <c r="AC50" i="4"/>
  <c r="AD50" i="4"/>
  <c r="Z27" i="4"/>
  <c r="AB27" i="4"/>
  <c r="AC27" i="4"/>
  <c r="AE27" i="4"/>
  <c r="AD29" i="4"/>
  <c r="AH30" i="4" s="1"/>
  <c r="AG29" i="4"/>
  <c r="AK30" i="4" s="1"/>
  <c r="AA29" i="4"/>
  <c r="Y27" i="4"/>
  <c r="AC18" i="4"/>
  <c r="AF18" i="4"/>
  <c r="Q2" i="4"/>
  <c r="AB18" i="4"/>
  <c r="X27" i="4"/>
  <c r="AC37" i="4"/>
  <c r="AD18" i="4"/>
  <c r="AE18" i="4"/>
  <c r="AF29" i="4"/>
  <c r="AJ30" i="4" s="1"/>
  <c r="Y40" i="4"/>
  <c r="Z40" i="4"/>
  <c r="S14" i="4"/>
  <c r="AA40" i="4"/>
  <c r="AB40" i="4"/>
  <c r="AA31" i="5" l="1"/>
  <c r="Y31" i="5"/>
  <c r="AH31" i="5"/>
  <c r="AK30" i="5"/>
  <c r="Z31" i="4"/>
  <c r="N20" i="4"/>
  <c r="N14" i="4"/>
  <c r="AB30" i="5"/>
  <c r="Z31" i="5"/>
  <c r="AC31" i="4"/>
  <c r="AC30" i="4"/>
  <c r="AG30" i="4"/>
  <c r="AH31" i="4"/>
  <c r="Y31" i="4"/>
  <c r="AA31" i="4"/>
  <c r="AB30" i="4"/>
  <c r="AD30" i="4"/>
  <c r="N20" i="5"/>
  <c r="Q13" i="5"/>
  <c r="Q14" i="5" s="1"/>
  <c r="AB31" i="5"/>
  <c r="AF30" i="5"/>
  <c r="AC31" i="5"/>
  <c r="AC30" i="5"/>
  <c r="AD31" i="5"/>
  <c r="AD30" i="5"/>
  <c r="AE31" i="5"/>
  <c r="AE30" i="5"/>
  <c r="AF31" i="5"/>
  <c r="AG30" i="5"/>
  <c r="AG31" i="5"/>
  <c r="AE31" i="4"/>
  <c r="AD31" i="4"/>
  <c r="AE30" i="4"/>
  <c r="AB31" i="4"/>
  <c r="AF31" i="4"/>
  <c r="AF30" i="4"/>
  <c r="AG31" i="4"/>
  <c r="AG54" i="2" l="1"/>
  <c r="AG49" i="2"/>
  <c r="AG48" i="2"/>
  <c r="AG46" i="2"/>
  <c r="AG42" i="2"/>
  <c r="AG42" i="4" s="1"/>
  <c r="AG40" i="2"/>
  <c r="AG26" i="2"/>
  <c r="AG24" i="2"/>
  <c r="AG21" i="2"/>
  <c r="AG18" i="2"/>
  <c r="AG12" i="2"/>
  <c r="AG9" i="2"/>
  <c r="AG8" i="2"/>
  <c r="AG5" i="2"/>
  <c r="AG4" i="2"/>
  <c r="E11" i="1"/>
  <c r="E10" i="1"/>
  <c r="E9" i="1"/>
  <c r="AG44" i="15" l="1"/>
  <c r="AG7" i="15" s="1"/>
  <c r="AK8" i="15" s="1"/>
  <c r="AG7" i="4"/>
  <c r="AK8" i="4" s="1"/>
  <c r="AG45" i="8"/>
  <c r="AG7" i="8" s="1"/>
  <c r="AK8" i="8" s="1"/>
  <c r="AG45" i="22"/>
  <c r="AG45" i="34" s="1"/>
  <c r="AG7" i="34" s="1"/>
  <c r="AG27" i="2"/>
  <c r="AG33" i="2"/>
  <c r="AG50" i="2"/>
  <c r="AG29" i="2"/>
  <c r="AG37" i="2"/>
  <c r="AG15" i="2"/>
  <c r="D3" i="1"/>
  <c r="D4" i="1"/>
  <c r="D5" i="1"/>
  <c r="AH9" i="34" l="1"/>
  <c r="AK8" i="34"/>
  <c r="AH31" i="2"/>
  <c r="AK30" i="2"/>
  <c r="B29" i="3"/>
  <c r="AH9" i="8"/>
  <c r="AH9" i="4"/>
  <c r="AG7" i="22"/>
  <c r="AK8" i="22" s="1"/>
  <c r="AG45" i="25"/>
  <c r="AG7" i="25" s="1"/>
  <c r="AK8" i="25" s="1"/>
  <c r="AH9" i="15"/>
  <c r="AH9" i="25" l="1"/>
  <c r="AH9" i="22"/>
  <c r="F12" i="2"/>
  <c r="J4" i="2"/>
  <c r="J10" i="2"/>
  <c r="Z49" i="2"/>
  <c r="Z48" i="2"/>
  <c r="Y49" i="2"/>
  <c r="Y48" i="2"/>
  <c r="AD49" i="2"/>
  <c r="AD48" i="2"/>
  <c r="AC49" i="2"/>
  <c r="AC48" i="2"/>
  <c r="AB49" i="2"/>
  <c r="AB48" i="2"/>
  <c r="AA49" i="2"/>
  <c r="AA48" i="2"/>
  <c r="AF49" i="2"/>
  <c r="AF48" i="2"/>
  <c r="AF50" i="2" s="1"/>
  <c r="AE49" i="2"/>
  <c r="AE48" i="2"/>
  <c r="X54" i="2"/>
  <c r="X37" i="2"/>
  <c r="X46" i="2"/>
  <c r="X42" i="2"/>
  <c r="X18" i="2"/>
  <c r="X24" i="2"/>
  <c r="X21" i="2"/>
  <c r="X26" i="2"/>
  <c r="X12" i="2"/>
  <c r="Y5" i="2"/>
  <c r="AB4" i="2"/>
  <c r="Y9" i="2"/>
  <c r="AB8" i="2"/>
  <c r="Y54" i="2"/>
  <c r="Y42" i="2"/>
  <c r="Y35" i="2"/>
  <c r="Y40" i="2" s="1"/>
  <c r="Y46" i="2"/>
  <c r="Y14" i="2"/>
  <c r="Y18" i="2" s="1"/>
  <c r="Y24" i="2"/>
  <c r="Y26" i="2"/>
  <c r="Y21" i="2"/>
  <c r="Y12" i="2"/>
  <c r="Z5" i="2"/>
  <c r="AC4" i="2"/>
  <c r="Z9" i="2"/>
  <c r="AC8" i="2"/>
  <c r="Z46" i="2"/>
  <c r="Z35" i="2"/>
  <c r="Z40" i="2" s="1"/>
  <c r="Z54" i="2"/>
  <c r="Z42" i="2"/>
  <c r="AA42" i="2"/>
  <c r="AA9" i="2"/>
  <c r="AD8" i="2"/>
  <c r="Z18" i="2"/>
  <c r="Z26" i="2"/>
  <c r="Z24" i="2"/>
  <c r="Z21" i="2"/>
  <c r="Z12" i="2"/>
  <c r="AA5" i="2"/>
  <c r="AD4" i="2"/>
  <c r="AC54" i="2"/>
  <c r="AC35" i="2"/>
  <c r="AC40" i="2" s="1"/>
  <c r="AC46" i="2"/>
  <c r="AC42" i="2"/>
  <c r="AC14" i="2"/>
  <c r="AC15" i="2" s="1"/>
  <c r="AC26" i="2"/>
  <c r="AC24" i="2"/>
  <c r="AC21" i="2"/>
  <c r="AC12" i="2"/>
  <c r="AC5" i="2"/>
  <c r="AB5" i="2"/>
  <c r="AD5" i="2"/>
  <c r="AE5" i="2"/>
  <c r="AC9" i="2"/>
  <c r="AB9" i="2"/>
  <c r="AD9" i="2"/>
  <c r="AD42" i="2"/>
  <c r="AE9" i="2"/>
  <c r="AD24" i="2"/>
  <c r="AD21" i="2"/>
  <c r="AD12" i="2"/>
  <c r="AD26" i="2"/>
  <c r="AD14" i="2"/>
  <c r="AD15" i="2" s="1"/>
  <c r="AA54" i="2"/>
  <c r="AE54" i="2"/>
  <c r="H4" i="44" l="1"/>
  <c r="I4" i="44"/>
  <c r="Z45" i="8"/>
  <c r="Z44" i="15"/>
  <c r="Z42" i="4"/>
  <c r="Z7" i="4" s="1"/>
  <c r="Z45" i="22"/>
  <c r="Z45" i="34" s="1"/>
  <c r="Z7" i="34" s="1"/>
  <c r="AA44" i="15"/>
  <c r="AA45" i="8"/>
  <c r="AA42" i="4"/>
  <c r="AA7" i="4" s="1"/>
  <c r="AA45" i="22"/>
  <c r="AA45" i="34" s="1"/>
  <c r="AA7" i="34" s="1"/>
  <c r="X45" i="8"/>
  <c r="X42" i="4"/>
  <c r="X7" i="4" s="1"/>
  <c r="X44" i="15"/>
  <c r="X45" i="22"/>
  <c r="X45" i="34" s="1"/>
  <c r="AD45" i="8"/>
  <c r="AD7" i="8" s="1"/>
  <c r="AD44" i="15"/>
  <c r="AD7" i="15" s="1"/>
  <c r="AD42" i="4"/>
  <c r="AD7" i="4" s="1"/>
  <c r="AD45" i="22"/>
  <c r="AD45" i="34" s="1"/>
  <c r="AD7" i="34" s="1"/>
  <c r="AH8" i="34" s="1"/>
  <c r="Y45" i="8"/>
  <c r="Y42" i="4"/>
  <c r="Y7" i="4" s="1"/>
  <c r="Y44" i="15"/>
  <c r="Y45" i="22"/>
  <c r="Y45" i="34" s="1"/>
  <c r="Y7" i="34" s="1"/>
  <c r="Y9" i="34" s="1"/>
  <c r="AC44" i="15"/>
  <c r="AC7" i="15" s="1"/>
  <c r="AC42" i="4"/>
  <c r="AC7" i="4" s="1"/>
  <c r="AC45" i="8"/>
  <c r="AC7" i="8" s="1"/>
  <c r="AC45" i="22"/>
  <c r="AC45" i="34" s="1"/>
  <c r="AC7" i="34" s="1"/>
  <c r="AG8" i="34" s="1"/>
  <c r="AA50" i="2"/>
  <c r="Y50" i="2"/>
  <c r="AB50" i="2"/>
  <c r="AE50" i="2"/>
  <c r="AC29" i="2"/>
  <c r="AG30" i="2" s="1"/>
  <c r="AC33" i="2"/>
  <c r="X27" i="2"/>
  <c r="X33" i="2"/>
  <c r="AD29" i="2"/>
  <c r="AD33" i="2"/>
  <c r="Z27" i="2"/>
  <c r="Z33" i="2"/>
  <c r="Y29" i="2"/>
  <c r="Y33" i="2"/>
  <c r="Z50" i="2"/>
  <c r="AD50" i="2"/>
  <c r="X15" i="2"/>
  <c r="AC18" i="2"/>
  <c r="AD18" i="2"/>
  <c r="X29" i="2"/>
  <c r="Z15" i="2"/>
  <c r="AC37" i="2"/>
  <c r="X40" i="2"/>
  <c r="Y37" i="2"/>
  <c r="AD27" i="2"/>
  <c r="Z37" i="2"/>
  <c r="Y27" i="2"/>
  <c r="Y15" i="2"/>
  <c r="Z29" i="2"/>
  <c r="AC27" i="2"/>
  <c r="AC50" i="2"/>
  <c r="AE42" i="2"/>
  <c r="AF9" i="2"/>
  <c r="AF8" i="2"/>
  <c r="AE8" i="2"/>
  <c r="AA35" i="2"/>
  <c r="AA37" i="2" s="1"/>
  <c r="AE35" i="2"/>
  <c r="AE37" i="2" s="1"/>
  <c r="AA46" i="2"/>
  <c r="AE46" i="2"/>
  <c r="AA14" i="2"/>
  <c r="AA18" i="2" s="1"/>
  <c r="AE14" i="2"/>
  <c r="AE15" i="2" s="1"/>
  <c r="AA29" i="2"/>
  <c r="AA27" i="2"/>
  <c r="AE26" i="2"/>
  <c r="AA24" i="2"/>
  <c r="AE24" i="2"/>
  <c r="AA21" i="2"/>
  <c r="AE21" i="2"/>
  <c r="AA12" i="2"/>
  <c r="AE12" i="2"/>
  <c r="AF5" i="2"/>
  <c r="AE4" i="2"/>
  <c r="AD35" i="2"/>
  <c r="AD40" i="2" s="1"/>
  <c r="AB42" i="2"/>
  <c r="AB14" i="2"/>
  <c r="AB18" i="2" s="1"/>
  <c r="AF14" i="2"/>
  <c r="AF18" i="2" s="1"/>
  <c r="AA9" i="4" l="1"/>
  <c r="AA9" i="34"/>
  <c r="Z9" i="34"/>
  <c r="AC8" i="34"/>
  <c r="AD8" i="34"/>
  <c r="AD9" i="34"/>
  <c r="AC8" i="8"/>
  <c r="AG8" i="8"/>
  <c r="Y45" i="25"/>
  <c r="Y7" i="25" s="1"/>
  <c r="Y7" i="22"/>
  <c r="AA45" i="25"/>
  <c r="AA7" i="25" s="1"/>
  <c r="AA7" i="22"/>
  <c r="X45" i="25"/>
  <c r="X7" i="22"/>
  <c r="AC8" i="4"/>
  <c r="AG8" i="4"/>
  <c r="Y9" i="4"/>
  <c r="AB44" i="15"/>
  <c r="AB7" i="15" s="1"/>
  <c r="AC9" i="15" s="1"/>
  <c r="AB45" i="8"/>
  <c r="AB7" i="8" s="1"/>
  <c r="AB42" i="4"/>
  <c r="AB7" i="4" s="1"/>
  <c r="AC9" i="4" s="1"/>
  <c r="AB45" i="22"/>
  <c r="AB45" i="34" s="1"/>
  <c r="AB7" i="34" s="1"/>
  <c r="AC9" i="34" s="1"/>
  <c r="AD7" i="22"/>
  <c r="AD45" i="25"/>
  <c r="AD7" i="25" s="1"/>
  <c r="Z45" i="25"/>
  <c r="Z7" i="25" s="1"/>
  <c r="Z7" i="22"/>
  <c r="AE44" i="15"/>
  <c r="AE7" i="15" s="1"/>
  <c r="AE42" i="4"/>
  <c r="AE7" i="4" s="1"/>
  <c r="AE45" i="8"/>
  <c r="AE45" i="22"/>
  <c r="AE45" i="34" s="1"/>
  <c r="AE7" i="34" s="1"/>
  <c r="AI8" i="34" s="1"/>
  <c r="AH8" i="4"/>
  <c r="AD9" i="4"/>
  <c r="AD8" i="4"/>
  <c r="Z9" i="4"/>
  <c r="AC7" i="22"/>
  <c r="AC45" i="25"/>
  <c r="AC7" i="25" s="1"/>
  <c r="AC8" i="15"/>
  <c r="AG8" i="15"/>
  <c r="AD9" i="15"/>
  <c r="AD8" i="15"/>
  <c r="AH8" i="15"/>
  <c r="AD9" i="8"/>
  <c r="AD8" i="8"/>
  <c r="AH8" i="8"/>
  <c r="AC30" i="2"/>
  <c r="AD31" i="2"/>
  <c r="AH30" i="2"/>
  <c r="Y31" i="2"/>
  <c r="AE29" i="2"/>
  <c r="AE30" i="2" s="1"/>
  <c r="AE33" i="2"/>
  <c r="AE18" i="2"/>
  <c r="AA15" i="2"/>
  <c r="B28" i="3"/>
  <c r="AF15" i="2"/>
  <c r="AE40" i="2"/>
  <c r="AD30" i="2"/>
  <c r="Z31" i="2"/>
  <c r="AB15" i="2"/>
  <c r="AE27" i="2"/>
  <c r="AD37" i="2"/>
  <c r="AA31" i="2"/>
  <c r="AA40" i="2"/>
  <c r="AF42" i="2"/>
  <c r="AD54" i="2"/>
  <c r="AB54" i="2"/>
  <c r="AF54" i="2"/>
  <c r="AD46" i="2"/>
  <c r="AB46" i="2"/>
  <c r="AF46" i="2"/>
  <c r="Z9" i="22" l="1"/>
  <c r="Z9" i="25"/>
  <c r="AE9" i="34"/>
  <c r="AE8" i="34"/>
  <c r="AB8" i="34"/>
  <c r="AB9" i="34"/>
  <c r="AH8" i="25"/>
  <c r="AD8" i="25"/>
  <c r="AA9" i="22"/>
  <c r="AA9" i="25"/>
  <c r="AD9" i="25"/>
  <c r="AG8" i="25"/>
  <c r="AB7" i="22"/>
  <c r="AC9" i="22" s="1"/>
  <c r="AB45" i="25"/>
  <c r="AB7" i="25" s="1"/>
  <c r="Y9" i="22"/>
  <c r="AE9" i="15"/>
  <c r="AE8" i="15"/>
  <c r="AI8" i="15"/>
  <c r="AD9" i="22"/>
  <c r="AD8" i="22"/>
  <c r="AH8" i="22"/>
  <c r="AF44" i="15"/>
  <c r="AF7" i="15" s="1"/>
  <c r="AJ8" i="15" s="1"/>
  <c r="AF45" i="8"/>
  <c r="AF7" i="8" s="1"/>
  <c r="AJ8" i="8" s="1"/>
  <c r="AF42" i="4"/>
  <c r="AF7" i="4" s="1"/>
  <c r="AJ8" i="4" s="1"/>
  <c r="AF45" i="22"/>
  <c r="AF45" i="34" s="1"/>
  <c r="AB8" i="4"/>
  <c r="AB9" i="4"/>
  <c r="AC8" i="25"/>
  <c r="Y9" i="25"/>
  <c r="AE7" i="8"/>
  <c r="AC8" i="22"/>
  <c r="AG8" i="22"/>
  <c r="AB9" i="8"/>
  <c r="AB8" i="8"/>
  <c r="AI8" i="4"/>
  <c r="AE8" i="4"/>
  <c r="AE9" i="4"/>
  <c r="AB8" i="15"/>
  <c r="AB9" i="15"/>
  <c r="AE7" i="22"/>
  <c r="AE45" i="25"/>
  <c r="AN39" i="22"/>
  <c r="AC9" i="8"/>
  <c r="AE31" i="2"/>
  <c r="AI30" i="2"/>
  <c r="AF35" i="2"/>
  <c r="AF40" i="2" s="1"/>
  <c r="AB35" i="2"/>
  <c r="AB40" i="2" s="1"/>
  <c r="AB26" i="2"/>
  <c r="AF26" i="2"/>
  <c r="AB24" i="2"/>
  <c r="AF24" i="2"/>
  <c r="AB21" i="2"/>
  <c r="AF21" i="2"/>
  <c r="AB12" i="2"/>
  <c r="AF12" i="2"/>
  <c r="AF4" i="2"/>
  <c r="I21" i="2"/>
  <c r="H21" i="2"/>
  <c r="I20" i="2"/>
  <c r="H20" i="2"/>
  <c r="G20" i="2"/>
  <c r="I19" i="2"/>
  <c r="H19" i="2"/>
  <c r="C19" i="2"/>
  <c r="I17" i="2"/>
  <c r="H17" i="2"/>
  <c r="H22" i="2" s="1"/>
  <c r="G17" i="2"/>
  <c r="F17" i="2"/>
  <c r="E17" i="2"/>
  <c r="D17" i="2"/>
  <c r="C17" i="2"/>
  <c r="C22" i="2" s="1"/>
  <c r="G16" i="2"/>
  <c r="G21" i="2" s="1"/>
  <c r="F16" i="2"/>
  <c r="F19" i="2" s="1"/>
  <c r="E16" i="2"/>
  <c r="E19" i="2" s="1"/>
  <c r="D16" i="2"/>
  <c r="J16" i="2" s="1"/>
  <c r="F14" i="2"/>
  <c r="E14" i="2"/>
  <c r="D14" i="2"/>
  <c r="C14" i="2"/>
  <c r="C21" i="2" s="1"/>
  <c r="I12" i="2"/>
  <c r="H12" i="2"/>
  <c r="G12" i="2"/>
  <c r="E12" i="2"/>
  <c r="D12" i="2"/>
  <c r="N11" i="2"/>
  <c r="I11" i="2"/>
  <c r="H11" i="2"/>
  <c r="G11" i="2"/>
  <c r="F11" i="2"/>
  <c r="E11" i="2"/>
  <c r="D11" i="2"/>
  <c r="C11" i="2"/>
  <c r="N10" i="2"/>
  <c r="N9" i="2"/>
  <c r="N8" i="2"/>
  <c r="N7" i="2"/>
  <c r="I7" i="2"/>
  <c r="I8" i="2" s="1"/>
  <c r="H7" i="2"/>
  <c r="H8" i="2" s="1"/>
  <c r="G7" i="2"/>
  <c r="G8" i="2" s="1"/>
  <c r="F7" i="2"/>
  <c r="F8" i="2" s="1"/>
  <c r="E7" i="2"/>
  <c r="E8" i="2" s="1"/>
  <c r="D7" i="2"/>
  <c r="D8" i="2" s="1"/>
  <c r="C7" i="2"/>
  <c r="C8" i="2" s="1"/>
  <c r="N6" i="2"/>
  <c r="I6" i="2"/>
  <c r="H6" i="2"/>
  <c r="G6" i="2"/>
  <c r="F6" i="2"/>
  <c r="E6" i="2"/>
  <c r="D6" i="2"/>
  <c r="C6" i="2"/>
  <c r="N5" i="2"/>
  <c r="I4" i="2"/>
  <c r="H4" i="2"/>
  <c r="G4" i="2"/>
  <c r="F4" i="2"/>
  <c r="E4" i="2"/>
  <c r="D4" i="2"/>
  <c r="N3" i="2"/>
  <c r="N2" i="2"/>
  <c r="T14" i="2" s="1"/>
  <c r="AF7" i="34" l="1"/>
  <c r="AG9" i="34" s="1"/>
  <c r="AL45" i="34"/>
  <c r="AC9" i="25"/>
  <c r="AB9" i="25"/>
  <c r="AB8" i="25"/>
  <c r="AF9" i="4"/>
  <c r="AF8" i="4"/>
  <c r="AG9" i="4"/>
  <c r="AF7" i="22"/>
  <c r="AJ8" i="22" s="1"/>
  <c r="AF45" i="25"/>
  <c r="AF7" i="25" s="1"/>
  <c r="AJ8" i="25" s="1"/>
  <c r="AF8" i="8"/>
  <c r="AF9" i="8"/>
  <c r="AG9" i="8"/>
  <c r="AF9" i="15"/>
  <c r="AF8" i="15"/>
  <c r="AG9" i="15"/>
  <c r="AB8" i="22"/>
  <c r="AB9" i="22"/>
  <c r="AE7" i="25"/>
  <c r="AL45" i="25"/>
  <c r="F21" i="2"/>
  <c r="AE9" i="22"/>
  <c r="AE8" i="22"/>
  <c r="AI8" i="22"/>
  <c r="AE9" i="8"/>
  <c r="AI8" i="8"/>
  <c r="AE8" i="8"/>
  <c r="AF29" i="2"/>
  <c r="AJ30" i="2" s="1"/>
  <c r="AF33" i="2"/>
  <c r="AB27" i="2"/>
  <c r="AB33" i="2"/>
  <c r="J20" i="2"/>
  <c r="H18" i="2"/>
  <c r="O9" i="2"/>
  <c r="J12" i="2"/>
  <c r="AB29" i="2"/>
  <c r="AB31" i="2" s="1"/>
  <c r="AF27" i="2"/>
  <c r="J8" i="2"/>
  <c r="J11" i="2"/>
  <c r="AF37" i="2"/>
  <c r="J14" i="2"/>
  <c r="AB37" i="2"/>
  <c r="J6" i="2"/>
  <c r="I22" i="2"/>
  <c r="J17" i="2"/>
  <c r="N13" i="2"/>
  <c r="N20" i="2" s="1"/>
  <c r="E22" i="2"/>
  <c r="O11" i="2"/>
  <c r="F22" i="2"/>
  <c r="D18" i="2"/>
  <c r="D20" i="2"/>
  <c r="S14" i="2"/>
  <c r="D21" i="2"/>
  <c r="G22" i="2"/>
  <c r="E18" i="2"/>
  <c r="C20" i="2"/>
  <c r="G18" i="2"/>
  <c r="I18" i="2"/>
  <c r="O10" i="2"/>
  <c r="D19" i="2"/>
  <c r="D22" i="2"/>
  <c r="E20" i="2"/>
  <c r="F20" i="2"/>
  <c r="C18" i="2"/>
  <c r="G19" i="2"/>
  <c r="J19" i="2" s="1"/>
  <c r="F18" i="2"/>
  <c r="AO34" i="2" l="1"/>
  <c r="AO33" i="2"/>
  <c r="H3" i="44"/>
  <c r="AO35" i="2"/>
  <c r="AF30" i="2"/>
  <c r="AG31" i="2"/>
  <c r="AJ76" i="22"/>
  <c r="AF8" i="34"/>
  <c r="AF9" i="34"/>
  <c r="AJ8" i="34"/>
  <c r="AF9" i="25"/>
  <c r="AF8" i="25"/>
  <c r="AG9" i="25"/>
  <c r="AF9" i="22"/>
  <c r="AF8" i="22"/>
  <c r="AG9" i="22"/>
  <c r="AI8" i="25"/>
  <c r="AE9" i="25"/>
  <c r="AE8" i="25"/>
  <c r="AB30" i="2"/>
  <c r="AI76" i="22"/>
  <c r="AF31" i="2"/>
  <c r="AC31" i="2"/>
  <c r="J18" i="2"/>
  <c r="N14" i="2"/>
  <c r="J21" i="2"/>
  <c r="Q13" i="2" s="1"/>
  <c r="Q14" i="2" s="1"/>
  <c r="J22" i="2"/>
  <c r="Q2" i="2" l="1"/>
  <c r="AM18" i="18"/>
  <c r="AM15" i="18"/>
  <c r="AM21" i="18"/>
  <c r="AM31" i="18" l="1"/>
  <c r="AM29" i="18"/>
  <c r="AM35" i="18"/>
  <c r="AM32" i="18" l="1"/>
  <c r="AM33"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O2" authorId="0" shapeId="0" xr:uid="{E5625D2F-AB36-4E22-87FF-61A686DD57D6}">
      <text>
        <r>
          <rPr>
            <b/>
            <sz val="9"/>
            <color indexed="81"/>
            <rFont val="Tahoma"/>
            <family val="2"/>
          </rPr>
          <t>User:</t>
        </r>
        <r>
          <rPr>
            <sz val="9"/>
            <color indexed="81"/>
            <rFont val="Tahoma"/>
            <family val="2"/>
          </rPr>
          <t xml:space="preserve">
Mar 2024</t>
        </r>
      </text>
    </comment>
    <comment ref="P2" authorId="0" shapeId="0" xr:uid="{FEBD3D30-63BA-47F5-946E-094F76EF00D7}">
      <text>
        <r>
          <rPr>
            <b/>
            <sz val="9"/>
            <color indexed="81"/>
            <rFont val="Tahoma"/>
            <family val="2"/>
          </rPr>
          <t>User:</t>
        </r>
        <r>
          <rPr>
            <sz val="9"/>
            <color indexed="81"/>
            <rFont val="Tahoma"/>
            <family val="2"/>
          </rPr>
          <t xml:space="preserve">
March 22025E/Dec 2024</t>
        </r>
      </text>
    </comment>
    <comment ref="Q2" authorId="0" shapeId="0" xr:uid="{E51EA4AB-D569-40F5-B3EA-D7F72474BA30}">
      <text>
        <r>
          <rPr>
            <b/>
            <sz val="9"/>
            <color indexed="81"/>
            <rFont val="Tahoma"/>
            <family val="2"/>
          </rPr>
          <t>User:</t>
        </r>
        <r>
          <rPr>
            <sz val="9"/>
            <color indexed="81"/>
            <rFont val="Tahoma"/>
            <family val="2"/>
          </rPr>
          <t xml:space="preserve">
March 2026E/Dec 2025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P5" authorId="0" shapeId="0" xr:uid="{41E86C21-C289-489E-B2DF-8B1D075F6435}">
      <text>
        <r>
          <rPr>
            <b/>
            <sz val="9"/>
            <color indexed="81"/>
            <rFont val="Tahoma"/>
            <family val="2"/>
          </rPr>
          <t>User:</t>
        </r>
        <r>
          <rPr>
            <sz val="9"/>
            <color indexed="81"/>
            <rFont val="Tahoma"/>
            <family val="2"/>
          </rPr>
          <t xml:space="preserve">
05 August 2024</t>
        </r>
      </text>
    </comment>
    <comment ref="AP6" authorId="0" shapeId="0" xr:uid="{091AAE9C-D824-4055-A0DF-B9017F231CCD}">
      <text>
        <r>
          <rPr>
            <b/>
            <sz val="9"/>
            <color indexed="81"/>
            <rFont val="Tahoma"/>
            <family val="2"/>
          </rPr>
          <t>User:</t>
        </r>
        <r>
          <rPr>
            <sz val="9"/>
            <color indexed="81"/>
            <rFont val="Tahoma"/>
            <family val="2"/>
          </rPr>
          <t xml:space="preserve">
23 Nov 2023</t>
        </r>
      </text>
    </comment>
    <comment ref="AP7" authorId="0" shapeId="0" xr:uid="{A020AE90-CBBD-4F08-9A99-D2B11DECF695}">
      <text>
        <r>
          <rPr>
            <b/>
            <sz val="9"/>
            <color indexed="81"/>
            <rFont val="Tahoma"/>
            <family val="2"/>
          </rPr>
          <t>User:</t>
        </r>
        <r>
          <rPr>
            <sz val="9"/>
            <color indexed="81"/>
            <rFont val="Tahoma"/>
            <family val="2"/>
          </rPr>
          <t xml:space="preserve">
12 June 2024</t>
        </r>
      </text>
    </comment>
    <comment ref="AP8" authorId="0" shapeId="0" xr:uid="{F4E43332-C764-48F6-9589-701C7CBEA5AE}">
      <text>
        <r>
          <rPr>
            <b/>
            <sz val="9"/>
            <color indexed="81"/>
            <rFont val="Tahoma"/>
            <family val="2"/>
          </rPr>
          <t>User:</t>
        </r>
        <r>
          <rPr>
            <sz val="9"/>
            <color indexed="81"/>
            <rFont val="Tahoma"/>
            <family val="2"/>
          </rPr>
          <t xml:space="preserve">
July 2024
</t>
        </r>
      </text>
    </comment>
    <comment ref="AP9" authorId="0" shapeId="0" xr:uid="{5272DB8A-BFE7-424B-8E42-93854B849778}">
      <text>
        <r>
          <rPr>
            <b/>
            <sz val="9"/>
            <color indexed="81"/>
            <rFont val="Tahoma"/>
            <family val="2"/>
          </rPr>
          <t>User:</t>
        </r>
        <r>
          <rPr>
            <sz val="9"/>
            <color indexed="81"/>
            <rFont val="Tahoma"/>
            <family val="2"/>
          </rPr>
          <t xml:space="preserve">
24 August 2023</t>
        </r>
      </text>
    </comment>
    <comment ref="AP10" authorId="0" shapeId="0" xr:uid="{717F302B-FC7E-409A-A0BE-C5F621267EB2}">
      <text>
        <r>
          <rPr>
            <b/>
            <sz val="9"/>
            <color indexed="81"/>
            <rFont val="Tahoma"/>
            <family val="2"/>
          </rPr>
          <t>User:</t>
        </r>
        <r>
          <rPr>
            <sz val="9"/>
            <color indexed="81"/>
            <rFont val="Tahoma"/>
            <family val="2"/>
          </rPr>
          <t xml:space="preserve">
June 2024</t>
        </r>
      </text>
    </comment>
    <comment ref="M18" authorId="1" shapeId="0" xr:uid="{1773DE3F-9E48-4E60-AC70-108B1D6E63FE}">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P9" authorId="0" shapeId="0" xr:uid="{337219C3-EE18-4265-BBBC-751257910A43}">
      <text>
        <r>
          <rPr>
            <b/>
            <sz val="9"/>
            <color indexed="81"/>
            <rFont val="Tahoma"/>
            <family val="2"/>
          </rPr>
          <t>User:</t>
        </r>
        <r>
          <rPr>
            <sz val="9"/>
            <color indexed="81"/>
            <rFont val="Tahoma"/>
            <family val="2"/>
          </rPr>
          <t xml:space="preserve">
31 Mar 2023</t>
        </r>
      </text>
    </comment>
    <comment ref="AL14" authorId="0" shapeId="0" xr:uid="{BE8B6A3E-5AEE-406D-8779-9C82B014057D}">
      <text>
        <r>
          <rPr>
            <b/>
            <sz val="9"/>
            <color indexed="81"/>
            <rFont val="Tahoma"/>
            <family val="2"/>
          </rPr>
          <t>User:</t>
        </r>
        <r>
          <rPr>
            <sz val="9"/>
            <color indexed="81"/>
            <rFont val="Tahoma"/>
            <family val="2"/>
          </rPr>
          <t xml:space="preserve">
Adjusted for heading reserve adjustment of -Rs.406mn</t>
        </r>
      </text>
    </comment>
    <comment ref="M18" authorId="1" shapeId="0" xr:uid="{CD6E3F2C-96B7-4F5A-BFD5-CE1E53D98D7E}">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 ref="AL20" authorId="0" shapeId="0" xr:uid="{48BEC61F-F5A1-46A9-9F93-55D7D1355CFC}">
      <text>
        <r>
          <rPr>
            <b/>
            <sz val="9"/>
            <color indexed="81"/>
            <rFont val="Tahoma"/>
            <family val="2"/>
          </rPr>
          <t>User:</t>
        </r>
        <r>
          <rPr>
            <sz val="9"/>
            <color indexed="81"/>
            <rFont val="Tahoma"/>
            <family val="2"/>
          </rPr>
          <t xml:space="preserve">
Adjusted for heading reserve adjustment of -Rs.406mn</t>
        </r>
      </text>
    </comment>
    <comment ref="AL63" authorId="0" shapeId="0" xr:uid="{F7281BB4-A6CE-40FC-BB77-959DDCAA375B}">
      <text>
        <r>
          <rPr>
            <b/>
            <sz val="9"/>
            <color indexed="81"/>
            <rFont val="Tahoma"/>
            <family val="2"/>
          </rPr>
          <t>User:</t>
        </r>
        <r>
          <rPr>
            <sz val="9"/>
            <color indexed="81"/>
            <rFont val="Tahoma"/>
            <family val="2"/>
          </rPr>
          <t xml:space="preserve">
Affected by reversal of hedge reserves loss of Rs.68.5mn</t>
        </r>
      </text>
    </comment>
    <comment ref="AL72" authorId="0" shapeId="0" xr:uid="{AC3F1840-D17A-46BF-8A45-CE30215A55BD}">
      <text>
        <r>
          <rPr>
            <b/>
            <sz val="9"/>
            <color indexed="81"/>
            <rFont val="Tahoma"/>
            <family val="2"/>
          </rPr>
          <t>User:</t>
        </r>
        <r>
          <rPr>
            <sz val="9"/>
            <color indexed="81"/>
            <rFont val="Tahoma"/>
            <family val="2"/>
          </rPr>
          <t xml:space="preserve">
Includes reversal of hedge reserves loss of Rs466mn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8" authorId="0" shapeId="0" xr:uid="{401211CA-084D-4E3B-95E6-651AAD186F33}">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8" authorId="0" shapeId="0" xr:uid="{E3747094-FBEF-4799-9E26-7059985F2944}">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L14" authorId="0" shapeId="0" xr:uid="{AFA1E7B2-7577-4E05-86DD-D2A57F05AB6F}">
      <text>
        <r>
          <rPr>
            <b/>
            <sz val="9"/>
            <color indexed="81"/>
            <rFont val="Tahoma"/>
            <family val="2"/>
          </rPr>
          <t>User:</t>
        </r>
        <r>
          <rPr>
            <sz val="9"/>
            <color indexed="81"/>
            <rFont val="Tahoma"/>
            <family val="2"/>
          </rPr>
          <t xml:space="preserve">
Benefitting from gain on bargain purchase of Rs.8,299mn</t>
        </r>
      </text>
    </comment>
    <comment ref="AM14" authorId="0" shapeId="0" xr:uid="{EA81FD45-E7B1-4ADF-92E4-D3C8D35679F1}">
      <text>
        <r>
          <rPr>
            <b/>
            <sz val="9"/>
            <color indexed="81"/>
            <rFont val="Tahoma"/>
            <family val="2"/>
          </rPr>
          <t>User:</t>
        </r>
        <r>
          <rPr>
            <sz val="9"/>
            <color indexed="81"/>
            <rFont val="Tahoma"/>
            <family val="2"/>
          </rPr>
          <t xml:space="preserve">
Benefitting from gain on bargain purchase of Rs.8,299mn</t>
        </r>
      </text>
    </comment>
    <comment ref="M18" authorId="1" shapeId="0" xr:uid="{543F26B3-ACDE-45D4-ADFB-4ED1D8F39F92}">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M18" authorId="0" shapeId="0" xr:uid="{CF9EF90E-9324-4363-B838-40BE2D74C6F5}">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 ref="AH56" authorId="1" shapeId="0" xr:uid="{4D0321D0-32F5-43C0-B2DD-7175961DE237}">
      <text>
        <r>
          <rPr>
            <b/>
            <sz val="9"/>
            <color indexed="81"/>
            <rFont val="Tahoma"/>
            <family val="2"/>
          </rPr>
          <t>User:</t>
        </r>
        <r>
          <rPr>
            <sz val="9"/>
            <color indexed="81"/>
            <rFont val="Tahoma"/>
            <family val="2"/>
          </rPr>
          <t xml:space="preserve">
Includes acquisition costs</t>
        </r>
      </text>
    </comment>
    <comment ref="X66" authorId="1" shapeId="0" xr:uid="{6702BF74-07C3-468D-BBA7-0298A11ABFD1}">
      <text>
        <r>
          <rPr>
            <b/>
            <sz val="9"/>
            <color indexed="81"/>
            <rFont val="Tahoma"/>
            <family val="2"/>
          </rPr>
          <t>User:</t>
        </r>
        <r>
          <rPr>
            <sz val="9"/>
            <color indexed="81"/>
            <rFont val="Tahoma"/>
            <family val="2"/>
          </rPr>
          <t xml:space="preserve">
Approximate</t>
        </r>
      </text>
    </comment>
    <comment ref="Y66" authorId="1" shapeId="0" xr:uid="{FC041FE1-CBC0-4334-9145-C5A6EB7599D1}">
      <text>
        <r>
          <rPr>
            <b/>
            <sz val="9"/>
            <color indexed="81"/>
            <rFont val="Tahoma"/>
            <family val="2"/>
          </rPr>
          <t>User:</t>
        </r>
        <r>
          <rPr>
            <sz val="9"/>
            <color indexed="81"/>
            <rFont val="Tahoma"/>
            <family val="2"/>
          </rPr>
          <t xml:space="preserve">
Approximate</t>
        </r>
      </text>
    </comment>
    <comment ref="Z66" authorId="1" shapeId="0" xr:uid="{23B26BCA-DE15-47C0-B5D1-245C4BE19875}">
      <text>
        <r>
          <rPr>
            <b/>
            <sz val="9"/>
            <color indexed="81"/>
            <rFont val="Tahoma"/>
            <family val="2"/>
          </rPr>
          <t>User:</t>
        </r>
        <r>
          <rPr>
            <sz val="9"/>
            <color indexed="81"/>
            <rFont val="Tahoma"/>
            <family val="2"/>
          </rPr>
          <t xml:space="preserve">
Approximate</t>
        </r>
      </text>
    </comment>
    <comment ref="X70" authorId="1" shapeId="0" xr:uid="{17976480-5CE3-41F7-AA8F-BAF2C22DDD51}">
      <text>
        <r>
          <rPr>
            <b/>
            <sz val="9"/>
            <color indexed="81"/>
            <rFont val="Tahoma"/>
            <family val="2"/>
          </rPr>
          <t>User:</t>
        </r>
        <r>
          <rPr>
            <sz val="9"/>
            <color indexed="81"/>
            <rFont val="Tahoma"/>
            <family val="2"/>
          </rPr>
          <t xml:space="preserve">
Approximate</t>
        </r>
      </text>
    </comment>
    <comment ref="Y70" authorId="1" shapeId="0" xr:uid="{74910016-4A55-4B90-95D4-FCA6CABDDDAE}">
      <text>
        <r>
          <rPr>
            <b/>
            <sz val="9"/>
            <color indexed="81"/>
            <rFont val="Tahoma"/>
            <family val="2"/>
          </rPr>
          <t>User:</t>
        </r>
        <r>
          <rPr>
            <sz val="9"/>
            <color indexed="81"/>
            <rFont val="Tahoma"/>
            <family val="2"/>
          </rPr>
          <t xml:space="preserve">
Approximate</t>
        </r>
      </text>
    </comment>
    <comment ref="Z70" authorId="1" shapeId="0" xr:uid="{AA61CE0C-B311-406E-A98E-D00A9E56CCA3}">
      <text>
        <r>
          <rPr>
            <b/>
            <sz val="9"/>
            <color indexed="81"/>
            <rFont val="Tahoma"/>
            <family val="2"/>
          </rPr>
          <t>User:</t>
        </r>
        <r>
          <rPr>
            <sz val="9"/>
            <color indexed="81"/>
            <rFont val="Tahoma"/>
            <family val="2"/>
          </rPr>
          <t xml:space="preserve">
Approximate</t>
        </r>
      </text>
    </comment>
    <comment ref="AO70" authorId="1" shapeId="0" xr:uid="{ED5BCD23-2864-42B3-9626-DAB83443A783}">
      <text>
        <r>
          <rPr>
            <b/>
            <sz val="9"/>
            <color indexed="81"/>
            <rFont val="Tahoma"/>
            <family val="2"/>
          </rPr>
          <t>User:</t>
        </r>
        <r>
          <rPr>
            <sz val="9"/>
            <color indexed="81"/>
            <rFont val="Tahoma"/>
            <family val="2"/>
          </rPr>
          <t xml:space="preserve">
Pre pandemic volumes</t>
        </r>
      </text>
    </comment>
    <comment ref="AD74" authorId="1" shapeId="0" xr:uid="{C0BD6DE6-83EA-4663-94AF-8FD78B289749}">
      <text>
        <r>
          <rPr>
            <b/>
            <sz val="9"/>
            <color indexed="81"/>
            <rFont val="Tahoma"/>
            <family val="2"/>
          </rPr>
          <t>User:</t>
        </r>
        <r>
          <rPr>
            <sz val="9"/>
            <color indexed="81"/>
            <rFont val="Tahoma"/>
            <family val="2"/>
          </rPr>
          <t xml:space="preserve">
FY22 Annual</t>
        </r>
      </text>
    </comment>
    <comment ref="AH74" authorId="1" shapeId="0" xr:uid="{31752A0B-CC07-4A09-8C2A-89FCED882085}">
      <text>
        <r>
          <rPr>
            <b/>
            <sz val="9"/>
            <color indexed="81"/>
            <rFont val="Tahoma"/>
            <family val="2"/>
          </rPr>
          <t>User:</t>
        </r>
        <r>
          <rPr>
            <sz val="9"/>
            <color indexed="81"/>
            <rFont val="Tahoma"/>
            <family val="2"/>
          </rPr>
          <t xml:space="preserve">
FY23 Annual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P6" authorId="0" shapeId="0" xr:uid="{076621AB-54F0-4261-9233-8076533DB57A}">
      <text>
        <r>
          <rPr>
            <b/>
            <sz val="9"/>
            <color indexed="81"/>
            <rFont val="Tahoma"/>
            <family val="2"/>
          </rPr>
          <t>User:</t>
        </r>
        <r>
          <rPr>
            <sz val="9"/>
            <color indexed="81"/>
            <rFont val="Tahoma"/>
            <family val="2"/>
          </rPr>
          <t xml:space="preserve">
29 Nov 2023</t>
        </r>
      </text>
    </comment>
    <comment ref="M18" authorId="1" shapeId="0" xr:uid="{1F7E97A7-036D-4B85-B174-B28BA9DA6D6B}">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E4" authorId="0" shapeId="0" xr:uid="{6EB51A74-3FB2-45C2-8219-2AF38D4F5647}">
      <text>
        <r>
          <rPr>
            <b/>
            <sz val="9"/>
            <color indexed="81"/>
            <rFont val="Tahoma"/>
            <family val="2"/>
          </rPr>
          <t>User:</t>
        </r>
        <r>
          <rPr>
            <sz val="9"/>
            <color indexed="81"/>
            <rFont val="Tahoma"/>
            <family val="2"/>
          </rPr>
          <t xml:space="preserve">
Price of 50kg cement bag increased from 2,350 to 3,000</t>
        </r>
      </text>
    </comment>
    <comment ref="AI4" authorId="0" shapeId="0" xr:uid="{3A59F2A4-D57E-4BD9-8255-CCA1FA4BECB4}">
      <text>
        <r>
          <rPr>
            <b/>
            <sz val="9"/>
            <color indexed="81"/>
            <rFont val="Tahoma"/>
            <family val="2"/>
          </rPr>
          <t>User:</t>
        </r>
        <r>
          <rPr>
            <sz val="9"/>
            <color indexed="81"/>
            <rFont val="Tahoma"/>
            <family val="2"/>
          </rPr>
          <t xml:space="preserve">
Minor drop in volumes
Price of 50kg cement bag reduced to 2,600 from 2,750
Cement industry capacity utilization at 33%</t>
        </r>
      </text>
    </comment>
    <comment ref="AO4" authorId="0" shapeId="0" xr:uid="{2949C890-6C98-4050-AFB6-6B1654AAE069}">
      <text>
        <r>
          <rPr>
            <b/>
            <sz val="9"/>
            <color indexed="81"/>
            <rFont val="Tahoma"/>
            <family val="2"/>
          </rPr>
          <t>User:</t>
        </r>
        <r>
          <rPr>
            <sz val="9"/>
            <color indexed="81"/>
            <rFont val="Tahoma"/>
            <family val="2"/>
          </rPr>
          <t xml:space="preserve">
09 July 2024</t>
        </r>
      </text>
    </comment>
    <comment ref="AO6" authorId="0" shapeId="0" xr:uid="{0BECDE9B-9992-4FF9-9CE5-AA4C0D543C05}">
      <text>
        <r>
          <rPr>
            <b/>
            <sz val="9"/>
            <color indexed="81"/>
            <rFont val="Tahoma"/>
            <family val="2"/>
          </rPr>
          <t>User:</t>
        </r>
        <r>
          <rPr>
            <sz val="9"/>
            <color indexed="81"/>
            <rFont val="Tahoma"/>
            <family val="2"/>
          </rPr>
          <t xml:space="preserve">
10 June 2024</t>
        </r>
      </text>
    </comment>
    <comment ref="AO9" authorId="0" shapeId="0" xr:uid="{6857FBFB-38E1-4D89-B278-56175E8CC18D}">
      <text>
        <r>
          <rPr>
            <b/>
            <sz val="9"/>
            <color indexed="81"/>
            <rFont val="Tahoma"/>
            <family val="2"/>
          </rPr>
          <t>User:</t>
        </r>
        <r>
          <rPr>
            <sz val="9"/>
            <color indexed="81"/>
            <rFont val="Tahoma"/>
            <family val="2"/>
          </rPr>
          <t xml:space="preserve">
15 Mar 2024</t>
        </r>
      </text>
    </comment>
    <comment ref="AA14" authorId="0" shapeId="0" xr:uid="{215D293D-959A-4C98-8D79-C53BA9136849}">
      <text>
        <r>
          <rPr>
            <b/>
            <sz val="9"/>
            <color indexed="81"/>
            <rFont val="Tahoma"/>
            <family val="2"/>
          </rPr>
          <t>User:</t>
        </r>
        <r>
          <rPr>
            <sz val="9"/>
            <color indexed="81"/>
            <rFont val="Tahoma"/>
            <family val="2"/>
          </rPr>
          <t xml:space="preserve">
One of gain on sale of vessel</t>
        </r>
      </text>
    </comment>
    <comment ref="AI14" authorId="0" shapeId="0" xr:uid="{42FB48E7-3B33-4040-B677-3FCC84D1A35C}">
      <text>
        <r>
          <rPr>
            <b/>
            <sz val="9"/>
            <color indexed="81"/>
            <rFont val="Tahoma"/>
            <family val="2"/>
          </rPr>
          <t>User:</t>
        </r>
        <r>
          <rPr>
            <sz val="9"/>
            <color indexed="81"/>
            <rFont val="Tahoma"/>
            <family val="2"/>
          </rPr>
          <t xml:space="preserve">
Salary increments and SSCL increased opex</t>
        </r>
      </text>
    </comment>
    <comment ref="AD17" authorId="0" shapeId="0" xr:uid="{F1BC1BB9-60EC-4742-BE29-BDAF9FD8A892}">
      <text>
        <r>
          <rPr>
            <b/>
            <sz val="9"/>
            <color indexed="81"/>
            <rFont val="Tahoma"/>
            <family val="2"/>
          </rPr>
          <t>User:</t>
        </r>
        <r>
          <rPr>
            <sz val="9"/>
            <color indexed="81"/>
            <rFont val="Tahoma"/>
            <family val="2"/>
          </rPr>
          <t xml:space="preserve">
exchange loss of 3.18bn </t>
        </r>
      </text>
    </comment>
    <comment ref="M18" authorId="1" shapeId="0" xr:uid="{A33C7D9C-BB8A-4879-975D-2180A224607A}">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tc={79B41199-4750-4CE0-9880-090E7630CF1B}</author>
    <author>Author</author>
  </authors>
  <commentList>
    <comment ref="AM3" authorId="0" shapeId="0" xr:uid="{79B41199-4750-4CE0-9880-090E7630CF1B}">
      <text>
        <t>[Threaded comment]
Your version of Excel allows you to read this threaded comment; however, any edits to it will get removed if the file is opened in a newer version of Excel. Learn more: https://go.microsoft.com/fwlink/?linkid=870924
Comment:
    What might be the reason Lanka Tile’s revenue declined?</t>
      </text>
    </comment>
    <comment ref="M18" authorId="1" shapeId="0" xr:uid="{F4A89283-98CA-4506-BE93-5A933982D400}">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8" authorId="0" shapeId="0" xr:uid="{D6D80342-C2F1-4752-BF63-64BADBEE5CCD}">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O4" authorId="0" shapeId="0" xr:uid="{C66C72F6-5E25-4668-BE8A-8A73E92C4A68}">
      <text>
        <r>
          <rPr>
            <b/>
            <sz val="9"/>
            <color indexed="81"/>
            <rFont val="Tahoma"/>
            <family val="2"/>
          </rPr>
          <t>User:</t>
        </r>
        <r>
          <rPr>
            <sz val="9"/>
            <color indexed="81"/>
            <rFont val="Tahoma"/>
            <family val="2"/>
          </rPr>
          <t xml:space="preserve">
04 May 2023</t>
        </r>
      </text>
    </comment>
    <comment ref="AO5" authorId="0" shapeId="0" xr:uid="{C6464AB4-5FC8-4560-B99C-734B0ECC2238}">
      <text>
        <r>
          <rPr>
            <b/>
            <sz val="9"/>
            <color indexed="81"/>
            <rFont val="Tahoma"/>
            <family val="2"/>
          </rPr>
          <t>User:</t>
        </r>
        <r>
          <rPr>
            <sz val="9"/>
            <color indexed="81"/>
            <rFont val="Tahoma"/>
            <family val="2"/>
          </rPr>
          <t xml:space="preserve">
04 Dec 2023</t>
        </r>
      </text>
    </comment>
    <comment ref="AO6" authorId="0" shapeId="0" xr:uid="{0BF59F4A-A484-412B-BF70-BD480E422BCD}">
      <text>
        <r>
          <rPr>
            <b/>
            <sz val="9"/>
            <color indexed="81"/>
            <rFont val="Tahoma"/>
            <family val="2"/>
          </rPr>
          <t>User:</t>
        </r>
        <r>
          <rPr>
            <sz val="9"/>
            <color indexed="81"/>
            <rFont val="Tahoma"/>
            <family val="2"/>
          </rPr>
          <t xml:space="preserve">
07 Sep 2023</t>
        </r>
      </text>
    </comment>
    <comment ref="M18" authorId="1" shapeId="0" xr:uid="{22FA9596-8964-4867-80A9-505610FB76E4}">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N4" authorId="0" shapeId="0" xr:uid="{1C5C2EBD-A6CE-46C0-868A-49B2F0E67FC1}">
      <text>
        <r>
          <rPr>
            <b/>
            <sz val="9"/>
            <color indexed="81"/>
            <rFont val="Tahoma"/>
            <family val="2"/>
          </rPr>
          <t>User:</t>
        </r>
        <r>
          <rPr>
            <sz val="9"/>
            <color indexed="81"/>
            <rFont val="Tahoma"/>
            <family val="2"/>
          </rPr>
          <t xml:space="preserve">
24 July 2024</t>
        </r>
      </text>
    </comment>
    <comment ref="AN5" authorId="0" shapeId="0" xr:uid="{4D835843-1BAD-4DFE-AFCB-6972E6E07504}">
      <text>
        <r>
          <rPr>
            <b/>
            <sz val="9"/>
            <color indexed="81"/>
            <rFont val="Tahoma"/>
            <family val="2"/>
          </rPr>
          <t>User:</t>
        </r>
        <r>
          <rPr>
            <sz val="9"/>
            <color indexed="81"/>
            <rFont val="Tahoma"/>
            <family val="2"/>
          </rPr>
          <t xml:space="preserve">
21 June 2023</t>
        </r>
      </text>
    </comment>
    <comment ref="AN6" authorId="0" shapeId="0" xr:uid="{667C4CF7-F945-43A0-B5D3-190F841AAB11}">
      <text>
        <r>
          <rPr>
            <b/>
            <sz val="9"/>
            <color indexed="81"/>
            <rFont val="Tahoma"/>
            <family val="2"/>
          </rPr>
          <t>User:</t>
        </r>
        <r>
          <rPr>
            <sz val="9"/>
            <color indexed="81"/>
            <rFont val="Tahoma"/>
            <family val="2"/>
          </rPr>
          <t xml:space="preserve">
17 Nov 2023</t>
        </r>
      </text>
    </comment>
    <comment ref="AN7" authorId="0" shapeId="0" xr:uid="{B20DF66D-6566-45CE-8C5F-8587CD43AAA0}">
      <text>
        <r>
          <rPr>
            <b/>
            <sz val="9"/>
            <color indexed="81"/>
            <rFont val="Tahoma"/>
            <family val="2"/>
          </rPr>
          <t>User:</t>
        </r>
        <r>
          <rPr>
            <sz val="9"/>
            <color indexed="81"/>
            <rFont val="Tahoma"/>
            <family val="2"/>
          </rPr>
          <t xml:space="preserve">
01 Dec 2023</t>
        </r>
      </text>
    </comment>
    <comment ref="AN10" authorId="0" shapeId="0" xr:uid="{EAA2C1E5-19FB-490B-A7D0-43C2A69CA8E4}">
      <text>
        <r>
          <rPr>
            <b/>
            <sz val="9"/>
            <color indexed="81"/>
            <rFont val="Tahoma"/>
            <family val="2"/>
          </rPr>
          <t>User:</t>
        </r>
        <r>
          <rPr>
            <sz val="9"/>
            <color indexed="81"/>
            <rFont val="Tahoma"/>
            <family val="2"/>
          </rPr>
          <t xml:space="preserve">
19 June 2023</t>
        </r>
      </text>
    </comment>
    <comment ref="M18" authorId="1" shapeId="0" xr:uid="{D46F86FB-96A3-4B8C-91F6-BB1E1F9C737E}">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W14" authorId="0" shapeId="0" xr:uid="{2FC9DB3D-310E-4C12-AF67-95D369D8D200}">
      <text>
        <r>
          <rPr>
            <b/>
            <sz val="9"/>
            <color indexed="81"/>
            <rFont val="Tahoma"/>
            <family val="2"/>
          </rPr>
          <t>User:</t>
        </r>
        <r>
          <rPr>
            <sz val="9"/>
            <color indexed="81"/>
            <rFont val="Tahoma"/>
            <family val="2"/>
          </rPr>
          <t xml:space="preserve">
Change in fair value of biological assets/livestock raises other income in certain quarters leading to higher EBIT than GP</t>
        </r>
      </text>
    </comment>
    <comment ref="W17" authorId="0" shapeId="0" xr:uid="{F5C59CC7-98D5-4B8D-97C0-5C6F370D76F2}">
      <text>
        <r>
          <rPr>
            <b/>
            <sz val="9"/>
            <color indexed="81"/>
            <rFont val="Tahoma"/>
            <family val="2"/>
          </rPr>
          <t>User:</t>
        </r>
        <r>
          <rPr>
            <sz val="9"/>
            <color indexed="81"/>
            <rFont val="Tahoma"/>
            <family val="2"/>
          </rPr>
          <t xml:space="preserve">
Dividend income from MELS and DIST are shown as finance Income</t>
        </r>
      </text>
    </comment>
    <comment ref="M18" authorId="1" shapeId="0" xr:uid="{ED6721DE-DCD4-45CC-A776-B769821B43DC}">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 ref="W60" authorId="0" shapeId="0" xr:uid="{492A2DBB-5010-49E3-9E3D-F173445590FB}">
      <text>
        <r>
          <rPr>
            <b/>
            <sz val="9"/>
            <color indexed="81"/>
            <rFont val="Tahoma"/>
            <family val="2"/>
          </rPr>
          <t>User:</t>
        </r>
        <r>
          <rPr>
            <sz val="9"/>
            <color indexed="81"/>
            <rFont val="Tahoma"/>
            <family val="2"/>
          </rPr>
          <t xml:space="preserve">
Importing, packaging and Distribution of Milk allied products.</t>
        </r>
      </text>
    </comment>
    <comment ref="W70" authorId="0" shapeId="0" xr:uid="{7CDF554C-1A0F-43E2-8572-D82EBFC307CD}">
      <text>
        <r>
          <rPr>
            <b/>
            <sz val="9"/>
            <color indexed="81"/>
            <rFont val="Tahoma"/>
            <family val="2"/>
          </rPr>
          <t>User:</t>
        </r>
        <r>
          <rPr>
            <sz val="9"/>
            <color indexed="81"/>
            <rFont val="Tahoma"/>
            <family val="2"/>
          </rPr>
          <t xml:space="preserve">
Operating Chain of Packaging and Selling of UHT Products,"Daily","Ambewela Farm Fresh Milk",Yogurt and Fruit Juice</t>
        </r>
      </text>
    </comment>
    <comment ref="W80" authorId="0" shapeId="0" xr:uid="{3C1F84C7-1AD5-4EA6-BD55-6D5D313AF871}">
      <text>
        <r>
          <rPr>
            <b/>
            <sz val="9"/>
            <color indexed="81"/>
            <rFont val="Tahoma"/>
            <family val="2"/>
          </rPr>
          <t>User:</t>
        </r>
        <r>
          <rPr>
            <sz val="9"/>
            <color indexed="81"/>
            <rFont val="Tahoma"/>
            <family val="2"/>
          </rPr>
          <t xml:space="preserve">
Rearing of Cattle to produce and Sale of Cow Milk and Agricultural development of the Farm.</t>
        </r>
      </text>
    </comment>
    <comment ref="W90" authorId="0" shapeId="0" xr:uid="{7A4BC895-E40E-45B8-9E87-213978A413DE}">
      <text>
        <r>
          <rPr>
            <b/>
            <sz val="9"/>
            <color indexed="81"/>
            <rFont val="Tahoma"/>
            <family val="2"/>
          </rPr>
          <t>User:</t>
        </r>
        <r>
          <rPr>
            <sz val="9"/>
            <color indexed="81"/>
            <rFont val="Tahoma"/>
            <family val="2"/>
          </rPr>
          <t xml:space="preserve">
Distribution of Happy Cow Cheese, Red Bull and Blue Energy Drink</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P4" authorId="0" shapeId="0" xr:uid="{16799F0B-1986-4481-81CE-4BD569FA223F}">
      <text>
        <r>
          <rPr>
            <b/>
            <sz val="9"/>
            <color indexed="81"/>
            <rFont val="Tahoma"/>
            <family val="2"/>
          </rPr>
          <t>User:</t>
        </r>
        <r>
          <rPr>
            <sz val="9"/>
            <color indexed="81"/>
            <rFont val="Tahoma"/>
            <family val="2"/>
          </rPr>
          <t xml:space="preserve">
11 Mar 2024
</t>
        </r>
      </text>
    </comment>
    <comment ref="AP5" authorId="0" shapeId="0" xr:uid="{2A3FA7FC-4443-4A33-A3F1-2378CD7BFDE3}">
      <text>
        <r>
          <rPr>
            <b/>
            <sz val="9"/>
            <color indexed="81"/>
            <rFont val="Tahoma"/>
            <family val="2"/>
          </rPr>
          <t>User:</t>
        </r>
        <r>
          <rPr>
            <sz val="9"/>
            <color indexed="81"/>
            <rFont val="Tahoma"/>
            <family val="2"/>
          </rPr>
          <t xml:space="preserve">
05 Mar 2024</t>
        </r>
      </text>
    </comment>
    <comment ref="AP6" authorId="0" shapeId="0" xr:uid="{2268B232-EC0D-46F6-86AF-755397E50AB8}">
      <text>
        <r>
          <rPr>
            <b/>
            <sz val="9"/>
            <color indexed="81"/>
            <rFont val="Tahoma"/>
            <family val="2"/>
          </rPr>
          <t>User:</t>
        </r>
        <r>
          <rPr>
            <sz val="9"/>
            <color indexed="81"/>
            <rFont val="Tahoma"/>
            <family val="2"/>
          </rPr>
          <t xml:space="preserve">
03 Jan 2024</t>
        </r>
      </text>
    </comment>
    <comment ref="AP7" authorId="0" shapeId="0" xr:uid="{4A6DE3D3-65ED-44D3-9485-B4C8216EB69B}">
      <text>
        <r>
          <rPr>
            <b/>
            <sz val="9"/>
            <color indexed="81"/>
            <rFont val="Tahoma"/>
            <family val="2"/>
          </rPr>
          <t>User:</t>
        </r>
        <r>
          <rPr>
            <sz val="9"/>
            <color indexed="81"/>
            <rFont val="Tahoma"/>
            <family val="2"/>
          </rPr>
          <t xml:space="preserve">
05 Dec 2023</t>
        </r>
      </text>
    </comment>
    <comment ref="AP8" authorId="0" shapeId="0" xr:uid="{E85729F0-BFFE-46C8-A4F3-9722C06B158B}">
      <text>
        <r>
          <rPr>
            <b/>
            <sz val="9"/>
            <color indexed="81"/>
            <rFont val="Tahoma"/>
            <family val="2"/>
          </rPr>
          <t>User:</t>
        </r>
        <r>
          <rPr>
            <sz val="9"/>
            <color indexed="81"/>
            <rFont val="Tahoma"/>
            <family val="2"/>
          </rPr>
          <t xml:space="preserve">
08 June 2023
</t>
        </r>
      </text>
    </comment>
    <comment ref="M18" authorId="1" shapeId="0" xr:uid="{4E7D1532-F1B0-4522-B19D-24B95D429577}">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P4" authorId="0" shapeId="0" xr:uid="{AAD964AE-6B73-4D38-9243-50D20A8E9DE3}">
      <text>
        <r>
          <rPr>
            <b/>
            <sz val="9"/>
            <color indexed="81"/>
            <rFont val="Tahoma"/>
            <family val="2"/>
          </rPr>
          <t>User:</t>
        </r>
        <r>
          <rPr>
            <sz val="9"/>
            <color indexed="81"/>
            <rFont val="Tahoma"/>
            <family val="2"/>
          </rPr>
          <t xml:space="preserve">
2 Jul 2024</t>
        </r>
      </text>
    </comment>
    <comment ref="AP5" authorId="0" shapeId="0" xr:uid="{AA34E3CC-3C64-4C6B-A166-73A8B4020637}">
      <text>
        <r>
          <rPr>
            <b/>
            <sz val="9"/>
            <color indexed="81"/>
            <rFont val="Tahoma"/>
            <family val="2"/>
          </rPr>
          <t>User:</t>
        </r>
        <r>
          <rPr>
            <sz val="9"/>
            <color indexed="81"/>
            <rFont val="Tahoma"/>
            <family val="2"/>
          </rPr>
          <t xml:space="preserve">
22 May 2023</t>
        </r>
      </text>
    </comment>
    <comment ref="AP6" authorId="0" shapeId="0" xr:uid="{C23DB0BD-4CC3-4E95-A5B9-3F4F9ECF59EB}">
      <text>
        <r>
          <rPr>
            <b/>
            <sz val="9"/>
            <color indexed="81"/>
            <rFont val="Tahoma"/>
            <family val="2"/>
          </rPr>
          <t>User:</t>
        </r>
        <r>
          <rPr>
            <sz val="9"/>
            <color indexed="81"/>
            <rFont val="Tahoma"/>
            <family val="2"/>
          </rPr>
          <t xml:space="preserve">
26 Nov 2023</t>
        </r>
      </text>
    </comment>
    <comment ref="AP7" authorId="0" shapeId="0" xr:uid="{345E7B12-F584-4DD9-817A-04B1D9F73554}">
      <text>
        <r>
          <rPr>
            <b/>
            <sz val="9"/>
            <color indexed="81"/>
            <rFont val="Tahoma"/>
            <family val="2"/>
          </rPr>
          <t>User:</t>
        </r>
        <r>
          <rPr>
            <sz val="9"/>
            <color indexed="81"/>
            <rFont val="Tahoma"/>
            <family val="2"/>
          </rPr>
          <t xml:space="preserve">
28 Mar 2023</t>
        </r>
      </text>
    </comment>
    <comment ref="M18" authorId="1" shapeId="0" xr:uid="{8FE227E1-6362-4E9A-8EA0-50B5D40D3034}">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N5" authorId="0" shapeId="0" xr:uid="{7C4045A1-6009-401C-9D60-80ABCECF2D3F}">
      <text>
        <r>
          <rPr>
            <b/>
            <sz val="9"/>
            <color indexed="81"/>
            <rFont val="Tahoma"/>
            <family val="2"/>
          </rPr>
          <t>User:</t>
        </r>
        <r>
          <rPr>
            <sz val="9"/>
            <color indexed="81"/>
            <rFont val="Tahoma"/>
            <family val="2"/>
          </rPr>
          <t xml:space="preserve">
16 Nov 2023</t>
        </r>
      </text>
    </comment>
    <comment ref="AN6" authorId="0" shapeId="0" xr:uid="{8DA514B6-04D3-4B38-B59F-92B55159839B}">
      <text>
        <r>
          <rPr>
            <b/>
            <sz val="9"/>
            <color indexed="81"/>
            <rFont val="Tahoma"/>
            <family val="2"/>
          </rPr>
          <t>User:</t>
        </r>
        <r>
          <rPr>
            <sz val="9"/>
            <color indexed="81"/>
            <rFont val="Tahoma"/>
            <family val="2"/>
          </rPr>
          <t xml:space="preserve">
20 Sep 2023</t>
        </r>
      </text>
    </comment>
    <comment ref="AN7" authorId="0" shapeId="0" xr:uid="{3CFD49C5-66B2-472D-B1E2-5D6A9FE41E55}">
      <text>
        <r>
          <rPr>
            <b/>
            <sz val="9"/>
            <color indexed="81"/>
            <rFont val="Tahoma"/>
            <family val="2"/>
          </rPr>
          <t>User:</t>
        </r>
        <r>
          <rPr>
            <sz val="9"/>
            <color indexed="81"/>
            <rFont val="Tahoma"/>
            <family val="2"/>
          </rPr>
          <t xml:space="preserve">
17 Oct 2023</t>
        </r>
      </text>
    </comment>
    <comment ref="AN8" authorId="0" shapeId="0" xr:uid="{E0A676C2-1CEB-415A-934C-454B6642550C}">
      <text>
        <r>
          <rPr>
            <b/>
            <sz val="9"/>
            <color indexed="81"/>
            <rFont val="Tahoma"/>
            <family val="2"/>
          </rPr>
          <t>User:</t>
        </r>
        <r>
          <rPr>
            <sz val="9"/>
            <color indexed="81"/>
            <rFont val="Tahoma"/>
            <family val="2"/>
          </rPr>
          <t xml:space="preserve">
03 Nov 2023</t>
        </r>
      </text>
    </comment>
    <comment ref="M18" authorId="1" shapeId="0" xr:uid="{30154F07-88EB-4E49-A528-210C32691B24}">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N4" authorId="0" shapeId="0" xr:uid="{F8637D67-4EEE-49DF-8B87-6DB2BE6CC898}">
      <text>
        <r>
          <rPr>
            <b/>
            <sz val="9"/>
            <color indexed="81"/>
            <rFont val="Tahoma"/>
            <family val="2"/>
          </rPr>
          <t>User:</t>
        </r>
        <r>
          <rPr>
            <sz val="9"/>
            <color indexed="81"/>
            <rFont val="Tahoma"/>
            <family val="2"/>
          </rPr>
          <t xml:space="preserve">
12 Jan 2024</t>
        </r>
      </text>
    </comment>
    <comment ref="AN6" authorId="0" shapeId="0" xr:uid="{FFB845C7-4D4F-450C-A5F5-501AED6D126C}">
      <text>
        <r>
          <rPr>
            <b/>
            <sz val="9"/>
            <color indexed="81"/>
            <rFont val="Tahoma"/>
            <family val="2"/>
          </rPr>
          <t>User:</t>
        </r>
        <r>
          <rPr>
            <sz val="9"/>
            <color indexed="81"/>
            <rFont val="Tahoma"/>
            <family val="2"/>
          </rPr>
          <t xml:space="preserve">
19 Feb 2024 </t>
        </r>
      </text>
    </comment>
    <comment ref="AN8" authorId="0" shapeId="0" xr:uid="{9FF607AF-E849-4B2A-97A6-1B12908ADD89}">
      <text>
        <r>
          <rPr>
            <b/>
            <sz val="9"/>
            <color indexed="81"/>
            <rFont val="Tahoma"/>
            <family val="2"/>
          </rPr>
          <t>User:</t>
        </r>
        <r>
          <rPr>
            <sz val="9"/>
            <color indexed="81"/>
            <rFont val="Tahoma"/>
            <family val="2"/>
          </rPr>
          <t xml:space="preserve">
25 Sep 2023</t>
        </r>
      </text>
    </comment>
    <comment ref="M18" authorId="1" shapeId="0" xr:uid="{672876F5-89E2-451F-A34B-7092647C9989}">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O4" authorId="0" shapeId="0" xr:uid="{B01D42F9-F385-472D-B059-B03C606222FC}">
      <text>
        <r>
          <rPr>
            <b/>
            <sz val="9"/>
            <color indexed="81"/>
            <rFont val="Tahoma"/>
            <family val="2"/>
          </rPr>
          <t>User:</t>
        </r>
        <r>
          <rPr>
            <sz val="9"/>
            <color indexed="81"/>
            <rFont val="Tahoma"/>
            <family val="2"/>
          </rPr>
          <t xml:space="preserve">
08 Feb 2024</t>
        </r>
      </text>
    </comment>
    <comment ref="AO5" authorId="0" shapeId="0" xr:uid="{30DC66DB-EAEF-419B-8EE6-490CFB0C8D52}">
      <text>
        <r>
          <rPr>
            <b/>
            <sz val="9"/>
            <color indexed="81"/>
            <rFont val="Tahoma"/>
            <family val="2"/>
          </rPr>
          <t>User:</t>
        </r>
        <r>
          <rPr>
            <sz val="9"/>
            <color indexed="81"/>
            <rFont val="Tahoma"/>
            <family val="2"/>
          </rPr>
          <t xml:space="preserve">
11 Dec 2023</t>
        </r>
      </text>
    </comment>
    <comment ref="AO6" authorId="0" shapeId="0" xr:uid="{F5CFA217-9499-4FDF-BC20-7BC5A7417F02}">
      <text>
        <r>
          <rPr>
            <b/>
            <sz val="9"/>
            <color indexed="81"/>
            <rFont val="Tahoma"/>
            <family val="2"/>
          </rPr>
          <t>User:</t>
        </r>
        <r>
          <rPr>
            <sz val="9"/>
            <color indexed="81"/>
            <rFont val="Tahoma"/>
            <family val="2"/>
          </rPr>
          <t xml:space="preserve">
01 Mar 2023</t>
        </r>
      </text>
    </comment>
    <comment ref="AO7" authorId="0" shapeId="0" xr:uid="{D0E991D3-4A7D-4E48-B614-24CA32D12A57}">
      <text>
        <r>
          <rPr>
            <b/>
            <sz val="9"/>
            <color indexed="81"/>
            <rFont val="Tahoma"/>
            <family val="2"/>
          </rPr>
          <t>User:</t>
        </r>
        <r>
          <rPr>
            <sz val="9"/>
            <color indexed="81"/>
            <rFont val="Tahoma"/>
            <family val="2"/>
          </rPr>
          <t xml:space="preserve">
21 Nov 2023</t>
        </r>
      </text>
    </comment>
    <comment ref="AO8" authorId="0" shapeId="0" xr:uid="{92C5C8DE-737A-4271-A25A-97C6A11CEA8F}">
      <text>
        <r>
          <rPr>
            <b/>
            <sz val="9"/>
            <color indexed="81"/>
            <rFont val="Tahoma"/>
            <family val="2"/>
          </rPr>
          <t>User:</t>
        </r>
        <r>
          <rPr>
            <sz val="9"/>
            <color indexed="81"/>
            <rFont val="Tahoma"/>
            <family val="2"/>
          </rPr>
          <t xml:space="preserve">
07 Dec 2023</t>
        </r>
      </text>
    </comment>
    <comment ref="M18" authorId="1" shapeId="0" xr:uid="{529E4195-2A1D-4B92-A738-7DE48DF10374}">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 ref="AI56" authorId="0" shapeId="0" xr:uid="{C46B8871-9BE8-441E-8F94-E797EF57BEF9}">
      <text>
        <r>
          <rPr>
            <b/>
            <sz val="9"/>
            <color indexed="81"/>
            <rFont val="Tahoma"/>
            <family val="2"/>
          </rPr>
          <t>User:</t>
        </r>
        <r>
          <rPr>
            <sz val="9"/>
            <color indexed="81"/>
            <rFont val="Tahoma"/>
            <family val="2"/>
          </rPr>
          <t xml:space="preserve">
Includes acquisition of Atlas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N4" authorId="0" shapeId="0" xr:uid="{D2107CDB-64FF-4B56-A2B1-F1953ACAEA08}">
      <text>
        <r>
          <rPr>
            <b/>
            <sz val="9"/>
            <color indexed="81"/>
            <rFont val="Tahoma"/>
            <family val="2"/>
          </rPr>
          <t>User:</t>
        </r>
        <r>
          <rPr>
            <sz val="9"/>
            <color indexed="81"/>
            <rFont val="Tahoma"/>
            <family val="2"/>
          </rPr>
          <t xml:space="preserve">
13 Nov 2023</t>
        </r>
      </text>
    </comment>
    <comment ref="AN6" authorId="0" shapeId="0" xr:uid="{EEAF80B8-8588-4705-B461-0D0029CD52D7}">
      <text>
        <r>
          <rPr>
            <b/>
            <sz val="9"/>
            <color indexed="81"/>
            <rFont val="Tahoma"/>
            <family val="2"/>
          </rPr>
          <t>User:</t>
        </r>
        <r>
          <rPr>
            <sz val="9"/>
            <color indexed="81"/>
            <rFont val="Tahoma"/>
            <family val="2"/>
          </rPr>
          <t xml:space="preserve">
16 Feb 2024</t>
        </r>
      </text>
    </comment>
    <comment ref="AN8" authorId="0" shapeId="0" xr:uid="{BB746315-E652-4CBD-8C13-135ADC5D1279}">
      <text>
        <r>
          <rPr>
            <b/>
            <sz val="9"/>
            <color indexed="81"/>
            <rFont val="Tahoma"/>
            <family val="2"/>
          </rPr>
          <t>User:</t>
        </r>
        <r>
          <rPr>
            <sz val="9"/>
            <color indexed="81"/>
            <rFont val="Tahoma"/>
            <family val="2"/>
          </rPr>
          <t xml:space="preserve">
22 Nov 2023</t>
        </r>
      </text>
    </comment>
    <comment ref="M18" authorId="1" shapeId="0" xr:uid="{B0D5552E-888F-4503-A02E-2D798DBCDCDF}">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P4" authorId="0" shapeId="0" xr:uid="{97C49C4A-E13E-4966-8612-AE155A45E2A9}">
      <text>
        <r>
          <rPr>
            <b/>
            <sz val="9"/>
            <color indexed="81"/>
            <rFont val="Tahoma"/>
            <family val="2"/>
          </rPr>
          <t>User:</t>
        </r>
        <r>
          <rPr>
            <sz val="9"/>
            <color indexed="81"/>
            <rFont val="Tahoma"/>
            <family val="2"/>
          </rPr>
          <t xml:space="preserve">
24 Apr 2024</t>
        </r>
      </text>
    </comment>
    <comment ref="AP5" authorId="0" shapeId="0" xr:uid="{D536BE36-501B-45BF-8503-61F1EE77C479}">
      <text>
        <r>
          <rPr>
            <b/>
            <sz val="9"/>
            <color indexed="81"/>
            <rFont val="Tahoma"/>
            <family val="2"/>
          </rPr>
          <t>User:</t>
        </r>
        <r>
          <rPr>
            <sz val="9"/>
            <color indexed="81"/>
            <rFont val="Tahoma"/>
            <family val="2"/>
          </rPr>
          <t xml:space="preserve">
20 May 2024
</t>
        </r>
      </text>
    </comment>
    <comment ref="M18" authorId="1" shapeId="0" xr:uid="{15A4E813-ECCC-44A5-BE5D-B3F625F943BB}">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8" authorId="0" shapeId="0" xr:uid="{E7FC675C-585F-4F58-A1CC-D0012CC719BF}">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N4" authorId="0" shapeId="0" xr:uid="{274A456B-4142-4B06-BED5-F5F4B4EEB387}">
      <text>
        <r>
          <rPr>
            <b/>
            <sz val="9"/>
            <color indexed="81"/>
            <rFont val="Tahoma"/>
            <family val="2"/>
          </rPr>
          <t>User:</t>
        </r>
        <r>
          <rPr>
            <sz val="9"/>
            <color indexed="81"/>
            <rFont val="Tahoma"/>
            <family val="2"/>
          </rPr>
          <t xml:space="preserve">
22 Nov 2023</t>
        </r>
      </text>
    </comment>
    <comment ref="AN5" authorId="0" shapeId="0" xr:uid="{F78B4ADA-DB53-4826-BCF0-3F4E4A2404FA}">
      <text>
        <r>
          <rPr>
            <b/>
            <sz val="9"/>
            <color indexed="81"/>
            <rFont val="Tahoma"/>
            <family val="2"/>
          </rPr>
          <t>User:</t>
        </r>
        <r>
          <rPr>
            <sz val="9"/>
            <color indexed="81"/>
            <rFont val="Tahoma"/>
            <family val="2"/>
          </rPr>
          <t xml:space="preserve">
27 Sep 2023</t>
        </r>
      </text>
    </comment>
    <comment ref="AN6" authorId="0" shapeId="0" xr:uid="{319A20E8-15FD-4B12-9486-FD473DBC72A6}">
      <text>
        <r>
          <rPr>
            <b/>
            <sz val="9"/>
            <color indexed="81"/>
            <rFont val="Tahoma"/>
            <family val="2"/>
          </rPr>
          <t>User:</t>
        </r>
        <r>
          <rPr>
            <sz val="9"/>
            <color indexed="81"/>
            <rFont val="Tahoma"/>
            <family val="2"/>
          </rPr>
          <t xml:space="preserve">
02 Oct 2023</t>
        </r>
      </text>
    </comment>
    <comment ref="AN8" authorId="0" shapeId="0" xr:uid="{C36C6336-AD25-4C91-9BCA-8F1650C79993}">
      <text>
        <r>
          <rPr>
            <b/>
            <sz val="9"/>
            <color indexed="81"/>
            <rFont val="Tahoma"/>
            <family val="2"/>
          </rPr>
          <t>User:</t>
        </r>
        <r>
          <rPr>
            <sz val="9"/>
            <color indexed="81"/>
            <rFont val="Tahoma"/>
            <family val="2"/>
          </rPr>
          <t xml:space="preserve">
April 2023</t>
        </r>
      </text>
    </comment>
    <comment ref="M18" authorId="1" shapeId="0" xr:uid="{C26CEA07-712B-49E2-98ED-BE9D932696E9}">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 ref="W19" authorId="0" shapeId="0" xr:uid="{9E9C335C-1274-4129-86BF-873CB0BBF65A}">
      <text>
        <r>
          <rPr>
            <b/>
            <sz val="9"/>
            <color indexed="81"/>
            <rFont val="Tahoma"/>
            <family val="2"/>
          </rPr>
          <t>User:</t>
        </r>
        <r>
          <rPr>
            <sz val="9"/>
            <color indexed="81"/>
            <rFont val="Tahoma"/>
            <family val="2"/>
          </rPr>
          <t xml:space="preserve">
On forward exchange contracts
</t>
        </r>
      </text>
    </comment>
    <comment ref="W27" authorId="0" shapeId="0" xr:uid="{966B6373-797A-43ED-86BB-639020F3D9E7}">
      <text>
        <r>
          <rPr>
            <b/>
            <sz val="9"/>
            <color indexed="81"/>
            <rFont val="Tahoma"/>
            <family val="2"/>
          </rPr>
          <t>User:</t>
        </r>
        <r>
          <rPr>
            <sz val="9"/>
            <color indexed="81"/>
            <rFont val="Tahoma"/>
            <family val="2"/>
          </rPr>
          <t xml:space="preserve">
Includes exchange gains/losses</t>
        </r>
      </text>
    </comment>
    <comment ref="W92" authorId="0" shapeId="0" xr:uid="{1B3CE876-7F7E-46F6-8FA6-664705CAB914}">
      <text>
        <r>
          <rPr>
            <b/>
            <sz val="9"/>
            <color indexed="81"/>
            <rFont val="Tahoma"/>
            <family val="2"/>
          </rPr>
          <t>User:</t>
        </r>
        <r>
          <rPr>
            <sz val="9"/>
            <color indexed="81"/>
            <rFont val="Tahoma"/>
            <family val="2"/>
          </rPr>
          <t xml:space="preserve">
Cumulative - Reported</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M18" authorId="0" shapeId="0" xr:uid="{50A835E6-08B8-4CED-9C35-FB8122EA1AC0}">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 ref="W61" authorId="1" shapeId="0" xr:uid="{9D88F936-00B1-4135-AE07-34106B28B2B4}">
      <text>
        <r>
          <rPr>
            <b/>
            <sz val="9"/>
            <color indexed="81"/>
            <rFont val="Tahoma"/>
            <family val="2"/>
          </rPr>
          <t>User:</t>
        </r>
        <r>
          <rPr>
            <sz val="9"/>
            <color indexed="81"/>
            <rFont val="Tahoma"/>
            <family val="2"/>
          </rPr>
          <t xml:space="preserve">
Includes
T bonds, 
T bills, 
ISBs, 
FDs, 
CPs, 
Securitized Papers, 
Quoted Debentures
Unquoted Debentures
Reverse Repos
</t>
        </r>
      </text>
    </comment>
    <comment ref="W65" authorId="1" shapeId="0" xr:uid="{CBC09BA0-6F5F-4627-A4A6-B8A260F878CB}">
      <text>
        <r>
          <rPr>
            <b/>
            <sz val="9"/>
            <color indexed="81"/>
            <rFont val="Tahoma"/>
            <family val="2"/>
          </rPr>
          <t>User:</t>
        </r>
        <r>
          <rPr>
            <sz val="9"/>
            <color indexed="81"/>
            <rFont val="Tahoma"/>
            <family val="2"/>
          </rPr>
          <t xml:space="preserve">
Includes, 
T bonds, 
Pepetual Debentures
Unit Trusts</t>
        </r>
      </text>
    </comment>
    <comment ref="W69" authorId="1" shapeId="0" xr:uid="{D7C9798D-BFC2-470B-B691-D6220FA0340E}">
      <text>
        <r>
          <rPr>
            <b/>
            <sz val="9"/>
            <color indexed="81"/>
            <rFont val="Tahoma"/>
            <family val="2"/>
          </rPr>
          <t>User:</t>
        </r>
        <r>
          <rPr>
            <sz val="9"/>
            <color indexed="81"/>
            <rFont val="Tahoma"/>
            <family val="2"/>
          </rPr>
          <t xml:space="preserve">
Includes, 
Quoted/unquoted Equities
T Bonds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8" authorId="0" shapeId="0" xr:uid="{74F90954-23E2-4141-A1BE-F93CA0FDE16F}">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8" authorId="0" shapeId="0" xr:uid="{9E6028FF-9A6F-407E-9DA2-AF0C1AFB7E7A}">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W14" authorId="0" shapeId="0" xr:uid="{22B5DC05-1BDC-4DDD-B0A2-0DAAABDE83C9}">
      <text>
        <r>
          <rPr>
            <b/>
            <sz val="9"/>
            <color indexed="81"/>
            <rFont val="Tahoma"/>
            <family val="2"/>
          </rPr>
          <t>User:</t>
        </r>
        <r>
          <rPr>
            <sz val="9"/>
            <color indexed="81"/>
            <rFont val="Tahoma"/>
            <family val="2"/>
          </rPr>
          <t xml:space="preserve">
Change in fair value of biological assets/livestock raises other income in certain quarters leading to higher EBIT than GP</t>
        </r>
      </text>
    </comment>
    <comment ref="W17" authorId="0" shapeId="0" xr:uid="{52472A5A-31E8-48B5-85F3-2F95B9FC82FA}">
      <text>
        <r>
          <rPr>
            <b/>
            <sz val="9"/>
            <color indexed="81"/>
            <rFont val="Tahoma"/>
            <family val="2"/>
          </rPr>
          <t>User:</t>
        </r>
        <r>
          <rPr>
            <sz val="9"/>
            <color indexed="81"/>
            <rFont val="Tahoma"/>
            <family val="2"/>
          </rPr>
          <t xml:space="preserve">
Dividend income from MELS and DIST are shown as finance Income</t>
        </r>
      </text>
    </comment>
    <comment ref="M18" authorId="1" shapeId="0" xr:uid="{0AD95E7D-070A-48BB-99A1-B32DA7984027}">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O4" authorId="0" shapeId="0" xr:uid="{63BEAFEF-2101-4B30-806A-51424C50C949}">
      <text>
        <r>
          <rPr>
            <b/>
            <sz val="9"/>
            <color indexed="81"/>
            <rFont val="Tahoma"/>
            <family val="2"/>
          </rPr>
          <t>User:</t>
        </r>
        <r>
          <rPr>
            <sz val="9"/>
            <color indexed="81"/>
            <rFont val="Tahoma"/>
            <family val="2"/>
          </rPr>
          <t xml:space="preserve">
13 Nov 2023</t>
        </r>
      </text>
    </comment>
    <comment ref="M18" authorId="1" shapeId="0" xr:uid="{143B77D9-D100-4B8F-B0B1-A8B76B500D8F}">
      <text>
        <r>
          <rPr>
            <b/>
            <sz val="9"/>
            <color indexed="81"/>
            <rFont val="Tahoma"/>
            <family val="2"/>
          </rPr>
          <t>Author:</t>
        </r>
        <r>
          <rPr>
            <sz val="9"/>
            <color indexed="81"/>
            <rFont val="Tahoma"/>
            <family val="2"/>
          </rPr>
          <t xml:space="preserve">
Having acquired South Asia Textiles Limited in April 2021, we became the largest textiles manufacturer in the country with the capability of providing a complete portfolio of end-to-end solutions from designing to manufacturing of fabric, made out of both natural and synthetic fibres
In 2014, we launched our own brand, “Inno” becoming the first fabric mill in the country to do so. Inno = Fashionable, value added and functional fabric with superior aesthetics. 
(inno accounts for 98% of sales)
End markets - 60% Americas, 30% Europe, 10% UK 
Sources - 36% India, 29% Sri Lanka, 11% China, 6% Pakistan, 6% Vietnam and other countries
Fabric produced - 17326 MT (~47MT/day). Company's revenue accounts for 41% of SL's textile exports. 
About 71% of our energy consumption is from renewable sources of energy such as Biomass as we have reduced our dependency on fossil fuels. (22% of energy consumption from a 4.6MW rooftop solar installed at the company's factory premises)
SAT - The final acquisition cost of USD 18 Mn (Rs. 3.6 Bn) was fully funded by your company with ownership being transferred on the 22nd April 2021
Hayleys fabric marketing team was able to obtain orders for SAT within a few days to suit the technical capability of the machinery and fill capacity
SAT upgrade - With the approval of the Board, a USD 8 Mn upgrading took place with a very short timeline. This included replacing most of the dye machinery, automation of machinery, automated colour dispensing and colour kitchens, fully upgrading the entire knitting production with new machinery introducing ERP systems for planning, developing new systems and procedures, introducing new levels of compliance and environmental standards, fully upgrading the water intake facility, re-designing and fully upgrading the entire effluent treatment facility to meet high standards
Hayleys Fabric Knitting plant-2 - This dedicated knitting plant which was commissioned two years ago as an extension of the knitting capability of Hayleys Fabric Knitting Department has now grown-up to be a stand-alone knitting factory at the Horana, Wagawatte, BOI zone. The plant produces approximately 4 tons of knitted fabric daily, subject
to the correct product mix. This has enabled the Company to reduce its dependency on imported greige fabric, thereby reducing costs and also ensure compliance standards and audits by the Tier-1 customers
The brand image of the Company resulted in attracting additional business that could be transferred to South Asia Textiles Limited at the initial nine months from the date of
acquisition. With the upgrading of South Asia Textiles Limited, the brand image of Hayleys Fabric PLC and the image of the management capability will attract the same product segment of the Tier-1 brands to South Asia Textiles Limited in the ensuing year
Your company invested in a roof top solar power generation project. This is the largest single roof-top project in Sri Lanka with a generation capacity of 4.6 MW. This project delivers electricity equivalent to 20% of the requirement of the Company. This will result in the reduction of the carbon foot print by 15% and also considerable annual
saving of approximately USD 540,000 in 2021/22 on energy costs.
AI (Artificial Intelligence) tool for the procurement of Dyes and Chemicals has complemented forecasting and inventory levels and a definite advantage is seen in the reduction in dye and chemical wastage
Once again, your company is forecasting to achieve higher results in the ensuing year.
We have now become “The Hayleys Fabric Group” controlling nearly 45% of the manufacturing capacity amongst the leading manufacturers in the country and delivering exceptional results and value to you
Revenue mix FY22 - 44% Cotton, 56% Synthetics
60% Athleisure, 20% Lingerie, 5% Babywear and 15% others
At company level, the profits reflect improved performance which contributed 50.5%, while net financing income contributed 49.5% as the borrowings were in Rupees which resulted in a gain on translation of foreign currency. This is also seen at Group level with net financing income accounting for 44.4% of Profit Before Tax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6" authorId="0" shapeId="0" xr:uid="{65E757CB-6302-4F4B-A49C-5F02A7D70341}">
      <text>
        <r>
          <rPr>
            <b/>
            <sz val="9"/>
            <color indexed="81"/>
            <rFont val="Tahoma"/>
            <family val="2"/>
          </rPr>
          <t>User:</t>
        </r>
        <r>
          <rPr>
            <sz val="9"/>
            <color indexed="81"/>
            <rFont val="Tahoma"/>
            <family val="2"/>
          </rPr>
          <t xml:space="preserve">
2016 = 100</t>
        </r>
      </text>
    </comment>
    <comment ref="D18" authorId="0" shapeId="0" xr:uid="{25C94A5D-D3D2-4FA2-BDCC-5E624621F4A0}">
      <text>
        <r>
          <rPr>
            <b/>
            <sz val="9"/>
            <color indexed="81"/>
            <rFont val="Tahoma"/>
            <family val="2"/>
          </rPr>
          <t>User:</t>
        </r>
        <r>
          <rPr>
            <sz val="9"/>
            <color indexed="81"/>
            <rFont val="Tahoma"/>
            <family val="2"/>
          </rPr>
          <t xml:space="preserve">
2018 = 100
</t>
        </r>
      </text>
    </comment>
    <comment ref="D19" authorId="0" shapeId="0" xr:uid="{630044F3-D4EC-464B-80B2-E0CC586B4779}">
      <text>
        <r>
          <rPr>
            <b/>
            <sz val="9"/>
            <color indexed="81"/>
            <rFont val="Tahoma"/>
            <family val="2"/>
          </rPr>
          <t>User:</t>
        </r>
        <r>
          <rPr>
            <sz val="9"/>
            <color indexed="81"/>
            <rFont val="Tahoma"/>
            <family val="2"/>
          </rPr>
          <t xml:space="preserve">
2018 = 100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6" authorId="0" shapeId="0" xr:uid="{39CF81F1-B2DA-4596-A481-6FF6C9FB751E}">
      <text>
        <r>
          <rPr>
            <b/>
            <sz val="9"/>
            <color indexed="81"/>
            <rFont val="Tahoma"/>
            <family val="2"/>
          </rPr>
          <t>Author:</t>
        </r>
        <r>
          <rPr>
            <sz val="9"/>
            <color indexed="81"/>
            <rFont val="Tahoma"/>
            <family val="2"/>
          </rPr>
          <t xml:space="preserve">
2017</t>
        </r>
      </text>
    </comment>
    <comment ref="F7" authorId="0" shapeId="0" xr:uid="{655D2281-CB12-4BD9-A5A2-48E00196AF81}">
      <text>
        <r>
          <rPr>
            <b/>
            <sz val="9"/>
            <color indexed="81"/>
            <rFont val="Tahoma"/>
            <family val="2"/>
          </rPr>
          <t>Author:</t>
        </r>
        <r>
          <rPr>
            <sz val="9"/>
            <color indexed="81"/>
            <rFont val="Tahoma"/>
            <family val="2"/>
          </rPr>
          <t xml:space="preserve">
2018 figure</t>
        </r>
      </text>
    </comment>
    <comment ref="E9" authorId="0" shapeId="0" xr:uid="{03F6C9E7-4CF8-4F91-8D3F-B36292E98184}">
      <text>
        <r>
          <rPr>
            <b/>
            <sz val="9"/>
            <color indexed="81"/>
            <rFont val="Tahoma"/>
            <family val="2"/>
          </rPr>
          <t>Author:</t>
        </r>
        <r>
          <rPr>
            <sz val="9"/>
            <color indexed="81"/>
            <rFont val="Tahoma"/>
            <family val="2"/>
          </rPr>
          <t xml:space="preserve">
helped by gain from disposal of JV</t>
        </r>
      </text>
    </comment>
    <comment ref="B24" authorId="0" shapeId="0" xr:uid="{D8584AE0-D2F7-4AA6-A800-3F145E658A51}">
      <text>
        <r>
          <rPr>
            <b/>
            <sz val="9"/>
            <color indexed="81"/>
            <rFont val="Tahoma"/>
            <family val="2"/>
          </rPr>
          <t>Author:</t>
        </r>
        <r>
          <rPr>
            <sz val="9"/>
            <color indexed="81"/>
            <rFont val="Tahoma"/>
            <family val="2"/>
          </rPr>
          <t xml:space="preserve">
FY14</t>
        </r>
      </text>
    </comment>
    <comment ref="C24" authorId="0" shapeId="0" xr:uid="{9866F47E-3491-418F-A5CD-9F90659693F8}">
      <text>
        <r>
          <rPr>
            <b/>
            <sz val="9"/>
            <color indexed="81"/>
            <rFont val="Tahoma"/>
            <family val="2"/>
          </rPr>
          <t>Author:</t>
        </r>
        <r>
          <rPr>
            <sz val="9"/>
            <color indexed="81"/>
            <rFont val="Tahoma"/>
            <family val="2"/>
          </rPr>
          <t xml:space="preserve">
FY15</t>
        </r>
      </text>
    </comment>
    <comment ref="D24" authorId="0" shapeId="0" xr:uid="{C0409F18-B062-42E9-8B55-92B412090B8D}">
      <text>
        <r>
          <rPr>
            <b/>
            <sz val="9"/>
            <color indexed="81"/>
            <rFont val="Tahoma"/>
            <family val="2"/>
          </rPr>
          <t>Author:</t>
        </r>
        <r>
          <rPr>
            <sz val="9"/>
            <color indexed="81"/>
            <rFont val="Tahoma"/>
            <family val="2"/>
          </rPr>
          <t xml:space="preserve">
FY14</t>
        </r>
      </text>
    </comment>
    <comment ref="G24" authorId="0" shapeId="0" xr:uid="{0B6418AE-5231-4D85-9A74-784C59E808B5}">
      <text>
        <r>
          <rPr>
            <b/>
            <sz val="9"/>
            <color indexed="81"/>
            <rFont val="Tahoma"/>
            <family val="2"/>
          </rPr>
          <t>Author:</t>
        </r>
        <r>
          <rPr>
            <sz val="9"/>
            <color indexed="81"/>
            <rFont val="Tahoma"/>
            <family val="2"/>
          </rPr>
          <t xml:space="preserve">
FY14
</t>
        </r>
      </text>
    </comment>
    <comment ref="I24" authorId="0" shapeId="0" xr:uid="{3C928062-272F-4A17-B63B-4C38B4C8C210}">
      <text>
        <r>
          <rPr>
            <b/>
            <sz val="9"/>
            <color indexed="81"/>
            <rFont val="Tahoma"/>
            <family val="2"/>
          </rPr>
          <t>Author:</t>
        </r>
        <r>
          <rPr>
            <sz val="9"/>
            <color indexed="81"/>
            <rFont val="Tahoma"/>
            <family val="2"/>
          </rPr>
          <t xml:space="preserve">
FY16</t>
        </r>
      </text>
    </comment>
    <comment ref="J24" authorId="0" shapeId="0" xr:uid="{5BA8E298-06CB-45F3-B037-A18141D6EF52}">
      <text>
        <r>
          <rPr>
            <b/>
            <sz val="9"/>
            <color indexed="81"/>
            <rFont val="Tahoma"/>
            <family val="2"/>
          </rPr>
          <t>Author:</t>
        </r>
        <r>
          <rPr>
            <sz val="9"/>
            <color indexed="81"/>
            <rFont val="Tahoma"/>
            <family val="2"/>
          </rPr>
          <t xml:space="preserve">
FY16</t>
        </r>
      </text>
    </comment>
    <comment ref="K24" authorId="0" shapeId="0" xr:uid="{464DFE08-4611-4FFD-82A5-28D7B3C40649}">
      <text>
        <r>
          <rPr>
            <b/>
            <sz val="9"/>
            <color indexed="81"/>
            <rFont val="Tahoma"/>
            <family val="2"/>
          </rPr>
          <t>Author:</t>
        </r>
        <r>
          <rPr>
            <sz val="9"/>
            <color indexed="81"/>
            <rFont val="Tahoma"/>
            <family val="2"/>
          </rPr>
          <t xml:space="preserve">
FY19</t>
        </r>
      </text>
    </comment>
    <comment ref="L24" authorId="0" shapeId="0" xr:uid="{29007594-7569-4A6D-82D6-EC3A6AC72AC4}">
      <text>
        <r>
          <rPr>
            <b/>
            <sz val="9"/>
            <color indexed="81"/>
            <rFont val="Tahoma"/>
            <family val="2"/>
          </rPr>
          <t>Author:</t>
        </r>
        <r>
          <rPr>
            <sz val="9"/>
            <color indexed="81"/>
            <rFont val="Tahoma"/>
            <family val="2"/>
          </rPr>
          <t xml:space="preserve">
FY16
</t>
        </r>
      </text>
    </comment>
    <comment ref="M24" authorId="0" shapeId="0" xr:uid="{6C7E81A5-2FB3-4A46-BCA5-5A937047EB59}">
      <text>
        <r>
          <rPr>
            <b/>
            <sz val="9"/>
            <color indexed="81"/>
            <rFont val="Tahoma"/>
            <family val="2"/>
          </rPr>
          <t>Author:</t>
        </r>
        <r>
          <rPr>
            <sz val="9"/>
            <color indexed="81"/>
            <rFont val="Tahoma"/>
            <family val="2"/>
          </rPr>
          <t xml:space="preserve">
FY16</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18" authorId="0" shapeId="0" xr:uid="{C6521F7A-1834-440A-A8E7-3557BEBEF0B0}">
      <text>
        <r>
          <rPr>
            <b/>
            <sz val="9"/>
            <color indexed="81"/>
            <rFont val="Tahoma"/>
            <family val="2"/>
          </rPr>
          <t>User:</t>
        </r>
        <r>
          <rPr>
            <sz val="9"/>
            <color indexed="81"/>
            <rFont val="Tahoma"/>
            <family val="2"/>
          </rPr>
          <t xml:space="preserve">
as of 30 Dec
</t>
        </r>
      </text>
    </comment>
    <comment ref="A19" authorId="0" shapeId="0" xr:uid="{65FA308A-3F4D-4DEF-8C40-8A125DA8CFC1}">
      <text>
        <r>
          <rPr>
            <b/>
            <sz val="9"/>
            <color indexed="81"/>
            <rFont val="Tahoma"/>
            <family val="2"/>
          </rPr>
          <t>User:</t>
        </r>
        <r>
          <rPr>
            <sz val="9"/>
            <color indexed="81"/>
            <rFont val="Tahoma"/>
            <family val="2"/>
          </rPr>
          <t xml:space="preserve">
as of 30 Dec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1" authorId="0" shapeId="0" xr:uid="{87CB31A1-5E8F-4C41-AE3A-04546AD6D432}">
      <text>
        <r>
          <rPr>
            <b/>
            <sz val="9"/>
            <color indexed="81"/>
            <rFont val="Tahoma"/>
            <family val="2"/>
          </rPr>
          <t>User:</t>
        </r>
        <r>
          <rPr>
            <sz val="9"/>
            <color indexed="81"/>
            <rFont val="Tahoma"/>
            <family val="2"/>
          </rPr>
          <t xml:space="preserve">
as of 30 Dec
</t>
        </r>
      </text>
    </comment>
    <comment ref="A22" authorId="0" shapeId="0" xr:uid="{09D59D03-04FE-4151-9AD5-E5698D3E9CD4}">
      <text>
        <r>
          <rPr>
            <b/>
            <sz val="9"/>
            <color indexed="81"/>
            <rFont val="Tahoma"/>
            <family val="2"/>
          </rPr>
          <t>User:</t>
        </r>
        <r>
          <rPr>
            <sz val="9"/>
            <color indexed="81"/>
            <rFont val="Tahoma"/>
            <family val="2"/>
          </rPr>
          <t xml:space="preserve">
as of 30 Dec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 authorId="0" shapeId="0" xr:uid="{7D3EF248-B3C6-4370-9E50-E62F227D6E58}">
      <text>
        <r>
          <rPr>
            <b/>
            <sz val="9"/>
            <color indexed="81"/>
            <rFont val="Tahoma"/>
            <family val="2"/>
          </rPr>
          <t>User:</t>
        </r>
        <r>
          <rPr>
            <sz val="9"/>
            <color indexed="81"/>
            <rFont val="Tahoma"/>
            <family val="2"/>
          </rPr>
          <t xml:space="preserve">
</t>
        </r>
      </text>
    </comment>
    <comment ref="M1" authorId="0" shapeId="0" xr:uid="{2EE102D1-D2EE-459B-8D92-73A8EBBD67F4}">
      <text>
        <r>
          <rPr>
            <b/>
            <sz val="9"/>
            <color indexed="81"/>
            <rFont val="Tahoma"/>
            <family val="2"/>
          </rPr>
          <t>User:</t>
        </r>
        <r>
          <rPr>
            <sz val="9"/>
            <color indexed="81"/>
            <rFont val="Tahoma"/>
            <family val="2"/>
          </rPr>
          <t xml:space="preserve">
Wholesale</t>
        </r>
      </text>
    </comment>
    <comment ref="D28" authorId="0" shapeId="0" xr:uid="{800A7FD0-FCD1-400D-8A46-F7557B8F8968}">
      <text>
        <r>
          <rPr>
            <b/>
            <sz val="9"/>
            <color indexed="81"/>
            <rFont val="Tahoma"/>
            <family val="2"/>
          </rPr>
          <t>User:</t>
        </r>
        <r>
          <rPr>
            <sz val="9"/>
            <color indexed="81"/>
            <rFont val="Tahoma"/>
            <family val="2"/>
          </rPr>
          <t xml:space="preserve">
</t>
        </r>
      </text>
    </comment>
    <comment ref="M28" authorId="0" shapeId="0" xr:uid="{958C4233-39A4-4CFB-87CA-1B0579DF7142}">
      <text>
        <r>
          <rPr>
            <b/>
            <sz val="9"/>
            <color indexed="81"/>
            <rFont val="Tahoma"/>
            <family val="2"/>
          </rPr>
          <t>User:</t>
        </r>
        <r>
          <rPr>
            <sz val="9"/>
            <color indexed="81"/>
            <rFont val="Tahoma"/>
            <family val="2"/>
          </rPr>
          <t xml:space="preserve">
Wholesale</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45" authorId="0" shapeId="0" xr:uid="{02592664-1DB2-4492-A55C-6EF7842A9A34}">
      <text>
        <r>
          <rPr>
            <b/>
            <sz val="9"/>
            <color indexed="81"/>
            <rFont val="Tahoma"/>
            <family val="2"/>
          </rPr>
          <t>User:</t>
        </r>
        <r>
          <rPr>
            <sz val="9"/>
            <color indexed="81"/>
            <rFont val="Tahoma"/>
            <family val="2"/>
          </rPr>
          <t xml:space="preserve">
SC Securities
</t>
        </r>
      </text>
    </comment>
    <comment ref="A46" authorId="0" shapeId="0" xr:uid="{51409C60-D0EA-4AF9-A78F-9EB0F6BD29AD}">
      <text>
        <r>
          <rPr>
            <b/>
            <sz val="9"/>
            <color indexed="81"/>
            <rFont val="Tahoma"/>
            <family val="2"/>
          </rPr>
          <t>User:</t>
        </r>
        <r>
          <rPr>
            <sz val="9"/>
            <color indexed="81"/>
            <rFont val="Tahoma"/>
            <family val="2"/>
          </rPr>
          <t xml:space="preserve">
SC Securities
</t>
        </r>
      </text>
    </comment>
    <comment ref="A47" authorId="0" shapeId="0" xr:uid="{94DF1F15-0885-4721-B412-01B99C01C050}">
      <text>
        <r>
          <rPr>
            <b/>
            <sz val="9"/>
            <color indexed="81"/>
            <rFont val="Tahoma"/>
            <family val="2"/>
          </rPr>
          <t>User:</t>
        </r>
        <r>
          <rPr>
            <sz val="9"/>
            <color indexed="81"/>
            <rFont val="Tahoma"/>
            <family val="2"/>
          </rPr>
          <t xml:space="preserve">
SC Securities
</t>
        </r>
      </text>
    </comment>
    <comment ref="A48" authorId="0" shapeId="0" xr:uid="{72AA8A95-4F35-40F9-9FF6-F510AE0332F7}">
      <text>
        <r>
          <rPr>
            <b/>
            <sz val="9"/>
            <color indexed="81"/>
            <rFont val="Tahoma"/>
            <family val="2"/>
          </rPr>
          <t>User:</t>
        </r>
        <r>
          <rPr>
            <sz val="9"/>
            <color indexed="81"/>
            <rFont val="Tahoma"/>
            <family val="2"/>
          </rPr>
          <t xml:space="preserve">
SC Securities
</t>
        </r>
      </text>
    </comment>
    <comment ref="A49" authorId="0" shapeId="0" xr:uid="{C107EB26-056E-41F6-8248-013B051703D6}">
      <text>
        <r>
          <rPr>
            <b/>
            <sz val="9"/>
            <color indexed="81"/>
            <rFont val="Tahoma"/>
            <family val="2"/>
          </rPr>
          <t>User:</t>
        </r>
        <r>
          <rPr>
            <sz val="9"/>
            <color indexed="81"/>
            <rFont val="Tahoma"/>
            <family val="2"/>
          </rPr>
          <t xml:space="preserve">
SC Securities
</t>
        </r>
      </text>
    </comment>
    <comment ref="A50" authorId="0" shapeId="0" xr:uid="{9EB387B9-FB6B-46D6-892E-5993CF90371C}">
      <text>
        <r>
          <rPr>
            <b/>
            <sz val="9"/>
            <color indexed="81"/>
            <rFont val="Tahoma"/>
            <family val="2"/>
          </rPr>
          <t>User:</t>
        </r>
        <r>
          <rPr>
            <sz val="9"/>
            <color indexed="81"/>
            <rFont val="Tahoma"/>
            <family val="2"/>
          </rPr>
          <t xml:space="preserve">
SC Securities
</t>
        </r>
      </text>
    </comment>
  </commentList>
</comments>
</file>

<file path=xl/sharedStrings.xml><?xml version="1.0" encoding="utf-8"?>
<sst xmlns="http://schemas.openxmlformats.org/spreadsheetml/2006/main" count="4909" uniqueCount="1090">
  <si>
    <t>FY16</t>
  </si>
  <si>
    <t>FY17</t>
  </si>
  <si>
    <t>FY18</t>
  </si>
  <si>
    <t>FY19</t>
  </si>
  <si>
    <t>FY20</t>
  </si>
  <si>
    <t>FY21</t>
  </si>
  <si>
    <t>FY22</t>
  </si>
  <si>
    <t>CAGR/AVG</t>
  </si>
  <si>
    <t>MPS</t>
  </si>
  <si>
    <t>AVG</t>
  </si>
  <si>
    <t>Net Revenue</t>
  </si>
  <si>
    <t>P/E</t>
  </si>
  <si>
    <t>Revenue Growth</t>
  </si>
  <si>
    <t xml:space="preserve">Gross Profit </t>
  </si>
  <si>
    <t>2Q21</t>
  </si>
  <si>
    <t>GPM</t>
  </si>
  <si>
    <t>3Q21</t>
  </si>
  <si>
    <t>EBIT</t>
  </si>
  <si>
    <t>4Q21</t>
  </si>
  <si>
    <t>EBIT Margin</t>
  </si>
  <si>
    <t>1Q22</t>
  </si>
  <si>
    <t>PBT</t>
  </si>
  <si>
    <t>2Q22</t>
  </si>
  <si>
    <t xml:space="preserve">Net Profit </t>
  </si>
  <si>
    <t>3Q22</t>
  </si>
  <si>
    <t>NP Margin</t>
  </si>
  <si>
    <t>4Q22</t>
  </si>
  <si>
    <t>NP Growth</t>
  </si>
  <si>
    <t>TTM</t>
  </si>
  <si>
    <t>EPS</t>
  </si>
  <si>
    <t>DPS</t>
  </si>
  <si>
    <t>BVPS</t>
  </si>
  <si>
    <t>ROE</t>
  </si>
  <si>
    <t>MGT</t>
  </si>
  <si>
    <t>DY</t>
  </si>
  <si>
    <t>Dividend Payout</t>
  </si>
  <si>
    <t>YoY Growth</t>
  </si>
  <si>
    <t>P/B</t>
  </si>
  <si>
    <t>2Q23</t>
  </si>
  <si>
    <t>1Q23</t>
  </si>
  <si>
    <t>YoY%</t>
  </si>
  <si>
    <t>QoQ%</t>
  </si>
  <si>
    <t>Gross Profit</t>
  </si>
  <si>
    <t>GPM%</t>
  </si>
  <si>
    <t>Net Finance Income/Cost</t>
  </si>
  <si>
    <t>As a % of EBIT</t>
  </si>
  <si>
    <t>PBT Margin%</t>
  </si>
  <si>
    <t>Taxes</t>
  </si>
  <si>
    <t>ETR%</t>
  </si>
  <si>
    <t>Net Profit Attributable to Equity Holders</t>
  </si>
  <si>
    <t>Net Debt</t>
  </si>
  <si>
    <t>Debt/Equity</t>
  </si>
  <si>
    <t>Debt</t>
  </si>
  <si>
    <t>Cash</t>
  </si>
  <si>
    <t>Equity</t>
  </si>
  <si>
    <t>EBIT margin %</t>
  </si>
  <si>
    <t>Number of shares</t>
  </si>
  <si>
    <t>Net Asset Value per share</t>
  </si>
  <si>
    <t>Cashflow from operations (in USD)</t>
  </si>
  <si>
    <t>FCF (in USD)</t>
  </si>
  <si>
    <t>Capex</t>
  </si>
  <si>
    <t>Revenue (in USD)</t>
  </si>
  <si>
    <t>Revenue (LKR 000)</t>
  </si>
  <si>
    <t>Average Exchange rate (income Statement)</t>
  </si>
  <si>
    <t>N/A</t>
  </si>
  <si>
    <t>MGT - Rs mn</t>
  </si>
  <si>
    <t>TJL - Rs mn</t>
  </si>
  <si>
    <t>Cashflow from operations (in LKR 000')</t>
  </si>
  <si>
    <t>FCF (in LKR 000')</t>
  </si>
  <si>
    <t>TJL</t>
  </si>
  <si>
    <t>ASPI</t>
  </si>
  <si>
    <t>3Q23</t>
  </si>
  <si>
    <t>BPPL</t>
  </si>
  <si>
    <t>CARG</t>
  </si>
  <si>
    <t>NCI</t>
  </si>
  <si>
    <t>Inventories</t>
  </si>
  <si>
    <t>Segments</t>
  </si>
  <si>
    <t>Retail</t>
  </si>
  <si>
    <t>Revenue</t>
  </si>
  <si>
    <t>Operating profit</t>
  </si>
  <si>
    <t>Consumer</t>
  </si>
  <si>
    <t>Restaurant</t>
  </si>
  <si>
    <t>margin%</t>
  </si>
  <si>
    <t>4Q23</t>
  </si>
  <si>
    <t>1Q24</t>
  </si>
  <si>
    <t>HAYC</t>
  </si>
  <si>
    <t>Activated Carbon</t>
  </si>
  <si>
    <t>Environmental Engineering</t>
  </si>
  <si>
    <t>RoE</t>
  </si>
  <si>
    <t>Gross profit</t>
  </si>
  <si>
    <t>Brushware</t>
  </si>
  <si>
    <t>Filament and Yarn</t>
  </si>
  <si>
    <t>LLUB</t>
  </si>
  <si>
    <t>2Q2023</t>
  </si>
  <si>
    <t>1Q2023</t>
  </si>
  <si>
    <t>4Q2022</t>
  </si>
  <si>
    <t>3Q2022</t>
  </si>
  <si>
    <t>1Q2022</t>
  </si>
  <si>
    <t>2Q2022</t>
  </si>
  <si>
    <t>4Q2021</t>
  </si>
  <si>
    <t>3Q2021</t>
  </si>
  <si>
    <t>1Q2021</t>
  </si>
  <si>
    <t>2Q2021</t>
  </si>
  <si>
    <t>4Q2020</t>
  </si>
  <si>
    <t>3Q2020</t>
  </si>
  <si>
    <t>2Q2020</t>
  </si>
  <si>
    <t>Gross Revenue (LKR 000)</t>
  </si>
  <si>
    <t>Net Revenue (LKR 000)</t>
  </si>
  <si>
    <t>Net Revenue:Gross Revenue</t>
  </si>
  <si>
    <t>PLR</t>
  </si>
  <si>
    <t>HAYL</t>
  </si>
  <si>
    <t xml:space="preserve">Account Name </t>
  </si>
  <si>
    <t>CDS number</t>
  </si>
  <si>
    <t>Custodian Bank</t>
  </si>
  <si>
    <t>CT CLSA Equity Fund</t>
  </si>
  <si>
    <t>HNB 11771 LC</t>
  </si>
  <si>
    <t>HNB</t>
  </si>
  <si>
    <t>M.A.H. Esufally</t>
  </si>
  <si>
    <t>NDB662211575-VN-01</t>
  </si>
  <si>
    <t>NDB</t>
  </si>
  <si>
    <t>HNB Retirement Fund</t>
  </si>
  <si>
    <t>HNB 7198 LC</t>
  </si>
  <si>
    <t>Allianz Growth</t>
  </si>
  <si>
    <t>DBC 7983 LC</t>
  </si>
  <si>
    <t>Deutsche</t>
  </si>
  <si>
    <t>Allianz Balanced</t>
  </si>
  <si>
    <t>DBC 7984 LC</t>
  </si>
  <si>
    <t>Inventory</t>
  </si>
  <si>
    <t>Unit</t>
  </si>
  <si>
    <t>Scale</t>
  </si>
  <si>
    <t>Agri</t>
  </si>
  <si>
    <t>Tea Production - Mn Kg</t>
  </si>
  <si>
    <t>Kg</t>
  </si>
  <si>
    <t>mn</t>
  </si>
  <si>
    <t>Rubber Production - Mn Kg</t>
  </si>
  <si>
    <t>Coconut Production - Mn Nuts (RHS)</t>
  </si>
  <si>
    <t>Nuts</t>
  </si>
  <si>
    <t>Prices and Indices</t>
  </si>
  <si>
    <t>PMI - Manufacturing</t>
  </si>
  <si>
    <t>Index</t>
  </si>
  <si>
    <t>PMI - Services</t>
  </si>
  <si>
    <t>PMI - Construction</t>
  </si>
  <si>
    <t>Index of Industrial Production</t>
  </si>
  <si>
    <t>Wage indices</t>
  </si>
  <si>
    <t>Formal Private Sector Wage rate index</t>
  </si>
  <si>
    <t>Port Services</t>
  </si>
  <si>
    <t>Cargo Handled</t>
  </si>
  <si>
    <t>MT</t>
  </si>
  <si>
    <t>Electricity</t>
  </si>
  <si>
    <t>Power Consumption</t>
  </si>
  <si>
    <t>GWh</t>
  </si>
  <si>
    <t>Petroleum</t>
  </si>
  <si>
    <t>Petrol sales</t>
  </si>
  <si>
    <t>Diesel sales</t>
  </si>
  <si>
    <t>Toursim</t>
  </si>
  <si>
    <t>Tourist Arrivals - LHS</t>
  </si>
  <si>
    <t>No</t>
  </si>
  <si>
    <t>Tourism Earnings - USD mn</t>
  </si>
  <si>
    <t>USD</t>
  </si>
  <si>
    <t>Worker Remittances</t>
  </si>
  <si>
    <t>US Clothing</t>
  </si>
  <si>
    <t>Retail Sales</t>
  </si>
  <si>
    <t>Inventory to Sales</t>
  </si>
  <si>
    <t>TKYO</t>
  </si>
  <si>
    <t>Volume data</t>
  </si>
  <si>
    <t>LLUB (Kilo Litres)</t>
  </si>
  <si>
    <t>Industry (Kilo Litres)</t>
  </si>
  <si>
    <t>Market Share %</t>
  </si>
  <si>
    <t>LIOC</t>
  </si>
  <si>
    <t>HELA</t>
  </si>
  <si>
    <t>GLAS</t>
  </si>
  <si>
    <t>CTC</t>
  </si>
  <si>
    <t>Construction</t>
  </si>
  <si>
    <t>Cement - Local</t>
  </si>
  <si>
    <t>Cement - Imports</t>
  </si>
  <si>
    <t>Total</t>
  </si>
  <si>
    <t>000</t>
  </si>
  <si>
    <t xml:space="preserve">Banking </t>
  </si>
  <si>
    <t xml:space="preserve">Total Deposits </t>
  </si>
  <si>
    <t>Credit Card Balances</t>
  </si>
  <si>
    <t>Deposits - DBU</t>
  </si>
  <si>
    <t>Deposits - FBU</t>
  </si>
  <si>
    <t>Fish Production</t>
  </si>
  <si>
    <t>Normalized EPS</t>
  </si>
  <si>
    <t>NP</t>
  </si>
  <si>
    <t>CT CLSA</t>
  </si>
  <si>
    <t>Capital Alliance</t>
  </si>
  <si>
    <t>Asia Securities</t>
  </si>
  <si>
    <t>First Capital</t>
  </si>
  <si>
    <t xml:space="preserve">Softlogic </t>
  </si>
  <si>
    <t>FY24E</t>
  </si>
  <si>
    <t>FY25E</t>
  </si>
  <si>
    <t>Consensus</t>
  </si>
  <si>
    <t>Leading P/E</t>
  </si>
  <si>
    <t>Stock Price</t>
  </si>
  <si>
    <t>Asia Capital</t>
  </si>
  <si>
    <t>JKSB</t>
  </si>
  <si>
    <t>Bartleet</t>
  </si>
  <si>
    <t>2023E</t>
  </si>
  <si>
    <t>2024E</t>
  </si>
  <si>
    <t>EXPO</t>
  </si>
  <si>
    <t>EBIT/GP conversion</t>
  </si>
  <si>
    <t>Revenue (in USD 000)</t>
  </si>
  <si>
    <t>Freight data</t>
  </si>
  <si>
    <t>FBX 00 (Global Freight Index - 40ft Container)</t>
  </si>
  <si>
    <t>Ocean:Air Revenue Split</t>
  </si>
  <si>
    <t>Ocean (TEU)</t>
  </si>
  <si>
    <t>Air (mn KG)</t>
  </si>
  <si>
    <t>54/46</t>
  </si>
  <si>
    <t>42/58</t>
  </si>
  <si>
    <t>56/44</t>
  </si>
  <si>
    <t>https://www.expolanka.com/uploads/Presentation/IR_Presentation_Q4-2022.pdf</t>
  </si>
  <si>
    <t>40mn Air</t>
  </si>
  <si>
    <t>45k Ocean</t>
  </si>
  <si>
    <t xml:space="preserve">Price </t>
  </si>
  <si>
    <t>LP92</t>
  </si>
  <si>
    <t>Lanka Auto Diesel</t>
  </si>
  <si>
    <t>Xtra Premium 95</t>
  </si>
  <si>
    <t>Lanka Super Diesel</t>
  </si>
  <si>
    <t>Security</t>
  </si>
  <si>
    <t>FRGHGLOB Index</t>
  </si>
  <si>
    <t>Start Date</t>
  </si>
  <si>
    <t>End Date</t>
  </si>
  <si>
    <t>Period</t>
  </si>
  <si>
    <t>WEEKLY</t>
  </si>
  <si>
    <t>Date</t>
  </si>
  <si>
    <t>PX_LAST</t>
  </si>
  <si>
    <t>PX_MID</t>
  </si>
  <si>
    <t>SAMP</t>
  </si>
  <si>
    <t>Interest Income (LKR 000)</t>
  </si>
  <si>
    <t>Interest Expense (LKR 000)</t>
  </si>
  <si>
    <t>Net Interst Income (LKR 000)</t>
  </si>
  <si>
    <t>Net fee and Commission Income (LKR 000)</t>
  </si>
  <si>
    <t>Net gain/(loss) from trading (LKR 000)</t>
  </si>
  <si>
    <t>Net gain on derecognition of financial assets (LKR 000)</t>
  </si>
  <si>
    <t>Net other operating income (LKR 000)</t>
  </si>
  <si>
    <t>Impairment Charge (LKR 000)</t>
  </si>
  <si>
    <t>Net Operating Income (LKR 000)</t>
  </si>
  <si>
    <t>Operating profit before taxes on FS</t>
  </si>
  <si>
    <t>Taxes on Financial Services</t>
  </si>
  <si>
    <t>Debt and Other Instruments at AC (LKR 000)</t>
  </si>
  <si>
    <t>Accumulated Impairment on Loans and Advances</t>
  </si>
  <si>
    <t>Deposits</t>
  </si>
  <si>
    <t>Industry Metrics</t>
  </si>
  <si>
    <t>Impaired Loans (Stage 3) Ratio</t>
  </si>
  <si>
    <t>Impairment (Stage 3) to Stage 3 Loans Ratio (%)</t>
  </si>
  <si>
    <t>NIM %</t>
  </si>
  <si>
    <t>CET 1 (Minimum 7%)</t>
  </si>
  <si>
    <t>Total T1 (Minimum 8.5%)</t>
  </si>
  <si>
    <t>Total CAR (Minimum Requirement - 12.5%)</t>
  </si>
  <si>
    <t>Cost to Income Ratio</t>
  </si>
  <si>
    <t>Correlation between Rev and Freight rates</t>
  </si>
  <si>
    <t>Acuity</t>
  </si>
  <si>
    <t>Net loans and Advances (LKR 000)</t>
  </si>
  <si>
    <t>Loans Breakdown - Products wise</t>
  </si>
  <si>
    <t>Local Currency</t>
  </si>
  <si>
    <t>Bills of exchange</t>
  </si>
  <si>
    <t>Leasing</t>
  </si>
  <si>
    <t>Housing loans</t>
  </si>
  <si>
    <t>Export loans</t>
  </si>
  <si>
    <t>Import loans</t>
  </si>
  <si>
    <t>Refinance loans</t>
  </si>
  <si>
    <t>Term loans</t>
  </si>
  <si>
    <t>Overdraft</t>
  </si>
  <si>
    <t>Staff loans</t>
  </si>
  <si>
    <t>Pawning and gold loans</t>
  </si>
  <si>
    <t>Credit cards</t>
  </si>
  <si>
    <t>Money market loans</t>
  </si>
  <si>
    <t>Factoring</t>
  </si>
  <si>
    <t>Others</t>
  </si>
  <si>
    <t>Foreign Currency</t>
  </si>
  <si>
    <t>Deposits Breakdown - Products wise</t>
  </si>
  <si>
    <t>Demand deposits</t>
  </si>
  <si>
    <t>Saving deposit</t>
  </si>
  <si>
    <t>Call deposits</t>
  </si>
  <si>
    <t>Fixed deposits</t>
  </si>
  <si>
    <t>Certificates of deposits</t>
  </si>
  <si>
    <t>Margin deposits</t>
  </si>
  <si>
    <t>KHL</t>
  </si>
  <si>
    <t>Thousands</t>
  </si>
  <si>
    <t>AHUN</t>
  </si>
  <si>
    <t>AHPL</t>
  </si>
  <si>
    <t>CHOT</t>
  </si>
  <si>
    <t>GHLL</t>
  </si>
  <si>
    <t>CONN</t>
  </si>
  <si>
    <t>PALM</t>
  </si>
  <si>
    <t>SHOT</t>
  </si>
  <si>
    <t>STAF</t>
  </si>
  <si>
    <t>RHTL</t>
  </si>
  <si>
    <t>LHL</t>
  </si>
  <si>
    <t>RPBH</t>
  </si>
  <si>
    <t>Brand</t>
  </si>
  <si>
    <t>Heritance</t>
  </si>
  <si>
    <t>Cinnamon</t>
  </si>
  <si>
    <t xml:space="preserve">Queens </t>
  </si>
  <si>
    <t>Galadari</t>
  </si>
  <si>
    <t>Kingsbury</t>
  </si>
  <si>
    <t>Parent of EDEN/SHOT</t>
  </si>
  <si>
    <t>Avani</t>
  </si>
  <si>
    <t>Club Hotel Dolphin</t>
  </si>
  <si>
    <t>The fortress</t>
  </si>
  <si>
    <t>Jetwing</t>
  </si>
  <si>
    <t xml:space="preserve">Adaraan </t>
  </si>
  <si>
    <t>Resorts</t>
  </si>
  <si>
    <t>Crescat</t>
  </si>
  <si>
    <t>Suisse</t>
  </si>
  <si>
    <t>Amaya</t>
  </si>
  <si>
    <t>Turya</t>
  </si>
  <si>
    <t>Radisson Kandy</t>
  </si>
  <si>
    <t>Hotel Sigiriya</t>
  </si>
  <si>
    <t>FY18 - NP</t>
  </si>
  <si>
    <t>FY19 - NP</t>
  </si>
  <si>
    <t>FY23 - NP</t>
  </si>
  <si>
    <t>NAVPS</t>
  </si>
  <si>
    <t>Market Cap</t>
  </si>
  <si>
    <t>EPS - FY23</t>
  </si>
  <si>
    <t>As a % of Book</t>
  </si>
  <si>
    <t>BEST NP</t>
  </si>
  <si>
    <t>BEST EPS</t>
  </si>
  <si>
    <t>EPS 2018 or 2019</t>
  </si>
  <si>
    <t>Forecast EPS - FC</t>
  </si>
  <si>
    <t>D/E</t>
  </si>
  <si>
    <t>COMB</t>
  </si>
  <si>
    <t>Finanical Assets - Through P&amp;L</t>
  </si>
  <si>
    <t>Finanical Assets - OCI</t>
  </si>
  <si>
    <t>Total Assets</t>
  </si>
  <si>
    <t>FA - P/L and OCI as a % of total assets</t>
  </si>
  <si>
    <t>Bonds as a % FA</t>
  </si>
  <si>
    <t>Bills as a % FA</t>
  </si>
  <si>
    <t>Expected Bond Gain</t>
  </si>
  <si>
    <t>at 30% bond exposure</t>
  </si>
  <si>
    <t>at 40% bond exposure</t>
  </si>
  <si>
    <t>Gain at 30% bond exposure</t>
  </si>
  <si>
    <t>Gain at 40% bond exposure</t>
  </si>
  <si>
    <t>BVPS Impact</t>
  </si>
  <si>
    <t>Adjusted BVPS</t>
  </si>
  <si>
    <t>Current P/B</t>
  </si>
  <si>
    <t>Adjusted P/B</t>
  </si>
  <si>
    <t>DFCC</t>
  </si>
  <si>
    <t>NTB</t>
  </si>
  <si>
    <t>PABC</t>
  </si>
  <si>
    <t>SEYB</t>
  </si>
  <si>
    <t>UBC</t>
  </si>
  <si>
    <t>P&amp;L Impact</t>
  </si>
  <si>
    <t>EPS Impact</t>
  </si>
  <si>
    <t>Upside at 0.8x</t>
  </si>
  <si>
    <t>Upside at 0.7x</t>
  </si>
  <si>
    <t>Upside at 0.6x</t>
  </si>
  <si>
    <t>TP</t>
  </si>
  <si>
    <t>0.8X</t>
  </si>
  <si>
    <t>0.7X</t>
  </si>
  <si>
    <t>0.6X</t>
  </si>
  <si>
    <t>Finanical Assets - AC</t>
  </si>
  <si>
    <t>CCS</t>
  </si>
  <si>
    <t>PAT</t>
  </si>
  <si>
    <t>Manufacturing</t>
  </si>
  <si>
    <t>Supermarkets</t>
  </si>
  <si>
    <t>Manufacturing  (YoY %)</t>
  </si>
  <si>
    <t>Frozen Confectionery</t>
  </si>
  <si>
    <t>Beverages</t>
  </si>
  <si>
    <t>Supermarkets (YoY %)</t>
  </si>
  <si>
    <t>Same Store Sales</t>
  </si>
  <si>
    <t>Same Store Footfall</t>
  </si>
  <si>
    <t>Average Basket Value</t>
  </si>
  <si>
    <t>Convenience Foods</t>
  </si>
  <si>
    <t>2Q24</t>
  </si>
  <si>
    <t>3Q2023</t>
  </si>
  <si>
    <t>HHL</t>
  </si>
  <si>
    <t>Healthcare</t>
  </si>
  <si>
    <t>Mobility</t>
  </si>
  <si>
    <t>TILE</t>
  </si>
  <si>
    <t>Local Sales</t>
  </si>
  <si>
    <t>Exports</t>
  </si>
  <si>
    <t>As a % of Total</t>
  </si>
  <si>
    <t>JB Securities</t>
  </si>
  <si>
    <t>DIST</t>
  </si>
  <si>
    <t>Almas</t>
  </si>
  <si>
    <t>JB</t>
  </si>
  <si>
    <t>NDBS</t>
  </si>
  <si>
    <t>NII</t>
  </si>
  <si>
    <t>SC Securities</t>
  </si>
  <si>
    <t>SUN</t>
  </si>
  <si>
    <t>Consumer Goods</t>
  </si>
  <si>
    <t>JAT</t>
  </si>
  <si>
    <t>Sri Lanka</t>
  </si>
  <si>
    <t>Bangladesh</t>
  </si>
  <si>
    <t>DIAL</t>
  </si>
  <si>
    <t>South Asia and ME</t>
  </si>
  <si>
    <t>Public Sector Real Wage rate index</t>
  </si>
  <si>
    <t>Informal Private Sector Nominal Wage rate index</t>
  </si>
  <si>
    <t>Informal Private Sector Real Wage rate index</t>
  </si>
  <si>
    <t>Rs</t>
  </si>
  <si>
    <t>Mn</t>
  </si>
  <si>
    <t>Excess Reserves and Cash</t>
  </si>
  <si>
    <t>LP 92</t>
  </si>
  <si>
    <t>Brent Crude</t>
  </si>
  <si>
    <t xml:space="preserve">Coal </t>
  </si>
  <si>
    <t>Copper</t>
  </si>
  <si>
    <t xml:space="preserve">Aluminum </t>
  </si>
  <si>
    <t>Cotton</t>
  </si>
  <si>
    <t>Palm oil</t>
  </si>
  <si>
    <t>Urea</t>
  </si>
  <si>
    <t>Sugar</t>
  </si>
  <si>
    <t>Milk</t>
  </si>
  <si>
    <t>Propane</t>
  </si>
  <si>
    <t>Coconut</t>
  </si>
  <si>
    <t xml:space="preserve">Chicken </t>
  </si>
  <si>
    <t xml:space="preserve">Tea </t>
  </si>
  <si>
    <t>Rubber</t>
  </si>
  <si>
    <t>Maize</t>
  </si>
  <si>
    <t>Natural Gas</t>
  </si>
  <si>
    <t>USD/Barrel</t>
  </si>
  <si>
    <t>USD/MT</t>
  </si>
  <si>
    <t>US Cents/lb</t>
  </si>
  <si>
    <t>cts/lb</t>
  </si>
  <si>
    <t>Cts/gallon</t>
  </si>
  <si>
    <t>Rs/nut</t>
  </si>
  <si>
    <t>Rs/kg</t>
  </si>
  <si>
    <t>USD/MMBTU</t>
  </si>
  <si>
    <t>LMF</t>
  </si>
  <si>
    <t>Powdered Milk</t>
  </si>
  <si>
    <t>Liquid Milk and Others</t>
  </si>
  <si>
    <t>Agriculture</t>
  </si>
  <si>
    <t>Trading</t>
  </si>
  <si>
    <t>Firm</t>
  </si>
  <si>
    <t>Ticker</t>
  </si>
  <si>
    <t>Bank of Ceylon</t>
  </si>
  <si>
    <t>BOC</t>
  </si>
  <si>
    <t>CALT</t>
  </si>
  <si>
    <t>Hatton National Bank</t>
  </si>
  <si>
    <t>Browns Investments</t>
  </si>
  <si>
    <t>BIL</t>
  </si>
  <si>
    <t>Ceylon Tobacco Company</t>
  </si>
  <si>
    <t>First Capital Treasuries</t>
  </si>
  <si>
    <t>FCT</t>
  </si>
  <si>
    <t>Commercial Bank of Ceylon</t>
  </si>
  <si>
    <t>First Capital Holdings</t>
  </si>
  <si>
    <t>CFVF</t>
  </si>
  <si>
    <t>Sampath Bank</t>
  </si>
  <si>
    <t>Lanka IOC</t>
  </si>
  <si>
    <t>Access Engineering</t>
  </si>
  <si>
    <t>AEL</t>
  </si>
  <si>
    <t>Carson Cumberbatch</t>
  </si>
  <si>
    <t>CARS</t>
  </si>
  <si>
    <t>Nations Trust Bank</t>
  </si>
  <si>
    <t>LOLC Finance</t>
  </si>
  <si>
    <t>LOFC</t>
  </si>
  <si>
    <t>Bukit Darah</t>
  </si>
  <si>
    <t>BUKI</t>
  </si>
  <si>
    <t>DFCC Bank</t>
  </si>
  <si>
    <t>Dialog Axiata</t>
  </si>
  <si>
    <t>National Development Bank</t>
  </si>
  <si>
    <t>Distilleries Company of Sri Lanka</t>
  </si>
  <si>
    <t>Brown &amp; Company</t>
  </si>
  <si>
    <t>BRWN</t>
  </si>
  <si>
    <t>Lion Brewery (Ceylon)</t>
  </si>
  <si>
    <t>LION</t>
  </si>
  <si>
    <t>Vallibel One</t>
  </si>
  <si>
    <t>VONE</t>
  </si>
  <si>
    <t>LB Finance</t>
  </si>
  <si>
    <t>LFIN</t>
  </si>
  <si>
    <t>Ceylon Guardian Investment Trust</t>
  </si>
  <si>
    <t>GUAR</t>
  </si>
  <si>
    <t>Central Finance Company</t>
  </si>
  <si>
    <t>CFIN</t>
  </si>
  <si>
    <t>Seylan Bank</t>
  </si>
  <si>
    <t>Ceylinco Insurance</t>
  </si>
  <si>
    <t>CINS</t>
  </si>
  <si>
    <t>Royal Ceramics Lanka</t>
  </si>
  <si>
    <t>RCL</t>
  </si>
  <si>
    <t>Sunshine Holdings</t>
  </si>
  <si>
    <t>Cargills (Ceylon)</t>
  </si>
  <si>
    <t>Ambeon Holdings</t>
  </si>
  <si>
    <t>GREG</t>
  </si>
  <si>
    <t>Melstacorp</t>
  </si>
  <si>
    <t>MELS</t>
  </si>
  <si>
    <t>Housing Development Finance Corporation Bank Of Sri Lanka</t>
  </si>
  <si>
    <t>HDFC</t>
  </si>
  <si>
    <t>C T Holdings</t>
  </si>
  <si>
    <t>CTHR</t>
  </si>
  <si>
    <t>Ceylon Investment</t>
  </si>
  <si>
    <t>CINV</t>
  </si>
  <si>
    <t>Ceylon Beverage Holdings</t>
  </si>
  <si>
    <t>BREW</t>
  </si>
  <si>
    <t>Hemas Holdings</t>
  </si>
  <si>
    <t>Ambeon Capital</t>
  </si>
  <si>
    <t>TAP</t>
  </si>
  <si>
    <t>Windforce</t>
  </si>
  <si>
    <t>WIND</t>
  </si>
  <si>
    <t>Janashakthi Insurance</t>
  </si>
  <si>
    <t>JINS</t>
  </si>
  <si>
    <t>ACL Cables</t>
  </si>
  <si>
    <t>ACL</t>
  </si>
  <si>
    <t>People's Leasing &amp; Finance</t>
  </si>
  <si>
    <t>PLC</t>
  </si>
  <si>
    <t>Laugfs Gas</t>
  </si>
  <si>
    <t>LGL</t>
  </si>
  <si>
    <t>Lanka Walltile</t>
  </si>
  <si>
    <t>LWL</t>
  </si>
  <si>
    <t>Haycarb</t>
  </si>
  <si>
    <t>Teejay Lanka</t>
  </si>
  <si>
    <t>Ceylon Grain Elevators</t>
  </si>
  <si>
    <t>GRAN</t>
  </si>
  <si>
    <t>Hayleys Fabric</t>
  </si>
  <si>
    <t>Dilmah Ceylon Tea Company</t>
  </si>
  <si>
    <t>CTEA</t>
  </si>
  <si>
    <t>Chevron Lubricants Lanka</t>
  </si>
  <si>
    <t>CIC Holdings</t>
  </si>
  <si>
    <t>CIC</t>
  </si>
  <si>
    <t>Watawala Plantations</t>
  </si>
  <si>
    <t>WATA</t>
  </si>
  <si>
    <t>Dipped Products</t>
  </si>
  <si>
    <t>DIPD</t>
  </si>
  <si>
    <t>Lanka Milk Foods (CWE)</t>
  </si>
  <si>
    <t>Lanka Tiles</t>
  </si>
  <si>
    <t>Three Acre Farms</t>
  </si>
  <si>
    <t>TAFL</t>
  </si>
  <si>
    <t>Ceylon Cold Stores</t>
  </si>
  <si>
    <t>PGP Glass Ceylon</t>
  </si>
  <si>
    <t>Aitken Spence</t>
  </si>
  <si>
    <t>SPEN</t>
  </si>
  <si>
    <t>Commercial Credit And Finance</t>
  </si>
  <si>
    <t>COCR</t>
  </si>
  <si>
    <t>Softlogic Life Insurance</t>
  </si>
  <si>
    <t>AAIC</t>
  </si>
  <si>
    <t>Renuka City Hotels</t>
  </si>
  <si>
    <t>RENU</t>
  </si>
  <si>
    <t>Tokyo Cement Company (Lanka)</t>
  </si>
  <si>
    <t>Namunukula Plantations</t>
  </si>
  <si>
    <t>NAMU</t>
  </si>
  <si>
    <t>The Lanka Hospitals Corporation</t>
  </si>
  <si>
    <t>LHCL</t>
  </si>
  <si>
    <t>Kelani Cables</t>
  </si>
  <si>
    <t>KCAB</t>
  </si>
  <si>
    <t>Asiri Hospital Holdings</t>
  </si>
  <si>
    <t>ASIR</t>
  </si>
  <si>
    <t>Renuka Hotels</t>
  </si>
  <si>
    <t>RCH</t>
  </si>
  <si>
    <t>Vallibel Finance</t>
  </si>
  <si>
    <t>VFIN</t>
  </si>
  <si>
    <t>Elpitiya Plantations</t>
  </si>
  <si>
    <t>ELPL</t>
  </si>
  <si>
    <t>Amana Bank</t>
  </si>
  <si>
    <t>ABL</t>
  </si>
  <si>
    <t>Union Assurance</t>
  </si>
  <si>
    <t>UAL</t>
  </si>
  <si>
    <t>Citizens Development Business Finance</t>
  </si>
  <si>
    <t>CDB</t>
  </si>
  <si>
    <t>LOLC General Insurance</t>
  </si>
  <si>
    <t>LGIL</t>
  </si>
  <si>
    <t>Richard Pieris And Company</t>
  </si>
  <si>
    <t>RICH</t>
  </si>
  <si>
    <t>Vidullanka</t>
  </si>
  <si>
    <t>VLL</t>
  </si>
  <si>
    <t>Aitken Spence Plantation Managements</t>
  </si>
  <si>
    <t>ASPM</t>
  </si>
  <si>
    <t>Pan Asia Banking Corporation</t>
  </si>
  <si>
    <t>Sierra Cables</t>
  </si>
  <si>
    <t>SIRA</t>
  </si>
  <si>
    <t>Kelani Valley Plantations</t>
  </si>
  <si>
    <t>KVAL</t>
  </si>
  <si>
    <t>Prime Lands Residencies</t>
  </si>
  <si>
    <t>Senkadagala Finance Company</t>
  </si>
  <si>
    <t>SFCL</t>
  </si>
  <si>
    <t>Kelani Tyres</t>
  </si>
  <si>
    <t>TYRE</t>
  </si>
  <si>
    <t>Bairaha Farms</t>
  </si>
  <si>
    <t>BFL</t>
  </si>
  <si>
    <t>Galle Face Capital Partners</t>
  </si>
  <si>
    <t>WAPO</t>
  </si>
  <si>
    <t>Talawakelle Tea Estates</t>
  </si>
  <si>
    <t>TPL</t>
  </si>
  <si>
    <t>Merchant Bank of Sri Lanka &amp; Finance</t>
  </si>
  <si>
    <t>MBSL</t>
  </si>
  <si>
    <t>Vallibel Power Erathna</t>
  </si>
  <si>
    <t>VPEL</t>
  </si>
  <si>
    <t>Agalawatte Plantations</t>
  </si>
  <si>
    <t>AGAL</t>
  </si>
  <si>
    <t>JAT Holdings</t>
  </si>
  <si>
    <t>Siyapatha Finance</t>
  </si>
  <si>
    <t>SLFL</t>
  </si>
  <si>
    <t>Lanka Ashok Leyland</t>
  </si>
  <si>
    <t>ASHO</t>
  </si>
  <si>
    <t>C M Holdings</t>
  </si>
  <si>
    <t>COLO</t>
  </si>
  <si>
    <t>Ex-Pack Corrugated Cartons</t>
  </si>
  <si>
    <t>PACK</t>
  </si>
  <si>
    <t>Kotmale Holdings</t>
  </si>
  <si>
    <t>LAMB</t>
  </si>
  <si>
    <t>HNB Assurance</t>
  </si>
  <si>
    <t>HASU</t>
  </si>
  <si>
    <t>Shaw Wallace Investments</t>
  </si>
  <si>
    <t>KZOO</t>
  </si>
  <si>
    <t>Hatton Plantations</t>
  </si>
  <si>
    <t>HPL</t>
  </si>
  <si>
    <t>The Nuwara Eliya Hotels Company</t>
  </si>
  <si>
    <t>NEH</t>
  </si>
  <si>
    <t>Alliance Finance Company</t>
  </si>
  <si>
    <t>ALLI</t>
  </si>
  <si>
    <t>Central Industries</t>
  </si>
  <si>
    <t>CIND</t>
  </si>
  <si>
    <t>ACL Plastics</t>
  </si>
  <si>
    <t>APLA</t>
  </si>
  <si>
    <t>Asiri Surgical Hospital</t>
  </si>
  <si>
    <t>AMSL</t>
  </si>
  <si>
    <t>Printcare</t>
  </si>
  <si>
    <t>CARE</t>
  </si>
  <si>
    <t>People'S Insurance</t>
  </si>
  <si>
    <t>PINS</t>
  </si>
  <si>
    <t>LVL Energy Fund</t>
  </si>
  <si>
    <t>LVEF</t>
  </si>
  <si>
    <t>HNB Finance</t>
  </si>
  <si>
    <t>HNBF</t>
  </si>
  <si>
    <t>Malwatte Valley Plantations</t>
  </si>
  <si>
    <t>MAL</t>
  </si>
  <si>
    <t>Dankotuwa Porcelain</t>
  </si>
  <si>
    <t>DPL</t>
  </si>
  <si>
    <t>Richard Pieris Exports</t>
  </si>
  <si>
    <t>REXP</t>
  </si>
  <si>
    <t>Agarapatana Plantations</t>
  </si>
  <si>
    <t>AGPL</t>
  </si>
  <si>
    <t>Singer Finance (Lanka)</t>
  </si>
  <si>
    <t>SFIN</t>
  </si>
  <si>
    <t>Colombo City Holdings</t>
  </si>
  <si>
    <t>PHAR</t>
  </si>
  <si>
    <t>Udapussellawa Plantations</t>
  </si>
  <si>
    <t>UDPL</t>
  </si>
  <si>
    <t>Mercantile Investments And Finance</t>
  </si>
  <si>
    <t>MERC</t>
  </si>
  <si>
    <t>Kegalle Plantations</t>
  </si>
  <si>
    <t>KGAL</t>
  </si>
  <si>
    <t>Abans Electricals</t>
  </si>
  <si>
    <t>ABAN</t>
  </si>
  <si>
    <t>BPPL Holdings</t>
  </si>
  <si>
    <t>Ceylon Hospitals</t>
  </si>
  <si>
    <t>CHL</t>
  </si>
  <si>
    <t>Union Bank Of Colombo</t>
  </si>
  <si>
    <t>Maskeliya Plantations</t>
  </si>
  <si>
    <t>MASK</t>
  </si>
  <si>
    <t>Raigam Wayamba Salterns</t>
  </si>
  <si>
    <t>RWSL</t>
  </si>
  <si>
    <t>Lanka Ventures</t>
  </si>
  <si>
    <t>LVEN</t>
  </si>
  <si>
    <t>Ceylon Hotels Corporation</t>
  </si>
  <si>
    <t>Agstar</t>
  </si>
  <si>
    <t>AGST</t>
  </si>
  <si>
    <t>Commercial Development Company</t>
  </si>
  <si>
    <t>COMD</t>
  </si>
  <si>
    <t>Lee Hedges</t>
  </si>
  <si>
    <t>SHAW</t>
  </si>
  <si>
    <t>Bogala Graphite Lanka</t>
  </si>
  <si>
    <t>BOGA</t>
  </si>
  <si>
    <t>Renuka Holdings</t>
  </si>
  <si>
    <t>RHL</t>
  </si>
  <si>
    <t>Harischandra Mills</t>
  </si>
  <si>
    <t>HARI</t>
  </si>
  <si>
    <t>Asia Asset Finance</t>
  </si>
  <si>
    <t>AAF</t>
  </si>
  <si>
    <t>Colombo Fort Investments</t>
  </si>
  <si>
    <t>CFI</t>
  </si>
  <si>
    <t>Muller and Phipps (Ceylon)</t>
  </si>
  <si>
    <t>MULL</t>
  </si>
  <si>
    <t>Sarvodaya Development Finance</t>
  </si>
  <si>
    <t>SDF</t>
  </si>
  <si>
    <t>Hunter &amp; Company</t>
  </si>
  <si>
    <t>HUNT</t>
  </si>
  <si>
    <t>Seylan Developments</t>
  </si>
  <si>
    <t>CSD</t>
  </si>
  <si>
    <t>Swadeshi Industrial Works</t>
  </si>
  <si>
    <t>SWAD</t>
  </si>
  <si>
    <t>Lanka Aluminium Industries</t>
  </si>
  <si>
    <t>LALU</t>
  </si>
  <si>
    <t>Galadari Hotels (Lanka)</t>
  </si>
  <si>
    <t>Hapugastenne Plantations</t>
  </si>
  <si>
    <t>HAPU</t>
  </si>
  <si>
    <t>SMB Finance</t>
  </si>
  <si>
    <t>SEMB</t>
  </si>
  <si>
    <t>Convenience Foods (Lanka )</t>
  </si>
  <si>
    <t>SOY</t>
  </si>
  <si>
    <t>Luminex</t>
  </si>
  <si>
    <t>LUMX</t>
  </si>
  <si>
    <t>Asian Hotels &amp; Properties</t>
  </si>
  <si>
    <t>PMF Finance</t>
  </si>
  <si>
    <t>PMB</t>
  </si>
  <si>
    <t>Union Chemicals Lanka</t>
  </si>
  <si>
    <t>UCAR</t>
  </si>
  <si>
    <t>Colombo Investment Trust</t>
  </si>
  <si>
    <t>CIT</t>
  </si>
  <si>
    <t>Associated Motor Finance Company</t>
  </si>
  <si>
    <t>AMF</t>
  </si>
  <si>
    <t>Lankem Developments</t>
  </si>
  <si>
    <t>LDEV</t>
  </si>
  <si>
    <t>East West Properties</t>
  </si>
  <si>
    <t>EAST</t>
  </si>
  <si>
    <t>Cargo Boat Development Company</t>
  </si>
  <si>
    <t>CABO</t>
  </si>
  <si>
    <t>Arpico Insurance</t>
  </si>
  <si>
    <t>AINS</t>
  </si>
  <si>
    <t>Balangoda Plantations</t>
  </si>
  <si>
    <t>BALA</t>
  </si>
  <si>
    <t>On'Ally Holdings</t>
  </si>
  <si>
    <t>ONAL</t>
  </si>
  <si>
    <t>Asia Siyaka Commodities Limited</t>
  </si>
  <si>
    <t>ASIY</t>
  </si>
  <si>
    <t>Hayleys</t>
  </si>
  <si>
    <t>John Keells</t>
  </si>
  <si>
    <t>JKL</t>
  </si>
  <si>
    <t>Lake House Printers and Publishers</t>
  </si>
  <si>
    <t>LPRT</t>
  </si>
  <si>
    <t>Eastern Merchants</t>
  </si>
  <si>
    <t>EMER</t>
  </si>
  <si>
    <t>The Kingsbury</t>
  </si>
  <si>
    <t>SERV</t>
  </si>
  <si>
    <t>HSIG</t>
  </si>
  <si>
    <t>Ceylon Tea Brokers</t>
  </si>
  <si>
    <t>CTBL</t>
  </si>
  <si>
    <t>Sanasa Development Bank</t>
  </si>
  <si>
    <t>SDB</t>
  </si>
  <si>
    <t>Gestetner Of Ceylon</t>
  </si>
  <si>
    <t>GEST</t>
  </si>
  <si>
    <t>The Lighthouse Hotel</t>
  </si>
  <si>
    <t>C. W. Mackie</t>
  </si>
  <si>
    <t>CWM</t>
  </si>
  <si>
    <t>Kotagala Plantations</t>
  </si>
  <si>
    <t>KOTA</t>
  </si>
  <si>
    <t>Millennium Housing Developers</t>
  </si>
  <si>
    <t>MHDL</t>
  </si>
  <si>
    <t>Laxapana Batteries</t>
  </si>
  <si>
    <t>LITE</t>
  </si>
  <si>
    <t>Dolphin Hotels</t>
  </si>
  <si>
    <t>Serendib Hotels</t>
  </si>
  <si>
    <t>Equity Two</t>
  </si>
  <si>
    <t>ETWO</t>
  </si>
  <si>
    <t>Lanka Credit And Business Finance</t>
  </si>
  <si>
    <t>LCBF</t>
  </si>
  <si>
    <t>Horana Plantations</t>
  </si>
  <si>
    <t>HOPL</t>
  </si>
  <si>
    <t>Resus Energy</t>
  </si>
  <si>
    <t>HPWR</t>
  </si>
  <si>
    <t>Amana Takaful Life</t>
  </si>
  <si>
    <t>ATLL</t>
  </si>
  <si>
    <t>Chrissworld</t>
  </si>
  <si>
    <t>CWL</t>
  </si>
  <si>
    <t>AMW Capital Leasing And Finance</t>
  </si>
  <si>
    <t>AMCL</t>
  </si>
  <si>
    <t>Lanka Ceramic</t>
  </si>
  <si>
    <t>CERA</t>
  </si>
  <si>
    <t>Trans Asia Hotels</t>
  </si>
  <si>
    <t>TRAN</t>
  </si>
  <si>
    <t>C T Land Development</t>
  </si>
  <si>
    <t>CTLD</t>
  </si>
  <si>
    <t>E-Channelling</t>
  </si>
  <si>
    <t>ECL</t>
  </si>
  <si>
    <t>Radiant Gems International</t>
  </si>
  <si>
    <t>RGEM</t>
  </si>
  <si>
    <t>Industrial Asphalts (Ceylon)</t>
  </si>
  <si>
    <t>ASPH</t>
  </si>
  <si>
    <t>Lotus Hydro Power</t>
  </si>
  <si>
    <t>HPFL</t>
  </si>
  <si>
    <t>Alpha Fire Services</t>
  </si>
  <si>
    <t>AFS</t>
  </si>
  <si>
    <t>Mahaweli Coconut Plantations</t>
  </si>
  <si>
    <t>MCPL</t>
  </si>
  <si>
    <t>The Autodrome</t>
  </si>
  <si>
    <t>AUTO</t>
  </si>
  <si>
    <t>HVA Foods</t>
  </si>
  <si>
    <t>HVA</t>
  </si>
  <si>
    <t>Serendib Land</t>
  </si>
  <si>
    <t>SLND</t>
  </si>
  <si>
    <t>Dialog Finance</t>
  </si>
  <si>
    <t>CALF</t>
  </si>
  <si>
    <t>EML Consultants</t>
  </si>
  <si>
    <t>EML</t>
  </si>
  <si>
    <t>York Arcade Holdings</t>
  </si>
  <si>
    <t>YORK</t>
  </si>
  <si>
    <t>Selinsing</t>
  </si>
  <si>
    <t>SELI</t>
  </si>
  <si>
    <t>Chemanex</t>
  </si>
  <si>
    <t>CHMX</t>
  </si>
  <si>
    <t>Laugfs Power</t>
  </si>
  <si>
    <t>LPL</t>
  </si>
  <si>
    <t>Hayleys Leisure</t>
  </si>
  <si>
    <t>Good Hope</t>
  </si>
  <si>
    <t>GOOD</t>
  </si>
  <si>
    <t>Exterminators Limited</t>
  </si>
  <si>
    <t>EXT</t>
  </si>
  <si>
    <t>Indo-Malay</t>
  </si>
  <si>
    <t>INDO</t>
  </si>
  <si>
    <t>Alumex</t>
  </si>
  <si>
    <t>ALUM</t>
  </si>
  <si>
    <t>Co-Operative Insurance Company</t>
  </si>
  <si>
    <t>COOP</t>
  </si>
  <si>
    <t>Regnis (Lanka)</t>
  </si>
  <si>
    <t>REG</t>
  </si>
  <si>
    <t>Mackwoods Energy</t>
  </si>
  <si>
    <t>MEL</t>
  </si>
  <si>
    <t>Ramboda Falls</t>
  </si>
  <si>
    <t>RFL</t>
  </si>
  <si>
    <t>Shalimar (Malay)</t>
  </si>
  <si>
    <t>SHAL</t>
  </si>
  <si>
    <t>Tea Smallholder Factories</t>
  </si>
  <si>
    <t>TSML</t>
  </si>
  <si>
    <t>Standard Capital</t>
  </si>
  <si>
    <t>SING</t>
  </si>
  <si>
    <t>Bansei Royal Resorts Hikkaduwa</t>
  </si>
  <si>
    <t>BRR</t>
  </si>
  <si>
    <t>Ceylon Printers</t>
  </si>
  <si>
    <t>CPRT</t>
  </si>
  <si>
    <t>Sathosa Motors</t>
  </si>
  <si>
    <t>SMOT</t>
  </si>
  <si>
    <t>Royal Palms Beach Hotels</t>
  </si>
  <si>
    <t>Mercantile Shipping Company</t>
  </si>
  <si>
    <t>MSL</t>
  </si>
  <si>
    <t>Tess Agro</t>
  </si>
  <si>
    <t>TESS</t>
  </si>
  <si>
    <t>Bogawantalawa Tea Estates</t>
  </si>
  <si>
    <t>BOPL</t>
  </si>
  <si>
    <t>Multi Finance</t>
  </si>
  <si>
    <t>MFL</t>
  </si>
  <si>
    <t>Myland Developments</t>
  </si>
  <si>
    <t>MDL</t>
  </si>
  <si>
    <t>Kapruka Holdings</t>
  </si>
  <si>
    <t>KPHL</t>
  </si>
  <si>
    <t>Singhe Hospitals</t>
  </si>
  <si>
    <t>SINH</t>
  </si>
  <si>
    <t>The Fortress Resorts</t>
  </si>
  <si>
    <t>Unisyst Engineering</t>
  </si>
  <si>
    <t>ALUF</t>
  </si>
  <si>
    <t>hSenid Business Solutions</t>
  </si>
  <si>
    <t>HBS</t>
  </si>
  <si>
    <t>Hayleys Fibre</t>
  </si>
  <si>
    <t>HEXP</t>
  </si>
  <si>
    <t>Colombo Land &amp; Development Company</t>
  </si>
  <si>
    <t>CLND</t>
  </si>
  <si>
    <t>Swisstek (Ceylon)</t>
  </si>
  <si>
    <t>PARQ</t>
  </si>
  <si>
    <t>Amana Takaful</t>
  </si>
  <si>
    <t>ATL</t>
  </si>
  <si>
    <t>Sigiriya Village Hotels</t>
  </si>
  <si>
    <t>SIGV</t>
  </si>
  <si>
    <t>Pegasus Hotels of Ceylon</t>
  </si>
  <si>
    <t>PEG</t>
  </si>
  <si>
    <t>Orient Finance</t>
  </si>
  <si>
    <t>BFN</t>
  </si>
  <si>
    <t>Renuka Foods</t>
  </si>
  <si>
    <t>COCO</t>
  </si>
  <si>
    <t>E B Creasy &amp; Company</t>
  </si>
  <si>
    <t>EBCR</t>
  </si>
  <si>
    <t>Blue Diamonds Jewellery Worldwide</t>
  </si>
  <si>
    <t>BLUE</t>
  </si>
  <si>
    <t>Abans Finance</t>
  </si>
  <si>
    <t>AFSL</t>
  </si>
  <si>
    <t>Samson International</t>
  </si>
  <si>
    <t>SIL</t>
  </si>
  <si>
    <t>Singer Industries (Ceylon)</t>
  </si>
  <si>
    <t>SINI</t>
  </si>
  <si>
    <t>Tangerine Beach Hotels</t>
  </si>
  <si>
    <t>TANG</t>
  </si>
  <si>
    <t>Abans</t>
  </si>
  <si>
    <t>ABNS</t>
  </si>
  <si>
    <t>Beruwala Resorts</t>
  </si>
  <si>
    <t>BERU</t>
  </si>
  <si>
    <t>Marawila Resorts</t>
  </si>
  <si>
    <t>MARA</t>
  </si>
  <si>
    <t>RIL Property</t>
  </si>
  <si>
    <t>RIL</t>
  </si>
  <si>
    <t>Anilana Hotels And Properties</t>
  </si>
  <si>
    <t>ALHP</t>
  </si>
  <si>
    <t>Keells Food Products</t>
  </si>
  <si>
    <t>KFP</t>
  </si>
  <si>
    <t>The Kandy Hotels Company (1938)</t>
  </si>
  <si>
    <t>KHC</t>
  </si>
  <si>
    <t>Renuka Agri Foods</t>
  </si>
  <si>
    <t>RAL</t>
  </si>
  <si>
    <t>Jetwing Symphony</t>
  </si>
  <si>
    <t>JETS</t>
  </si>
  <si>
    <t>Lankem Ceylon</t>
  </si>
  <si>
    <t>LCEY</t>
  </si>
  <si>
    <t>ACME Printing &amp; Packaging</t>
  </si>
  <si>
    <t>ACME</t>
  </si>
  <si>
    <t>Browns Beach Hotels</t>
  </si>
  <si>
    <t>BBH</t>
  </si>
  <si>
    <t>Panasian Power</t>
  </si>
  <si>
    <t>PAP</t>
  </si>
  <si>
    <t>Mahaweli Reach Hotels</t>
  </si>
  <si>
    <t>MRH</t>
  </si>
  <si>
    <t>Nawaloka Hospitals</t>
  </si>
  <si>
    <t>NHL</t>
  </si>
  <si>
    <t>Hunas Holdings</t>
  </si>
  <si>
    <t>HUNA</t>
  </si>
  <si>
    <t>Sanasa Life Insurance Company</t>
  </si>
  <si>
    <t>SIC</t>
  </si>
  <si>
    <t>Lanka Realty Investments</t>
  </si>
  <si>
    <t>ASCO</t>
  </si>
  <si>
    <t>ACAP</t>
  </si>
  <si>
    <t>Waskaduwa Beach Resort</t>
  </si>
  <si>
    <t>CITW</t>
  </si>
  <si>
    <t>United Motors Lanka</t>
  </si>
  <si>
    <t>UML</t>
  </si>
  <si>
    <t>Kahawatte Plantations</t>
  </si>
  <si>
    <t>KAHA</t>
  </si>
  <si>
    <t>Diesel &amp; Motor Engineering</t>
  </si>
  <si>
    <t>DIMO</t>
  </si>
  <si>
    <t>Madulsima Plantations</t>
  </si>
  <si>
    <t>MADU</t>
  </si>
  <si>
    <t>The Colombo Fort Land &amp; Building</t>
  </si>
  <si>
    <t>CFLB</t>
  </si>
  <si>
    <t>Hikkaduwa Beach Resort</t>
  </si>
  <si>
    <t>CITH</t>
  </si>
  <si>
    <t>Citrus Leisure</t>
  </si>
  <si>
    <t>REEF</t>
  </si>
  <si>
    <t>Tal Lanka Hotels</t>
  </si>
  <si>
    <t>TAJ</t>
  </si>
  <si>
    <t>Softlogic Capital</t>
  </si>
  <si>
    <t>SCAP</t>
  </si>
  <si>
    <t>Softlogic Finance</t>
  </si>
  <si>
    <t>CRL</t>
  </si>
  <si>
    <t>John Keells Holdings</t>
  </si>
  <si>
    <t>JKH</t>
  </si>
  <si>
    <t>Overseas Realty (Ceylon)</t>
  </si>
  <si>
    <t>OSEA</t>
  </si>
  <si>
    <t>Nation Lanka Finance</t>
  </si>
  <si>
    <t>CSF</t>
  </si>
  <si>
    <t>Singer (Sri Lanka)</t>
  </si>
  <si>
    <t>SINS</t>
  </si>
  <si>
    <t>ODEL</t>
  </si>
  <si>
    <t>John Keells Hotels</t>
  </si>
  <si>
    <t>Aitken Spence Hotel Holdings</t>
  </si>
  <si>
    <t>Palm Garden Hotels</t>
  </si>
  <si>
    <t>Eden Hotel Lanka</t>
  </si>
  <si>
    <t>EDEN</t>
  </si>
  <si>
    <t>LOLC Holdings</t>
  </si>
  <si>
    <t>LOLC</t>
  </si>
  <si>
    <t>Expolanka Holdings</t>
  </si>
  <si>
    <t>Sri Lanka Telecom</t>
  </si>
  <si>
    <t>SLTL</t>
  </si>
  <si>
    <t>Hela Apparel Holdings</t>
  </si>
  <si>
    <t>Colombo Dockyard</t>
  </si>
  <si>
    <t>DOCK</t>
  </si>
  <si>
    <t>Overall</t>
  </si>
  <si>
    <t>Pre-pandemic</t>
  </si>
  <si>
    <t>Average</t>
  </si>
  <si>
    <t>HNB Retirement Fund - NAV  (Rs mn)</t>
  </si>
  <si>
    <t>Realized Gains (Rs mn)</t>
  </si>
  <si>
    <t>MoM Growth</t>
  </si>
  <si>
    <t>YTD</t>
  </si>
  <si>
    <t>Quarter Ending</t>
  </si>
  <si>
    <t>Total Market Earnings (Rs. mn)</t>
  </si>
  <si>
    <t>3Q24</t>
  </si>
  <si>
    <t>1H</t>
  </si>
  <si>
    <t>FY</t>
  </si>
  <si>
    <t>Sales</t>
  </si>
  <si>
    <t>Average RoE</t>
  </si>
  <si>
    <t>Normalized EPS (BVPS * Avg RoE)</t>
  </si>
  <si>
    <t>Tea</t>
  </si>
  <si>
    <t>Hydropower</t>
  </si>
  <si>
    <t>Geography</t>
  </si>
  <si>
    <t>Exit Annualized Recurring Revenue (US$ mn)</t>
  </si>
  <si>
    <t>Hsenid - HBS</t>
  </si>
  <si>
    <t>Exchange Rate</t>
  </si>
  <si>
    <t>EV/ARR Multiple</t>
  </si>
  <si>
    <t>Enterprise Value (Rs mn)</t>
  </si>
  <si>
    <t>Current Market Cap</t>
  </si>
  <si>
    <t>No of Shares</t>
  </si>
  <si>
    <t>Exit Annualized Recurring Revenue (Rs mn)</t>
  </si>
  <si>
    <t>Cash Rs mn</t>
  </si>
  <si>
    <t>Debt Rs mn</t>
  </si>
  <si>
    <t>Net Cash</t>
  </si>
  <si>
    <t>Equity Value</t>
  </si>
  <si>
    <t xml:space="preserve">Upside </t>
  </si>
  <si>
    <t>Indicative Price</t>
  </si>
  <si>
    <t>Indicative Valuation based on EXIT ARR and Global EV/ARR range</t>
  </si>
  <si>
    <t>Gross Written Premiums</t>
  </si>
  <si>
    <t>Net Written Premiums</t>
  </si>
  <si>
    <t>Net Finance Income</t>
  </si>
  <si>
    <t>Total Net Revenue</t>
  </si>
  <si>
    <t xml:space="preserve">Net insurance benefits and claims paid </t>
  </si>
  <si>
    <t>Change in insurance contracts liabilities</t>
  </si>
  <si>
    <t xml:space="preserve">Underwriting and net acquisition cost (Net of reinsurance) </t>
  </si>
  <si>
    <t>Other operating and administration expenses</t>
  </si>
  <si>
    <t>Impairment provision on financial investments</t>
  </si>
  <si>
    <t>Financial Investments</t>
  </si>
  <si>
    <t>Insurance contract liabilities</t>
  </si>
  <si>
    <t>Fair Value through profit or loss</t>
  </si>
  <si>
    <t>Fair Value through OCI</t>
  </si>
  <si>
    <t>4Q2023</t>
  </si>
  <si>
    <t>First Year Premiums</t>
  </si>
  <si>
    <t>Retention Ratio</t>
  </si>
  <si>
    <t>Loss Ratio</t>
  </si>
  <si>
    <t>Combined Ratio</t>
  </si>
  <si>
    <t>Expense Ratio</t>
  </si>
  <si>
    <t>FY26E</t>
  </si>
  <si>
    <t>2025E</t>
  </si>
  <si>
    <t>Price</t>
  </si>
  <si>
    <t>TTM - EPS</t>
  </si>
  <si>
    <t>Normalized P/E</t>
  </si>
  <si>
    <t>Sales growth</t>
  </si>
  <si>
    <t>Earnings</t>
  </si>
  <si>
    <t>Dividend Yield</t>
  </si>
  <si>
    <t>Avg</t>
  </si>
  <si>
    <t>EPS Growth</t>
  </si>
  <si>
    <t>FY+1</t>
  </si>
  <si>
    <t>Today</t>
  </si>
  <si>
    <t>Dairy</t>
  </si>
  <si>
    <t>NIM</t>
  </si>
  <si>
    <t>SLSB as per AR - 2023</t>
  </si>
  <si>
    <t>T1 Capital %</t>
  </si>
  <si>
    <t>Total capital %</t>
  </si>
  <si>
    <t>Buffer %</t>
  </si>
  <si>
    <t>Net stage 3 loan %</t>
  </si>
  <si>
    <t>Impairment Coverage %</t>
  </si>
  <si>
    <t>Cost to Income %</t>
  </si>
  <si>
    <t>Cumulative Provision on SLSB</t>
  </si>
  <si>
    <t>Exchange rate</t>
  </si>
  <si>
    <t>USD mn - SLSB</t>
  </si>
  <si>
    <t>Provisions coverage %</t>
  </si>
  <si>
    <t xml:space="preserve">ISB Provision Coverage </t>
  </si>
  <si>
    <t>Earnings - FY23</t>
  </si>
  <si>
    <t>4Q24</t>
  </si>
  <si>
    <t xml:space="preserve">Dividend Payout </t>
  </si>
  <si>
    <t>Harmonic Mean</t>
  </si>
  <si>
    <t>Stock A</t>
  </si>
  <si>
    <t>Stock B</t>
  </si>
  <si>
    <t>Weight</t>
  </si>
  <si>
    <t>1Q2024</t>
  </si>
  <si>
    <t>Normalized P/E @ 8.6</t>
  </si>
  <si>
    <t xml:space="preserve">Hedging Reserve </t>
  </si>
  <si>
    <t xml:space="preserve">Brush </t>
  </si>
  <si>
    <t>Polyester</t>
  </si>
  <si>
    <t>Adjusted OP</t>
  </si>
  <si>
    <t>Adjusted Taxes</t>
  </si>
  <si>
    <t xml:space="preserve">Revenue </t>
  </si>
  <si>
    <t>OPM</t>
  </si>
  <si>
    <t xml:space="preserve">GP </t>
  </si>
  <si>
    <t>OP</t>
  </si>
  <si>
    <t>1Q</t>
  </si>
  <si>
    <t>2Q</t>
  </si>
  <si>
    <t>3Q</t>
  </si>
  <si>
    <t>4Q</t>
  </si>
  <si>
    <t>NPM</t>
  </si>
  <si>
    <t>Company Name</t>
  </si>
  <si>
    <t>Nature of Business</t>
  </si>
  <si>
    <t>Market Cap (Rs bn)</t>
  </si>
  <si>
    <t>Index Weight</t>
  </si>
  <si>
    <t xml:space="preserve"> PE/PB FY25/2024E</t>
  </si>
  <si>
    <t>Dividend Yield FY25/2024E</t>
  </si>
  <si>
    <t>CAL</t>
  </si>
  <si>
    <t>Asia Sec</t>
  </si>
  <si>
    <t>Softlogic</t>
  </si>
  <si>
    <t>Conglomerate</t>
  </si>
  <si>
    <t>Sampath Bank*</t>
  </si>
  <si>
    <t>Bank</t>
  </si>
  <si>
    <t>Nations Trust Bank*</t>
  </si>
  <si>
    <t>Fabric Manufacturing - Exports</t>
  </si>
  <si>
    <t>People's Leasing Finance</t>
  </si>
  <si>
    <t>Non-Bank Financial Institution</t>
  </si>
  <si>
    <t>Consumer and Pharma</t>
  </si>
  <si>
    <t>Food, Beverage and Tobacco</t>
  </si>
  <si>
    <t>Renewable Energy</t>
  </si>
  <si>
    <t>Hatton National Bank*</t>
  </si>
  <si>
    <t>Commerical Bank of Ceylon</t>
  </si>
  <si>
    <t>Telecommunication</t>
  </si>
  <si>
    <t>Tokyo Cements</t>
  </si>
  <si>
    <t>Constuction Material</t>
  </si>
  <si>
    <t>Consumer, Pharma and Agri</t>
  </si>
  <si>
    <t>Cable Manufacturing</t>
  </si>
  <si>
    <t>Aitken Spence Hotels Holdings</t>
  </si>
  <si>
    <t>Hotel</t>
  </si>
  <si>
    <t>Pirmal Glass</t>
  </si>
  <si>
    <t>Hospitals</t>
  </si>
  <si>
    <t>Construction Material</t>
  </si>
  <si>
    <t>Distilleries</t>
  </si>
  <si>
    <t>Lanka Milk Foods</t>
  </si>
  <si>
    <t>CINS-X</t>
  </si>
  <si>
    <t>1Q25</t>
  </si>
  <si>
    <t>Foreign Exchange Gain or Loss</t>
  </si>
  <si>
    <t>Ending Rate</t>
  </si>
  <si>
    <t>Average Rate</t>
  </si>
  <si>
    <t>Acuity Research</t>
  </si>
  <si>
    <t>Market Price as of 07 Aug</t>
  </si>
  <si>
    <t>5Q24</t>
  </si>
  <si>
    <t xml:space="preserve">EXPO </t>
  </si>
  <si>
    <t>Not Finish</t>
  </si>
  <si>
    <t>COGS</t>
  </si>
  <si>
    <t>COGS %</t>
  </si>
  <si>
    <t>2Q25</t>
  </si>
  <si>
    <t>Total asset</t>
  </si>
  <si>
    <t>Total Liability</t>
  </si>
  <si>
    <t>Current asset</t>
  </si>
  <si>
    <t>Current 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</si>
</sst>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
    <numFmt numFmtId="166" formatCode="0.0%"/>
    <numFmt numFmtId="167" formatCode="_(* #,##0_);_(* \(#,##0\);_(* &quot;-&quot;??_);_(@_)"/>
    <numFmt numFmtId="168" formatCode="[$-409]d\-mmm\-yy;@"/>
    <numFmt numFmtId="169" formatCode="_(* #,##0.0_);_(* \(#,##0.0\);_(* &quot;-&quot;??_);_(@_)"/>
    <numFmt numFmtId="170" formatCode="_-* #,##0.00_-;\-* #,##0.00_-;_-* &quot;-&quot;??_-;_-@_-"/>
    <numFmt numFmtId="171" formatCode="_-* #,##0.0_-;\-* #,##0.0_-;_-* &quot;-&quot;??_-;_-@_-"/>
    <numFmt numFmtId="172" formatCode="#,##0.000000000000000"/>
  </numFmts>
  <fonts count="38" x14ac:knownFonts="1">
    <font>
      <sz val="11"/>
      <color theme="1"/>
      <name val="Calibri"/>
      <family val="2"/>
      <scheme val="minor"/>
    </font>
    <font>
      <sz val="11"/>
      <color rgb="FFFF0000"/>
      <name val="Calibri"/>
      <family val="2"/>
      <scheme val="minor"/>
    </font>
    <font>
      <b/>
      <sz val="10"/>
      <color rgb="FF000066"/>
      <name val="Lato"/>
      <family val="2"/>
    </font>
    <font>
      <sz val="10"/>
      <color rgb="FF000066"/>
      <name val="Lato"/>
      <family val="2"/>
    </font>
    <font>
      <i/>
      <sz val="10"/>
      <color rgb="FF000066"/>
      <name val="Lato"/>
      <family val="2"/>
    </font>
    <font>
      <i/>
      <sz val="10"/>
      <color rgb="FF00B050"/>
      <name val="Lato"/>
      <family val="2"/>
    </font>
    <font>
      <i/>
      <sz val="10"/>
      <color rgb="FFFF0000"/>
      <name val="Lato"/>
      <family val="2"/>
    </font>
    <font>
      <b/>
      <sz val="11"/>
      <color rgb="FFFF0000"/>
      <name val="Calibri"/>
      <family val="2"/>
      <scheme val="minor"/>
    </font>
    <font>
      <sz val="11"/>
      <color rgb="FF00B050"/>
      <name val="Calibri"/>
      <family val="2"/>
      <scheme val="minor"/>
    </font>
    <font>
      <sz val="10"/>
      <color rgb="FF00B050"/>
      <name val="Lato"/>
      <family val="2"/>
    </font>
    <font>
      <sz val="10"/>
      <color rgb="FFFF0000"/>
      <name val="Lato"/>
      <family val="2"/>
    </font>
    <font>
      <b/>
      <sz val="9"/>
      <color indexed="81"/>
      <name val="Tahoma"/>
      <family val="2"/>
    </font>
    <font>
      <sz val="9"/>
      <color indexed="81"/>
      <name val="Tahoma"/>
      <family val="2"/>
    </font>
    <font>
      <sz val="11"/>
      <color rgb="FF002060"/>
      <name val="Calibri"/>
      <family val="2"/>
      <scheme val="minor"/>
    </font>
    <font>
      <b/>
      <sz val="11"/>
      <color rgb="FF002060"/>
      <name val="Calibri"/>
      <family val="2"/>
      <scheme val="minor"/>
    </font>
    <font>
      <i/>
      <sz val="11"/>
      <color rgb="FF002060"/>
      <name val="Calibri"/>
      <family val="2"/>
      <scheme val="minor"/>
    </font>
    <font>
      <i/>
      <sz val="11"/>
      <color rgb="FF00B050"/>
      <name val="Calibri"/>
      <family val="2"/>
      <scheme val="minor"/>
    </font>
    <font>
      <i/>
      <sz val="11"/>
      <color rgb="FFFF0000"/>
      <name val="Calibri"/>
      <family val="2"/>
      <scheme val="minor"/>
    </font>
    <font>
      <sz val="8"/>
      <name val="Calibri"/>
      <family val="2"/>
      <scheme val="minor"/>
    </font>
    <font>
      <sz val="11"/>
      <color theme="1"/>
      <name val="Calibri"/>
      <family val="2"/>
      <scheme val="minor"/>
    </font>
    <font>
      <sz val="11"/>
      <color theme="0"/>
      <name val="Calibri"/>
      <family val="2"/>
      <scheme val="minor"/>
    </font>
    <font>
      <u/>
      <sz val="11"/>
      <color theme="10"/>
      <name val="Calibri"/>
      <family val="2"/>
      <scheme val="minor"/>
    </font>
    <font>
      <sz val="10"/>
      <name val="Arial"/>
      <family val="2"/>
    </font>
    <font>
      <i/>
      <sz val="11"/>
      <color theme="1"/>
      <name val="Calibri"/>
      <family val="2"/>
      <scheme val="minor"/>
    </font>
    <font>
      <sz val="9"/>
      <color theme="1"/>
      <name val="Lato"/>
      <family val="2"/>
    </font>
    <font>
      <sz val="11"/>
      <name val="Times New Roman"/>
      <family val="1"/>
    </font>
    <font>
      <sz val="9.75"/>
      <color rgb="FF000000"/>
      <name val="Arial"/>
      <family val="2"/>
    </font>
    <font>
      <b/>
      <sz val="11"/>
      <name val="Lato"/>
      <family val="2"/>
    </font>
    <font>
      <b/>
      <sz val="11"/>
      <color theme="1"/>
      <name val="Lato"/>
      <family val="2"/>
    </font>
    <font>
      <sz val="11"/>
      <name val="Lato"/>
      <family val="2"/>
    </font>
    <font>
      <sz val="11"/>
      <color theme="1"/>
      <name val="Lato"/>
      <family val="2"/>
    </font>
    <font>
      <sz val="10"/>
      <name val="Lato"/>
      <family val="2"/>
    </font>
    <font>
      <sz val="11"/>
      <color theme="1"/>
      <name val="Verdana"/>
      <family val="2"/>
    </font>
    <font>
      <b/>
      <sz val="11"/>
      <color theme="1"/>
      <name val="Calibri"/>
      <family val="2"/>
      <scheme val="minor"/>
    </font>
    <font>
      <b/>
      <i/>
      <sz val="11"/>
      <color rgb="FF002060"/>
      <name val="Calibri"/>
      <family val="2"/>
      <scheme val="minor"/>
    </font>
    <font>
      <b/>
      <sz val="11"/>
      <color theme="0"/>
      <name val="Calibri"/>
      <family val="2"/>
      <scheme val="minor"/>
    </font>
    <font>
      <i/>
      <sz val="11"/>
      <color theme="3" tint="-0.499984740745262"/>
      <name val="Calibri"/>
      <family val="2"/>
      <scheme val="minor"/>
    </font>
    <font>
      <i/>
      <sz val="10"/>
      <color theme="1"/>
      <name val="Calibri"/>
      <family val="2"/>
      <scheme val="minor"/>
    </font>
  </fonts>
  <fills count="13">
    <fill>
      <patternFill patternType="none"/>
    </fill>
    <fill>
      <patternFill patternType="gray125"/>
    </fill>
    <fill>
      <patternFill patternType="solid">
        <fgColor rgb="FFFBF100"/>
        <bgColor indexed="64"/>
      </patternFill>
    </fill>
    <fill>
      <patternFill patternType="solid">
        <fgColor rgb="FFFFFF00"/>
        <bgColor indexed="64"/>
      </patternFill>
    </fill>
    <fill>
      <patternFill patternType="solid">
        <fgColor theme="0"/>
        <bgColor indexed="64"/>
      </patternFill>
    </fill>
    <fill>
      <patternFill patternType="solid">
        <fgColor rgb="FF002060"/>
        <bgColor indexed="64"/>
      </patternFill>
    </fill>
    <fill>
      <patternFill patternType="solid">
        <fgColor rgb="FF66FF99"/>
        <bgColor indexed="64"/>
      </patternFill>
    </fill>
    <fill>
      <patternFill patternType="solid">
        <fgColor rgb="FFD9D9FF"/>
        <bgColor indexed="64"/>
      </patternFill>
    </fill>
    <fill>
      <patternFill patternType="solid">
        <fgColor rgb="FFF2F2F2"/>
        <bgColor rgb="FFF2F2F2"/>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499984740745262"/>
        <bgColor indexed="64"/>
      </patternFill>
    </fill>
  </fills>
  <borders count="29">
    <border>
      <left/>
      <right/>
      <top/>
      <bottom/>
      <diagonal/>
    </border>
    <border>
      <left style="medium">
        <color rgb="FFFFFFFF"/>
      </left>
      <right style="medium">
        <color rgb="FFFFFFFF"/>
      </right>
      <top style="medium">
        <color rgb="FFFFFFFF"/>
      </top>
      <bottom style="thick">
        <color rgb="FFFFFFFF"/>
      </bottom>
      <diagonal/>
    </border>
    <border>
      <left style="thick">
        <color rgb="FFFFFFFF"/>
      </left>
      <right/>
      <top style="thick">
        <color rgb="FFFFFFFF"/>
      </top>
      <bottom style="thick">
        <color rgb="FFFFFFFF"/>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rgb="FFFF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1" fillId="0" borderId="0" applyNumberFormat="0" applyFill="0" applyBorder="0" applyAlignment="0" applyProtection="0"/>
    <xf numFmtId="170" fontId="19" fillId="0" borderId="0" applyFont="0" applyFill="0" applyBorder="0" applyAlignment="0" applyProtection="0"/>
  </cellStyleXfs>
  <cellXfs count="221">
    <xf numFmtId="0" fontId="0" fillId="0" borderId="0" xfId="0"/>
    <xf numFmtId="0" fontId="2" fillId="2" borderId="0" xfId="0" applyFont="1" applyFill="1" applyAlignment="1">
      <alignment horizontal="right" vertical="center" wrapText="1" readingOrder="1"/>
    </xf>
    <xf numFmtId="164" fontId="0" fillId="0" borderId="0" xfId="0" applyNumberFormat="1"/>
    <xf numFmtId="2" fontId="0" fillId="0" borderId="0" xfId="0" applyNumberFormat="1"/>
    <xf numFmtId="166" fontId="0" fillId="0" borderId="0" xfId="0" applyNumberFormat="1"/>
    <xf numFmtId="0" fontId="1" fillId="3" borderId="0" xfId="0" applyFont="1" applyFill="1" applyAlignment="1">
      <alignment horizontal="center"/>
    </xf>
    <xf numFmtId="0" fontId="1" fillId="0" borderId="0" xfId="0" applyFont="1"/>
    <xf numFmtId="164" fontId="7" fillId="3" borderId="0" xfId="0" applyNumberFormat="1" applyFont="1" applyFill="1"/>
    <xf numFmtId="166" fontId="8" fillId="3" borderId="0" xfId="0" applyNumberFormat="1" applyFont="1" applyFill="1"/>
    <xf numFmtId="0" fontId="7" fillId="3" borderId="0" xfId="0" applyFont="1" applyFill="1"/>
    <xf numFmtId="3" fontId="0" fillId="0" borderId="0" xfId="0" applyNumberFormat="1"/>
    <xf numFmtId="0" fontId="14" fillId="3" borderId="0" xfId="0" applyFont="1" applyFill="1" applyAlignment="1">
      <alignment horizontal="center"/>
    </xf>
    <xf numFmtId="0" fontId="13" fillId="4" borderId="0" xfId="0" applyFont="1" applyFill="1"/>
    <xf numFmtId="3" fontId="13" fillId="4" borderId="0" xfId="0" applyNumberFormat="1" applyFont="1" applyFill="1"/>
    <xf numFmtId="166" fontId="13" fillId="4" borderId="0" xfId="0" applyNumberFormat="1" applyFont="1" applyFill="1"/>
    <xf numFmtId="166" fontId="15" fillId="4" borderId="0" xfId="0" applyNumberFormat="1" applyFont="1" applyFill="1"/>
    <xf numFmtId="2" fontId="13" fillId="4" borderId="0" xfId="0" applyNumberFormat="1" applyFont="1" applyFill="1"/>
    <xf numFmtId="0" fontId="8" fillId="4" borderId="0" xfId="0" applyFont="1" applyFill="1"/>
    <xf numFmtId="166" fontId="16" fillId="4" borderId="0" xfId="0" applyNumberFormat="1" applyFont="1" applyFill="1"/>
    <xf numFmtId="166" fontId="17" fillId="4" borderId="0" xfId="0" applyNumberFormat="1" applyFont="1" applyFill="1"/>
    <xf numFmtId="0" fontId="14" fillId="3" borderId="0" xfId="0" applyFont="1" applyFill="1"/>
    <xf numFmtId="3" fontId="3" fillId="4" borderId="0" xfId="0" applyNumberFormat="1" applyFont="1" applyFill="1" applyAlignment="1">
      <alignment horizontal="right" vertical="center" wrapText="1" readingOrder="1"/>
    </xf>
    <xf numFmtId="165" fontId="6" fillId="4" borderId="0" xfId="0" applyNumberFormat="1" applyFont="1" applyFill="1" applyAlignment="1">
      <alignment horizontal="right" vertical="center" wrapText="1" readingOrder="1"/>
    </xf>
    <xf numFmtId="165" fontId="5" fillId="4" borderId="0" xfId="0" applyNumberFormat="1" applyFont="1" applyFill="1" applyAlignment="1">
      <alignment horizontal="right" vertical="center" wrapText="1" readingOrder="1"/>
    </xf>
    <xf numFmtId="164" fontId="3" fillId="4" borderId="0" xfId="0" applyNumberFormat="1" applyFont="1" applyFill="1" applyAlignment="1">
      <alignment horizontal="right" vertical="center" wrapText="1" readingOrder="1"/>
    </xf>
    <xf numFmtId="3" fontId="3" fillId="4" borderId="2" xfId="0" applyNumberFormat="1" applyFont="1" applyFill="1" applyBorder="1" applyAlignment="1">
      <alignment horizontal="left" wrapText="1" readingOrder="1"/>
    </xf>
    <xf numFmtId="3" fontId="3" fillId="4" borderId="3" xfId="0" applyNumberFormat="1" applyFont="1" applyFill="1" applyBorder="1" applyAlignment="1">
      <alignment horizontal="right" vertical="center" wrapText="1" readingOrder="1"/>
    </xf>
    <xf numFmtId="3" fontId="3" fillId="4" borderId="4" xfId="0" applyNumberFormat="1" applyFont="1" applyFill="1" applyBorder="1" applyAlignment="1">
      <alignment horizontal="right" vertical="center" wrapText="1" readingOrder="1"/>
    </xf>
    <xf numFmtId="3" fontId="4" fillId="4" borderId="2" xfId="0" applyNumberFormat="1" applyFont="1" applyFill="1" applyBorder="1" applyAlignment="1">
      <alignment horizontal="left" wrapText="1" readingOrder="1"/>
    </xf>
    <xf numFmtId="3" fontId="3" fillId="4" borderId="3" xfId="0" applyNumberFormat="1" applyFont="1" applyFill="1" applyBorder="1" applyAlignment="1">
      <alignment horizontal="right" wrapText="1" readingOrder="1"/>
    </xf>
    <xf numFmtId="165" fontId="5" fillId="4" borderId="3" xfId="0" applyNumberFormat="1" applyFont="1" applyFill="1" applyBorder="1" applyAlignment="1">
      <alignment horizontal="right" vertical="center" wrapText="1" readingOrder="1"/>
    </xf>
    <xf numFmtId="165" fontId="5" fillId="4" borderId="4" xfId="0" applyNumberFormat="1" applyFont="1" applyFill="1" applyBorder="1" applyAlignment="1">
      <alignment horizontal="right" vertical="center" wrapText="1" readingOrder="1"/>
    </xf>
    <xf numFmtId="164" fontId="3" fillId="4" borderId="2" xfId="0" applyNumberFormat="1" applyFont="1" applyFill="1" applyBorder="1" applyAlignment="1">
      <alignment horizontal="left" wrapText="1" readingOrder="1"/>
    </xf>
    <xf numFmtId="164" fontId="3" fillId="4" borderId="3" xfId="0" applyNumberFormat="1" applyFont="1" applyFill="1" applyBorder="1" applyAlignment="1">
      <alignment horizontal="right" wrapText="1" readingOrder="1"/>
    </xf>
    <xf numFmtId="164" fontId="3" fillId="4" borderId="3" xfId="0" applyNumberFormat="1" applyFont="1" applyFill="1" applyBorder="1" applyAlignment="1">
      <alignment horizontal="right" vertical="center" wrapText="1" readingOrder="1"/>
    </xf>
    <xf numFmtId="164" fontId="3" fillId="4" borderId="4" xfId="0" applyNumberFormat="1" applyFont="1" applyFill="1" applyBorder="1" applyAlignment="1">
      <alignment horizontal="right" vertical="center" wrapText="1" readingOrder="1"/>
    </xf>
    <xf numFmtId="164" fontId="9" fillId="4" borderId="3" xfId="0" applyNumberFormat="1" applyFont="1" applyFill="1" applyBorder="1" applyAlignment="1">
      <alignment horizontal="right" vertical="center" wrapText="1" readingOrder="1"/>
    </xf>
    <xf numFmtId="164" fontId="9" fillId="4" borderId="4" xfId="0" applyNumberFormat="1" applyFont="1" applyFill="1" applyBorder="1" applyAlignment="1">
      <alignment horizontal="right" vertical="center" wrapText="1" readingOrder="1"/>
    </xf>
    <xf numFmtId="164" fontId="10" fillId="4" borderId="3" xfId="0" applyNumberFormat="1" applyFont="1" applyFill="1" applyBorder="1" applyAlignment="1">
      <alignment horizontal="right" vertical="center" wrapText="1" readingOrder="1"/>
    </xf>
    <xf numFmtId="164" fontId="10" fillId="4" borderId="4" xfId="0" applyNumberFormat="1" applyFont="1" applyFill="1" applyBorder="1" applyAlignment="1">
      <alignment horizontal="right" vertical="center" wrapText="1" readingOrder="1"/>
    </xf>
    <xf numFmtId="0" fontId="2" fillId="3" borderId="1" xfId="0" applyFont="1" applyFill="1" applyBorder="1" applyAlignment="1">
      <alignment horizontal="left" vertical="center" wrapText="1" readingOrder="1"/>
    </xf>
    <xf numFmtId="0" fontId="1" fillId="3" borderId="4" xfId="0" applyFont="1" applyFill="1" applyBorder="1" applyAlignment="1">
      <alignment horizontal="center"/>
    </xf>
    <xf numFmtId="0" fontId="2" fillId="3" borderId="1" xfId="0" applyFont="1" applyFill="1" applyBorder="1" applyAlignment="1">
      <alignment horizontal="center" vertical="center" wrapText="1" readingOrder="1"/>
    </xf>
    <xf numFmtId="0" fontId="2" fillId="3" borderId="0" xfId="0" applyFont="1" applyFill="1" applyAlignment="1">
      <alignment horizontal="center" vertical="center" wrapText="1" readingOrder="1"/>
    </xf>
    <xf numFmtId="16" fontId="0" fillId="0" borderId="0" xfId="0" applyNumberFormat="1"/>
    <xf numFmtId="4" fontId="0" fillId="0" borderId="0" xfId="0" applyNumberFormat="1"/>
    <xf numFmtId="9" fontId="13" fillId="4" borderId="0" xfId="0" applyNumberFormat="1" applyFont="1" applyFill="1"/>
    <xf numFmtId="0" fontId="14" fillId="4" borderId="0" xfId="0" applyFont="1" applyFill="1"/>
    <xf numFmtId="4" fontId="13" fillId="4" borderId="0" xfId="0" applyNumberFormat="1" applyFont="1" applyFill="1"/>
    <xf numFmtId="0" fontId="20" fillId="5" borderId="0" xfId="0" applyFont="1" applyFill="1"/>
    <xf numFmtId="0" fontId="0" fillId="4" borderId="0" xfId="0" applyFill="1"/>
    <xf numFmtId="167" fontId="0" fillId="4" borderId="0" xfId="1" applyNumberFormat="1" applyFont="1" applyFill="1"/>
    <xf numFmtId="168" fontId="20" fillId="5" borderId="0" xfId="0" applyNumberFormat="1" applyFont="1" applyFill="1"/>
    <xf numFmtId="3" fontId="0" fillId="4" borderId="0" xfId="0" applyNumberFormat="1" applyFill="1"/>
    <xf numFmtId="4" fontId="0" fillId="4" borderId="0" xfId="0" applyNumberFormat="1" applyFill="1"/>
    <xf numFmtId="165" fontId="0" fillId="4" borderId="0" xfId="0" applyNumberFormat="1" applyFill="1"/>
    <xf numFmtId="164" fontId="13" fillId="4" borderId="0" xfId="0" applyNumberFormat="1" applyFont="1" applyFill="1"/>
    <xf numFmtId="0" fontId="0" fillId="4" borderId="0" xfId="0" quotePrefix="1" applyFill="1"/>
    <xf numFmtId="164" fontId="13" fillId="4" borderId="0" xfId="0" applyNumberFormat="1" applyFont="1" applyFill="1" applyAlignment="1">
      <alignment horizontal="center"/>
    </xf>
    <xf numFmtId="164" fontId="14" fillId="3" borderId="0" xfId="0" applyNumberFormat="1" applyFont="1" applyFill="1" applyAlignment="1">
      <alignment horizontal="center"/>
    </xf>
    <xf numFmtId="3" fontId="13" fillId="4" borderId="9" xfId="0" applyNumberFormat="1" applyFont="1" applyFill="1" applyBorder="1" applyAlignment="1">
      <alignment horizontal="center"/>
    </xf>
    <xf numFmtId="3" fontId="13" fillId="4" borderId="0" xfId="0" applyNumberFormat="1" applyFont="1" applyFill="1" applyAlignment="1">
      <alignment horizontal="center"/>
    </xf>
    <xf numFmtId="3" fontId="14" fillId="4" borderId="11" xfId="0" applyNumberFormat="1" applyFont="1" applyFill="1" applyBorder="1" applyAlignment="1">
      <alignment horizontal="center"/>
    </xf>
    <xf numFmtId="3" fontId="14" fillId="4" borderId="12" xfId="0" applyNumberFormat="1" applyFont="1" applyFill="1" applyBorder="1" applyAlignment="1">
      <alignment horizontal="center"/>
    </xf>
    <xf numFmtId="164" fontId="13" fillId="4" borderId="10" xfId="0" applyNumberFormat="1" applyFont="1" applyFill="1" applyBorder="1" applyAlignment="1">
      <alignment horizontal="center"/>
    </xf>
    <xf numFmtId="164" fontId="14" fillId="4" borderId="13" xfId="0" applyNumberFormat="1" applyFont="1" applyFill="1" applyBorder="1" applyAlignment="1">
      <alignment horizontal="center"/>
    </xf>
    <xf numFmtId="0" fontId="13" fillId="4" borderId="6" xfId="0" applyFont="1" applyFill="1" applyBorder="1" applyAlignment="1">
      <alignment horizontal="center"/>
    </xf>
    <xf numFmtId="0" fontId="13" fillId="4" borderId="7" xfId="0" applyFont="1" applyFill="1" applyBorder="1" applyAlignment="1">
      <alignment horizontal="center"/>
    </xf>
    <xf numFmtId="0" fontId="13" fillId="4" borderId="8" xfId="0" applyFont="1" applyFill="1" applyBorder="1" applyAlignment="1">
      <alignment horizontal="center"/>
    </xf>
    <xf numFmtId="0" fontId="13" fillId="4" borderId="14" xfId="0" applyFont="1" applyFill="1" applyBorder="1"/>
    <xf numFmtId="0" fontId="14" fillId="4" borderId="15" xfId="0" applyFont="1" applyFill="1" applyBorder="1"/>
    <xf numFmtId="0" fontId="13" fillId="4" borderId="5" xfId="0" applyFont="1" applyFill="1" applyBorder="1"/>
    <xf numFmtId="164" fontId="14" fillId="4" borderId="12" xfId="0" applyNumberFormat="1" applyFont="1" applyFill="1" applyBorder="1" applyAlignment="1">
      <alignment horizontal="center"/>
    </xf>
    <xf numFmtId="0" fontId="1" fillId="4" borderId="0" xfId="0" applyFont="1" applyFill="1"/>
    <xf numFmtId="0" fontId="13" fillId="4" borderId="0" xfId="0" applyFont="1" applyFill="1" applyAlignment="1">
      <alignment horizontal="center"/>
    </xf>
    <xf numFmtId="166" fontId="13" fillId="4" borderId="0" xfId="0" applyNumberFormat="1" applyFont="1" applyFill="1" applyAlignment="1">
      <alignment horizontal="center"/>
    </xf>
    <xf numFmtId="167" fontId="0" fillId="4" borderId="0" xfId="3" applyNumberFormat="1" applyFont="1" applyFill="1"/>
    <xf numFmtId="0" fontId="21" fillId="4" borderId="0" xfId="4" applyFill="1"/>
    <xf numFmtId="167" fontId="0" fillId="0" borderId="0" xfId="1" applyNumberFormat="1" applyFont="1"/>
    <xf numFmtId="167" fontId="22" fillId="0" borderId="0" xfId="1" applyNumberFormat="1" applyFont="1"/>
    <xf numFmtId="14" fontId="0" fillId="0" borderId="0" xfId="0" applyNumberFormat="1"/>
    <xf numFmtId="167" fontId="0" fillId="0" borderId="0" xfId="0" applyNumberFormat="1"/>
    <xf numFmtId="10" fontId="13" fillId="4" borderId="0" xfId="0" applyNumberFormat="1" applyFont="1" applyFill="1"/>
    <xf numFmtId="10" fontId="16" fillId="4" borderId="0" xfId="0" applyNumberFormat="1" applyFont="1" applyFill="1"/>
    <xf numFmtId="0" fontId="20" fillId="5" borderId="0" xfId="0" applyFont="1" applyFill="1" applyAlignment="1">
      <alignment vertical="center"/>
    </xf>
    <xf numFmtId="0" fontId="20" fillId="5" borderId="0" xfId="0" applyFont="1" applyFill="1" applyAlignment="1">
      <alignment horizontal="center"/>
    </xf>
    <xf numFmtId="0" fontId="20" fillId="5" borderId="19" xfId="0" applyFont="1" applyFill="1" applyBorder="1" applyAlignment="1">
      <alignment horizontal="center"/>
    </xf>
    <xf numFmtId="0" fontId="20" fillId="5" borderId="14" xfId="0" applyFont="1" applyFill="1" applyBorder="1" applyAlignment="1">
      <alignment horizontal="center"/>
    </xf>
    <xf numFmtId="0" fontId="20" fillId="5" borderId="15" xfId="0" applyFont="1" applyFill="1" applyBorder="1" applyAlignment="1">
      <alignment horizontal="center"/>
    </xf>
    <xf numFmtId="2" fontId="0" fillId="6" borderId="0" xfId="0" applyNumberFormat="1" applyFill="1"/>
    <xf numFmtId="2" fontId="0" fillId="4" borderId="0" xfId="0" applyNumberFormat="1" applyFill="1"/>
    <xf numFmtId="164" fontId="0" fillId="4" borderId="0" xfId="0" applyNumberFormat="1" applyFill="1"/>
    <xf numFmtId="166" fontId="0" fillId="4" borderId="0" xfId="0" applyNumberFormat="1" applyFill="1"/>
    <xf numFmtId="166" fontId="0" fillId="6" borderId="0" xfId="0" applyNumberFormat="1" applyFill="1"/>
    <xf numFmtId="164" fontId="0" fillId="6" borderId="0" xfId="0" applyNumberFormat="1" applyFill="1"/>
    <xf numFmtId="16" fontId="0" fillId="4" borderId="0" xfId="0" applyNumberFormat="1" applyFill="1" applyAlignment="1">
      <alignment horizontal="left"/>
    </xf>
    <xf numFmtId="166" fontId="23" fillId="4" borderId="0" xfId="0" applyNumberFormat="1" applyFont="1" applyFill="1"/>
    <xf numFmtId="0" fontId="0" fillId="4" borderId="0" xfId="0" applyFill="1" applyAlignment="1">
      <alignment horizontal="center"/>
    </xf>
    <xf numFmtId="16" fontId="20" fillId="5" borderId="0" xfId="0" applyNumberFormat="1" applyFont="1" applyFill="1" applyAlignment="1">
      <alignment horizontal="left"/>
    </xf>
    <xf numFmtId="0" fontId="14" fillId="4" borderId="0" xfId="0" applyFont="1" applyFill="1" applyAlignment="1">
      <alignment horizontal="center"/>
    </xf>
    <xf numFmtId="0" fontId="24" fillId="0" borderId="0" xfId="0" applyFont="1" applyAlignment="1">
      <alignment wrapText="1"/>
    </xf>
    <xf numFmtId="15" fontId="24" fillId="0" borderId="0" xfId="0" applyNumberFormat="1" applyFont="1"/>
    <xf numFmtId="169" fontId="24" fillId="0" borderId="0" xfId="1" applyNumberFormat="1" applyFont="1" applyBorder="1"/>
    <xf numFmtId="169" fontId="24" fillId="0" borderId="0" xfId="1" applyNumberFormat="1" applyFont="1" applyFill="1" applyBorder="1"/>
    <xf numFmtId="169" fontId="0" fillId="0" borderId="0" xfId="0" applyNumberFormat="1"/>
    <xf numFmtId="17" fontId="0" fillId="0" borderId="0" xfId="0" applyNumberFormat="1"/>
    <xf numFmtId="169" fontId="0" fillId="0" borderId="0" xfId="1" applyNumberFormat="1" applyFont="1" applyBorder="1"/>
    <xf numFmtId="169" fontId="0" fillId="0" borderId="0" xfId="1" applyNumberFormat="1" applyFont="1" applyFill="1" applyBorder="1"/>
    <xf numFmtId="169" fontId="24" fillId="3" borderId="0" xfId="1" applyNumberFormat="1" applyFont="1" applyFill="1" applyBorder="1"/>
    <xf numFmtId="17" fontId="0" fillId="7" borderId="0" xfId="0" applyNumberFormat="1" applyFill="1"/>
    <xf numFmtId="169" fontId="0" fillId="7" borderId="0" xfId="1" applyNumberFormat="1" applyFont="1" applyFill="1" applyBorder="1"/>
    <xf numFmtId="169" fontId="24" fillId="7" borderId="0" xfId="1" applyNumberFormat="1" applyFont="1" applyFill="1" applyBorder="1"/>
    <xf numFmtId="17" fontId="25" fillId="0" borderId="0" xfId="0" quotePrefix="1" applyNumberFormat="1" applyFont="1" applyAlignment="1">
      <alignment horizontal="center"/>
    </xf>
    <xf numFmtId="4" fontId="26" fillId="8" borderId="0" xfId="0" applyNumberFormat="1" applyFont="1" applyFill="1" applyAlignment="1">
      <alignment horizontal="right" vertical="center" wrapText="1"/>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xf numFmtId="164" fontId="29" fillId="0" borderId="0" xfId="0" applyNumberFormat="1" applyFont="1"/>
    <xf numFmtId="0" fontId="30" fillId="0" borderId="0" xfId="0" applyFont="1"/>
    <xf numFmtId="164" fontId="31" fillId="0" borderId="0" xfId="0" applyNumberFormat="1" applyFont="1" applyAlignment="1">
      <alignment vertical="center" wrapText="1"/>
    </xf>
    <xf numFmtId="164" fontId="30" fillId="0" borderId="0" xfId="0" applyNumberFormat="1" applyFont="1"/>
    <xf numFmtId="169" fontId="0" fillId="4" borderId="0" xfId="1" applyNumberFormat="1" applyFont="1" applyFill="1"/>
    <xf numFmtId="17" fontId="20" fillId="5" borderId="0" xfId="0" applyNumberFormat="1" applyFont="1" applyFill="1"/>
    <xf numFmtId="169" fontId="0" fillId="4" borderId="0" xfId="0" applyNumberFormat="1" applyFill="1"/>
    <xf numFmtId="166" fontId="16" fillId="4" borderId="0" xfId="1" applyNumberFormat="1" applyFont="1" applyFill="1"/>
    <xf numFmtId="166" fontId="17" fillId="4" borderId="0" xfId="1" applyNumberFormat="1" applyFont="1" applyFill="1"/>
    <xf numFmtId="17" fontId="20" fillId="5" borderId="0" xfId="0" applyNumberFormat="1" applyFont="1" applyFill="1" applyAlignment="1">
      <alignment horizontal="center"/>
    </xf>
    <xf numFmtId="0" fontId="32" fillId="0" borderId="0" xfId="0" applyFont="1"/>
    <xf numFmtId="171" fontId="32" fillId="0" borderId="0" xfId="5" applyNumberFormat="1" applyFont="1"/>
    <xf numFmtId="15" fontId="0" fillId="0" borderId="0" xfId="0" applyNumberFormat="1"/>
    <xf numFmtId="15" fontId="32" fillId="0" borderId="0" xfId="0" applyNumberFormat="1" applyFont="1"/>
    <xf numFmtId="171" fontId="0" fillId="0" borderId="0" xfId="0" applyNumberFormat="1"/>
    <xf numFmtId="43" fontId="0" fillId="0" borderId="0" xfId="0" applyNumberFormat="1"/>
    <xf numFmtId="171" fontId="0" fillId="0" borderId="0" xfId="5" applyNumberFormat="1" applyFont="1"/>
    <xf numFmtId="167" fontId="0" fillId="0" borderId="0" xfId="1" applyNumberFormat="1" applyFont="1" applyBorder="1"/>
    <xf numFmtId="166" fontId="8" fillId="4" borderId="0" xfId="0" applyNumberFormat="1" applyFont="1" applyFill="1"/>
    <xf numFmtId="0" fontId="0" fillId="9" borderId="0" xfId="0" applyFill="1"/>
    <xf numFmtId="0" fontId="33" fillId="9" borderId="0" xfId="0" applyFont="1" applyFill="1"/>
    <xf numFmtId="0" fontId="33" fillId="4" borderId="0" xfId="0" applyFont="1" applyFill="1"/>
    <xf numFmtId="167" fontId="33" fillId="4" borderId="0" xfId="1" applyNumberFormat="1" applyFont="1" applyFill="1"/>
    <xf numFmtId="0" fontId="0" fillId="4" borderId="12" xfId="0" applyFill="1" applyBorder="1"/>
    <xf numFmtId="166" fontId="16" fillId="4" borderId="12" xfId="0" applyNumberFormat="1" applyFont="1" applyFill="1" applyBorder="1"/>
    <xf numFmtId="0" fontId="34" fillId="4" borderId="0" xfId="0" applyFont="1" applyFill="1"/>
    <xf numFmtId="3" fontId="14" fillId="4" borderId="0" xfId="0" applyNumberFormat="1" applyFont="1" applyFill="1"/>
    <xf numFmtId="9" fontId="0" fillId="4" borderId="0" xfId="0" applyNumberFormat="1" applyFill="1"/>
    <xf numFmtId="9" fontId="0" fillId="0" borderId="0" xfId="0" applyNumberFormat="1"/>
    <xf numFmtId="0" fontId="0" fillId="10" borderId="0" xfId="0" applyFill="1"/>
    <xf numFmtId="0" fontId="0" fillId="10" borderId="0" xfId="0" applyFill="1" applyAlignment="1">
      <alignment horizontal="center"/>
    </xf>
    <xf numFmtId="0" fontId="0" fillId="10" borderId="9" xfId="0" applyFill="1" applyBorder="1" applyAlignment="1">
      <alignment horizontal="center"/>
    </xf>
    <xf numFmtId="0" fontId="0" fillId="10" borderId="10" xfId="0" applyFill="1" applyBorder="1" applyAlignment="1">
      <alignment horizontal="center"/>
    </xf>
    <xf numFmtId="164" fontId="0" fillId="0" borderId="9" xfId="0" applyNumberFormat="1" applyBorder="1"/>
    <xf numFmtId="0" fontId="0" fillId="0" borderId="10" xfId="0" applyBorder="1"/>
    <xf numFmtId="0" fontId="0" fillId="0" borderId="9" xfId="0" applyBorder="1"/>
    <xf numFmtId="3" fontId="0" fillId="0" borderId="9" xfId="0" applyNumberFormat="1" applyBorder="1"/>
    <xf numFmtId="0" fontId="0" fillId="9" borderId="0" xfId="0" applyFill="1" applyAlignment="1">
      <alignment horizontal="center"/>
    </xf>
    <xf numFmtId="0" fontId="13" fillId="0" borderId="0" xfId="0" applyFont="1"/>
    <xf numFmtId="3" fontId="0" fillId="0" borderId="10" xfId="0" applyNumberFormat="1" applyBorder="1"/>
    <xf numFmtId="164" fontId="0" fillId="0" borderId="10" xfId="0" applyNumberFormat="1" applyBorder="1"/>
    <xf numFmtId="164" fontId="13" fillId="0" borderId="0" xfId="0" applyNumberFormat="1" applyFont="1"/>
    <xf numFmtId="166" fontId="23" fillId="3" borderId="0" xfId="0" applyNumberFormat="1" applyFont="1" applyFill="1"/>
    <xf numFmtId="0" fontId="0" fillId="4" borderId="20" xfId="0" applyFill="1" applyBorder="1"/>
    <xf numFmtId="9" fontId="0" fillId="4" borderId="0" xfId="0" applyNumberFormat="1" applyFill="1" applyAlignment="1">
      <alignment horizontal="left"/>
    </xf>
    <xf numFmtId="0" fontId="0" fillId="3" borderId="0" xfId="0" applyFill="1"/>
    <xf numFmtId="2" fontId="0" fillId="3" borderId="0" xfId="0" applyNumberFormat="1" applyFill="1"/>
    <xf numFmtId="0" fontId="20" fillId="5" borderId="5" xfId="0" applyFont="1" applyFill="1" applyBorder="1" applyAlignment="1">
      <alignment horizontal="center" vertical="center" wrapText="1"/>
    </xf>
    <xf numFmtId="0" fontId="20" fillId="5" borderId="0" xfId="0" applyFont="1" applyFill="1" applyAlignment="1">
      <alignment horizontal="center" vertical="center"/>
    </xf>
    <xf numFmtId="164" fontId="0" fillId="4" borderId="0" xfId="0" applyNumberFormat="1" applyFill="1" applyAlignment="1">
      <alignment horizontal="center"/>
    </xf>
    <xf numFmtId="166" fontId="0" fillId="4" borderId="0" xfId="0" applyNumberFormat="1" applyFill="1" applyAlignment="1">
      <alignment horizontal="center"/>
    </xf>
    <xf numFmtId="165" fontId="13" fillId="4" borderId="0" xfId="0" applyNumberFormat="1" applyFont="1" applyFill="1"/>
    <xf numFmtId="172" fontId="13" fillId="4" borderId="0" xfId="0" applyNumberFormat="1" applyFont="1" applyFill="1"/>
    <xf numFmtId="0" fontId="13" fillId="11" borderId="0" xfId="0" applyFont="1" applyFill="1"/>
    <xf numFmtId="0" fontId="14" fillId="11" borderId="0" xfId="0" applyFont="1" applyFill="1" applyAlignment="1">
      <alignment horizontal="center"/>
    </xf>
    <xf numFmtId="3" fontId="13" fillId="11" borderId="0" xfId="0" applyNumberFormat="1" applyFont="1" applyFill="1"/>
    <xf numFmtId="166" fontId="16" fillId="11" borderId="0" xfId="0" applyNumberFormat="1" applyFont="1" applyFill="1"/>
    <xf numFmtId="166" fontId="17" fillId="11" borderId="0" xfId="0" applyNumberFormat="1" applyFont="1" applyFill="1"/>
    <xf numFmtId="166" fontId="15" fillId="11" borderId="0" xfId="0" applyNumberFormat="1" applyFont="1" applyFill="1"/>
    <xf numFmtId="166" fontId="13" fillId="11" borderId="0" xfId="0" applyNumberFormat="1" applyFont="1" applyFill="1"/>
    <xf numFmtId="2" fontId="13" fillId="11" borderId="0" xfId="0" applyNumberFormat="1" applyFont="1" applyFill="1"/>
    <xf numFmtId="10" fontId="17" fillId="11" borderId="0" xfId="0" applyNumberFormat="1" applyFont="1" applyFill="1"/>
    <xf numFmtId="10" fontId="17" fillId="4" borderId="0" xfId="0" applyNumberFormat="1" applyFont="1" applyFill="1"/>
    <xf numFmtId="4" fontId="13" fillId="11" borderId="0" xfId="0" applyNumberFormat="1" applyFont="1" applyFill="1"/>
    <xf numFmtId="0" fontId="13" fillId="11" borderId="0" xfId="0" applyFont="1" applyFill="1" applyAlignment="1">
      <alignment horizontal="center"/>
    </xf>
    <xf numFmtId="17" fontId="0" fillId="4" borderId="0" xfId="0" applyNumberFormat="1" applyFill="1"/>
    <xf numFmtId="0" fontId="0" fillId="9" borderId="0" xfId="0" applyFill="1" applyAlignment="1">
      <alignment horizontal="center" wrapText="1"/>
    </xf>
    <xf numFmtId="0" fontId="0" fillId="10" borderId="9" xfId="0" applyFill="1" applyBorder="1" applyAlignment="1">
      <alignment horizontal="center"/>
    </xf>
    <xf numFmtId="0" fontId="0" fillId="10" borderId="0" xfId="0" applyFill="1" applyAlignment="1">
      <alignment horizontal="center"/>
    </xf>
    <xf numFmtId="0" fontId="0" fillId="10" borderId="10" xfId="0"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3" fillId="4" borderId="16" xfId="0" applyFont="1" applyFill="1" applyBorder="1" applyAlignment="1">
      <alignment horizontal="center"/>
    </xf>
    <xf numFmtId="0" fontId="13" fillId="4" borderId="17" xfId="0" applyFont="1" applyFill="1" applyBorder="1" applyAlignment="1">
      <alignment horizontal="center"/>
    </xf>
    <xf numFmtId="0" fontId="13" fillId="4" borderId="18" xfId="0" applyFont="1" applyFill="1" applyBorder="1" applyAlignment="1">
      <alignment horizontal="center"/>
    </xf>
    <xf numFmtId="0" fontId="13" fillId="4" borderId="5" xfId="0" applyFont="1" applyFill="1" applyBorder="1" applyAlignment="1">
      <alignment horizontal="center"/>
    </xf>
    <xf numFmtId="0" fontId="20" fillId="5" borderId="19" xfId="0" applyFont="1" applyFill="1" applyBorder="1" applyAlignment="1">
      <alignment horizontal="center" vertical="center"/>
    </xf>
    <xf numFmtId="0" fontId="20" fillId="5" borderId="14" xfId="0" applyFont="1" applyFill="1" applyBorder="1" applyAlignment="1">
      <alignment horizontal="center" vertical="center"/>
    </xf>
    <xf numFmtId="0" fontId="20" fillId="5" borderId="15" xfId="0" applyFont="1" applyFill="1" applyBorder="1" applyAlignment="1">
      <alignment horizontal="center" vertical="center"/>
    </xf>
    <xf numFmtId="0" fontId="20" fillId="5" borderId="19" xfId="0" applyFont="1" applyFill="1" applyBorder="1" applyAlignment="1">
      <alignment horizontal="center" vertical="center" wrapText="1"/>
    </xf>
    <xf numFmtId="0" fontId="20" fillId="5" borderId="14" xfId="0" applyFont="1" applyFill="1" applyBorder="1" applyAlignment="1">
      <alignment horizontal="center" vertical="center" wrapText="1"/>
    </xf>
    <xf numFmtId="0" fontId="20" fillId="5" borderId="15" xfId="0" applyFont="1" applyFill="1" applyBorder="1" applyAlignment="1">
      <alignment horizontal="center" vertical="center" wrapText="1"/>
    </xf>
    <xf numFmtId="0" fontId="35" fillId="12" borderId="21" xfId="0" applyFont="1" applyFill="1" applyBorder="1"/>
    <xf numFmtId="0" fontId="35" fillId="12" borderId="22" xfId="0" applyFont="1" applyFill="1" applyBorder="1" applyAlignment="1">
      <alignment horizontal="center"/>
    </xf>
    <xf numFmtId="0" fontId="35" fillId="12" borderId="23" xfId="0" applyFont="1" applyFill="1" applyBorder="1" applyAlignment="1">
      <alignment horizontal="center"/>
    </xf>
    <xf numFmtId="0" fontId="13" fillId="4" borderId="24" xfId="0" applyFont="1" applyFill="1" applyBorder="1"/>
    <xf numFmtId="3" fontId="13" fillId="4" borderId="0" xfId="0" applyNumberFormat="1" applyFont="1" applyFill="1" applyBorder="1"/>
    <xf numFmtId="3" fontId="13" fillId="4" borderId="25" xfId="0" applyNumberFormat="1" applyFont="1" applyFill="1" applyBorder="1"/>
    <xf numFmtId="0" fontId="37" fillId="4" borderId="24" xfId="0" applyFont="1" applyFill="1" applyBorder="1"/>
    <xf numFmtId="166" fontId="16" fillId="4" borderId="0" xfId="0" applyNumberFormat="1" applyFont="1" applyFill="1" applyBorder="1"/>
    <xf numFmtId="166" fontId="16" fillId="4" borderId="25" xfId="0" applyNumberFormat="1" applyFont="1" applyFill="1" applyBorder="1"/>
    <xf numFmtId="0" fontId="13" fillId="4" borderId="25" xfId="0" applyFont="1" applyFill="1" applyBorder="1"/>
    <xf numFmtId="167" fontId="36" fillId="4" borderId="0" xfId="1" applyNumberFormat="1" applyFont="1" applyFill="1" applyBorder="1"/>
    <xf numFmtId="0" fontId="0" fillId="4" borderId="24" xfId="0" applyFill="1" applyBorder="1"/>
    <xf numFmtId="0" fontId="13" fillId="4" borderId="0" xfId="0" applyFont="1" applyFill="1" applyBorder="1"/>
    <xf numFmtId="166" fontId="17" fillId="4" borderId="0" xfId="0" applyNumberFormat="1" applyFont="1" applyFill="1" applyBorder="1"/>
    <xf numFmtId="166" fontId="17" fillId="4" borderId="25" xfId="0" applyNumberFormat="1" applyFont="1" applyFill="1" applyBorder="1"/>
    <xf numFmtId="166" fontId="15" fillId="4" borderId="0" xfId="0" applyNumberFormat="1" applyFont="1" applyFill="1" applyBorder="1"/>
    <xf numFmtId="166" fontId="15" fillId="4" borderId="25" xfId="0" applyNumberFormat="1" applyFont="1" applyFill="1" applyBorder="1"/>
    <xf numFmtId="166" fontId="13" fillId="4" borderId="0" xfId="0" applyNumberFormat="1" applyFont="1" applyFill="1" applyBorder="1"/>
    <xf numFmtId="166" fontId="13" fillId="4" borderId="25" xfId="0" applyNumberFormat="1" applyFont="1" applyFill="1" applyBorder="1"/>
    <xf numFmtId="166" fontId="17" fillId="4" borderId="27" xfId="0" applyNumberFormat="1" applyFont="1" applyFill="1" applyBorder="1"/>
    <xf numFmtId="166" fontId="17" fillId="4" borderId="28" xfId="0" applyNumberFormat="1" applyFont="1" applyFill="1" applyBorder="1"/>
    <xf numFmtId="0" fontId="37" fillId="4" borderId="26" xfId="0" applyFont="1" applyFill="1" applyBorder="1"/>
  </cellXfs>
  <cellStyles count="6">
    <cellStyle name="Comma" xfId="1" builtinId="3"/>
    <cellStyle name="Comma 2" xfId="2" xr:uid="{C6496F48-A076-466D-80A6-3550B4647397}"/>
    <cellStyle name="Comma 2 2" xfId="3" xr:uid="{0E1684E9-66BC-45A5-86FE-5348EB42F4BD}"/>
    <cellStyle name="Comma 3" xfId="5" xr:uid="{5F1CD019-E97F-4A9D-BA58-7E03D1754AC1}"/>
    <cellStyle name="Hyperlink" xfId="4" builtinId="8"/>
    <cellStyle name="Normal" xfId="0" builtinId="0"/>
  </cellStyles>
  <dxfs count="12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108114610673664"/>
          <c:y val="0.18097222222222226"/>
          <c:w val="0.85836329833770775"/>
          <c:h val="0.77736111111111106"/>
        </c:manualLayout>
      </c:layout>
      <c:lineChart>
        <c:grouping val="standard"/>
        <c:varyColors val="0"/>
        <c:ser>
          <c:idx val="0"/>
          <c:order val="0"/>
          <c:spPr>
            <a:ln w="28575" cap="rnd">
              <a:solidFill>
                <a:schemeClr val="accent1"/>
              </a:solidFill>
              <a:round/>
            </a:ln>
            <a:effectLst/>
          </c:spPr>
          <c:marker>
            <c:symbol val="none"/>
          </c:marker>
          <c:cat>
            <c:strRef>
              <c:f>TJL!$C$1:$H$1</c:f>
              <c:strCache>
                <c:ptCount val="6"/>
                <c:pt idx="0">
                  <c:v>1Q24</c:v>
                </c:pt>
                <c:pt idx="1">
                  <c:v>2Q24</c:v>
                </c:pt>
                <c:pt idx="2">
                  <c:v>3Q24</c:v>
                </c:pt>
                <c:pt idx="3">
                  <c:v>4Q24</c:v>
                </c:pt>
                <c:pt idx="4">
                  <c:v>1Q25</c:v>
                </c:pt>
                <c:pt idx="5">
                  <c:v>2Q25</c:v>
                </c:pt>
              </c:strCache>
            </c:strRef>
          </c:cat>
          <c:val>
            <c:numRef>
              <c:f>TJL!$C$4:$H$4</c:f>
              <c:numCache>
                <c:formatCode>0.0%</c:formatCode>
                <c:ptCount val="6"/>
                <c:pt idx="0">
                  <c:v>-0.190971601078192</c:v>
                </c:pt>
                <c:pt idx="1">
                  <c:v>0.11093186827318413</c:v>
                </c:pt>
                <c:pt idx="2">
                  <c:v>2.2356378312887282E-2</c:v>
                </c:pt>
                <c:pt idx="3">
                  <c:v>-4.0458388507036869E-2</c:v>
                </c:pt>
                <c:pt idx="4">
                  <c:v>9.0590665693566219E-3</c:v>
                </c:pt>
                <c:pt idx="5">
                  <c:v>0.12262383790153675</c:v>
                </c:pt>
              </c:numCache>
            </c:numRef>
          </c:val>
          <c:smooth val="0"/>
          <c:extLst>
            <c:ext xmlns:c16="http://schemas.microsoft.com/office/drawing/2014/chart" uri="{C3380CC4-5D6E-409C-BE32-E72D297353CC}">
              <c16:uniqueId val="{00000000-B030-4889-8E95-4CDF46D7FEE0}"/>
            </c:ext>
          </c:extLst>
        </c:ser>
        <c:dLbls>
          <c:showLegendKey val="0"/>
          <c:showVal val="0"/>
          <c:showCatName val="0"/>
          <c:showSerName val="0"/>
          <c:showPercent val="0"/>
          <c:showBubbleSize val="0"/>
        </c:dLbls>
        <c:smooth val="0"/>
        <c:axId val="1129004719"/>
        <c:axId val="1129010959"/>
      </c:lineChart>
      <c:catAx>
        <c:axId val="112900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010959"/>
        <c:crosses val="autoZero"/>
        <c:auto val="1"/>
        <c:lblAlgn val="ctr"/>
        <c:lblOffset val="100"/>
        <c:noMultiLvlLbl val="0"/>
      </c:catAx>
      <c:valAx>
        <c:axId val="11290109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004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BPPL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BPPL!$BD$3</c:f>
              <c:strCache>
                <c:ptCount val="1"/>
                <c:pt idx="0">
                  <c:v>Revenue </c:v>
                </c:pt>
              </c:strCache>
            </c:strRef>
          </c:tx>
          <c:spPr>
            <a:solidFill>
              <a:schemeClr val="accent6">
                <a:lumMod val="20000"/>
                <a:lumOff val="80000"/>
              </a:schemeClr>
            </a:solidFill>
            <a:ln>
              <a:noFill/>
            </a:ln>
            <a:effectLst/>
          </c:spPr>
          <c:invertIfNegative val="0"/>
          <c:cat>
            <c:strRef>
              <c:f>BPPL!$BE$2:$BH$2</c:f>
              <c:strCache>
                <c:ptCount val="4"/>
                <c:pt idx="0">
                  <c:v>1Q</c:v>
                </c:pt>
                <c:pt idx="1">
                  <c:v>2Q</c:v>
                </c:pt>
                <c:pt idx="2">
                  <c:v>3Q</c:v>
                </c:pt>
                <c:pt idx="3">
                  <c:v>4Q</c:v>
                </c:pt>
              </c:strCache>
            </c:strRef>
          </c:cat>
          <c:val>
            <c:numRef>
              <c:f>BPPL!$BE$3:$BH$3</c:f>
              <c:numCache>
                <c:formatCode>#,##0</c:formatCode>
                <c:ptCount val="4"/>
                <c:pt idx="0">
                  <c:v>1158914</c:v>
                </c:pt>
                <c:pt idx="1">
                  <c:v>1531197</c:v>
                </c:pt>
                <c:pt idx="2">
                  <c:v>1520706</c:v>
                </c:pt>
                <c:pt idx="3">
                  <c:v>1488408</c:v>
                </c:pt>
              </c:numCache>
            </c:numRef>
          </c:val>
          <c:extLst>
            <c:ext xmlns:c16="http://schemas.microsoft.com/office/drawing/2014/chart" uri="{C3380CC4-5D6E-409C-BE32-E72D297353CC}">
              <c16:uniqueId val="{00000000-5449-4A92-9A3C-6E9BE3046E95}"/>
            </c:ext>
          </c:extLst>
        </c:ser>
        <c:ser>
          <c:idx val="4"/>
          <c:order val="4"/>
          <c:tx>
            <c:strRef>
              <c:f>BPPL!$BD$6</c:f>
              <c:strCache>
                <c:ptCount val="1"/>
                <c:pt idx="0">
                  <c:v>NP</c:v>
                </c:pt>
              </c:strCache>
            </c:strRef>
          </c:tx>
          <c:spPr>
            <a:solidFill>
              <a:srgbClr val="FFFF00"/>
            </a:solidFill>
            <a:ln>
              <a:noFill/>
            </a:ln>
            <a:effectLst/>
          </c:spPr>
          <c:invertIfNegative val="0"/>
          <c:cat>
            <c:strRef>
              <c:f>BPPL!$BE$2:$BH$2</c:f>
              <c:strCache>
                <c:ptCount val="4"/>
                <c:pt idx="0">
                  <c:v>1Q</c:v>
                </c:pt>
                <c:pt idx="1">
                  <c:v>2Q</c:v>
                </c:pt>
                <c:pt idx="2">
                  <c:v>3Q</c:v>
                </c:pt>
                <c:pt idx="3">
                  <c:v>4Q</c:v>
                </c:pt>
              </c:strCache>
            </c:strRef>
          </c:cat>
          <c:val>
            <c:numRef>
              <c:f>BPPL!$BE$6:$BH$6</c:f>
              <c:numCache>
                <c:formatCode>#,##0</c:formatCode>
                <c:ptCount val="4"/>
                <c:pt idx="0">
                  <c:v>61355</c:v>
                </c:pt>
                <c:pt idx="1">
                  <c:v>98923</c:v>
                </c:pt>
                <c:pt idx="2">
                  <c:v>88445</c:v>
                </c:pt>
                <c:pt idx="3">
                  <c:v>253509.35800000001</c:v>
                </c:pt>
              </c:numCache>
            </c:numRef>
          </c:val>
          <c:extLst>
            <c:ext xmlns:c16="http://schemas.microsoft.com/office/drawing/2014/chart" uri="{C3380CC4-5D6E-409C-BE32-E72D297353CC}">
              <c16:uniqueId val="{00000007-5449-4A92-9A3C-6E9BE3046E95}"/>
            </c:ext>
          </c:extLst>
        </c:ser>
        <c:dLbls>
          <c:showLegendKey val="0"/>
          <c:showVal val="0"/>
          <c:showCatName val="0"/>
          <c:showSerName val="0"/>
          <c:showPercent val="0"/>
          <c:showBubbleSize val="0"/>
        </c:dLbls>
        <c:gapWidth val="219"/>
        <c:axId val="622367504"/>
        <c:axId val="622367864"/>
      </c:barChart>
      <c:lineChart>
        <c:grouping val="standard"/>
        <c:varyColors val="0"/>
        <c:ser>
          <c:idx val="1"/>
          <c:order val="1"/>
          <c:tx>
            <c:strRef>
              <c:f>BPPL!$BD$9</c:f>
              <c:strCache>
                <c:ptCount val="1"/>
                <c:pt idx="0">
                  <c:v>GPM</c:v>
                </c:pt>
              </c:strCache>
            </c:strRef>
          </c:tx>
          <c:spPr>
            <a:ln w="28575" cap="rnd">
              <a:solidFill>
                <a:srgbClr val="002060"/>
              </a:solidFill>
              <a:round/>
            </a:ln>
            <a:effectLst/>
          </c:spPr>
          <c:marker>
            <c:symbol val="none"/>
          </c:marker>
          <c:cat>
            <c:strRef>
              <c:f>BPPL!$BE$2:$BH$2</c:f>
              <c:strCache>
                <c:ptCount val="4"/>
                <c:pt idx="0">
                  <c:v>1Q</c:v>
                </c:pt>
                <c:pt idx="1">
                  <c:v>2Q</c:v>
                </c:pt>
                <c:pt idx="2">
                  <c:v>3Q</c:v>
                </c:pt>
                <c:pt idx="3">
                  <c:v>4Q</c:v>
                </c:pt>
              </c:strCache>
            </c:strRef>
          </c:cat>
          <c:val>
            <c:numRef>
              <c:f>BPPL!$BE$9:$BH$9</c:f>
              <c:numCache>
                <c:formatCode>0.0</c:formatCode>
                <c:ptCount val="4"/>
                <c:pt idx="0">
                  <c:v>17.98278388215174</c:v>
                </c:pt>
                <c:pt idx="1">
                  <c:v>29.44950910953979</c:v>
                </c:pt>
                <c:pt idx="2">
                  <c:v>23.027856798092465</c:v>
                </c:pt>
                <c:pt idx="3">
                  <c:v>23.607975770084547</c:v>
                </c:pt>
              </c:numCache>
            </c:numRef>
          </c:val>
          <c:smooth val="0"/>
          <c:extLst>
            <c:ext xmlns:c16="http://schemas.microsoft.com/office/drawing/2014/chart" uri="{C3380CC4-5D6E-409C-BE32-E72D297353CC}">
              <c16:uniqueId val="{00000001-5449-4A92-9A3C-6E9BE3046E95}"/>
            </c:ext>
          </c:extLst>
        </c:ser>
        <c:ser>
          <c:idx val="2"/>
          <c:order val="2"/>
          <c:tx>
            <c:strRef>
              <c:f>BPPL!$BD$10</c:f>
              <c:strCache>
                <c:ptCount val="1"/>
                <c:pt idx="0">
                  <c:v>OPM</c:v>
                </c:pt>
              </c:strCache>
            </c:strRef>
          </c:tx>
          <c:spPr>
            <a:ln w="28575" cap="rnd">
              <a:solidFill>
                <a:srgbClr val="FF0000"/>
              </a:solidFill>
              <a:round/>
            </a:ln>
            <a:effectLst/>
          </c:spPr>
          <c:marker>
            <c:symbol val="none"/>
          </c:marker>
          <c:cat>
            <c:strRef>
              <c:f>BPPL!$BE$2:$BH$2</c:f>
              <c:strCache>
                <c:ptCount val="4"/>
                <c:pt idx="0">
                  <c:v>1Q</c:v>
                </c:pt>
                <c:pt idx="1">
                  <c:v>2Q</c:v>
                </c:pt>
                <c:pt idx="2">
                  <c:v>3Q</c:v>
                </c:pt>
                <c:pt idx="3">
                  <c:v>4Q</c:v>
                </c:pt>
              </c:strCache>
            </c:strRef>
          </c:cat>
          <c:val>
            <c:numRef>
              <c:f>BPPL!$BE$10:$BH$10</c:f>
              <c:numCache>
                <c:formatCode>0.0</c:formatCode>
                <c:ptCount val="4"/>
                <c:pt idx="0">
                  <c:v>12.571252051489584</c:v>
                </c:pt>
                <c:pt idx="1">
                  <c:v>10.546781374310426</c:v>
                </c:pt>
                <c:pt idx="2">
                  <c:v>14.481957722268474</c:v>
                </c:pt>
                <c:pt idx="3">
                  <c:v>17.208579972695659</c:v>
                </c:pt>
              </c:numCache>
            </c:numRef>
          </c:val>
          <c:smooth val="0"/>
          <c:extLst>
            <c:ext xmlns:c16="http://schemas.microsoft.com/office/drawing/2014/chart" uri="{C3380CC4-5D6E-409C-BE32-E72D297353CC}">
              <c16:uniqueId val="{00000002-5449-4A92-9A3C-6E9BE3046E95}"/>
            </c:ext>
          </c:extLst>
        </c:ser>
        <c:ser>
          <c:idx val="3"/>
          <c:order val="3"/>
          <c:tx>
            <c:strRef>
              <c:f>BPPL!$BD$11</c:f>
              <c:strCache>
                <c:ptCount val="1"/>
                <c:pt idx="0">
                  <c:v>NPM</c:v>
                </c:pt>
              </c:strCache>
            </c:strRef>
          </c:tx>
          <c:spPr>
            <a:ln w="28575" cap="rnd">
              <a:solidFill>
                <a:schemeClr val="accent4"/>
              </a:solidFill>
              <a:round/>
            </a:ln>
            <a:effectLst/>
          </c:spPr>
          <c:marker>
            <c:symbol val="none"/>
          </c:marker>
          <c:cat>
            <c:strRef>
              <c:f>BPPL!$BE$2:$BH$2</c:f>
              <c:strCache>
                <c:ptCount val="4"/>
                <c:pt idx="0">
                  <c:v>1Q</c:v>
                </c:pt>
                <c:pt idx="1">
                  <c:v>2Q</c:v>
                </c:pt>
                <c:pt idx="2">
                  <c:v>3Q</c:v>
                </c:pt>
                <c:pt idx="3">
                  <c:v>4Q</c:v>
                </c:pt>
              </c:strCache>
            </c:strRef>
          </c:cat>
          <c:val>
            <c:numRef>
              <c:f>BPPL!$BE$11:$BH$11</c:f>
              <c:numCache>
                <c:formatCode>0.0</c:formatCode>
                <c:ptCount val="4"/>
                <c:pt idx="0">
                  <c:v>5.294180586307526</c:v>
                </c:pt>
                <c:pt idx="1">
                  <c:v>6.4605011634688418</c:v>
                </c:pt>
                <c:pt idx="2">
                  <c:v>5.8160485984799166</c:v>
                </c:pt>
                <c:pt idx="3">
                  <c:v>17.03224908761576</c:v>
                </c:pt>
              </c:numCache>
            </c:numRef>
          </c:val>
          <c:smooth val="0"/>
          <c:extLst>
            <c:ext xmlns:c16="http://schemas.microsoft.com/office/drawing/2014/chart" uri="{C3380CC4-5D6E-409C-BE32-E72D297353CC}">
              <c16:uniqueId val="{00000003-5449-4A92-9A3C-6E9BE3046E95}"/>
            </c:ext>
          </c:extLst>
        </c:ser>
        <c:dLbls>
          <c:showLegendKey val="0"/>
          <c:showVal val="0"/>
          <c:showCatName val="0"/>
          <c:showSerName val="0"/>
          <c:showPercent val="0"/>
          <c:showBubbleSize val="0"/>
        </c:dLbls>
        <c:marker val="1"/>
        <c:smooth val="0"/>
        <c:axId val="686355504"/>
        <c:axId val="686355144"/>
      </c:lineChart>
      <c:catAx>
        <c:axId val="62236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367864"/>
        <c:crosses val="autoZero"/>
        <c:auto val="1"/>
        <c:lblAlgn val="ctr"/>
        <c:lblOffset val="100"/>
        <c:noMultiLvlLbl val="0"/>
      </c:catAx>
      <c:valAx>
        <c:axId val="6223678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367504"/>
        <c:crosses val="autoZero"/>
        <c:crossBetween val="between"/>
        <c:majorUnit val="250000"/>
      </c:valAx>
      <c:valAx>
        <c:axId val="68635514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355504"/>
        <c:crosses val="max"/>
        <c:crossBetween val="between"/>
      </c:valAx>
      <c:catAx>
        <c:axId val="686355504"/>
        <c:scaling>
          <c:orientation val="minMax"/>
        </c:scaling>
        <c:delete val="1"/>
        <c:axPos val="b"/>
        <c:numFmt formatCode="General" sourceLinked="1"/>
        <c:majorTickMark val="out"/>
        <c:minorTickMark val="none"/>
        <c:tickLblPos val="nextTo"/>
        <c:crossAx val="686355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r>
              <a:rPr lang="en-US" sz="1400">
                <a:solidFill>
                  <a:srgbClr val="002060"/>
                </a:solidFill>
                <a:latin typeface="Lato" panose="020F0502020204030203" pitchFamily="34" charset="0"/>
                <a:ea typeface="Lato" panose="020F0502020204030203" pitchFamily="34" charset="0"/>
                <a:cs typeface="Lato" panose="020F0502020204030203" pitchFamily="34" charset="0"/>
              </a:rPr>
              <a:t>Purchasing</a:t>
            </a:r>
            <a:r>
              <a:rPr lang="en-US" sz="1400" baseline="0">
                <a:solidFill>
                  <a:srgbClr val="002060"/>
                </a:solidFill>
                <a:latin typeface="Lato" panose="020F0502020204030203" pitchFamily="34" charset="0"/>
                <a:ea typeface="Lato" panose="020F0502020204030203" pitchFamily="34" charset="0"/>
                <a:cs typeface="Lato" panose="020F0502020204030203" pitchFamily="34" charset="0"/>
              </a:rPr>
              <a:t> Manager Indices </a:t>
            </a:r>
            <a:endParaRPr lang="en-US" sz="1400">
              <a:solidFill>
                <a:srgbClr val="002060"/>
              </a:solidFill>
              <a:latin typeface="Lato" panose="020F0502020204030203" pitchFamily="34" charset="0"/>
              <a:ea typeface="Lato" panose="020F0502020204030203" pitchFamily="34" charset="0"/>
              <a:cs typeface="Lato" panose="020F050202020403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title>
    <c:autoTitleDeleted val="0"/>
    <c:plotArea>
      <c:layout/>
      <c:lineChart>
        <c:grouping val="standard"/>
        <c:varyColors val="0"/>
        <c:ser>
          <c:idx val="0"/>
          <c:order val="0"/>
          <c:tx>
            <c:strRef>
              <c:f>'High Frequency Data'!$B$10</c:f>
              <c:strCache>
                <c:ptCount val="1"/>
                <c:pt idx="0">
                  <c:v>PMI - Manufacturing</c:v>
                </c:pt>
              </c:strCache>
            </c:strRef>
          </c:tx>
          <c:spPr>
            <a:ln w="28575" cap="rnd">
              <a:solidFill>
                <a:srgbClr val="002060"/>
              </a:solidFill>
              <a:round/>
            </a:ln>
            <a:effectLst/>
          </c:spPr>
          <c:marker>
            <c:symbol val="none"/>
          </c:marker>
          <c:cat>
            <c:numRef>
              <c:f>'High Frequency Data'!$H$1:$S$1</c:f>
              <c:numCache>
                <c:formatCode>[$-409]d\-mmm\-yy;@</c:formatCode>
                <c:ptCount val="12"/>
                <c:pt idx="0">
                  <c:v>44896</c:v>
                </c:pt>
                <c:pt idx="1">
                  <c:v>44927</c:v>
                </c:pt>
                <c:pt idx="2">
                  <c:v>44958</c:v>
                </c:pt>
                <c:pt idx="3">
                  <c:v>44986</c:v>
                </c:pt>
                <c:pt idx="4">
                  <c:v>45017</c:v>
                </c:pt>
                <c:pt idx="5">
                  <c:v>45047</c:v>
                </c:pt>
                <c:pt idx="6">
                  <c:v>45078</c:v>
                </c:pt>
                <c:pt idx="7">
                  <c:v>45108</c:v>
                </c:pt>
                <c:pt idx="8">
                  <c:v>45139</c:v>
                </c:pt>
                <c:pt idx="9">
                  <c:v>45170</c:v>
                </c:pt>
                <c:pt idx="10">
                  <c:v>45200</c:v>
                </c:pt>
                <c:pt idx="11">
                  <c:v>45231</c:v>
                </c:pt>
              </c:numCache>
            </c:numRef>
          </c:cat>
          <c:val>
            <c:numRef>
              <c:f>'High Frequency Data'!$H$10:$S$10</c:f>
              <c:numCache>
                <c:formatCode>General</c:formatCode>
                <c:ptCount val="12"/>
                <c:pt idx="0">
                  <c:v>44.8</c:v>
                </c:pt>
                <c:pt idx="1">
                  <c:v>40.799999999999997</c:v>
                </c:pt>
                <c:pt idx="2">
                  <c:v>42.3</c:v>
                </c:pt>
                <c:pt idx="3">
                  <c:v>51.4</c:v>
                </c:pt>
                <c:pt idx="4">
                  <c:v>34.700000000000003</c:v>
                </c:pt>
                <c:pt idx="5">
                  <c:v>46.2</c:v>
                </c:pt>
                <c:pt idx="6">
                  <c:v>47.3</c:v>
                </c:pt>
                <c:pt idx="7">
                  <c:v>44.6</c:v>
                </c:pt>
                <c:pt idx="8">
                  <c:v>49.3</c:v>
                </c:pt>
                <c:pt idx="9">
                  <c:v>45.7</c:v>
                </c:pt>
                <c:pt idx="10">
                  <c:v>49.5</c:v>
                </c:pt>
                <c:pt idx="11" formatCode="0.0">
                  <c:v>57</c:v>
                </c:pt>
              </c:numCache>
            </c:numRef>
          </c:val>
          <c:smooth val="0"/>
          <c:extLst>
            <c:ext xmlns:c16="http://schemas.microsoft.com/office/drawing/2014/chart" uri="{C3380CC4-5D6E-409C-BE32-E72D297353CC}">
              <c16:uniqueId val="{00000000-AB34-4451-940D-F86DC797CD0B}"/>
            </c:ext>
          </c:extLst>
        </c:ser>
        <c:ser>
          <c:idx val="1"/>
          <c:order val="1"/>
          <c:tx>
            <c:strRef>
              <c:f>'High Frequency Data'!$B$11</c:f>
              <c:strCache>
                <c:ptCount val="1"/>
                <c:pt idx="0">
                  <c:v>PMI - Services</c:v>
                </c:pt>
              </c:strCache>
            </c:strRef>
          </c:tx>
          <c:spPr>
            <a:ln w="28575" cap="rnd">
              <a:solidFill>
                <a:srgbClr val="FFFF00"/>
              </a:solidFill>
              <a:round/>
            </a:ln>
            <a:effectLst/>
          </c:spPr>
          <c:marker>
            <c:symbol val="none"/>
          </c:marker>
          <c:cat>
            <c:numRef>
              <c:f>'High Frequency Data'!$H$1:$S$1</c:f>
              <c:numCache>
                <c:formatCode>[$-409]d\-mmm\-yy;@</c:formatCode>
                <c:ptCount val="12"/>
                <c:pt idx="0">
                  <c:v>44896</c:v>
                </c:pt>
                <c:pt idx="1">
                  <c:v>44927</c:v>
                </c:pt>
                <c:pt idx="2">
                  <c:v>44958</c:v>
                </c:pt>
                <c:pt idx="3">
                  <c:v>44986</c:v>
                </c:pt>
                <c:pt idx="4">
                  <c:v>45017</c:v>
                </c:pt>
                <c:pt idx="5">
                  <c:v>45047</c:v>
                </c:pt>
                <c:pt idx="6">
                  <c:v>45078</c:v>
                </c:pt>
                <c:pt idx="7">
                  <c:v>45108</c:v>
                </c:pt>
                <c:pt idx="8">
                  <c:v>45139</c:v>
                </c:pt>
                <c:pt idx="9">
                  <c:v>45170</c:v>
                </c:pt>
                <c:pt idx="10">
                  <c:v>45200</c:v>
                </c:pt>
                <c:pt idx="11">
                  <c:v>45231</c:v>
                </c:pt>
              </c:numCache>
            </c:numRef>
          </c:cat>
          <c:val>
            <c:numRef>
              <c:f>'High Frequency Data'!$H$11:$S$11</c:f>
              <c:numCache>
                <c:formatCode>General</c:formatCode>
                <c:ptCount val="12"/>
                <c:pt idx="0">
                  <c:v>51.6</c:v>
                </c:pt>
                <c:pt idx="1">
                  <c:v>50.2</c:v>
                </c:pt>
                <c:pt idx="2">
                  <c:v>48.7</c:v>
                </c:pt>
                <c:pt idx="3">
                  <c:v>55.1</c:v>
                </c:pt>
                <c:pt idx="4">
                  <c:v>49.6</c:v>
                </c:pt>
                <c:pt idx="5">
                  <c:v>53.5</c:v>
                </c:pt>
                <c:pt idx="6">
                  <c:v>56.7</c:v>
                </c:pt>
                <c:pt idx="7">
                  <c:v>59.5</c:v>
                </c:pt>
                <c:pt idx="8">
                  <c:v>57.6</c:v>
                </c:pt>
                <c:pt idx="9">
                  <c:v>54.7</c:v>
                </c:pt>
                <c:pt idx="10">
                  <c:v>56.2</c:v>
                </c:pt>
                <c:pt idx="11">
                  <c:v>59.4</c:v>
                </c:pt>
              </c:numCache>
            </c:numRef>
          </c:val>
          <c:smooth val="0"/>
          <c:extLst>
            <c:ext xmlns:c16="http://schemas.microsoft.com/office/drawing/2014/chart" uri="{C3380CC4-5D6E-409C-BE32-E72D297353CC}">
              <c16:uniqueId val="{00000001-AB34-4451-940D-F86DC797CD0B}"/>
            </c:ext>
          </c:extLst>
        </c:ser>
        <c:ser>
          <c:idx val="2"/>
          <c:order val="2"/>
          <c:tx>
            <c:strRef>
              <c:f>'High Frequency Data'!$B$12</c:f>
              <c:strCache>
                <c:ptCount val="1"/>
                <c:pt idx="0">
                  <c:v>PMI - Construction</c:v>
                </c:pt>
              </c:strCache>
            </c:strRef>
          </c:tx>
          <c:spPr>
            <a:ln w="28575" cap="rnd">
              <a:solidFill>
                <a:schemeClr val="accent3"/>
              </a:solidFill>
              <a:round/>
            </a:ln>
            <a:effectLst/>
          </c:spPr>
          <c:marker>
            <c:symbol val="none"/>
          </c:marker>
          <c:cat>
            <c:numRef>
              <c:f>'High Frequency Data'!$H$1:$S$1</c:f>
              <c:numCache>
                <c:formatCode>[$-409]d\-mmm\-yy;@</c:formatCode>
                <c:ptCount val="12"/>
                <c:pt idx="0">
                  <c:v>44896</c:v>
                </c:pt>
                <c:pt idx="1">
                  <c:v>44927</c:v>
                </c:pt>
                <c:pt idx="2">
                  <c:v>44958</c:v>
                </c:pt>
                <c:pt idx="3">
                  <c:v>44986</c:v>
                </c:pt>
                <c:pt idx="4">
                  <c:v>45017</c:v>
                </c:pt>
                <c:pt idx="5">
                  <c:v>45047</c:v>
                </c:pt>
                <c:pt idx="6">
                  <c:v>45078</c:v>
                </c:pt>
                <c:pt idx="7">
                  <c:v>45108</c:v>
                </c:pt>
                <c:pt idx="8">
                  <c:v>45139</c:v>
                </c:pt>
                <c:pt idx="9">
                  <c:v>45170</c:v>
                </c:pt>
                <c:pt idx="10">
                  <c:v>45200</c:v>
                </c:pt>
                <c:pt idx="11">
                  <c:v>45231</c:v>
                </c:pt>
              </c:numCache>
            </c:numRef>
          </c:cat>
          <c:val>
            <c:numRef>
              <c:f>'High Frequency Data'!$H$12:$S$12</c:f>
              <c:numCache>
                <c:formatCode>General</c:formatCode>
                <c:ptCount val="12"/>
                <c:pt idx="0">
                  <c:v>32.9</c:v>
                </c:pt>
                <c:pt idx="1">
                  <c:v>36.5</c:v>
                </c:pt>
                <c:pt idx="2">
                  <c:v>37.799999999999997</c:v>
                </c:pt>
                <c:pt idx="3">
                  <c:v>45.8</c:v>
                </c:pt>
                <c:pt idx="4">
                  <c:v>26.4</c:v>
                </c:pt>
                <c:pt idx="5">
                  <c:v>47.1</c:v>
                </c:pt>
                <c:pt idx="6">
                  <c:v>44.4</c:v>
                </c:pt>
                <c:pt idx="7">
                  <c:v>43.2</c:v>
                </c:pt>
                <c:pt idx="8">
                  <c:v>47</c:v>
                </c:pt>
                <c:pt idx="9">
                  <c:v>44.3</c:v>
                </c:pt>
                <c:pt idx="10">
                  <c:v>50</c:v>
                </c:pt>
                <c:pt idx="11">
                  <c:v>44.3</c:v>
                </c:pt>
              </c:numCache>
            </c:numRef>
          </c:val>
          <c:smooth val="0"/>
          <c:extLst>
            <c:ext xmlns:c16="http://schemas.microsoft.com/office/drawing/2014/chart" uri="{C3380CC4-5D6E-409C-BE32-E72D297353CC}">
              <c16:uniqueId val="{00000002-AB34-4451-940D-F86DC797CD0B}"/>
            </c:ext>
          </c:extLst>
        </c:ser>
        <c:dLbls>
          <c:showLegendKey val="0"/>
          <c:showVal val="0"/>
          <c:showCatName val="0"/>
          <c:showSerName val="0"/>
          <c:showPercent val="0"/>
          <c:showBubbleSize val="0"/>
        </c:dLbls>
        <c:smooth val="0"/>
        <c:axId val="826048528"/>
        <c:axId val="826040608"/>
      </c:lineChart>
      <c:dateAx>
        <c:axId val="826048528"/>
        <c:scaling>
          <c:orientation val="minMax"/>
        </c:scaling>
        <c:delete val="0"/>
        <c:axPos val="b"/>
        <c:numFmt formatCode="[$-409]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0608"/>
        <c:crosses val="autoZero"/>
        <c:auto val="1"/>
        <c:lblOffset val="100"/>
        <c:baseTimeUnit val="months"/>
      </c:dateAx>
      <c:valAx>
        <c:axId val="82604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r>
              <a:rPr lang="en-US" sz="1400">
                <a:solidFill>
                  <a:srgbClr val="002060"/>
                </a:solidFill>
                <a:latin typeface="Lato" panose="020F0502020204030203" pitchFamily="34" charset="0"/>
                <a:ea typeface="Lato" panose="020F0502020204030203" pitchFamily="34" charset="0"/>
                <a:cs typeface="Lato" panose="020F0502020204030203" pitchFamily="34" charset="0"/>
              </a:rPr>
              <a:t>Index of Industrial</a:t>
            </a:r>
            <a:r>
              <a:rPr lang="en-US" sz="1400" baseline="0">
                <a:solidFill>
                  <a:srgbClr val="002060"/>
                </a:solidFill>
                <a:latin typeface="Lato" panose="020F0502020204030203" pitchFamily="34" charset="0"/>
                <a:ea typeface="Lato" panose="020F0502020204030203" pitchFamily="34" charset="0"/>
                <a:cs typeface="Lato" panose="020F0502020204030203" pitchFamily="34" charset="0"/>
              </a:rPr>
              <a:t>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title>
    <c:autoTitleDeleted val="0"/>
    <c:plotArea>
      <c:layout/>
      <c:lineChart>
        <c:grouping val="standard"/>
        <c:varyColors val="0"/>
        <c:ser>
          <c:idx val="1"/>
          <c:order val="0"/>
          <c:tx>
            <c:strRef>
              <c:f>'High Frequency Data'!$B$13</c:f>
              <c:strCache>
                <c:ptCount val="1"/>
                <c:pt idx="0">
                  <c:v>Index of Industrial Production</c:v>
                </c:pt>
              </c:strCache>
            </c:strRef>
          </c:tx>
          <c:spPr>
            <a:ln w="28575" cap="rnd">
              <a:solidFill>
                <a:srgbClr val="002060"/>
              </a:solidFill>
              <a:round/>
            </a:ln>
            <a:effectLst/>
          </c:spPr>
          <c:marker>
            <c:symbol val="none"/>
          </c:marker>
          <c:cat>
            <c:numRef>
              <c:f>'High Frequency Data'!$F$1:$Q$1</c:f>
              <c:numCache>
                <c:formatCode>[$-409]d\-mmm\-yy;@</c:formatCode>
                <c:ptCount val="12"/>
                <c:pt idx="0">
                  <c:v>44835</c:v>
                </c:pt>
                <c:pt idx="1">
                  <c:v>44866</c:v>
                </c:pt>
                <c:pt idx="2">
                  <c:v>44896</c:v>
                </c:pt>
                <c:pt idx="3">
                  <c:v>44927</c:v>
                </c:pt>
                <c:pt idx="4">
                  <c:v>44958</c:v>
                </c:pt>
                <c:pt idx="5">
                  <c:v>44986</c:v>
                </c:pt>
                <c:pt idx="6">
                  <c:v>45017</c:v>
                </c:pt>
                <c:pt idx="7">
                  <c:v>45047</c:v>
                </c:pt>
                <c:pt idx="8">
                  <c:v>45078</c:v>
                </c:pt>
                <c:pt idx="9">
                  <c:v>45108</c:v>
                </c:pt>
                <c:pt idx="10">
                  <c:v>45139</c:v>
                </c:pt>
                <c:pt idx="11">
                  <c:v>45170</c:v>
                </c:pt>
              </c:numCache>
            </c:numRef>
          </c:cat>
          <c:val>
            <c:numRef>
              <c:f>'High Frequency Data'!$G$13:$R$13</c:f>
              <c:numCache>
                <c:formatCode>General</c:formatCode>
                <c:ptCount val="12"/>
                <c:pt idx="0">
                  <c:v>81</c:v>
                </c:pt>
                <c:pt idx="1">
                  <c:v>80.2</c:v>
                </c:pt>
                <c:pt idx="2">
                  <c:v>87.4</c:v>
                </c:pt>
                <c:pt idx="3">
                  <c:v>84.1</c:v>
                </c:pt>
                <c:pt idx="4">
                  <c:v>90.9</c:v>
                </c:pt>
                <c:pt idx="5">
                  <c:v>80.099999999999994</c:v>
                </c:pt>
                <c:pt idx="6">
                  <c:v>88</c:v>
                </c:pt>
                <c:pt idx="7">
                  <c:v>90.1</c:v>
                </c:pt>
                <c:pt idx="8">
                  <c:v>91.7</c:v>
                </c:pt>
                <c:pt idx="9">
                  <c:v>90.2</c:v>
                </c:pt>
                <c:pt idx="10">
                  <c:v>90.3</c:v>
                </c:pt>
                <c:pt idx="11">
                  <c:v>89.2</c:v>
                </c:pt>
              </c:numCache>
            </c:numRef>
          </c:val>
          <c:smooth val="0"/>
          <c:extLst>
            <c:ext xmlns:c16="http://schemas.microsoft.com/office/drawing/2014/chart" uri="{C3380CC4-5D6E-409C-BE32-E72D297353CC}">
              <c16:uniqueId val="{00000000-3D46-4135-899C-0558ABC296F0}"/>
            </c:ext>
          </c:extLst>
        </c:ser>
        <c:dLbls>
          <c:showLegendKey val="0"/>
          <c:showVal val="0"/>
          <c:showCatName val="0"/>
          <c:showSerName val="0"/>
          <c:showPercent val="0"/>
          <c:showBubbleSize val="0"/>
        </c:dLbls>
        <c:smooth val="0"/>
        <c:axId val="826048528"/>
        <c:axId val="826040608"/>
      </c:lineChart>
      <c:dateAx>
        <c:axId val="826048528"/>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0608"/>
        <c:crosses val="autoZero"/>
        <c:auto val="1"/>
        <c:lblOffset val="100"/>
        <c:baseTimeUnit val="months"/>
      </c:dateAx>
      <c:valAx>
        <c:axId val="82604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8528"/>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r>
              <a:rPr lang="en-US" sz="1400">
                <a:solidFill>
                  <a:srgbClr val="002060"/>
                </a:solidFill>
                <a:latin typeface="Lato" panose="020F0502020204030203" pitchFamily="34" charset="0"/>
                <a:ea typeface="Lato" panose="020F0502020204030203" pitchFamily="34" charset="0"/>
                <a:cs typeface="Lato" panose="020F0502020204030203" pitchFamily="34" charset="0"/>
              </a:rPr>
              <a:t>Petrol and Diesel</a:t>
            </a:r>
            <a:r>
              <a:rPr lang="en-US" sz="1400" baseline="0">
                <a:solidFill>
                  <a:srgbClr val="002060"/>
                </a:solidFill>
                <a:latin typeface="Lato" panose="020F0502020204030203" pitchFamily="34" charset="0"/>
                <a:ea typeface="Lato" panose="020F0502020204030203" pitchFamily="34" charset="0"/>
                <a:cs typeface="Lato" panose="020F0502020204030203" pitchFamily="34" charset="0"/>
              </a:rPr>
              <a:t> Sales - (000 MT)</a:t>
            </a:r>
            <a:endParaRPr lang="en-US" sz="1400">
              <a:solidFill>
                <a:srgbClr val="002060"/>
              </a:solidFill>
              <a:latin typeface="Lato" panose="020F0502020204030203" pitchFamily="34" charset="0"/>
              <a:ea typeface="Lato" panose="020F0502020204030203" pitchFamily="34" charset="0"/>
              <a:cs typeface="Lato" panose="020F050202020403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title>
    <c:autoTitleDeleted val="0"/>
    <c:plotArea>
      <c:layout/>
      <c:lineChart>
        <c:grouping val="standard"/>
        <c:varyColors val="0"/>
        <c:ser>
          <c:idx val="0"/>
          <c:order val="0"/>
          <c:tx>
            <c:strRef>
              <c:f>'High Frequency Data'!$B$41</c:f>
              <c:strCache>
                <c:ptCount val="1"/>
                <c:pt idx="0">
                  <c:v>Diesel sales</c:v>
                </c:pt>
              </c:strCache>
            </c:strRef>
          </c:tx>
          <c:spPr>
            <a:ln w="28575" cap="rnd">
              <a:solidFill>
                <a:srgbClr val="FFFF00"/>
              </a:solidFill>
              <a:round/>
            </a:ln>
            <a:effectLst/>
          </c:spPr>
          <c:marker>
            <c:symbol val="none"/>
          </c:marker>
          <c:cat>
            <c:numRef>
              <c:f>'High Frequency Data'!$G$1:$R$1</c:f>
              <c:numCache>
                <c:formatCode>[$-409]d\-mmm\-yy;@</c:formatCode>
                <c:ptCount val="12"/>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numCache>
            </c:numRef>
          </c:cat>
          <c:val>
            <c:numRef>
              <c:f>'High Frequency Data'!$G$41:$R$41</c:f>
              <c:numCache>
                <c:formatCode>General</c:formatCode>
                <c:ptCount val="12"/>
                <c:pt idx="0">
                  <c:v>121</c:v>
                </c:pt>
                <c:pt idx="1">
                  <c:v>118</c:v>
                </c:pt>
                <c:pt idx="2">
                  <c:v>118</c:v>
                </c:pt>
                <c:pt idx="3">
                  <c:v>115</c:v>
                </c:pt>
                <c:pt idx="4">
                  <c:v>128</c:v>
                </c:pt>
                <c:pt idx="5">
                  <c:v>125</c:v>
                </c:pt>
                <c:pt idx="6">
                  <c:v>127</c:v>
                </c:pt>
                <c:pt idx="7">
                  <c:v>140</c:v>
                </c:pt>
                <c:pt idx="8">
                  <c:v>143</c:v>
                </c:pt>
                <c:pt idx="9">
                  <c:v>174</c:v>
                </c:pt>
                <c:pt idx="10">
                  <c:v>132</c:v>
                </c:pt>
                <c:pt idx="11">
                  <c:v>140</c:v>
                </c:pt>
              </c:numCache>
            </c:numRef>
          </c:val>
          <c:smooth val="0"/>
          <c:extLst>
            <c:ext xmlns:c16="http://schemas.microsoft.com/office/drawing/2014/chart" uri="{C3380CC4-5D6E-409C-BE32-E72D297353CC}">
              <c16:uniqueId val="{00000000-4693-4149-B07B-9119A280FE8E}"/>
            </c:ext>
          </c:extLst>
        </c:ser>
        <c:ser>
          <c:idx val="1"/>
          <c:order val="1"/>
          <c:tx>
            <c:strRef>
              <c:f>'High Frequency Data'!$B$40</c:f>
              <c:strCache>
                <c:ptCount val="1"/>
                <c:pt idx="0">
                  <c:v>Petrol sales</c:v>
                </c:pt>
              </c:strCache>
            </c:strRef>
          </c:tx>
          <c:spPr>
            <a:ln w="28575" cap="rnd">
              <a:solidFill>
                <a:srgbClr val="002060"/>
              </a:solidFill>
              <a:round/>
            </a:ln>
            <a:effectLst/>
          </c:spPr>
          <c:marker>
            <c:symbol val="none"/>
          </c:marker>
          <c:cat>
            <c:numRef>
              <c:f>'High Frequency Data'!$G$1:$R$1</c:f>
              <c:numCache>
                <c:formatCode>[$-409]d\-mmm\-yy;@</c:formatCode>
                <c:ptCount val="12"/>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numCache>
            </c:numRef>
          </c:cat>
          <c:val>
            <c:numRef>
              <c:f>'High Frequency Data'!$G$40:$R$40</c:f>
              <c:numCache>
                <c:formatCode>General</c:formatCode>
                <c:ptCount val="12"/>
                <c:pt idx="0">
                  <c:v>94</c:v>
                </c:pt>
                <c:pt idx="1">
                  <c:v>101</c:v>
                </c:pt>
                <c:pt idx="2">
                  <c:v>98</c:v>
                </c:pt>
                <c:pt idx="3">
                  <c:v>89</c:v>
                </c:pt>
                <c:pt idx="4">
                  <c:v>99</c:v>
                </c:pt>
                <c:pt idx="5">
                  <c:v>106</c:v>
                </c:pt>
                <c:pt idx="6">
                  <c:v>103</c:v>
                </c:pt>
                <c:pt idx="7">
                  <c:v>113</c:v>
                </c:pt>
                <c:pt idx="8">
                  <c:v>110</c:v>
                </c:pt>
                <c:pt idx="9">
                  <c:v>108</c:v>
                </c:pt>
                <c:pt idx="10">
                  <c:v>104</c:v>
                </c:pt>
                <c:pt idx="11">
                  <c:v>104</c:v>
                </c:pt>
              </c:numCache>
            </c:numRef>
          </c:val>
          <c:smooth val="0"/>
          <c:extLst>
            <c:ext xmlns:c16="http://schemas.microsoft.com/office/drawing/2014/chart" uri="{C3380CC4-5D6E-409C-BE32-E72D297353CC}">
              <c16:uniqueId val="{00000001-4693-4149-B07B-9119A280FE8E}"/>
            </c:ext>
          </c:extLst>
        </c:ser>
        <c:dLbls>
          <c:showLegendKey val="0"/>
          <c:showVal val="0"/>
          <c:showCatName val="0"/>
          <c:showSerName val="0"/>
          <c:showPercent val="0"/>
          <c:showBubbleSize val="0"/>
        </c:dLbls>
        <c:smooth val="0"/>
        <c:axId val="826048528"/>
        <c:axId val="826040608"/>
      </c:lineChart>
      <c:dateAx>
        <c:axId val="826048528"/>
        <c:scaling>
          <c:orientation val="minMax"/>
        </c:scaling>
        <c:delete val="0"/>
        <c:axPos val="b"/>
        <c:numFmt formatCode="[$-409]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0608"/>
        <c:crosses val="autoZero"/>
        <c:auto val="1"/>
        <c:lblOffset val="100"/>
        <c:baseTimeUnit val="months"/>
      </c:dateAx>
      <c:valAx>
        <c:axId val="82604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8528"/>
        <c:crosses val="autoZero"/>
        <c:crossBetween val="between"/>
        <c:majorUnit val="4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r>
              <a:rPr lang="en-US" sz="1400">
                <a:solidFill>
                  <a:srgbClr val="002060"/>
                </a:solidFill>
                <a:latin typeface="Lato" panose="020F0502020204030203" pitchFamily="34" charset="0"/>
                <a:ea typeface="Lato" panose="020F0502020204030203" pitchFamily="34" charset="0"/>
                <a:cs typeface="Lato" panose="020F0502020204030203" pitchFamily="34" charset="0"/>
              </a:rPr>
              <a:t>Electricity</a:t>
            </a:r>
            <a:r>
              <a:rPr lang="en-US" sz="1400" baseline="0">
                <a:solidFill>
                  <a:srgbClr val="002060"/>
                </a:solidFill>
                <a:latin typeface="Lato" panose="020F0502020204030203" pitchFamily="34" charset="0"/>
                <a:ea typeface="Lato" panose="020F0502020204030203" pitchFamily="34" charset="0"/>
                <a:cs typeface="Lato" panose="020F0502020204030203" pitchFamily="34" charset="0"/>
              </a:rPr>
              <a:t> Consumption - GWh</a:t>
            </a:r>
            <a:endParaRPr lang="en-US" sz="1400">
              <a:solidFill>
                <a:srgbClr val="002060"/>
              </a:solidFill>
              <a:latin typeface="Lato" panose="020F0502020204030203" pitchFamily="34" charset="0"/>
              <a:ea typeface="Lato" panose="020F0502020204030203" pitchFamily="34" charset="0"/>
              <a:cs typeface="Lato" panose="020F050202020403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title>
    <c:autoTitleDeleted val="0"/>
    <c:plotArea>
      <c:layout/>
      <c:lineChart>
        <c:grouping val="standard"/>
        <c:varyColors val="0"/>
        <c:ser>
          <c:idx val="0"/>
          <c:order val="0"/>
          <c:tx>
            <c:strRef>
              <c:f>'High Frequency Data'!$B$37</c:f>
              <c:strCache>
                <c:ptCount val="1"/>
                <c:pt idx="0">
                  <c:v>Power Consumption</c:v>
                </c:pt>
              </c:strCache>
            </c:strRef>
          </c:tx>
          <c:spPr>
            <a:ln w="28575" cap="rnd">
              <a:solidFill>
                <a:srgbClr val="002060"/>
              </a:solidFill>
              <a:round/>
            </a:ln>
            <a:effectLst/>
          </c:spPr>
          <c:marker>
            <c:symbol val="none"/>
          </c:marker>
          <c:cat>
            <c:numRef>
              <c:f>'High Frequency Data'!$G$1:$R$1</c:f>
              <c:numCache>
                <c:formatCode>[$-409]d\-mmm\-yy;@</c:formatCode>
                <c:ptCount val="12"/>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numCache>
            </c:numRef>
          </c:cat>
          <c:val>
            <c:numRef>
              <c:f>'High Frequency Data'!$G$37:$R$37</c:f>
              <c:numCache>
                <c:formatCode>#,##0</c:formatCode>
                <c:ptCount val="12"/>
                <c:pt idx="0">
                  <c:v>1161</c:v>
                </c:pt>
                <c:pt idx="1">
                  <c:v>1136</c:v>
                </c:pt>
                <c:pt idx="2">
                  <c:v>1127</c:v>
                </c:pt>
                <c:pt idx="3" formatCode="#,##0.00">
                  <c:v>1057.5</c:v>
                </c:pt>
                <c:pt idx="4" formatCode="#,##0.00">
                  <c:v>1211.98</c:v>
                </c:pt>
                <c:pt idx="5" formatCode="#,##0.00">
                  <c:v>1120.58</c:v>
                </c:pt>
                <c:pt idx="6" formatCode="#,##0.00">
                  <c:v>1245.83</c:v>
                </c:pt>
                <c:pt idx="7" formatCode="#,##0.00">
                  <c:v>1215.8599999999999</c:v>
                </c:pt>
                <c:pt idx="8" formatCode="#,##0.00">
                  <c:v>1314</c:v>
                </c:pt>
                <c:pt idx="9" formatCode="#,##0.00">
                  <c:v>1309</c:v>
                </c:pt>
                <c:pt idx="10">
                  <c:v>1265</c:v>
                </c:pt>
                <c:pt idx="11">
                  <c:v>1285</c:v>
                </c:pt>
              </c:numCache>
            </c:numRef>
          </c:val>
          <c:smooth val="0"/>
          <c:extLst>
            <c:ext xmlns:c16="http://schemas.microsoft.com/office/drawing/2014/chart" uri="{C3380CC4-5D6E-409C-BE32-E72D297353CC}">
              <c16:uniqueId val="{00000000-2601-4661-882E-10CEF14E6DCA}"/>
            </c:ext>
          </c:extLst>
        </c:ser>
        <c:dLbls>
          <c:showLegendKey val="0"/>
          <c:showVal val="0"/>
          <c:showCatName val="0"/>
          <c:showSerName val="0"/>
          <c:showPercent val="0"/>
          <c:showBubbleSize val="0"/>
        </c:dLbls>
        <c:smooth val="0"/>
        <c:axId val="826048528"/>
        <c:axId val="826040608"/>
      </c:lineChart>
      <c:dateAx>
        <c:axId val="826048528"/>
        <c:scaling>
          <c:orientation val="minMax"/>
        </c:scaling>
        <c:delete val="0"/>
        <c:axPos val="b"/>
        <c:numFmt formatCode="[$-409]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0608"/>
        <c:crosses val="autoZero"/>
        <c:auto val="1"/>
        <c:lblOffset val="100"/>
        <c:baseTimeUnit val="months"/>
      </c:dateAx>
      <c:valAx>
        <c:axId val="826040608"/>
        <c:scaling>
          <c:orientation val="minMax"/>
          <c:min val="1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8528"/>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r>
              <a:rPr lang="en-US" sz="1400">
                <a:solidFill>
                  <a:srgbClr val="002060"/>
                </a:solidFill>
                <a:latin typeface="Lato" panose="020F0502020204030203" pitchFamily="34" charset="0"/>
                <a:ea typeface="Lato" panose="020F0502020204030203" pitchFamily="34" charset="0"/>
                <a:cs typeface="Lato" panose="020F0502020204030203" pitchFamily="34" charset="0"/>
              </a:rPr>
              <a:t>Tourism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title>
    <c:autoTitleDeleted val="0"/>
    <c:plotArea>
      <c:layout/>
      <c:lineChart>
        <c:grouping val="standard"/>
        <c:varyColors val="0"/>
        <c:ser>
          <c:idx val="0"/>
          <c:order val="0"/>
          <c:tx>
            <c:strRef>
              <c:f>'High Frequency Data'!$B$44</c:f>
              <c:strCache>
                <c:ptCount val="1"/>
                <c:pt idx="0">
                  <c:v>Tourist Arrivals - LHS</c:v>
                </c:pt>
              </c:strCache>
            </c:strRef>
          </c:tx>
          <c:spPr>
            <a:ln w="28575" cap="rnd">
              <a:solidFill>
                <a:srgbClr val="002060"/>
              </a:solidFill>
              <a:round/>
            </a:ln>
            <a:effectLst/>
          </c:spPr>
          <c:marker>
            <c:symbol val="none"/>
          </c:marker>
          <c:cat>
            <c:numRef>
              <c:f>'High Frequency Data'!$I$1:$T$1</c:f>
              <c:numCache>
                <c:formatCode>[$-409]d\-mmm\-yy;@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'High Frequency Data'!$I$44:$T$44</c:f>
              <c:numCache>
                <c:formatCode>_(* #,##0_);_(* \(#,##0\);_(* "-"??_);_(@_)</c:formatCode>
                <c:ptCount val="12"/>
                <c:pt idx="0">
                  <c:v>102545</c:v>
                </c:pt>
                <c:pt idx="1">
                  <c:v>107639</c:v>
                </c:pt>
                <c:pt idx="2">
                  <c:v>125495</c:v>
                </c:pt>
                <c:pt idx="3">
                  <c:v>105498</c:v>
                </c:pt>
                <c:pt idx="4">
                  <c:v>83309</c:v>
                </c:pt>
                <c:pt idx="5">
                  <c:v>100388</c:v>
                </c:pt>
                <c:pt idx="6">
                  <c:v>143039</c:v>
                </c:pt>
                <c:pt idx="7">
                  <c:v>136405</c:v>
                </c:pt>
                <c:pt idx="8">
                  <c:v>111938</c:v>
                </c:pt>
                <c:pt idx="9">
                  <c:v>109199</c:v>
                </c:pt>
                <c:pt idx="10">
                  <c:v>151496</c:v>
                </c:pt>
                <c:pt idx="11">
                  <c:v>210352</c:v>
                </c:pt>
              </c:numCache>
            </c:numRef>
          </c:val>
          <c:smooth val="0"/>
          <c:extLst>
            <c:ext xmlns:c16="http://schemas.microsoft.com/office/drawing/2014/chart" uri="{C3380CC4-5D6E-409C-BE32-E72D297353CC}">
              <c16:uniqueId val="{00000000-13BA-4D86-9769-B798122EB6CD}"/>
            </c:ext>
          </c:extLst>
        </c:ser>
        <c:dLbls>
          <c:showLegendKey val="0"/>
          <c:showVal val="0"/>
          <c:showCatName val="0"/>
          <c:showSerName val="0"/>
          <c:showPercent val="0"/>
          <c:showBubbleSize val="0"/>
        </c:dLbls>
        <c:marker val="1"/>
        <c:smooth val="0"/>
        <c:axId val="826048528"/>
        <c:axId val="826040608"/>
      </c:lineChart>
      <c:lineChart>
        <c:grouping val="standard"/>
        <c:varyColors val="0"/>
        <c:ser>
          <c:idx val="1"/>
          <c:order val="1"/>
          <c:tx>
            <c:strRef>
              <c:f>'High Frequency Data'!$B$45</c:f>
              <c:strCache>
                <c:ptCount val="1"/>
                <c:pt idx="0">
                  <c:v>Tourism Earnings - USD mn</c:v>
                </c:pt>
              </c:strCache>
            </c:strRef>
          </c:tx>
          <c:spPr>
            <a:ln w="28575" cap="rnd">
              <a:solidFill>
                <a:srgbClr val="FFFF00"/>
              </a:solidFill>
              <a:round/>
            </a:ln>
            <a:effectLst/>
          </c:spPr>
          <c:marker>
            <c:symbol val="none"/>
          </c:marker>
          <c:cat>
            <c:numRef>
              <c:f>'High Frequency Data'!$I$1:$T$1</c:f>
              <c:numCache>
                <c:formatCode>[$-409]d\-mmm\-yy;@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'High Frequency Data'!$I$45:$T$45</c:f>
              <c:numCache>
                <c:formatCode>General</c:formatCode>
                <c:ptCount val="12"/>
                <c:pt idx="0">
                  <c:v>161.80000000000001</c:v>
                </c:pt>
                <c:pt idx="1">
                  <c:v>169.9</c:v>
                </c:pt>
                <c:pt idx="2">
                  <c:v>198.1</c:v>
                </c:pt>
                <c:pt idx="3">
                  <c:v>166.5</c:v>
                </c:pt>
                <c:pt idx="4">
                  <c:v>131.5</c:v>
                </c:pt>
                <c:pt idx="5">
                  <c:v>122.9</c:v>
                </c:pt>
                <c:pt idx="6">
                  <c:v>219</c:v>
                </c:pt>
                <c:pt idx="7">
                  <c:v>210.5</c:v>
                </c:pt>
                <c:pt idx="8">
                  <c:v>152</c:v>
                </c:pt>
                <c:pt idx="9">
                  <c:v>136.69999999999999</c:v>
                </c:pt>
                <c:pt idx="10">
                  <c:v>205</c:v>
                </c:pt>
                <c:pt idx="11">
                  <c:v>269.3</c:v>
                </c:pt>
              </c:numCache>
            </c:numRef>
          </c:val>
          <c:smooth val="0"/>
          <c:extLst>
            <c:ext xmlns:c16="http://schemas.microsoft.com/office/drawing/2014/chart" uri="{C3380CC4-5D6E-409C-BE32-E72D297353CC}">
              <c16:uniqueId val="{00000001-13BA-4D86-9769-B798122EB6CD}"/>
            </c:ext>
          </c:extLst>
        </c:ser>
        <c:dLbls>
          <c:showLegendKey val="0"/>
          <c:showVal val="0"/>
          <c:showCatName val="0"/>
          <c:showSerName val="0"/>
          <c:showPercent val="0"/>
          <c:showBubbleSize val="0"/>
        </c:dLbls>
        <c:marker val="1"/>
        <c:smooth val="0"/>
        <c:axId val="826064368"/>
        <c:axId val="826066888"/>
      </c:lineChart>
      <c:dateAx>
        <c:axId val="826048528"/>
        <c:scaling>
          <c:orientation val="minMax"/>
        </c:scaling>
        <c:delete val="0"/>
        <c:axPos val="b"/>
        <c:numFmt formatCode="[$-409]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0608"/>
        <c:crosses val="autoZero"/>
        <c:auto val="1"/>
        <c:lblOffset val="100"/>
        <c:baseTimeUnit val="months"/>
      </c:dateAx>
      <c:valAx>
        <c:axId val="826040608"/>
        <c:scaling>
          <c:orientation val="minMax"/>
          <c:max val="25000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8528"/>
        <c:crosses val="autoZero"/>
        <c:crossBetween val="between"/>
        <c:minorUnit val="25000"/>
      </c:valAx>
      <c:valAx>
        <c:axId val="8260668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64368"/>
        <c:crosses val="max"/>
        <c:crossBetween val="between"/>
      </c:valAx>
      <c:dateAx>
        <c:axId val="826064368"/>
        <c:scaling>
          <c:orientation val="minMax"/>
        </c:scaling>
        <c:delete val="1"/>
        <c:axPos val="b"/>
        <c:numFmt formatCode="[$-409]d\-mmm\-yy;@" sourceLinked="1"/>
        <c:majorTickMark val="out"/>
        <c:minorTickMark val="none"/>
        <c:tickLblPos val="nextTo"/>
        <c:crossAx val="82606688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r>
              <a:rPr lang="en-US" sz="1400">
                <a:solidFill>
                  <a:srgbClr val="002060"/>
                </a:solidFill>
                <a:latin typeface="Lato" panose="020F0502020204030203" pitchFamily="34" charset="0"/>
                <a:ea typeface="Lato" panose="020F0502020204030203" pitchFamily="34" charset="0"/>
                <a:cs typeface="Lato" panose="020F0502020204030203" pitchFamily="34" charset="0"/>
              </a:rPr>
              <a:t>Export Crops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title>
    <c:autoTitleDeleted val="0"/>
    <c:plotArea>
      <c:layout/>
      <c:lineChart>
        <c:grouping val="standard"/>
        <c:varyColors val="0"/>
        <c:ser>
          <c:idx val="0"/>
          <c:order val="0"/>
          <c:tx>
            <c:strRef>
              <c:f>'High Frequency Data'!$B$4</c:f>
              <c:strCache>
                <c:ptCount val="1"/>
                <c:pt idx="0">
                  <c:v>Tea Production - Mn Kg</c:v>
                </c:pt>
              </c:strCache>
            </c:strRef>
          </c:tx>
          <c:spPr>
            <a:ln w="28575" cap="rnd">
              <a:solidFill>
                <a:srgbClr val="002060"/>
              </a:solidFill>
              <a:round/>
            </a:ln>
            <a:effectLst/>
          </c:spPr>
          <c:marker>
            <c:symbol val="none"/>
          </c:marker>
          <c:cat>
            <c:numRef>
              <c:f>'High Frequency Data'!$G$1:$R$1</c:f>
              <c:numCache>
                <c:formatCode>[$-409]d\-mmm\-yy;@</c:formatCode>
                <c:ptCount val="12"/>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numCache>
            </c:numRef>
          </c:cat>
          <c:val>
            <c:numRef>
              <c:f>'High Frequency Data'!$G$4:$R$4</c:f>
              <c:numCache>
                <c:formatCode>General</c:formatCode>
                <c:ptCount val="12"/>
                <c:pt idx="0">
                  <c:v>20.36</c:v>
                </c:pt>
                <c:pt idx="1">
                  <c:v>19.71</c:v>
                </c:pt>
                <c:pt idx="2">
                  <c:v>18.43</c:v>
                </c:pt>
                <c:pt idx="3">
                  <c:v>18.760000000000002</c:v>
                </c:pt>
                <c:pt idx="4">
                  <c:v>22.26</c:v>
                </c:pt>
                <c:pt idx="5">
                  <c:v>25.11</c:v>
                </c:pt>
                <c:pt idx="6">
                  <c:v>26.52</c:v>
                </c:pt>
                <c:pt idx="7">
                  <c:v>23</c:v>
                </c:pt>
                <c:pt idx="8">
                  <c:v>21.38</c:v>
                </c:pt>
                <c:pt idx="9">
                  <c:v>18.3</c:v>
                </c:pt>
                <c:pt idx="10">
                  <c:v>18.7</c:v>
                </c:pt>
                <c:pt idx="11">
                  <c:v>22.9</c:v>
                </c:pt>
              </c:numCache>
            </c:numRef>
          </c:val>
          <c:smooth val="0"/>
          <c:extLst>
            <c:ext xmlns:c16="http://schemas.microsoft.com/office/drawing/2014/chart" uri="{C3380CC4-5D6E-409C-BE32-E72D297353CC}">
              <c16:uniqueId val="{00000000-F998-4067-B64F-E9B29ABF8B0D}"/>
            </c:ext>
          </c:extLst>
        </c:ser>
        <c:ser>
          <c:idx val="2"/>
          <c:order val="2"/>
          <c:tx>
            <c:strRef>
              <c:f>'High Frequency Data'!$B$5</c:f>
              <c:strCache>
                <c:ptCount val="1"/>
                <c:pt idx="0">
                  <c:v>Rubber Production - Mn Kg</c:v>
                </c:pt>
              </c:strCache>
            </c:strRef>
          </c:tx>
          <c:spPr>
            <a:ln w="28575" cap="rnd">
              <a:solidFill>
                <a:schemeClr val="accent3"/>
              </a:solidFill>
              <a:round/>
            </a:ln>
            <a:effectLst/>
          </c:spPr>
          <c:marker>
            <c:symbol val="none"/>
          </c:marker>
          <c:cat>
            <c:numRef>
              <c:f>'High Frequency Data'!$G$1:$R$1</c:f>
              <c:numCache>
                <c:formatCode>[$-409]d\-mmm\-yy;@</c:formatCode>
                <c:ptCount val="12"/>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numCache>
            </c:numRef>
          </c:cat>
          <c:val>
            <c:numRef>
              <c:f>'High Frequency Data'!$G$5:$R$5</c:f>
              <c:numCache>
                <c:formatCode>General</c:formatCode>
                <c:ptCount val="12"/>
                <c:pt idx="0">
                  <c:v>4.99</c:v>
                </c:pt>
                <c:pt idx="1">
                  <c:v>6.66</c:v>
                </c:pt>
                <c:pt idx="2">
                  <c:v>6.5</c:v>
                </c:pt>
                <c:pt idx="3">
                  <c:v>5.7</c:v>
                </c:pt>
                <c:pt idx="4">
                  <c:v>6.5</c:v>
                </c:pt>
                <c:pt idx="5">
                  <c:v>6.3</c:v>
                </c:pt>
                <c:pt idx="6">
                  <c:v>6</c:v>
                </c:pt>
                <c:pt idx="7">
                  <c:v>6.1</c:v>
                </c:pt>
                <c:pt idx="8">
                  <c:v>6.2</c:v>
                </c:pt>
                <c:pt idx="9">
                  <c:v>6</c:v>
                </c:pt>
                <c:pt idx="10">
                  <c:v>5.6</c:v>
                </c:pt>
                <c:pt idx="11">
                  <c:v>3.7</c:v>
                </c:pt>
              </c:numCache>
            </c:numRef>
          </c:val>
          <c:smooth val="0"/>
          <c:extLst>
            <c:ext xmlns:c16="http://schemas.microsoft.com/office/drawing/2014/chart" uri="{C3380CC4-5D6E-409C-BE32-E72D297353CC}">
              <c16:uniqueId val="{00000001-F998-4067-B64F-E9B29ABF8B0D}"/>
            </c:ext>
          </c:extLst>
        </c:ser>
        <c:dLbls>
          <c:showLegendKey val="0"/>
          <c:showVal val="0"/>
          <c:showCatName val="0"/>
          <c:showSerName val="0"/>
          <c:showPercent val="0"/>
          <c:showBubbleSize val="0"/>
        </c:dLbls>
        <c:marker val="1"/>
        <c:smooth val="0"/>
        <c:axId val="826048528"/>
        <c:axId val="826040608"/>
      </c:lineChart>
      <c:lineChart>
        <c:grouping val="standard"/>
        <c:varyColors val="0"/>
        <c:ser>
          <c:idx val="1"/>
          <c:order val="1"/>
          <c:tx>
            <c:strRef>
              <c:f>'High Frequency Data'!$B$6</c:f>
              <c:strCache>
                <c:ptCount val="1"/>
                <c:pt idx="0">
                  <c:v>Coconut Production - Mn Nuts (RHS)</c:v>
                </c:pt>
              </c:strCache>
            </c:strRef>
          </c:tx>
          <c:spPr>
            <a:ln w="28575" cap="rnd">
              <a:solidFill>
                <a:srgbClr val="FFFF00"/>
              </a:solidFill>
              <a:round/>
            </a:ln>
            <a:effectLst/>
          </c:spPr>
          <c:marker>
            <c:symbol val="none"/>
          </c:marker>
          <c:cat>
            <c:numRef>
              <c:f>'High Frequency Data'!$G$1:$R$1</c:f>
              <c:numCache>
                <c:formatCode>[$-409]d\-mmm\-yy;@</c:formatCode>
                <c:ptCount val="12"/>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numCache>
            </c:numRef>
          </c:cat>
          <c:val>
            <c:numRef>
              <c:f>'High Frequency Data'!$G$6:$R$6</c:f>
              <c:numCache>
                <c:formatCode>General</c:formatCode>
                <c:ptCount val="12"/>
                <c:pt idx="0">
                  <c:v>264.88</c:v>
                </c:pt>
                <c:pt idx="1">
                  <c:v>271.31</c:v>
                </c:pt>
                <c:pt idx="2">
                  <c:v>256.83999999999997</c:v>
                </c:pt>
                <c:pt idx="3">
                  <c:v>259.10000000000002</c:v>
                </c:pt>
                <c:pt idx="4">
                  <c:v>274.38</c:v>
                </c:pt>
                <c:pt idx="5">
                  <c:v>255.17</c:v>
                </c:pt>
                <c:pt idx="6">
                  <c:v>269.41000000000003</c:v>
                </c:pt>
                <c:pt idx="7">
                  <c:v>257.14999999999998</c:v>
                </c:pt>
                <c:pt idx="8">
                  <c:v>265</c:v>
                </c:pt>
                <c:pt idx="9">
                  <c:v>275.89999999999998</c:v>
                </c:pt>
                <c:pt idx="10">
                  <c:v>285.10000000000002</c:v>
                </c:pt>
                <c:pt idx="11">
                  <c:v>268.10000000000002</c:v>
                </c:pt>
              </c:numCache>
            </c:numRef>
          </c:val>
          <c:smooth val="0"/>
          <c:extLst>
            <c:ext xmlns:c16="http://schemas.microsoft.com/office/drawing/2014/chart" uri="{C3380CC4-5D6E-409C-BE32-E72D297353CC}">
              <c16:uniqueId val="{00000002-F998-4067-B64F-E9B29ABF8B0D}"/>
            </c:ext>
          </c:extLst>
        </c:ser>
        <c:dLbls>
          <c:showLegendKey val="0"/>
          <c:showVal val="0"/>
          <c:showCatName val="0"/>
          <c:showSerName val="0"/>
          <c:showPercent val="0"/>
          <c:showBubbleSize val="0"/>
        </c:dLbls>
        <c:marker val="1"/>
        <c:smooth val="0"/>
        <c:axId val="826064368"/>
        <c:axId val="826066888"/>
      </c:lineChart>
      <c:dateAx>
        <c:axId val="826048528"/>
        <c:scaling>
          <c:orientation val="minMax"/>
        </c:scaling>
        <c:delete val="0"/>
        <c:axPos val="b"/>
        <c:numFmt formatCode="[$-409]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0608"/>
        <c:crosses val="autoZero"/>
        <c:auto val="1"/>
        <c:lblOffset val="100"/>
        <c:baseTimeUnit val="months"/>
      </c:dateAx>
      <c:valAx>
        <c:axId val="826040608"/>
        <c:scaling>
          <c:orientation val="minMax"/>
          <c:max val="3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8528"/>
        <c:crosses val="autoZero"/>
        <c:crossBetween val="between"/>
        <c:minorUnit val="5"/>
      </c:valAx>
      <c:valAx>
        <c:axId val="826066888"/>
        <c:scaling>
          <c:orientation val="minMax"/>
          <c:max val="300"/>
          <c:min val="2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64368"/>
        <c:crosses val="max"/>
        <c:crossBetween val="between"/>
        <c:majorUnit val="20"/>
      </c:valAx>
      <c:dateAx>
        <c:axId val="826064368"/>
        <c:scaling>
          <c:orientation val="minMax"/>
        </c:scaling>
        <c:delete val="1"/>
        <c:axPos val="b"/>
        <c:numFmt formatCode="[$-409]d\-mmm\-yy;@" sourceLinked="1"/>
        <c:majorTickMark val="out"/>
        <c:minorTickMark val="none"/>
        <c:tickLblPos val="nextTo"/>
        <c:crossAx val="82606688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r>
              <a:rPr lang="en-US" sz="1400">
                <a:solidFill>
                  <a:srgbClr val="002060"/>
                </a:solidFill>
                <a:latin typeface="Lato" panose="020F0502020204030203" pitchFamily="34" charset="0"/>
                <a:ea typeface="Lato" panose="020F0502020204030203" pitchFamily="34" charset="0"/>
                <a:cs typeface="Lato" panose="020F0502020204030203" pitchFamily="34" charset="0"/>
              </a:rPr>
              <a:t>US Clothing</a:t>
            </a:r>
            <a:r>
              <a:rPr lang="en-US" sz="1400" baseline="0">
                <a:solidFill>
                  <a:srgbClr val="002060"/>
                </a:solidFill>
                <a:latin typeface="Lato" panose="020F0502020204030203" pitchFamily="34" charset="0"/>
                <a:ea typeface="Lato" panose="020F0502020204030203" pitchFamily="34" charset="0"/>
                <a:cs typeface="Lato" panose="020F0502020204030203" pitchFamily="34" charset="0"/>
              </a:rPr>
              <a:t> - Retail Sales vs Inventory </a:t>
            </a:r>
            <a:endParaRPr lang="en-US" sz="1400">
              <a:solidFill>
                <a:srgbClr val="002060"/>
              </a:solidFill>
              <a:latin typeface="Lato" panose="020F0502020204030203" pitchFamily="34" charset="0"/>
              <a:ea typeface="Lato" panose="020F0502020204030203" pitchFamily="34" charset="0"/>
              <a:cs typeface="Lato" panose="020F0502020204030203" pitchFamily="34" charset="0"/>
            </a:endParaRPr>
          </a:p>
        </c:rich>
      </c:tx>
      <c:layout>
        <c:manualLayout>
          <c:xMode val="edge"/>
          <c:yMode val="edge"/>
          <c:x val="0.1482152230971128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title>
    <c:autoTitleDeleted val="0"/>
    <c:plotArea>
      <c:layout/>
      <c:barChart>
        <c:barDir val="col"/>
        <c:grouping val="clustered"/>
        <c:varyColors val="0"/>
        <c:ser>
          <c:idx val="0"/>
          <c:order val="0"/>
          <c:tx>
            <c:strRef>
              <c:f>'High Frequency Data'!$B$51</c:f>
              <c:strCache>
                <c:ptCount val="1"/>
                <c:pt idx="0">
                  <c:v>Retail Sales</c:v>
                </c:pt>
              </c:strCache>
            </c:strRef>
          </c:tx>
          <c:spPr>
            <a:solidFill>
              <a:srgbClr val="002060"/>
            </a:solidFill>
            <a:ln>
              <a:noFill/>
            </a:ln>
            <a:effectLst/>
          </c:spPr>
          <c:invertIfNegative val="0"/>
          <c:cat>
            <c:numRef>
              <c:f>'High Frequency Data'!$G$1:$R$1</c:f>
              <c:numCache>
                <c:formatCode>[$-409]d\-mmm\-yy;@</c:formatCode>
                <c:ptCount val="12"/>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numCache>
            </c:numRef>
          </c:cat>
          <c:val>
            <c:numRef>
              <c:f>'High Frequency Data'!$G$51:$R$51</c:f>
              <c:numCache>
                <c:formatCode>#,##0</c:formatCode>
                <c:ptCount val="12"/>
                <c:pt idx="0">
                  <c:v>26248</c:v>
                </c:pt>
                <c:pt idx="1">
                  <c:v>26147</c:v>
                </c:pt>
                <c:pt idx="2">
                  <c:v>26888</c:v>
                </c:pt>
                <c:pt idx="3">
                  <c:v>25941</c:v>
                </c:pt>
                <c:pt idx="4">
                  <c:v>25616</c:v>
                </c:pt>
                <c:pt idx="5">
                  <c:v>25652</c:v>
                </c:pt>
                <c:pt idx="6">
                  <c:v>25697</c:v>
                </c:pt>
                <c:pt idx="7">
                  <c:v>25736</c:v>
                </c:pt>
                <c:pt idx="8">
                  <c:v>26052</c:v>
                </c:pt>
                <c:pt idx="9">
                  <c:v>26226</c:v>
                </c:pt>
                <c:pt idx="10">
                  <c:v>25995</c:v>
                </c:pt>
                <c:pt idx="11">
                  <c:v>25970</c:v>
                </c:pt>
              </c:numCache>
            </c:numRef>
          </c:val>
          <c:extLst>
            <c:ext xmlns:c16="http://schemas.microsoft.com/office/drawing/2014/chart" uri="{C3380CC4-5D6E-409C-BE32-E72D297353CC}">
              <c16:uniqueId val="{00000000-F60B-4C73-8D8B-9E7656DCD453}"/>
            </c:ext>
          </c:extLst>
        </c:ser>
        <c:ser>
          <c:idx val="1"/>
          <c:order val="1"/>
          <c:tx>
            <c:strRef>
              <c:f>'High Frequency Data'!$B$52</c:f>
              <c:strCache>
                <c:ptCount val="1"/>
                <c:pt idx="0">
                  <c:v>Inventory</c:v>
                </c:pt>
              </c:strCache>
            </c:strRef>
          </c:tx>
          <c:spPr>
            <a:solidFill>
              <a:srgbClr val="FFFF00"/>
            </a:solidFill>
            <a:ln>
              <a:noFill/>
            </a:ln>
            <a:effectLst/>
          </c:spPr>
          <c:invertIfNegative val="0"/>
          <c:cat>
            <c:numRef>
              <c:f>'High Frequency Data'!$G$1:$R$1</c:f>
              <c:numCache>
                <c:formatCode>[$-409]d\-mmm\-yy;@</c:formatCode>
                <c:ptCount val="12"/>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numCache>
            </c:numRef>
          </c:cat>
          <c:val>
            <c:numRef>
              <c:f>'High Frequency Data'!$G$52:$R$52</c:f>
              <c:numCache>
                <c:formatCode>#,##0</c:formatCode>
                <c:ptCount val="12"/>
                <c:pt idx="0">
                  <c:v>56931</c:v>
                </c:pt>
                <c:pt idx="1">
                  <c:v>57012</c:v>
                </c:pt>
                <c:pt idx="2">
                  <c:v>56896</c:v>
                </c:pt>
                <c:pt idx="3">
                  <c:v>61366</c:v>
                </c:pt>
                <c:pt idx="4">
                  <c:v>61770</c:v>
                </c:pt>
                <c:pt idx="5">
                  <c:v>61671</c:v>
                </c:pt>
                <c:pt idx="6">
                  <c:v>61754</c:v>
                </c:pt>
                <c:pt idx="7">
                  <c:v>61261</c:v>
                </c:pt>
                <c:pt idx="8">
                  <c:v>61513</c:v>
                </c:pt>
                <c:pt idx="9">
                  <c:v>61756</c:v>
                </c:pt>
                <c:pt idx="10">
                  <c:v>62052</c:v>
                </c:pt>
                <c:pt idx="11">
                  <c:v>61941</c:v>
                </c:pt>
              </c:numCache>
            </c:numRef>
          </c:val>
          <c:extLst>
            <c:ext xmlns:c16="http://schemas.microsoft.com/office/drawing/2014/chart" uri="{C3380CC4-5D6E-409C-BE32-E72D297353CC}">
              <c16:uniqueId val="{00000001-F60B-4C73-8D8B-9E7656DCD453}"/>
            </c:ext>
          </c:extLst>
        </c:ser>
        <c:dLbls>
          <c:showLegendKey val="0"/>
          <c:showVal val="0"/>
          <c:showCatName val="0"/>
          <c:showSerName val="0"/>
          <c:showPercent val="0"/>
          <c:showBubbleSize val="0"/>
        </c:dLbls>
        <c:gapWidth val="150"/>
        <c:axId val="826048528"/>
        <c:axId val="826040608"/>
      </c:barChart>
      <c:lineChart>
        <c:grouping val="standard"/>
        <c:varyColors val="0"/>
        <c:ser>
          <c:idx val="2"/>
          <c:order val="2"/>
          <c:tx>
            <c:strRef>
              <c:f>'High Frequency Data'!$B$53</c:f>
              <c:strCache>
                <c:ptCount val="1"/>
                <c:pt idx="0">
                  <c:v>Inventory to Sales</c:v>
                </c:pt>
              </c:strCache>
            </c:strRef>
          </c:tx>
          <c:spPr>
            <a:ln w="28575" cap="rnd">
              <a:solidFill>
                <a:schemeClr val="accent3"/>
              </a:solidFill>
              <a:round/>
            </a:ln>
            <a:effectLst/>
          </c:spPr>
          <c:marker>
            <c:symbol val="none"/>
          </c:marker>
          <c:cat>
            <c:numRef>
              <c:f>'High Frequency Data'!$G$1:$R$1</c:f>
              <c:numCache>
                <c:formatCode>[$-409]d\-mmm\-yy;@</c:formatCode>
                <c:ptCount val="12"/>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numCache>
            </c:numRef>
          </c:cat>
          <c:val>
            <c:numRef>
              <c:f>'High Frequency Data'!$G$53:$R$53</c:f>
              <c:numCache>
                <c:formatCode>#,##0.0</c:formatCode>
                <c:ptCount val="12"/>
                <c:pt idx="0">
                  <c:v>2.1689652544955806</c:v>
                </c:pt>
                <c:pt idx="1">
                  <c:v>2.1804413508241862</c:v>
                </c:pt>
                <c:pt idx="2">
                  <c:v>2.1160368937816125</c:v>
                </c:pt>
                <c:pt idx="3">
                  <c:v>2.3655988589491539</c:v>
                </c:pt>
                <c:pt idx="4">
                  <c:v>2.4113835103060586</c:v>
                </c:pt>
                <c:pt idx="5">
                  <c:v>2.404140028067987</c:v>
                </c:pt>
                <c:pt idx="6">
                  <c:v>2.4031599019340777</c:v>
                </c:pt>
                <c:pt idx="7">
                  <c:v>2.3803621386384832</c:v>
                </c:pt>
                <c:pt idx="8">
                  <c:v>2.3611622908030094</c:v>
                </c:pt>
                <c:pt idx="9">
                  <c:v>2.3547624494776178</c:v>
                </c:pt>
                <c:pt idx="10">
                  <c:v>2.387074437391806</c:v>
                </c:pt>
                <c:pt idx="11">
                  <c:v>2.3850981902194839</c:v>
                </c:pt>
              </c:numCache>
            </c:numRef>
          </c:val>
          <c:smooth val="0"/>
          <c:extLst>
            <c:ext xmlns:c16="http://schemas.microsoft.com/office/drawing/2014/chart" uri="{C3380CC4-5D6E-409C-BE32-E72D297353CC}">
              <c16:uniqueId val="{00000002-F60B-4C73-8D8B-9E7656DCD453}"/>
            </c:ext>
          </c:extLst>
        </c:ser>
        <c:dLbls>
          <c:showLegendKey val="0"/>
          <c:showVal val="0"/>
          <c:showCatName val="0"/>
          <c:showSerName val="0"/>
          <c:showPercent val="0"/>
          <c:showBubbleSize val="0"/>
        </c:dLbls>
        <c:marker val="1"/>
        <c:smooth val="0"/>
        <c:axId val="794322328"/>
        <c:axId val="794321608"/>
      </c:lineChart>
      <c:dateAx>
        <c:axId val="826048528"/>
        <c:scaling>
          <c:orientation val="minMax"/>
        </c:scaling>
        <c:delete val="0"/>
        <c:axPos val="b"/>
        <c:numFmt formatCode="[$-409]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0608"/>
        <c:crosses val="autoZero"/>
        <c:auto val="1"/>
        <c:lblOffset val="100"/>
        <c:baseTimeUnit val="months"/>
      </c:dateAx>
      <c:valAx>
        <c:axId val="826040608"/>
        <c:scaling>
          <c:orientation val="minMax"/>
          <c:max val="80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826048528"/>
        <c:crosses val="autoZero"/>
        <c:crossBetween val="between"/>
        <c:majorUnit val="20000"/>
        <c:minorUnit val="20000"/>
      </c:valAx>
      <c:valAx>
        <c:axId val="794321608"/>
        <c:scaling>
          <c:orientation val="minMax"/>
          <c:max val="2.5"/>
          <c:min val="1.5"/>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794322328"/>
        <c:crosses val="max"/>
        <c:crossBetween val="between"/>
        <c:majorUnit val="0.2"/>
        <c:minorUnit val="0.2"/>
      </c:valAx>
      <c:dateAx>
        <c:axId val="794322328"/>
        <c:scaling>
          <c:orientation val="minMax"/>
        </c:scaling>
        <c:delete val="1"/>
        <c:axPos val="b"/>
        <c:numFmt formatCode="[$-409]d\-mmm\-yy;@" sourceLinked="1"/>
        <c:majorTickMark val="out"/>
        <c:minorTickMark val="none"/>
        <c:tickLblPos val="nextTo"/>
        <c:crossAx val="794321608"/>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Freightos</a:t>
            </a:r>
            <a:r>
              <a:rPr lang="en-US" baseline="0">
                <a:solidFill>
                  <a:srgbClr val="002060"/>
                </a:solidFill>
              </a:rPr>
              <a:t> Global Index - FBX</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002060"/>
              </a:solidFill>
              <a:round/>
            </a:ln>
            <a:effectLst/>
          </c:spPr>
          <c:marker>
            <c:symbol val="none"/>
          </c:marker>
          <c:cat>
            <c:numRef>
              <c:f>FBX!$A$8:$A$290</c:f>
              <c:numCache>
                <c:formatCode>m/d/yyyy</c:formatCode>
                <c:ptCount val="283"/>
                <c:pt idx="0">
                  <c:v>45366</c:v>
                </c:pt>
                <c:pt idx="1">
                  <c:v>45359</c:v>
                </c:pt>
                <c:pt idx="2">
                  <c:v>45352</c:v>
                </c:pt>
                <c:pt idx="3">
                  <c:v>45345</c:v>
                </c:pt>
                <c:pt idx="4">
                  <c:v>45338</c:v>
                </c:pt>
                <c:pt idx="5">
                  <c:v>45331</c:v>
                </c:pt>
                <c:pt idx="6">
                  <c:v>45324</c:v>
                </c:pt>
                <c:pt idx="7">
                  <c:v>45317</c:v>
                </c:pt>
                <c:pt idx="8">
                  <c:v>45309</c:v>
                </c:pt>
                <c:pt idx="9">
                  <c:v>45303</c:v>
                </c:pt>
                <c:pt idx="10">
                  <c:v>45296</c:v>
                </c:pt>
                <c:pt idx="11">
                  <c:v>45289</c:v>
                </c:pt>
                <c:pt idx="12">
                  <c:v>45282</c:v>
                </c:pt>
                <c:pt idx="13">
                  <c:v>45275</c:v>
                </c:pt>
                <c:pt idx="14">
                  <c:v>45268</c:v>
                </c:pt>
                <c:pt idx="15">
                  <c:v>45261</c:v>
                </c:pt>
                <c:pt idx="16">
                  <c:v>45254</c:v>
                </c:pt>
                <c:pt idx="17">
                  <c:v>45247</c:v>
                </c:pt>
                <c:pt idx="18">
                  <c:v>45240</c:v>
                </c:pt>
                <c:pt idx="19">
                  <c:v>45233</c:v>
                </c:pt>
                <c:pt idx="20">
                  <c:v>45226</c:v>
                </c:pt>
                <c:pt idx="21">
                  <c:v>45219</c:v>
                </c:pt>
                <c:pt idx="22">
                  <c:v>45212</c:v>
                </c:pt>
                <c:pt idx="23">
                  <c:v>45205</c:v>
                </c:pt>
                <c:pt idx="24">
                  <c:v>45200</c:v>
                </c:pt>
                <c:pt idx="25">
                  <c:v>45193</c:v>
                </c:pt>
                <c:pt idx="26">
                  <c:v>45186</c:v>
                </c:pt>
                <c:pt idx="27">
                  <c:v>45179</c:v>
                </c:pt>
                <c:pt idx="28">
                  <c:v>45172</c:v>
                </c:pt>
                <c:pt idx="29">
                  <c:v>45165</c:v>
                </c:pt>
                <c:pt idx="30">
                  <c:v>45158</c:v>
                </c:pt>
                <c:pt idx="31">
                  <c:v>45151</c:v>
                </c:pt>
                <c:pt idx="32">
                  <c:v>45144</c:v>
                </c:pt>
                <c:pt idx="33">
                  <c:v>45137</c:v>
                </c:pt>
                <c:pt idx="34">
                  <c:v>45130</c:v>
                </c:pt>
                <c:pt idx="35">
                  <c:v>45123</c:v>
                </c:pt>
                <c:pt idx="36">
                  <c:v>45116</c:v>
                </c:pt>
                <c:pt idx="37">
                  <c:v>45109</c:v>
                </c:pt>
                <c:pt idx="38">
                  <c:v>45102</c:v>
                </c:pt>
                <c:pt idx="39">
                  <c:v>45095</c:v>
                </c:pt>
                <c:pt idx="40">
                  <c:v>45088</c:v>
                </c:pt>
                <c:pt idx="41">
                  <c:v>45081</c:v>
                </c:pt>
                <c:pt idx="42">
                  <c:v>45074</c:v>
                </c:pt>
                <c:pt idx="43">
                  <c:v>45067</c:v>
                </c:pt>
                <c:pt idx="44">
                  <c:v>45060</c:v>
                </c:pt>
                <c:pt idx="45">
                  <c:v>45053</c:v>
                </c:pt>
                <c:pt idx="46">
                  <c:v>45046</c:v>
                </c:pt>
                <c:pt idx="47">
                  <c:v>45039</c:v>
                </c:pt>
                <c:pt idx="48">
                  <c:v>45032</c:v>
                </c:pt>
                <c:pt idx="49">
                  <c:v>45025</c:v>
                </c:pt>
                <c:pt idx="50">
                  <c:v>45018</c:v>
                </c:pt>
                <c:pt idx="51">
                  <c:v>45011</c:v>
                </c:pt>
                <c:pt idx="52">
                  <c:v>45004</c:v>
                </c:pt>
                <c:pt idx="53">
                  <c:v>44997</c:v>
                </c:pt>
                <c:pt idx="54">
                  <c:v>44990</c:v>
                </c:pt>
                <c:pt idx="55">
                  <c:v>44983</c:v>
                </c:pt>
                <c:pt idx="56">
                  <c:v>44976</c:v>
                </c:pt>
                <c:pt idx="57">
                  <c:v>44969</c:v>
                </c:pt>
                <c:pt idx="58">
                  <c:v>44962</c:v>
                </c:pt>
                <c:pt idx="59">
                  <c:v>44955</c:v>
                </c:pt>
                <c:pt idx="60">
                  <c:v>44948</c:v>
                </c:pt>
                <c:pt idx="61">
                  <c:v>44941</c:v>
                </c:pt>
                <c:pt idx="62">
                  <c:v>44934</c:v>
                </c:pt>
                <c:pt idx="63">
                  <c:v>44927</c:v>
                </c:pt>
                <c:pt idx="64">
                  <c:v>44920</c:v>
                </c:pt>
                <c:pt idx="65">
                  <c:v>44913</c:v>
                </c:pt>
                <c:pt idx="66">
                  <c:v>44906</c:v>
                </c:pt>
                <c:pt idx="67">
                  <c:v>44899</c:v>
                </c:pt>
                <c:pt idx="68">
                  <c:v>44892</c:v>
                </c:pt>
                <c:pt idx="69">
                  <c:v>44885</c:v>
                </c:pt>
                <c:pt idx="70">
                  <c:v>44878</c:v>
                </c:pt>
                <c:pt idx="71">
                  <c:v>44871</c:v>
                </c:pt>
                <c:pt idx="72">
                  <c:v>44864</c:v>
                </c:pt>
                <c:pt idx="73">
                  <c:v>44857</c:v>
                </c:pt>
                <c:pt idx="74">
                  <c:v>44850</c:v>
                </c:pt>
                <c:pt idx="75">
                  <c:v>44843</c:v>
                </c:pt>
                <c:pt idx="76">
                  <c:v>44836</c:v>
                </c:pt>
                <c:pt idx="77">
                  <c:v>44829</c:v>
                </c:pt>
                <c:pt idx="78">
                  <c:v>44822</c:v>
                </c:pt>
                <c:pt idx="79">
                  <c:v>44815</c:v>
                </c:pt>
                <c:pt idx="80">
                  <c:v>44808</c:v>
                </c:pt>
                <c:pt idx="81">
                  <c:v>44801</c:v>
                </c:pt>
                <c:pt idx="82">
                  <c:v>44794</c:v>
                </c:pt>
                <c:pt idx="83">
                  <c:v>44787</c:v>
                </c:pt>
                <c:pt idx="84">
                  <c:v>44780</c:v>
                </c:pt>
                <c:pt idx="85">
                  <c:v>44773</c:v>
                </c:pt>
                <c:pt idx="86">
                  <c:v>44766</c:v>
                </c:pt>
                <c:pt idx="87">
                  <c:v>44759</c:v>
                </c:pt>
                <c:pt idx="88">
                  <c:v>44752</c:v>
                </c:pt>
                <c:pt idx="89">
                  <c:v>44745</c:v>
                </c:pt>
                <c:pt idx="90">
                  <c:v>44738</c:v>
                </c:pt>
                <c:pt idx="91">
                  <c:v>44731</c:v>
                </c:pt>
                <c:pt idx="92">
                  <c:v>44724</c:v>
                </c:pt>
                <c:pt idx="93">
                  <c:v>44717</c:v>
                </c:pt>
                <c:pt idx="94">
                  <c:v>44710</c:v>
                </c:pt>
                <c:pt idx="95">
                  <c:v>44703</c:v>
                </c:pt>
                <c:pt idx="96">
                  <c:v>44696</c:v>
                </c:pt>
                <c:pt idx="97">
                  <c:v>44689</c:v>
                </c:pt>
                <c:pt idx="98">
                  <c:v>44682</c:v>
                </c:pt>
                <c:pt idx="99">
                  <c:v>44675</c:v>
                </c:pt>
                <c:pt idx="100">
                  <c:v>44668</c:v>
                </c:pt>
                <c:pt idx="101">
                  <c:v>44661</c:v>
                </c:pt>
                <c:pt idx="102">
                  <c:v>44654</c:v>
                </c:pt>
                <c:pt idx="103">
                  <c:v>44647</c:v>
                </c:pt>
                <c:pt idx="104">
                  <c:v>44640</c:v>
                </c:pt>
                <c:pt idx="105">
                  <c:v>44633</c:v>
                </c:pt>
                <c:pt idx="106">
                  <c:v>44626</c:v>
                </c:pt>
                <c:pt idx="107">
                  <c:v>44619</c:v>
                </c:pt>
                <c:pt idx="108">
                  <c:v>44612</c:v>
                </c:pt>
                <c:pt idx="109">
                  <c:v>44605</c:v>
                </c:pt>
                <c:pt idx="110">
                  <c:v>44598</c:v>
                </c:pt>
                <c:pt idx="111">
                  <c:v>44591</c:v>
                </c:pt>
                <c:pt idx="112">
                  <c:v>44584</c:v>
                </c:pt>
                <c:pt idx="113">
                  <c:v>44577</c:v>
                </c:pt>
                <c:pt idx="114">
                  <c:v>44570</c:v>
                </c:pt>
                <c:pt idx="115">
                  <c:v>44563</c:v>
                </c:pt>
                <c:pt idx="116">
                  <c:v>44556</c:v>
                </c:pt>
                <c:pt idx="117">
                  <c:v>44549</c:v>
                </c:pt>
                <c:pt idx="118">
                  <c:v>44542</c:v>
                </c:pt>
                <c:pt idx="119">
                  <c:v>44535</c:v>
                </c:pt>
                <c:pt idx="120">
                  <c:v>44528</c:v>
                </c:pt>
                <c:pt idx="121">
                  <c:v>44521</c:v>
                </c:pt>
                <c:pt idx="122">
                  <c:v>44514</c:v>
                </c:pt>
                <c:pt idx="123">
                  <c:v>44507</c:v>
                </c:pt>
                <c:pt idx="124">
                  <c:v>44500</c:v>
                </c:pt>
                <c:pt idx="125">
                  <c:v>44493</c:v>
                </c:pt>
                <c:pt idx="126">
                  <c:v>44486</c:v>
                </c:pt>
                <c:pt idx="127">
                  <c:v>44479</c:v>
                </c:pt>
                <c:pt idx="128">
                  <c:v>44472</c:v>
                </c:pt>
                <c:pt idx="129">
                  <c:v>44465</c:v>
                </c:pt>
                <c:pt idx="130">
                  <c:v>44458</c:v>
                </c:pt>
                <c:pt idx="131">
                  <c:v>44451</c:v>
                </c:pt>
                <c:pt idx="132">
                  <c:v>44444</c:v>
                </c:pt>
                <c:pt idx="133">
                  <c:v>44437</c:v>
                </c:pt>
                <c:pt idx="134">
                  <c:v>44430</c:v>
                </c:pt>
                <c:pt idx="135">
                  <c:v>44423</c:v>
                </c:pt>
                <c:pt idx="136">
                  <c:v>44416</c:v>
                </c:pt>
                <c:pt idx="137">
                  <c:v>44409</c:v>
                </c:pt>
                <c:pt idx="138">
                  <c:v>44402</c:v>
                </c:pt>
                <c:pt idx="139">
                  <c:v>44395</c:v>
                </c:pt>
                <c:pt idx="140">
                  <c:v>44388</c:v>
                </c:pt>
                <c:pt idx="141">
                  <c:v>44381</c:v>
                </c:pt>
                <c:pt idx="142">
                  <c:v>44374</c:v>
                </c:pt>
                <c:pt idx="143">
                  <c:v>44367</c:v>
                </c:pt>
                <c:pt idx="144">
                  <c:v>44360</c:v>
                </c:pt>
                <c:pt idx="145">
                  <c:v>44353</c:v>
                </c:pt>
                <c:pt idx="146">
                  <c:v>44346</c:v>
                </c:pt>
                <c:pt idx="147">
                  <c:v>44339</c:v>
                </c:pt>
                <c:pt idx="148">
                  <c:v>44332</c:v>
                </c:pt>
                <c:pt idx="149">
                  <c:v>44325</c:v>
                </c:pt>
                <c:pt idx="150">
                  <c:v>44318</c:v>
                </c:pt>
                <c:pt idx="151">
                  <c:v>44311</c:v>
                </c:pt>
                <c:pt idx="152">
                  <c:v>44304</c:v>
                </c:pt>
                <c:pt idx="153">
                  <c:v>44297</c:v>
                </c:pt>
                <c:pt idx="154">
                  <c:v>44290</c:v>
                </c:pt>
                <c:pt idx="155">
                  <c:v>44283</c:v>
                </c:pt>
                <c:pt idx="156">
                  <c:v>44276</c:v>
                </c:pt>
                <c:pt idx="157">
                  <c:v>44269</c:v>
                </c:pt>
                <c:pt idx="158">
                  <c:v>44262</c:v>
                </c:pt>
                <c:pt idx="159">
                  <c:v>44255</c:v>
                </c:pt>
                <c:pt idx="160">
                  <c:v>44248</c:v>
                </c:pt>
                <c:pt idx="161">
                  <c:v>44241</c:v>
                </c:pt>
                <c:pt idx="162">
                  <c:v>44234</c:v>
                </c:pt>
                <c:pt idx="163">
                  <c:v>44227</c:v>
                </c:pt>
                <c:pt idx="164">
                  <c:v>44220</c:v>
                </c:pt>
                <c:pt idx="165">
                  <c:v>44213</c:v>
                </c:pt>
                <c:pt idx="166">
                  <c:v>44206</c:v>
                </c:pt>
                <c:pt idx="167">
                  <c:v>44199</c:v>
                </c:pt>
                <c:pt idx="168">
                  <c:v>44192</c:v>
                </c:pt>
                <c:pt idx="169">
                  <c:v>44185</c:v>
                </c:pt>
                <c:pt idx="170">
                  <c:v>44178</c:v>
                </c:pt>
                <c:pt idx="171">
                  <c:v>44171</c:v>
                </c:pt>
                <c:pt idx="172">
                  <c:v>44164</c:v>
                </c:pt>
                <c:pt idx="173">
                  <c:v>44157</c:v>
                </c:pt>
                <c:pt idx="174">
                  <c:v>44150</c:v>
                </c:pt>
                <c:pt idx="175">
                  <c:v>44143</c:v>
                </c:pt>
                <c:pt idx="176">
                  <c:v>44136</c:v>
                </c:pt>
                <c:pt idx="177">
                  <c:v>44129</c:v>
                </c:pt>
                <c:pt idx="178">
                  <c:v>44122</c:v>
                </c:pt>
                <c:pt idx="179">
                  <c:v>44115</c:v>
                </c:pt>
                <c:pt idx="180">
                  <c:v>44108</c:v>
                </c:pt>
                <c:pt idx="181">
                  <c:v>44101</c:v>
                </c:pt>
                <c:pt idx="182">
                  <c:v>44094</c:v>
                </c:pt>
                <c:pt idx="183">
                  <c:v>44087</c:v>
                </c:pt>
                <c:pt idx="184">
                  <c:v>44080</c:v>
                </c:pt>
                <c:pt idx="185">
                  <c:v>44073</c:v>
                </c:pt>
                <c:pt idx="186">
                  <c:v>44066</c:v>
                </c:pt>
                <c:pt idx="187">
                  <c:v>44059</c:v>
                </c:pt>
                <c:pt idx="188">
                  <c:v>44052</c:v>
                </c:pt>
                <c:pt idx="189">
                  <c:v>44045</c:v>
                </c:pt>
                <c:pt idx="190">
                  <c:v>44038</c:v>
                </c:pt>
                <c:pt idx="191">
                  <c:v>44031</c:v>
                </c:pt>
                <c:pt idx="192">
                  <c:v>44024</c:v>
                </c:pt>
                <c:pt idx="193">
                  <c:v>44017</c:v>
                </c:pt>
                <c:pt idx="194">
                  <c:v>44010</c:v>
                </c:pt>
                <c:pt idx="195">
                  <c:v>44003</c:v>
                </c:pt>
                <c:pt idx="196">
                  <c:v>43996</c:v>
                </c:pt>
                <c:pt idx="197">
                  <c:v>43989</c:v>
                </c:pt>
                <c:pt idx="198">
                  <c:v>43982</c:v>
                </c:pt>
                <c:pt idx="199">
                  <c:v>43975</c:v>
                </c:pt>
                <c:pt idx="200">
                  <c:v>43968</c:v>
                </c:pt>
                <c:pt idx="201">
                  <c:v>43961</c:v>
                </c:pt>
                <c:pt idx="202">
                  <c:v>43954</c:v>
                </c:pt>
                <c:pt idx="203">
                  <c:v>43947</c:v>
                </c:pt>
                <c:pt idx="204">
                  <c:v>43940</c:v>
                </c:pt>
                <c:pt idx="205">
                  <c:v>43933</c:v>
                </c:pt>
                <c:pt idx="206">
                  <c:v>43926</c:v>
                </c:pt>
                <c:pt idx="207">
                  <c:v>43919</c:v>
                </c:pt>
                <c:pt idx="208">
                  <c:v>43912</c:v>
                </c:pt>
                <c:pt idx="209">
                  <c:v>43905</c:v>
                </c:pt>
                <c:pt idx="210">
                  <c:v>43898</c:v>
                </c:pt>
                <c:pt idx="211">
                  <c:v>43891</c:v>
                </c:pt>
                <c:pt idx="212">
                  <c:v>43884</c:v>
                </c:pt>
                <c:pt idx="213">
                  <c:v>43877</c:v>
                </c:pt>
                <c:pt idx="214">
                  <c:v>43870</c:v>
                </c:pt>
                <c:pt idx="215">
                  <c:v>43863</c:v>
                </c:pt>
                <c:pt idx="216">
                  <c:v>43856</c:v>
                </c:pt>
                <c:pt idx="217">
                  <c:v>43849</c:v>
                </c:pt>
                <c:pt idx="218">
                  <c:v>43842</c:v>
                </c:pt>
                <c:pt idx="219">
                  <c:v>43835</c:v>
                </c:pt>
                <c:pt idx="220">
                  <c:v>43828</c:v>
                </c:pt>
                <c:pt idx="221">
                  <c:v>43821</c:v>
                </c:pt>
                <c:pt idx="222">
                  <c:v>43814</c:v>
                </c:pt>
                <c:pt idx="223">
                  <c:v>43807</c:v>
                </c:pt>
                <c:pt idx="224">
                  <c:v>43800</c:v>
                </c:pt>
                <c:pt idx="225">
                  <c:v>43793</c:v>
                </c:pt>
                <c:pt idx="226">
                  <c:v>43786</c:v>
                </c:pt>
                <c:pt idx="227">
                  <c:v>43779</c:v>
                </c:pt>
                <c:pt idx="228">
                  <c:v>43772</c:v>
                </c:pt>
                <c:pt idx="229">
                  <c:v>43765</c:v>
                </c:pt>
                <c:pt idx="230">
                  <c:v>43758</c:v>
                </c:pt>
                <c:pt idx="231">
                  <c:v>43751</c:v>
                </c:pt>
                <c:pt idx="232">
                  <c:v>43744</c:v>
                </c:pt>
                <c:pt idx="233">
                  <c:v>43737</c:v>
                </c:pt>
                <c:pt idx="234">
                  <c:v>43730</c:v>
                </c:pt>
                <c:pt idx="235">
                  <c:v>43723</c:v>
                </c:pt>
                <c:pt idx="236">
                  <c:v>43716</c:v>
                </c:pt>
                <c:pt idx="237">
                  <c:v>43709</c:v>
                </c:pt>
                <c:pt idx="238">
                  <c:v>43702</c:v>
                </c:pt>
                <c:pt idx="239">
                  <c:v>43695</c:v>
                </c:pt>
                <c:pt idx="240">
                  <c:v>43688</c:v>
                </c:pt>
                <c:pt idx="241">
                  <c:v>43681</c:v>
                </c:pt>
                <c:pt idx="242">
                  <c:v>43674</c:v>
                </c:pt>
                <c:pt idx="243">
                  <c:v>43667</c:v>
                </c:pt>
                <c:pt idx="244">
                  <c:v>43660</c:v>
                </c:pt>
                <c:pt idx="245">
                  <c:v>43653</c:v>
                </c:pt>
                <c:pt idx="246">
                  <c:v>43646</c:v>
                </c:pt>
                <c:pt idx="247">
                  <c:v>43639</c:v>
                </c:pt>
                <c:pt idx="248">
                  <c:v>43632</c:v>
                </c:pt>
                <c:pt idx="249">
                  <c:v>43625</c:v>
                </c:pt>
                <c:pt idx="250">
                  <c:v>43618</c:v>
                </c:pt>
                <c:pt idx="251">
                  <c:v>43611</c:v>
                </c:pt>
                <c:pt idx="252">
                  <c:v>43604</c:v>
                </c:pt>
                <c:pt idx="253">
                  <c:v>43597</c:v>
                </c:pt>
                <c:pt idx="254">
                  <c:v>43590</c:v>
                </c:pt>
                <c:pt idx="255">
                  <c:v>43583</c:v>
                </c:pt>
                <c:pt idx="256">
                  <c:v>43576</c:v>
                </c:pt>
                <c:pt idx="257">
                  <c:v>43569</c:v>
                </c:pt>
                <c:pt idx="258">
                  <c:v>43562</c:v>
                </c:pt>
                <c:pt idx="259">
                  <c:v>43555</c:v>
                </c:pt>
                <c:pt idx="260">
                  <c:v>43548</c:v>
                </c:pt>
                <c:pt idx="261">
                  <c:v>43541</c:v>
                </c:pt>
                <c:pt idx="262">
                  <c:v>43534</c:v>
                </c:pt>
                <c:pt idx="263">
                  <c:v>43527</c:v>
                </c:pt>
                <c:pt idx="264">
                  <c:v>43520</c:v>
                </c:pt>
                <c:pt idx="265">
                  <c:v>43513</c:v>
                </c:pt>
                <c:pt idx="266">
                  <c:v>43506</c:v>
                </c:pt>
                <c:pt idx="267">
                  <c:v>43499</c:v>
                </c:pt>
                <c:pt idx="268">
                  <c:v>43492</c:v>
                </c:pt>
                <c:pt idx="269">
                  <c:v>43485</c:v>
                </c:pt>
                <c:pt idx="270">
                  <c:v>43478</c:v>
                </c:pt>
                <c:pt idx="271">
                  <c:v>43471</c:v>
                </c:pt>
                <c:pt idx="272">
                  <c:v>43464</c:v>
                </c:pt>
                <c:pt idx="273">
                  <c:v>43457</c:v>
                </c:pt>
                <c:pt idx="274">
                  <c:v>43450</c:v>
                </c:pt>
                <c:pt idx="275">
                  <c:v>43443</c:v>
                </c:pt>
                <c:pt idx="276">
                  <c:v>43436</c:v>
                </c:pt>
                <c:pt idx="277">
                  <c:v>43429</c:v>
                </c:pt>
                <c:pt idx="278">
                  <c:v>43422</c:v>
                </c:pt>
                <c:pt idx="279">
                  <c:v>43415</c:v>
                </c:pt>
                <c:pt idx="280">
                  <c:v>43408</c:v>
                </c:pt>
                <c:pt idx="281">
                  <c:v>43401</c:v>
                </c:pt>
                <c:pt idx="282">
                  <c:v>43394</c:v>
                </c:pt>
              </c:numCache>
            </c:numRef>
          </c:cat>
          <c:val>
            <c:numRef>
              <c:f>FBX!$B$8:$B$290</c:f>
              <c:numCache>
                <c:formatCode>_(* #,##0_);_(* \(#,##0\);_(* "-"??_);_(@_)</c:formatCode>
                <c:ptCount val="283"/>
                <c:pt idx="0">
                  <c:v>2868</c:v>
                </c:pt>
                <c:pt idx="1">
                  <c:v>3069.8</c:v>
                </c:pt>
                <c:pt idx="2">
                  <c:v>3299.8</c:v>
                </c:pt>
                <c:pt idx="3">
                  <c:v>3351.6</c:v>
                </c:pt>
                <c:pt idx="4">
                  <c:v>3423</c:v>
                </c:pt>
                <c:pt idx="5">
                  <c:v>3392.8</c:v>
                </c:pt>
                <c:pt idx="6">
                  <c:v>3393.2</c:v>
                </c:pt>
                <c:pt idx="7">
                  <c:v>3411</c:v>
                </c:pt>
                <c:pt idx="8">
                  <c:v>3093.6</c:v>
                </c:pt>
                <c:pt idx="9">
                  <c:v>2613</c:v>
                </c:pt>
                <c:pt idx="10">
                  <c:v>2519</c:v>
                </c:pt>
                <c:pt idx="11">
                  <c:v>1341</c:v>
                </c:pt>
                <c:pt idx="12">
                  <c:v>1346.2</c:v>
                </c:pt>
                <c:pt idx="13">
                  <c:v>1281.4000000000001</c:v>
                </c:pt>
                <c:pt idx="14">
                  <c:v>1270</c:v>
                </c:pt>
                <c:pt idx="15">
                  <c:v>1179.2</c:v>
                </c:pt>
                <c:pt idx="16">
                  <c:v>1155.99</c:v>
                </c:pt>
                <c:pt idx="17">
                  <c:v>1157.3599999999999</c:v>
                </c:pt>
                <c:pt idx="18">
                  <c:v>1217.28</c:v>
                </c:pt>
                <c:pt idx="19">
                  <c:v>1166.97</c:v>
                </c:pt>
                <c:pt idx="20">
                  <c:v>1094.94</c:v>
                </c:pt>
                <c:pt idx="21">
                  <c:v>1048.0899999999999</c:v>
                </c:pt>
                <c:pt idx="22">
                  <c:v>1073.43</c:v>
                </c:pt>
                <c:pt idx="23">
                  <c:v>1089</c:v>
                </c:pt>
                <c:pt idx="24">
                  <c:v>1176</c:v>
                </c:pt>
                <c:pt idx="25">
                  <c:v>1251</c:v>
                </c:pt>
                <c:pt idx="26">
                  <c:v>1389</c:v>
                </c:pt>
                <c:pt idx="27">
                  <c:v>1455</c:v>
                </c:pt>
                <c:pt idx="28">
                  <c:v>1527</c:v>
                </c:pt>
                <c:pt idx="29">
                  <c:v>1530</c:v>
                </c:pt>
                <c:pt idx="30">
                  <c:v>1501</c:v>
                </c:pt>
                <c:pt idx="31">
                  <c:v>1533</c:v>
                </c:pt>
                <c:pt idx="32">
                  <c:v>1442</c:v>
                </c:pt>
                <c:pt idx="33">
                  <c:v>1323</c:v>
                </c:pt>
                <c:pt idx="34">
                  <c:v>1290</c:v>
                </c:pt>
                <c:pt idx="35">
                  <c:v>1270</c:v>
                </c:pt>
                <c:pt idx="36">
                  <c:v>1290</c:v>
                </c:pt>
                <c:pt idx="37">
                  <c:v>1277</c:v>
                </c:pt>
                <c:pt idx="38">
                  <c:v>1297</c:v>
                </c:pt>
                <c:pt idx="39">
                  <c:v>1399</c:v>
                </c:pt>
                <c:pt idx="40">
                  <c:v>1441</c:v>
                </c:pt>
                <c:pt idx="41">
                  <c:v>1380</c:v>
                </c:pt>
                <c:pt idx="42">
                  <c:v>1407</c:v>
                </c:pt>
                <c:pt idx="43">
                  <c:v>1446</c:v>
                </c:pt>
                <c:pt idx="44">
                  <c:v>1437</c:v>
                </c:pt>
                <c:pt idx="45">
                  <c:v>1497</c:v>
                </c:pt>
                <c:pt idx="46">
                  <c:v>1576</c:v>
                </c:pt>
                <c:pt idx="47">
                  <c:v>1599</c:v>
                </c:pt>
                <c:pt idx="48">
                  <c:v>1406</c:v>
                </c:pt>
                <c:pt idx="49">
                  <c:v>1416</c:v>
                </c:pt>
                <c:pt idx="50">
                  <c:v>1481</c:v>
                </c:pt>
                <c:pt idx="51">
                  <c:v>1492</c:v>
                </c:pt>
                <c:pt idx="52">
                  <c:v>1463</c:v>
                </c:pt>
                <c:pt idx="53">
                  <c:v>1568</c:v>
                </c:pt>
                <c:pt idx="54">
                  <c:v>1790</c:v>
                </c:pt>
                <c:pt idx="55">
                  <c:v>1984</c:v>
                </c:pt>
                <c:pt idx="56">
                  <c:v>1991</c:v>
                </c:pt>
                <c:pt idx="57">
                  <c:v>2005</c:v>
                </c:pt>
                <c:pt idx="58">
                  <c:v>2062</c:v>
                </c:pt>
                <c:pt idx="59">
                  <c:v>2214</c:v>
                </c:pt>
                <c:pt idx="60">
                  <c:v>2178</c:v>
                </c:pt>
                <c:pt idx="61">
                  <c:v>2238</c:v>
                </c:pt>
                <c:pt idx="62">
                  <c:v>2168</c:v>
                </c:pt>
                <c:pt idx="63">
                  <c:v>2246</c:v>
                </c:pt>
                <c:pt idx="64">
                  <c:v>2126</c:v>
                </c:pt>
                <c:pt idx="65">
                  <c:v>2127</c:v>
                </c:pt>
                <c:pt idx="66">
                  <c:v>2325</c:v>
                </c:pt>
                <c:pt idx="67">
                  <c:v>2528</c:v>
                </c:pt>
                <c:pt idx="68">
                  <c:v>2786</c:v>
                </c:pt>
                <c:pt idx="69">
                  <c:v>3040</c:v>
                </c:pt>
                <c:pt idx="70">
                  <c:v>3185</c:v>
                </c:pt>
                <c:pt idx="71">
                  <c:v>3364</c:v>
                </c:pt>
                <c:pt idx="72">
                  <c:v>3340</c:v>
                </c:pt>
                <c:pt idx="73">
                  <c:v>3429</c:v>
                </c:pt>
                <c:pt idx="74">
                  <c:v>3540</c:v>
                </c:pt>
                <c:pt idx="75">
                  <c:v>3699</c:v>
                </c:pt>
                <c:pt idx="76">
                  <c:v>4060</c:v>
                </c:pt>
                <c:pt idx="77">
                  <c:v>4262</c:v>
                </c:pt>
                <c:pt idx="78">
                  <c:v>4653</c:v>
                </c:pt>
                <c:pt idx="79">
                  <c:v>4862</c:v>
                </c:pt>
                <c:pt idx="80">
                  <c:v>5286</c:v>
                </c:pt>
                <c:pt idx="81">
                  <c:v>5703</c:v>
                </c:pt>
                <c:pt idx="82">
                  <c:v>5820</c:v>
                </c:pt>
                <c:pt idx="83">
                  <c:v>5956</c:v>
                </c:pt>
                <c:pt idx="84">
                  <c:v>6139</c:v>
                </c:pt>
                <c:pt idx="85">
                  <c:v>6120</c:v>
                </c:pt>
                <c:pt idx="86">
                  <c:v>6319</c:v>
                </c:pt>
                <c:pt idx="87">
                  <c:v>6414</c:v>
                </c:pt>
                <c:pt idx="88">
                  <c:v>6495</c:v>
                </c:pt>
                <c:pt idx="89">
                  <c:v>6577</c:v>
                </c:pt>
                <c:pt idx="90">
                  <c:v>7032</c:v>
                </c:pt>
                <c:pt idx="91">
                  <c:v>7098</c:v>
                </c:pt>
                <c:pt idx="92">
                  <c:v>7261</c:v>
                </c:pt>
                <c:pt idx="93">
                  <c:v>7370</c:v>
                </c:pt>
                <c:pt idx="94">
                  <c:v>7851</c:v>
                </c:pt>
                <c:pt idx="95">
                  <c:v>8466</c:v>
                </c:pt>
                <c:pt idx="96">
                  <c:v>8236</c:v>
                </c:pt>
                <c:pt idx="97">
                  <c:v>8710</c:v>
                </c:pt>
                <c:pt idx="98">
                  <c:v>8955</c:v>
                </c:pt>
                <c:pt idx="99">
                  <c:v>9142</c:v>
                </c:pt>
                <c:pt idx="100">
                  <c:v>9232</c:v>
                </c:pt>
                <c:pt idx="101">
                  <c:v>9280</c:v>
                </c:pt>
                <c:pt idx="102">
                  <c:v>9416</c:v>
                </c:pt>
                <c:pt idx="103">
                  <c:v>9430</c:v>
                </c:pt>
                <c:pt idx="104">
                  <c:v>9488</c:v>
                </c:pt>
                <c:pt idx="105">
                  <c:v>9777</c:v>
                </c:pt>
                <c:pt idx="106">
                  <c:v>9757</c:v>
                </c:pt>
                <c:pt idx="107">
                  <c:v>9789</c:v>
                </c:pt>
                <c:pt idx="108">
                  <c:v>9745</c:v>
                </c:pt>
                <c:pt idx="109">
                  <c:v>9628</c:v>
                </c:pt>
                <c:pt idx="110">
                  <c:v>9660</c:v>
                </c:pt>
                <c:pt idx="111">
                  <c:v>9806</c:v>
                </c:pt>
                <c:pt idx="112">
                  <c:v>9680</c:v>
                </c:pt>
                <c:pt idx="113">
                  <c:v>9526</c:v>
                </c:pt>
                <c:pt idx="114">
                  <c:v>9167</c:v>
                </c:pt>
                <c:pt idx="115">
                  <c:v>9293</c:v>
                </c:pt>
                <c:pt idx="116">
                  <c:v>9437</c:v>
                </c:pt>
                <c:pt idx="117">
                  <c:v>9513</c:v>
                </c:pt>
                <c:pt idx="118">
                  <c:v>9550</c:v>
                </c:pt>
                <c:pt idx="119">
                  <c:v>9425</c:v>
                </c:pt>
                <c:pt idx="120">
                  <c:v>9351</c:v>
                </c:pt>
                <c:pt idx="121">
                  <c:v>9202</c:v>
                </c:pt>
                <c:pt idx="122">
                  <c:v>9411</c:v>
                </c:pt>
                <c:pt idx="123">
                  <c:v>10525</c:v>
                </c:pt>
                <c:pt idx="124">
                  <c:v>10321</c:v>
                </c:pt>
                <c:pt idx="125">
                  <c:v>10215</c:v>
                </c:pt>
                <c:pt idx="126">
                  <c:v>10396</c:v>
                </c:pt>
                <c:pt idx="127">
                  <c:v>9949</c:v>
                </c:pt>
                <c:pt idx="128">
                  <c:v>10517</c:v>
                </c:pt>
                <c:pt idx="129">
                  <c:v>10839</c:v>
                </c:pt>
                <c:pt idx="130">
                  <c:v>10996</c:v>
                </c:pt>
                <c:pt idx="131">
                  <c:v>11109</c:v>
                </c:pt>
                <c:pt idx="132">
                  <c:v>10519</c:v>
                </c:pt>
                <c:pt idx="133">
                  <c:v>10323</c:v>
                </c:pt>
                <c:pt idx="134">
                  <c:v>10024</c:v>
                </c:pt>
                <c:pt idx="135">
                  <c:v>9568</c:v>
                </c:pt>
                <c:pt idx="136">
                  <c:v>10380</c:v>
                </c:pt>
                <c:pt idx="137">
                  <c:v>10176</c:v>
                </c:pt>
                <c:pt idx="138">
                  <c:v>8999</c:v>
                </c:pt>
                <c:pt idx="139">
                  <c:v>7998</c:v>
                </c:pt>
                <c:pt idx="140">
                  <c:v>7629</c:v>
                </c:pt>
                <c:pt idx="141">
                  <c:v>6970</c:v>
                </c:pt>
                <c:pt idx="142">
                  <c:v>6753</c:v>
                </c:pt>
                <c:pt idx="143">
                  <c:v>6811</c:v>
                </c:pt>
                <c:pt idx="144">
                  <c:v>6576</c:v>
                </c:pt>
                <c:pt idx="145">
                  <c:v>6251</c:v>
                </c:pt>
                <c:pt idx="146">
                  <c:v>5908</c:v>
                </c:pt>
                <c:pt idx="147">
                  <c:v>5545</c:v>
                </c:pt>
                <c:pt idx="148">
                  <c:v>5379</c:v>
                </c:pt>
                <c:pt idx="149">
                  <c:v>4957</c:v>
                </c:pt>
                <c:pt idx="150">
                  <c:v>4686</c:v>
                </c:pt>
                <c:pt idx="151">
                  <c:v>4702</c:v>
                </c:pt>
                <c:pt idx="152">
                  <c:v>4591</c:v>
                </c:pt>
                <c:pt idx="153">
                  <c:v>4495</c:v>
                </c:pt>
                <c:pt idx="154">
                  <c:v>4442</c:v>
                </c:pt>
                <c:pt idx="155">
                  <c:v>4367</c:v>
                </c:pt>
                <c:pt idx="156">
                  <c:v>4300</c:v>
                </c:pt>
                <c:pt idx="157">
                  <c:v>4481</c:v>
                </c:pt>
                <c:pt idx="158">
                  <c:v>4347</c:v>
                </c:pt>
                <c:pt idx="159">
                  <c:v>4530</c:v>
                </c:pt>
                <c:pt idx="160">
                  <c:v>4578</c:v>
                </c:pt>
                <c:pt idx="161">
                  <c:v>4386</c:v>
                </c:pt>
                <c:pt idx="162">
                  <c:v>4438</c:v>
                </c:pt>
                <c:pt idx="163">
                  <c:v>4398</c:v>
                </c:pt>
                <c:pt idx="164">
                  <c:v>4204</c:v>
                </c:pt>
                <c:pt idx="165">
                  <c:v>4277</c:v>
                </c:pt>
                <c:pt idx="166">
                  <c:v>3854</c:v>
                </c:pt>
                <c:pt idx="167">
                  <c:v>3452</c:v>
                </c:pt>
                <c:pt idx="168">
                  <c:v>3143</c:v>
                </c:pt>
                <c:pt idx="169">
                  <c:v>3004</c:v>
                </c:pt>
                <c:pt idx="170">
                  <c:v>2782</c:v>
                </c:pt>
                <c:pt idx="171">
                  <c:v>2652</c:v>
                </c:pt>
                <c:pt idx="172">
                  <c:v>2443</c:v>
                </c:pt>
                <c:pt idx="173">
                  <c:v>2375</c:v>
                </c:pt>
                <c:pt idx="174">
                  <c:v>2291</c:v>
                </c:pt>
                <c:pt idx="175">
                  <c:v>2264</c:v>
                </c:pt>
                <c:pt idx="176">
                  <c:v>2231</c:v>
                </c:pt>
                <c:pt idx="177">
                  <c:v>2230</c:v>
                </c:pt>
                <c:pt idx="178">
                  <c:v>2232</c:v>
                </c:pt>
                <c:pt idx="179">
                  <c:v>2242</c:v>
                </c:pt>
                <c:pt idx="180">
                  <c:v>2250</c:v>
                </c:pt>
                <c:pt idx="181">
                  <c:v>2247</c:v>
                </c:pt>
                <c:pt idx="182">
                  <c:v>2174</c:v>
                </c:pt>
                <c:pt idx="183">
                  <c:v>2112</c:v>
                </c:pt>
                <c:pt idx="184">
                  <c:v>2032</c:v>
                </c:pt>
                <c:pt idx="185">
                  <c:v>1946</c:v>
                </c:pt>
                <c:pt idx="186">
                  <c:v>1913</c:v>
                </c:pt>
                <c:pt idx="187">
                  <c:v>1848</c:v>
                </c:pt>
                <c:pt idx="188">
                  <c:v>1828</c:v>
                </c:pt>
                <c:pt idx="189">
                  <c:v>1762</c:v>
                </c:pt>
                <c:pt idx="190">
                  <c:v>1779</c:v>
                </c:pt>
                <c:pt idx="191">
                  <c:v>1816</c:v>
                </c:pt>
                <c:pt idx="192">
                  <c:v>1859</c:v>
                </c:pt>
                <c:pt idx="193">
                  <c:v>1812</c:v>
                </c:pt>
                <c:pt idx="194">
                  <c:v>1785</c:v>
                </c:pt>
                <c:pt idx="195">
                  <c:v>1768</c:v>
                </c:pt>
                <c:pt idx="196">
                  <c:v>1674</c:v>
                </c:pt>
                <c:pt idx="197">
                  <c:v>1556</c:v>
                </c:pt>
                <c:pt idx="198">
                  <c:v>1459</c:v>
                </c:pt>
                <c:pt idx="199">
                  <c:v>1471</c:v>
                </c:pt>
                <c:pt idx="200">
                  <c:v>1487</c:v>
                </c:pt>
                <c:pt idx="201">
                  <c:v>1487</c:v>
                </c:pt>
                <c:pt idx="202">
                  <c:v>1451</c:v>
                </c:pt>
                <c:pt idx="203">
                  <c:v>1439</c:v>
                </c:pt>
                <c:pt idx="204">
                  <c:v>1467</c:v>
                </c:pt>
                <c:pt idx="205">
                  <c:v>1473</c:v>
                </c:pt>
                <c:pt idx="206">
                  <c:v>1433</c:v>
                </c:pt>
                <c:pt idx="207">
                  <c:v>1400</c:v>
                </c:pt>
                <c:pt idx="208">
                  <c:v>1377</c:v>
                </c:pt>
                <c:pt idx="209">
                  <c:v>1344</c:v>
                </c:pt>
                <c:pt idx="210">
                  <c:v>1358</c:v>
                </c:pt>
                <c:pt idx="211">
                  <c:v>1331</c:v>
                </c:pt>
                <c:pt idx="212">
                  <c:v>1350</c:v>
                </c:pt>
                <c:pt idx="213">
                  <c:v>1443</c:v>
                </c:pt>
                <c:pt idx="214">
                  <c:v>1468</c:v>
                </c:pt>
                <c:pt idx="215">
                  <c:v>1514</c:v>
                </c:pt>
                <c:pt idx="216">
                  <c:v>1549</c:v>
                </c:pt>
                <c:pt idx="217">
                  <c:v>1581</c:v>
                </c:pt>
                <c:pt idx="218">
                  <c:v>1555</c:v>
                </c:pt>
                <c:pt idx="219">
                  <c:v>1462</c:v>
                </c:pt>
                <c:pt idx="220">
                  <c:v>1446</c:v>
                </c:pt>
                <c:pt idx="221">
                  <c:v>1431</c:v>
                </c:pt>
                <c:pt idx="222">
                  <c:v>1389</c:v>
                </c:pt>
                <c:pt idx="223">
                  <c:v>1315</c:v>
                </c:pt>
                <c:pt idx="224">
                  <c:v>1290</c:v>
                </c:pt>
                <c:pt idx="225">
                  <c:v>1323</c:v>
                </c:pt>
                <c:pt idx="226">
                  <c:v>1362</c:v>
                </c:pt>
                <c:pt idx="227">
                  <c:v>1325</c:v>
                </c:pt>
                <c:pt idx="228">
                  <c:v>1242</c:v>
                </c:pt>
                <c:pt idx="229">
                  <c:v>1238</c:v>
                </c:pt>
                <c:pt idx="230">
                  <c:v>1237</c:v>
                </c:pt>
                <c:pt idx="231">
                  <c:v>1239</c:v>
                </c:pt>
                <c:pt idx="232">
                  <c:v>1269</c:v>
                </c:pt>
                <c:pt idx="233">
                  <c:v>1279</c:v>
                </c:pt>
                <c:pt idx="234">
                  <c:v>1306</c:v>
                </c:pt>
                <c:pt idx="235">
                  <c:v>1356</c:v>
                </c:pt>
                <c:pt idx="236">
                  <c:v>1396</c:v>
                </c:pt>
                <c:pt idx="237">
                  <c:v>1350</c:v>
                </c:pt>
                <c:pt idx="238">
                  <c:v>1351</c:v>
                </c:pt>
                <c:pt idx="239">
                  <c:v>1338</c:v>
                </c:pt>
                <c:pt idx="240">
                  <c:v>1395</c:v>
                </c:pt>
                <c:pt idx="241">
                  <c:v>1351</c:v>
                </c:pt>
                <c:pt idx="242">
                  <c:v>1342</c:v>
                </c:pt>
                <c:pt idx="243">
                  <c:v>1374</c:v>
                </c:pt>
                <c:pt idx="244">
                  <c:v>1399</c:v>
                </c:pt>
                <c:pt idx="245">
                  <c:v>1381</c:v>
                </c:pt>
                <c:pt idx="246">
                  <c:v>1317</c:v>
                </c:pt>
                <c:pt idx="247">
                  <c:v>1307</c:v>
                </c:pt>
                <c:pt idx="248">
                  <c:v>1340</c:v>
                </c:pt>
                <c:pt idx="249">
                  <c:v>1362</c:v>
                </c:pt>
                <c:pt idx="250">
                  <c:v>1289</c:v>
                </c:pt>
                <c:pt idx="251">
                  <c:v>1296</c:v>
                </c:pt>
                <c:pt idx="252">
                  <c:v>1366</c:v>
                </c:pt>
                <c:pt idx="253">
                  <c:v>1407</c:v>
                </c:pt>
                <c:pt idx="254">
                  <c:v>1388</c:v>
                </c:pt>
                <c:pt idx="255">
                  <c:v>1334</c:v>
                </c:pt>
                <c:pt idx="256">
                  <c:v>1334</c:v>
                </c:pt>
                <c:pt idx="257">
                  <c:v>1379</c:v>
                </c:pt>
                <c:pt idx="258">
                  <c:v>1375</c:v>
                </c:pt>
                <c:pt idx="259">
                  <c:v>1300</c:v>
                </c:pt>
                <c:pt idx="260">
                  <c:v>1280</c:v>
                </c:pt>
                <c:pt idx="261">
                  <c:v>1357</c:v>
                </c:pt>
                <c:pt idx="262">
                  <c:v>1420</c:v>
                </c:pt>
                <c:pt idx="263">
                  <c:v>1482</c:v>
                </c:pt>
                <c:pt idx="264">
                  <c:v>1512</c:v>
                </c:pt>
                <c:pt idx="265">
                  <c:v>1574</c:v>
                </c:pt>
                <c:pt idx="266">
                  <c:v>1540</c:v>
                </c:pt>
                <c:pt idx="267">
                  <c:v>1588</c:v>
                </c:pt>
                <c:pt idx="268">
                  <c:v>1603</c:v>
                </c:pt>
                <c:pt idx="269">
                  <c:v>1575</c:v>
                </c:pt>
                <c:pt idx="270">
                  <c:v>1559</c:v>
                </c:pt>
                <c:pt idx="271">
                  <c:v>1515</c:v>
                </c:pt>
                <c:pt idx="272">
                  <c:v>1414</c:v>
                </c:pt>
                <c:pt idx="273">
                  <c:v>1439</c:v>
                </c:pt>
                <c:pt idx="274">
                  <c:v>1544</c:v>
                </c:pt>
                <c:pt idx="275">
                  <c:v>1643</c:v>
                </c:pt>
                <c:pt idx="276">
                  <c:v>1594</c:v>
                </c:pt>
                <c:pt idx="277">
                  <c:v>1634</c:v>
                </c:pt>
                <c:pt idx="278">
                  <c:v>1632</c:v>
                </c:pt>
                <c:pt idx="279">
                  <c:v>1679</c:v>
                </c:pt>
                <c:pt idx="280">
                  <c:v>1633</c:v>
                </c:pt>
                <c:pt idx="281">
                  <c:v>1602</c:v>
                </c:pt>
                <c:pt idx="282">
                  <c:v>1557</c:v>
                </c:pt>
              </c:numCache>
            </c:numRef>
          </c:val>
          <c:smooth val="0"/>
          <c:extLst>
            <c:ext xmlns:c16="http://schemas.microsoft.com/office/drawing/2014/chart" uri="{C3380CC4-5D6E-409C-BE32-E72D297353CC}">
              <c16:uniqueId val="{00000000-D27F-4C7D-BE16-41A8C32EB3F1}"/>
            </c:ext>
          </c:extLst>
        </c:ser>
        <c:dLbls>
          <c:showLegendKey val="0"/>
          <c:showVal val="0"/>
          <c:showCatName val="0"/>
          <c:showSerName val="0"/>
          <c:showPercent val="0"/>
          <c:showBubbleSize val="0"/>
        </c:dLbls>
        <c:smooth val="0"/>
        <c:axId val="708646608"/>
        <c:axId val="708646968"/>
      </c:lineChart>
      <c:dateAx>
        <c:axId val="708646608"/>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708646968"/>
        <c:crosses val="autoZero"/>
        <c:auto val="1"/>
        <c:lblOffset val="100"/>
        <c:baseTimeUnit val="days"/>
      </c:dateAx>
      <c:valAx>
        <c:axId val="70864696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70864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Lato" panose="020F0502020204030203" pitchFamily="34" charset="0"/>
                <a:ea typeface="Lato" panose="020F0502020204030203" pitchFamily="34" charset="0"/>
                <a:cs typeface="Lato" panose="020F0502020204030203" pitchFamily="34" charset="0"/>
              </a:rPr>
              <a:t>Commodity Prices - Indexed to Feb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Commodities!$C$28</c:f>
              <c:strCache>
                <c:ptCount val="1"/>
                <c:pt idx="0">
                  <c:v>Brent Crude</c:v>
                </c:pt>
              </c:strCache>
            </c:strRef>
          </c:tx>
          <c:spPr>
            <a:ln w="28575" cap="rnd">
              <a:solidFill>
                <a:srgbClr val="FFFF00"/>
              </a:solidFill>
              <a:round/>
            </a:ln>
            <a:effectLst/>
          </c:spPr>
          <c:marker>
            <c:symbol val="none"/>
          </c:marker>
          <c:cat>
            <c:numRef>
              <c:f>Commodities!$B$29:$B$49</c:f>
              <c:numCache>
                <c:formatCode>mmm\-yy</c:formatCode>
                <c:ptCount val="21"/>
                <c:pt idx="0">
                  <c:v>44620</c:v>
                </c:pt>
                <c:pt idx="1">
                  <c:v>44651</c:v>
                </c:pt>
                <c:pt idx="2">
                  <c:v>44681</c:v>
                </c:pt>
                <c:pt idx="3">
                  <c:v>44712</c:v>
                </c:pt>
                <c:pt idx="4">
                  <c:v>44742</c:v>
                </c:pt>
                <c:pt idx="5">
                  <c:v>44773</c:v>
                </c:pt>
                <c:pt idx="6">
                  <c:v>44804</c:v>
                </c:pt>
                <c:pt idx="7">
                  <c:v>44834</c:v>
                </c:pt>
                <c:pt idx="8">
                  <c:v>44865</c:v>
                </c:pt>
                <c:pt idx="9">
                  <c:v>44895</c:v>
                </c:pt>
                <c:pt idx="10">
                  <c:v>44926</c:v>
                </c:pt>
                <c:pt idx="11">
                  <c:v>44957</c:v>
                </c:pt>
                <c:pt idx="12">
                  <c:v>44985</c:v>
                </c:pt>
                <c:pt idx="13">
                  <c:v>45016</c:v>
                </c:pt>
                <c:pt idx="14">
                  <c:v>45046</c:v>
                </c:pt>
                <c:pt idx="15">
                  <c:v>45076</c:v>
                </c:pt>
                <c:pt idx="16">
                  <c:v>45107</c:v>
                </c:pt>
                <c:pt idx="17">
                  <c:v>45137</c:v>
                </c:pt>
                <c:pt idx="18">
                  <c:v>45168</c:v>
                </c:pt>
                <c:pt idx="19">
                  <c:v>45199</c:v>
                </c:pt>
                <c:pt idx="20">
                  <c:v>45229</c:v>
                </c:pt>
              </c:numCache>
            </c:numRef>
          </c:cat>
          <c:val>
            <c:numRef>
              <c:f>Commodities!$C$29:$C$49</c:f>
              <c:numCache>
                <c:formatCode>0.0</c:formatCode>
                <c:ptCount val="21"/>
                <c:pt idx="0">
                  <c:v>100</c:v>
                </c:pt>
                <c:pt idx="1">
                  <c:v>119.5303784820007</c:v>
                </c:pt>
                <c:pt idx="2">
                  <c:v>113.44384183295814</c:v>
                </c:pt>
                <c:pt idx="3">
                  <c:v>118.77941466190924</c:v>
                </c:pt>
                <c:pt idx="4">
                  <c:v>124.5092387880734</c:v>
                </c:pt>
                <c:pt idx="5">
                  <c:v>110.92026290677867</c:v>
                </c:pt>
                <c:pt idx="6">
                  <c:v>104.24825311078307</c:v>
                </c:pt>
                <c:pt idx="7">
                  <c:v>96.483252948458812</c:v>
                </c:pt>
                <c:pt idx="8">
                  <c:v>99.567215387104611</c:v>
                </c:pt>
                <c:pt idx="9">
                  <c:v>97.381715055685675</c:v>
                </c:pt>
                <c:pt idx="10">
                  <c:v>87.376047982838273</c:v>
                </c:pt>
                <c:pt idx="11">
                  <c:v>89.982415048632262</c:v>
                </c:pt>
                <c:pt idx="12">
                  <c:v>89.501565133638351</c:v>
                </c:pt>
                <c:pt idx="13">
                  <c:v>84.818494517088538</c:v>
                </c:pt>
                <c:pt idx="14">
                  <c:v>89.398293067929501</c:v>
                </c:pt>
                <c:pt idx="15">
                  <c:v>81.063104373649935</c:v>
                </c:pt>
                <c:pt idx="16">
                  <c:v>80.236509083125995</c:v>
                </c:pt>
                <c:pt idx="17">
                  <c:v>85.730847975008828</c:v>
                </c:pt>
                <c:pt idx="18">
                  <c:v>91.145100858351626</c:v>
                </c:pt>
                <c:pt idx="19">
                  <c:v>99.176855642061497</c:v>
                </c:pt>
                <c:pt idx="20">
                  <c:v>95.189798295986606</c:v>
                </c:pt>
              </c:numCache>
            </c:numRef>
          </c:val>
          <c:smooth val="0"/>
          <c:extLst>
            <c:ext xmlns:c16="http://schemas.microsoft.com/office/drawing/2014/chart" uri="{C3380CC4-5D6E-409C-BE32-E72D297353CC}">
              <c16:uniqueId val="{00000000-49E0-4090-BA4F-6E3DECA8D731}"/>
            </c:ext>
          </c:extLst>
        </c:ser>
        <c:ser>
          <c:idx val="1"/>
          <c:order val="1"/>
          <c:tx>
            <c:strRef>
              <c:f>Commodities!$D$28</c:f>
              <c:strCache>
                <c:ptCount val="1"/>
                <c:pt idx="0">
                  <c:v>Coal </c:v>
                </c:pt>
              </c:strCache>
            </c:strRef>
          </c:tx>
          <c:spPr>
            <a:ln w="28575" cap="rnd">
              <a:solidFill>
                <a:srgbClr val="002060"/>
              </a:solidFill>
              <a:round/>
            </a:ln>
            <a:effectLst/>
          </c:spPr>
          <c:marker>
            <c:symbol val="none"/>
          </c:marker>
          <c:cat>
            <c:numRef>
              <c:f>Commodities!$B$29:$B$49</c:f>
              <c:numCache>
                <c:formatCode>mmm\-yy</c:formatCode>
                <c:ptCount val="21"/>
                <c:pt idx="0">
                  <c:v>44620</c:v>
                </c:pt>
                <c:pt idx="1">
                  <c:v>44651</c:v>
                </c:pt>
                <c:pt idx="2">
                  <c:v>44681</c:v>
                </c:pt>
                <c:pt idx="3">
                  <c:v>44712</c:v>
                </c:pt>
                <c:pt idx="4">
                  <c:v>44742</c:v>
                </c:pt>
                <c:pt idx="5">
                  <c:v>44773</c:v>
                </c:pt>
                <c:pt idx="6">
                  <c:v>44804</c:v>
                </c:pt>
                <c:pt idx="7">
                  <c:v>44834</c:v>
                </c:pt>
                <c:pt idx="8">
                  <c:v>44865</c:v>
                </c:pt>
                <c:pt idx="9">
                  <c:v>44895</c:v>
                </c:pt>
                <c:pt idx="10">
                  <c:v>44926</c:v>
                </c:pt>
                <c:pt idx="11">
                  <c:v>44957</c:v>
                </c:pt>
                <c:pt idx="12">
                  <c:v>44985</c:v>
                </c:pt>
                <c:pt idx="13">
                  <c:v>45016</c:v>
                </c:pt>
                <c:pt idx="14">
                  <c:v>45046</c:v>
                </c:pt>
                <c:pt idx="15">
                  <c:v>45076</c:v>
                </c:pt>
                <c:pt idx="16">
                  <c:v>45107</c:v>
                </c:pt>
                <c:pt idx="17">
                  <c:v>45137</c:v>
                </c:pt>
                <c:pt idx="18">
                  <c:v>45168</c:v>
                </c:pt>
                <c:pt idx="19">
                  <c:v>45199</c:v>
                </c:pt>
                <c:pt idx="20">
                  <c:v>45229</c:v>
                </c:pt>
              </c:numCache>
            </c:numRef>
          </c:cat>
          <c:val>
            <c:numRef>
              <c:f>Commodities!$D$29:$D$49</c:f>
              <c:numCache>
                <c:formatCode>0.0</c:formatCode>
                <c:ptCount val="21"/>
                <c:pt idx="0">
                  <c:v>100</c:v>
                </c:pt>
                <c:pt idx="1">
                  <c:v>129.70923599977974</c:v>
                </c:pt>
                <c:pt idx="2">
                  <c:v>122.8383358867338</c:v>
                </c:pt>
                <c:pt idx="3">
                  <c:v>153.58318255838105</c:v>
                </c:pt>
                <c:pt idx="4">
                  <c:v>156.86081762811568</c:v>
                </c:pt>
                <c:pt idx="5">
                  <c:v>159.13671904329573</c:v>
                </c:pt>
                <c:pt idx="6">
                  <c:v>164.20890420874701</c:v>
                </c:pt>
                <c:pt idx="7">
                  <c:v>171.67205824060943</c:v>
                </c:pt>
                <c:pt idx="8">
                  <c:v>156.67151805340498</c:v>
                </c:pt>
                <c:pt idx="9">
                  <c:v>135.14720659037198</c:v>
                </c:pt>
                <c:pt idx="10">
                  <c:v>156.96173995331401</c:v>
                </c:pt>
                <c:pt idx="11">
                  <c:v>148.46048516489009</c:v>
                </c:pt>
                <c:pt idx="12">
                  <c:v>89.620990795097711</c:v>
                </c:pt>
                <c:pt idx="13">
                  <c:v>71.929808665308727</c:v>
                </c:pt>
                <c:pt idx="14">
                  <c:v>73.646210017183094</c:v>
                </c:pt>
                <c:pt idx="15">
                  <c:v>65.787528359828727</c:v>
                </c:pt>
                <c:pt idx="16">
                  <c:v>50.87646928664963</c:v>
                </c:pt>
                <c:pt idx="17">
                  <c:v>51.756488472285042</c:v>
                </c:pt>
                <c:pt idx="18">
                  <c:v>56.07337327094497</c:v>
                </c:pt>
                <c:pt idx="19">
                  <c:v>61.830184238462529</c:v>
                </c:pt>
                <c:pt idx="20">
                  <c:v>55.31949422544735</c:v>
                </c:pt>
              </c:numCache>
            </c:numRef>
          </c:val>
          <c:smooth val="0"/>
          <c:extLst>
            <c:ext xmlns:c16="http://schemas.microsoft.com/office/drawing/2014/chart" uri="{C3380CC4-5D6E-409C-BE32-E72D297353CC}">
              <c16:uniqueId val="{00000001-49E0-4090-BA4F-6E3DECA8D731}"/>
            </c:ext>
          </c:extLst>
        </c:ser>
        <c:ser>
          <c:idx val="2"/>
          <c:order val="2"/>
          <c:tx>
            <c:strRef>
              <c:f>Commodities!$E$28</c:f>
              <c:strCache>
                <c:ptCount val="1"/>
                <c:pt idx="0">
                  <c:v>Copper</c:v>
                </c:pt>
              </c:strCache>
            </c:strRef>
          </c:tx>
          <c:spPr>
            <a:ln w="28575" cap="rnd">
              <a:solidFill>
                <a:schemeClr val="accent3"/>
              </a:solidFill>
              <a:round/>
            </a:ln>
            <a:effectLst/>
          </c:spPr>
          <c:marker>
            <c:symbol val="none"/>
          </c:marker>
          <c:cat>
            <c:numRef>
              <c:f>Commodities!$B$29:$B$49</c:f>
              <c:numCache>
                <c:formatCode>mmm\-yy</c:formatCode>
                <c:ptCount val="21"/>
                <c:pt idx="0">
                  <c:v>44620</c:v>
                </c:pt>
                <c:pt idx="1">
                  <c:v>44651</c:v>
                </c:pt>
                <c:pt idx="2">
                  <c:v>44681</c:v>
                </c:pt>
                <c:pt idx="3">
                  <c:v>44712</c:v>
                </c:pt>
                <c:pt idx="4">
                  <c:v>44742</c:v>
                </c:pt>
                <c:pt idx="5">
                  <c:v>44773</c:v>
                </c:pt>
                <c:pt idx="6">
                  <c:v>44804</c:v>
                </c:pt>
                <c:pt idx="7">
                  <c:v>44834</c:v>
                </c:pt>
                <c:pt idx="8">
                  <c:v>44865</c:v>
                </c:pt>
                <c:pt idx="9">
                  <c:v>44895</c:v>
                </c:pt>
                <c:pt idx="10">
                  <c:v>44926</c:v>
                </c:pt>
                <c:pt idx="11">
                  <c:v>44957</c:v>
                </c:pt>
                <c:pt idx="12">
                  <c:v>44985</c:v>
                </c:pt>
                <c:pt idx="13">
                  <c:v>45016</c:v>
                </c:pt>
                <c:pt idx="14">
                  <c:v>45046</c:v>
                </c:pt>
                <c:pt idx="15">
                  <c:v>45076</c:v>
                </c:pt>
                <c:pt idx="16">
                  <c:v>45107</c:v>
                </c:pt>
                <c:pt idx="17">
                  <c:v>45137</c:v>
                </c:pt>
                <c:pt idx="18">
                  <c:v>45168</c:v>
                </c:pt>
                <c:pt idx="19">
                  <c:v>45199</c:v>
                </c:pt>
                <c:pt idx="20">
                  <c:v>45229</c:v>
                </c:pt>
              </c:numCache>
            </c:numRef>
          </c:cat>
          <c:val>
            <c:numRef>
              <c:f>Commodities!$E$29:$E$49</c:f>
              <c:numCache>
                <c:formatCode>0.0</c:formatCode>
                <c:ptCount val="21"/>
                <c:pt idx="0">
                  <c:v>100</c:v>
                </c:pt>
                <c:pt idx="1">
                  <c:v>102.8116167642445</c:v>
                </c:pt>
                <c:pt idx="2">
                  <c:v>102.26558814240011</c:v>
                </c:pt>
                <c:pt idx="3">
                  <c:v>94.027502280697348</c:v>
                </c:pt>
                <c:pt idx="4">
                  <c:v>90.712205287870034</c:v>
                </c:pt>
                <c:pt idx="5">
                  <c:v>75.617880667219055</c:v>
                </c:pt>
                <c:pt idx="6">
                  <c:v>79.948162164999985</c:v>
                </c:pt>
                <c:pt idx="7">
                  <c:v>77.67412239755123</c:v>
                </c:pt>
                <c:pt idx="8">
                  <c:v>76.533507419589725</c:v>
                </c:pt>
                <c:pt idx="9">
                  <c:v>80.63750721872097</c:v>
                </c:pt>
                <c:pt idx="10">
                  <c:v>84.033193562156328</c:v>
                </c:pt>
                <c:pt idx="11">
                  <c:v>90.464723565785647</c:v>
                </c:pt>
                <c:pt idx="12">
                  <c:v>89.754056293469247</c:v>
                </c:pt>
                <c:pt idx="13">
                  <c:v>88.947807965101234</c:v>
                </c:pt>
                <c:pt idx="14">
                  <c:v>88.47422602756923</c:v>
                </c:pt>
                <c:pt idx="15">
                  <c:v>82.789626002023979</c:v>
                </c:pt>
                <c:pt idx="16">
                  <c:v>84.329904107994352</c:v>
                </c:pt>
                <c:pt idx="17">
                  <c:v>85.13499934837219</c:v>
                </c:pt>
                <c:pt idx="18">
                  <c:v>83.84089447731003</c:v>
                </c:pt>
                <c:pt idx="19">
                  <c:v>83.126660903646368</c:v>
                </c:pt>
                <c:pt idx="20">
                  <c:v>79.758514666843183</c:v>
                </c:pt>
              </c:numCache>
            </c:numRef>
          </c:val>
          <c:smooth val="0"/>
          <c:extLst>
            <c:ext xmlns:c16="http://schemas.microsoft.com/office/drawing/2014/chart" uri="{C3380CC4-5D6E-409C-BE32-E72D297353CC}">
              <c16:uniqueId val="{00000002-49E0-4090-BA4F-6E3DECA8D731}"/>
            </c:ext>
          </c:extLst>
        </c:ser>
        <c:ser>
          <c:idx val="3"/>
          <c:order val="3"/>
          <c:tx>
            <c:strRef>
              <c:f>Commodities!$F$28</c:f>
              <c:strCache>
                <c:ptCount val="1"/>
                <c:pt idx="0">
                  <c:v>Aluminum </c:v>
                </c:pt>
              </c:strCache>
            </c:strRef>
          </c:tx>
          <c:spPr>
            <a:ln w="28575" cap="rnd">
              <a:solidFill>
                <a:schemeClr val="accent4"/>
              </a:solidFill>
              <a:round/>
            </a:ln>
            <a:effectLst/>
          </c:spPr>
          <c:marker>
            <c:symbol val="none"/>
          </c:marker>
          <c:cat>
            <c:numRef>
              <c:f>Commodities!$B$29:$B$49</c:f>
              <c:numCache>
                <c:formatCode>mmm\-yy</c:formatCode>
                <c:ptCount val="21"/>
                <c:pt idx="0">
                  <c:v>44620</c:v>
                </c:pt>
                <c:pt idx="1">
                  <c:v>44651</c:v>
                </c:pt>
                <c:pt idx="2">
                  <c:v>44681</c:v>
                </c:pt>
                <c:pt idx="3">
                  <c:v>44712</c:v>
                </c:pt>
                <c:pt idx="4">
                  <c:v>44742</c:v>
                </c:pt>
                <c:pt idx="5">
                  <c:v>44773</c:v>
                </c:pt>
                <c:pt idx="6">
                  <c:v>44804</c:v>
                </c:pt>
                <c:pt idx="7">
                  <c:v>44834</c:v>
                </c:pt>
                <c:pt idx="8">
                  <c:v>44865</c:v>
                </c:pt>
                <c:pt idx="9">
                  <c:v>44895</c:v>
                </c:pt>
                <c:pt idx="10">
                  <c:v>44926</c:v>
                </c:pt>
                <c:pt idx="11">
                  <c:v>44957</c:v>
                </c:pt>
                <c:pt idx="12">
                  <c:v>44985</c:v>
                </c:pt>
                <c:pt idx="13">
                  <c:v>45016</c:v>
                </c:pt>
                <c:pt idx="14">
                  <c:v>45046</c:v>
                </c:pt>
                <c:pt idx="15">
                  <c:v>45076</c:v>
                </c:pt>
                <c:pt idx="16">
                  <c:v>45107</c:v>
                </c:pt>
                <c:pt idx="17">
                  <c:v>45137</c:v>
                </c:pt>
                <c:pt idx="18">
                  <c:v>45168</c:v>
                </c:pt>
                <c:pt idx="19">
                  <c:v>45199</c:v>
                </c:pt>
                <c:pt idx="20">
                  <c:v>45229</c:v>
                </c:pt>
              </c:numCache>
            </c:numRef>
          </c:cat>
          <c:val>
            <c:numRef>
              <c:f>Commodities!$F$29:$F$49</c:f>
              <c:numCache>
                <c:formatCode>0.0</c:formatCode>
                <c:ptCount val="21"/>
                <c:pt idx="0">
                  <c:v>100</c:v>
                </c:pt>
                <c:pt idx="1">
                  <c:v>109.88655338524413</c:v>
                </c:pt>
                <c:pt idx="2">
                  <c:v>101.61065274552077</c:v>
                </c:pt>
                <c:pt idx="3">
                  <c:v>88.543137834817102</c:v>
                </c:pt>
                <c:pt idx="4">
                  <c:v>80.17632417595199</c:v>
                </c:pt>
                <c:pt idx="5">
                  <c:v>74.683556923199617</c:v>
                </c:pt>
                <c:pt idx="6">
                  <c:v>75.185547818081716</c:v>
                </c:pt>
                <c:pt idx="7">
                  <c:v>69.570298814989314</c:v>
                </c:pt>
                <c:pt idx="8">
                  <c:v>69.773478412897788</c:v>
                </c:pt>
                <c:pt idx="9">
                  <c:v>73.172347824002898</c:v>
                </c:pt>
                <c:pt idx="10">
                  <c:v>74.267835958035775</c:v>
                </c:pt>
                <c:pt idx="11">
                  <c:v>77.38106365476159</c:v>
                </c:pt>
                <c:pt idx="12">
                  <c:v>74.939527165864135</c:v>
                </c:pt>
                <c:pt idx="13">
                  <c:v>71.224947669457734</c:v>
                </c:pt>
                <c:pt idx="14">
                  <c:v>72.518737351415481</c:v>
                </c:pt>
                <c:pt idx="15">
                  <c:v>70.530061448142618</c:v>
                </c:pt>
                <c:pt idx="16">
                  <c:v>67.76163317325009</c:v>
                </c:pt>
                <c:pt idx="17">
                  <c:v>66.985581767502723</c:v>
                </c:pt>
                <c:pt idx="18">
                  <c:v>66.236533039628256</c:v>
                </c:pt>
                <c:pt idx="19">
                  <c:v>67.759157289037034</c:v>
                </c:pt>
                <c:pt idx="20">
                  <c:v>68.060539799821939</c:v>
                </c:pt>
              </c:numCache>
            </c:numRef>
          </c:val>
          <c:smooth val="0"/>
          <c:extLst>
            <c:ext xmlns:c16="http://schemas.microsoft.com/office/drawing/2014/chart" uri="{C3380CC4-5D6E-409C-BE32-E72D297353CC}">
              <c16:uniqueId val="{00000003-49E0-4090-BA4F-6E3DECA8D731}"/>
            </c:ext>
          </c:extLst>
        </c:ser>
        <c:ser>
          <c:idx val="4"/>
          <c:order val="4"/>
          <c:tx>
            <c:strRef>
              <c:f>Commodities!$G$28</c:f>
              <c:strCache>
                <c:ptCount val="1"/>
                <c:pt idx="0">
                  <c:v>Cotton</c:v>
                </c:pt>
              </c:strCache>
            </c:strRef>
          </c:tx>
          <c:spPr>
            <a:ln w="28575" cap="rnd">
              <a:solidFill>
                <a:schemeClr val="accent5"/>
              </a:solidFill>
              <a:round/>
            </a:ln>
            <a:effectLst/>
          </c:spPr>
          <c:marker>
            <c:symbol val="none"/>
          </c:marker>
          <c:cat>
            <c:numRef>
              <c:f>Commodities!$B$29:$B$49</c:f>
              <c:numCache>
                <c:formatCode>mmm\-yy</c:formatCode>
                <c:ptCount val="21"/>
                <c:pt idx="0">
                  <c:v>44620</c:v>
                </c:pt>
                <c:pt idx="1">
                  <c:v>44651</c:v>
                </c:pt>
                <c:pt idx="2">
                  <c:v>44681</c:v>
                </c:pt>
                <c:pt idx="3">
                  <c:v>44712</c:v>
                </c:pt>
                <c:pt idx="4">
                  <c:v>44742</c:v>
                </c:pt>
                <c:pt idx="5">
                  <c:v>44773</c:v>
                </c:pt>
                <c:pt idx="6">
                  <c:v>44804</c:v>
                </c:pt>
                <c:pt idx="7">
                  <c:v>44834</c:v>
                </c:pt>
                <c:pt idx="8">
                  <c:v>44865</c:v>
                </c:pt>
                <c:pt idx="9">
                  <c:v>44895</c:v>
                </c:pt>
                <c:pt idx="10">
                  <c:v>44926</c:v>
                </c:pt>
                <c:pt idx="11">
                  <c:v>44957</c:v>
                </c:pt>
                <c:pt idx="12">
                  <c:v>44985</c:v>
                </c:pt>
                <c:pt idx="13">
                  <c:v>45016</c:v>
                </c:pt>
                <c:pt idx="14">
                  <c:v>45046</c:v>
                </c:pt>
                <c:pt idx="15">
                  <c:v>45076</c:v>
                </c:pt>
                <c:pt idx="16">
                  <c:v>45107</c:v>
                </c:pt>
                <c:pt idx="17">
                  <c:v>45137</c:v>
                </c:pt>
                <c:pt idx="18">
                  <c:v>45168</c:v>
                </c:pt>
                <c:pt idx="19">
                  <c:v>45199</c:v>
                </c:pt>
                <c:pt idx="20">
                  <c:v>45229</c:v>
                </c:pt>
              </c:numCache>
            </c:numRef>
          </c:cat>
          <c:val>
            <c:numRef>
              <c:f>Commodities!$G$29:$G$49</c:f>
              <c:numCache>
                <c:formatCode>0.0</c:formatCode>
                <c:ptCount val="21"/>
                <c:pt idx="0">
                  <c:v>100</c:v>
                </c:pt>
                <c:pt idx="1">
                  <c:v>101.96517592659491</c:v>
                </c:pt>
                <c:pt idx="2">
                  <c:v>112.21732533776461</c:v>
                </c:pt>
                <c:pt idx="3">
                  <c:v>118.47409869229102</c:v>
                </c:pt>
                <c:pt idx="4">
                  <c:v>111.58875803771404</c:v>
                </c:pt>
                <c:pt idx="5">
                  <c:v>94.675240228307203</c:v>
                </c:pt>
                <c:pt idx="6">
                  <c:v>90.137995809551342</c:v>
                </c:pt>
                <c:pt idx="7">
                  <c:v>85.210606170074428</c:v>
                </c:pt>
                <c:pt idx="8">
                  <c:v>72.451412470197241</c:v>
                </c:pt>
                <c:pt idx="9">
                  <c:v>73.094429593237493</c:v>
                </c:pt>
                <c:pt idx="10">
                  <c:v>72.899356982876967</c:v>
                </c:pt>
                <c:pt idx="11">
                  <c:v>72.474072419885587</c:v>
                </c:pt>
                <c:pt idx="12">
                  <c:v>71.837294993136311</c:v>
                </c:pt>
                <c:pt idx="13">
                  <c:v>68.919373128983509</c:v>
                </c:pt>
                <c:pt idx="14">
                  <c:v>68.732389278231352</c:v>
                </c:pt>
                <c:pt idx="15">
                  <c:v>67.830924505957441</c:v>
                </c:pt>
                <c:pt idx="16">
                  <c:v>66.771318414985785</c:v>
                </c:pt>
                <c:pt idx="17">
                  <c:v>67.386061425509453</c:v>
                </c:pt>
                <c:pt idx="18">
                  <c:v>69.356009084540887</c:v>
                </c:pt>
                <c:pt idx="19">
                  <c:v>70.637271598184839</c:v>
                </c:pt>
                <c:pt idx="20">
                  <c:v>69.132550853524776</c:v>
                </c:pt>
              </c:numCache>
            </c:numRef>
          </c:val>
          <c:smooth val="0"/>
          <c:extLst>
            <c:ext xmlns:c16="http://schemas.microsoft.com/office/drawing/2014/chart" uri="{C3380CC4-5D6E-409C-BE32-E72D297353CC}">
              <c16:uniqueId val="{00000004-49E0-4090-BA4F-6E3DECA8D731}"/>
            </c:ext>
          </c:extLst>
        </c:ser>
        <c:ser>
          <c:idx val="5"/>
          <c:order val="5"/>
          <c:tx>
            <c:strRef>
              <c:f>Commodities!$H$28</c:f>
              <c:strCache>
                <c:ptCount val="1"/>
                <c:pt idx="0">
                  <c:v>Palm oil</c:v>
                </c:pt>
              </c:strCache>
            </c:strRef>
          </c:tx>
          <c:spPr>
            <a:ln w="28575" cap="rnd">
              <a:solidFill>
                <a:schemeClr val="accent6"/>
              </a:solidFill>
              <a:round/>
            </a:ln>
            <a:effectLst/>
          </c:spPr>
          <c:marker>
            <c:symbol val="none"/>
          </c:marker>
          <c:cat>
            <c:numRef>
              <c:f>Commodities!$B$29:$B$49</c:f>
              <c:numCache>
                <c:formatCode>mmm\-yy</c:formatCode>
                <c:ptCount val="21"/>
                <c:pt idx="0">
                  <c:v>44620</c:v>
                </c:pt>
                <c:pt idx="1">
                  <c:v>44651</c:v>
                </c:pt>
                <c:pt idx="2">
                  <c:v>44681</c:v>
                </c:pt>
                <c:pt idx="3">
                  <c:v>44712</c:v>
                </c:pt>
                <c:pt idx="4">
                  <c:v>44742</c:v>
                </c:pt>
                <c:pt idx="5">
                  <c:v>44773</c:v>
                </c:pt>
                <c:pt idx="6">
                  <c:v>44804</c:v>
                </c:pt>
                <c:pt idx="7">
                  <c:v>44834</c:v>
                </c:pt>
                <c:pt idx="8">
                  <c:v>44865</c:v>
                </c:pt>
                <c:pt idx="9">
                  <c:v>44895</c:v>
                </c:pt>
                <c:pt idx="10">
                  <c:v>44926</c:v>
                </c:pt>
                <c:pt idx="11">
                  <c:v>44957</c:v>
                </c:pt>
                <c:pt idx="12">
                  <c:v>44985</c:v>
                </c:pt>
                <c:pt idx="13">
                  <c:v>45016</c:v>
                </c:pt>
                <c:pt idx="14">
                  <c:v>45046</c:v>
                </c:pt>
                <c:pt idx="15">
                  <c:v>45076</c:v>
                </c:pt>
                <c:pt idx="16">
                  <c:v>45107</c:v>
                </c:pt>
                <c:pt idx="17">
                  <c:v>45137</c:v>
                </c:pt>
                <c:pt idx="18">
                  <c:v>45168</c:v>
                </c:pt>
                <c:pt idx="19">
                  <c:v>45199</c:v>
                </c:pt>
                <c:pt idx="20">
                  <c:v>45229</c:v>
                </c:pt>
              </c:numCache>
            </c:numRef>
          </c:cat>
          <c:val>
            <c:numRef>
              <c:f>Commodities!$H$29:$H$49</c:f>
              <c:numCache>
                <c:formatCode>0.0</c:formatCode>
                <c:ptCount val="21"/>
                <c:pt idx="0">
                  <c:v>100</c:v>
                </c:pt>
                <c:pt idx="1">
                  <c:v>113.3496091024594</c:v>
                </c:pt>
                <c:pt idx="2">
                  <c:v>110.63080661953448</c:v>
                </c:pt>
                <c:pt idx="3">
                  <c:v>109.81793387963252</c:v>
                </c:pt>
                <c:pt idx="4">
                  <c:v>90.68047648678052</c:v>
                </c:pt>
                <c:pt idx="5">
                  <c:v>61.923726974131675</c:v>
                </c:pt>
                <c:pt idx="6">
                  <c:v>63.530871233158528</c:v>
                </c:pt>
                <c:pt idx="7">
                  <c:v>54.489084908453087</c:v>
                </c:pt>
                <c:pt idx="8">
                  <c:v>54.639107860530125</c:v>
                </c:pt>
                <c:pt idx="9">
                  <c:v>60.056106365233738</c:v>
                </c:pt>
                <c:pt idx="10">
                  <c:v>60.840709678330654</c:v>
                </c:pt>
                <c:pt idx="11">
                  <c:v>61.950870814184846</c:v>
                </c:pt>
                <c:pt idx="12">
                  <c:v>61.873659681354255</c:v>
                </c:pt>
                <c:pt idx="13">
                  <c:v>62.421945869900121</c:v>
                </c:pt>
                <c:pt idx="14">
                  <c:v>64.112822069213692</c:v>
                </c:pt>
                <c:pt idx="15">
                  <c:v>57.242017105425333</c:v>
                </c:pt>
                <c:pt idx="16">
                  <c:v>52.747714044336227</c:v>
                </c:pt>
                <c:pt idx="17">
                  <c:v>57.95175443525055</c:v>
                </c:pt>
                <c:pt idx="18">
                  <c:v>56.486197537556471</c:v>
                </c:pt>
                <c:pt idx="19">
                  <c:v>54.230062806350666</c:v>
                </c:pt>
                <c:pt idx="20">
                  <c:v>52.636804291032583</c:v>
                </c:pt>
              </c:numCache>
            </c:numRef>
          </c:val>
          <c:smooth val="0"/>
          <c:extLst>
            <c:ext xmlns:c16="http://schemas.microsoft.com/office/drawing/2014/chart" uri="{C3380CC4-5D6E-409C-BE32-E72D297353CC}">
              <c16:uniqueId val="{00000005-49E0-4090-BA4F-6E3DECA8D731}"/>
            </c:ext>
          </c:extLst>
        </c:ser>
        <c:ser>
          <c:idx val="6"/>
          <c:order val="6"/>
          <c:tx>
            <c:strRef>
              <c:f>Commodities!$I$28</c:f>
              <c:strCache>
                <c:ptCount val="1"/>
                <c:pt idx="0">
                  <c:v>Urea</c:v>
                </c:pt>
              </c:strCache>
            </c:strRef>
          </c:tx>
          <c:spPr>
            <a:ln w="28575" cap="rnd">
              <a:solidFill>
                <a:schemeClr val="accent2">
                  <a:lumMod val="60000"/>
                  <a:lumOff val="40000"/>
                </a:schemeClr>
              </a:solidFill>
              <a:round/>
            </a:ln>
            <a:effectLst/>
          </c:spPr>
          <c:marker>
            <c:symbol val="none"/>
          </c:marker>
          <c:cat>
            <c:numRef>
              <c:f>Commodities!$B$29:$B$49</c:f>
              <c:numCache>
                <c:formatCode>mmm\-yy</c:formatCode>
                <c:ptCount val="21"/>
                <c:pt idx="0">
                  <c:v>44620</c:v>
                </c:pt>
                <c:pt idx="1">
                  <c:v>44651</c:v>
                </c:pt>
                <c:pt idx="2">
                  <c:v>44681</c:v>
                </c:pt>
                <c:pt idx="3">
                  <c:v>44712</c:v>
                </c:pt>
                <c:pt idx="4">
                  <c:v>44742</c:v>
                </c:pt>
                <c:pt idx="5">
                  <c:v>44773</c:v>
                </c:pt>
                <c:pt idx="6">
                  <c:v>44804</c:v>
                </c:pt>
                <c:pt idx="7">
                  <c:v>44834</c:v>
                </c:pt>
                <c:pt idx="8">
                  <c:v>44865</c:v>
                </c:pt>
                <c:pt idx="9">
                  <c:v>44895</c:v>
                </c:pt>
                <c:pt idx="10">
                  <c:v>44926</c:v>
                </c:pt>
                <c:pt idx="11">
                  <c:v>44957</c:v>
                </c:pt>
                <c:pt idx="12">
                  <c:v>44985</c:v>
                </c:pt>
                <c:pt idx="13">
                  <c:v>45016</c:v>
                </c:pt>
                <c:pt idx="14">
                  <c:v>45046</c:v>
                </c:pt>
                <c:pt idx="15">
                  <c:v>45076</c:v>
                </c:pt>
                <c:pt idx="16">
                  <c:v>45107</c:v>
                </c:pt>
                <c:pt idx="17">
                  <c:v>45137</c:v>
                </c:pt>
                <c:pt idx="18">
                  <c:v>45168</c:v>
                </c:pt>
                <c:pt idx="19">
                  <c:v>45199</c:v>
                </c:pt>
                <c:pt idx="20">
                  <c:v>45229</c:v>
                </c:pt>
              </c:numCache>
            </c:numRef>
          </c:cat>
          <c:val>
            <c:numRef>
              <c:f>Commodities!$I$29:$I$49</c:f>
              <c:numCache>
                <c:formatCode>0.0</c:formatCode>
                <c:ptCount val="21"/>
                <c:pt idx="0">
                  <c:v>100</c:v>
                </c:pt>
                <c:pt idx="1">
                  <c:v>106.17763203789828</c:v>
                </c:pt>
                <c:pt idx="2">
                  <c:v>114.36794327374797</c:v>
                </c:pt>
                <c:pt idx="3">
                  <c:v>114.0040648504808</c:v>
                </c:pt>
                <c:pt idx="4">
                  <c:v>102.2471022931192</c:v>
                </c:pt>
                <c:pt idx="5">
                  <c:v>84.664111517260821</c:v>
                </c:pt>
                <c:pt idx="6">
                  <c:v>74.412101022450869</c:v>
                </c:pt>
                <c:pt idx="7">
                  <c:v>90.410131022364979</c:v>
                </c:pt>
                <c:pt idx="8">
                  <c:v>100.53591786325016</c:v>
                </c:pt>
                <c:pt idx="9">
                  <c:v>99.262204507549228</c:v>
                </c:pt>
                <c:pt idx="10">
                  <c:v>97.417463668007173</c:v>
                </c:pt>
                <c:pt idx="11">
                  <c:v>92.930285541141856</c:v>
                </c:pt>
                <c:pt idx="12">
                  <c:v>55.820293532417054</c:v>
                </c:pt>
                <c:pt idx="13">
                  <c:v>48.369545138286433</c:v>
                </c:pt>
                <c:pt idx="14">
                  <c:v>48.179309962632082</c:v>
                </c:pt>
                <c:pt idx="15">
                  <c:v>47.882899349299194</c:v>
                </c:pt>
                <c:pt idx="16">
                  <c:v>42.084673209388072</c:v>
                </c:pt>
                <c:pt idx="17">
                  <c:v>38.608354017816261</c:v>
                </c:pt>
                <c:pt idx="18">
                  <c:v>43.066008163819802</c:v>
                </c:pt>
                <c:pt idx="19">
                  <c:v>44.596203957547289</c:v>
                </c:pt>
                <c:pt idx="20">
                  <c:v>46.998371756708195</c:v>
                </c:pt>
              </c:numCache>
            </c:numRef>
          </c:val>
          <c:smooth val="0"/>
          <c:extLst>
            <c:ext xmlns:c16="http://schemas.microsoft.com/office/drawing/2014/chart" uri="{C3380CC4-5D6E-409C-BE32-E72D297353CC}">
              <c16:uniqueId val="{00000006-49E0-4090-BA4F-6E3DECA8D731}"/>
            </c:ext>
          </c:extLst>
        </c:ser>
        <c:ser>
          <c:idx val="7"/>
          <c:order val="7"/>
          <c:tx>
            <c:strRef>
              <c:f>Commodities!$J$28</c:f>
              <c:strCache>
                <c:ptCount val="1"/>
                <c:pt idx="0">
                  <c:v>Sugar</c:v>
                </c:pt>
              </c:strCache>
            </c:strRef>
          </c:tx>
          <c:spPr>
            <a:ln w="28575" cap="rnd">
              <a:solidFill>
                <a:schemeClr val="accent2">
                  <a:lumMod val="60000"/>
                </a:schemeClr>
              </a:solidFill>
              <a:round/>
            </a:ln>
            <a:effectLst/>
          </c:spPr>
          <c:marker>
            <c:symbol val="none"/>
          </c:marker>
          <c:cat>
            <c:numRef>
              <c:f>Commodities!$B$29:$B$49</c:f>
              <c:numCache>
                <c:formatCode>mmm\-yy</c:formatCode>
                <c:ptCount val="21"/>
                <c:pt idx="0">
                  <c:v>44620</c:v>
                </c:pt>
                <c:pt idx="1">
                  <c:v>44651</c:v>
                </c:pt>
                <c:pt idx="2">
                  <c:v>44681</c:v>
                </c:pt>
                <c:pt idx="3">
                  <c:v>44712</c:v>
                </c:pt>
                <c:pt idx="4">
                  <c:v>44742</c:v>
                </c:pt>
                <c:pt idx="5">
                  <c:v>44773</c:v>
                </c:pt>
                <c:pt idx="6">
                  <c:v>44804</c:v>
                </c:pt>
                <c:pt idx="7">
                  <c:v>44834</c:v>
                </c:pt>
                <c:pt idx="8">
                  <c:v>44865</c:v>
                </c:pt>
                <c:pt idx="9">
                  <c:v>44895</c:v>
                </c:pt>
                <c:pt idx="10">
                  <c:v>44926</c:v>
                </c:pt>
                <c:pt idx="11">
                  <c:v>44957</c:v>
                </c:pt>
                <c:pt idx="12">
                  <c:v>44985</c:v>
                </c:pt>
                <c:pt idx="13">
                  <c:v>45016</c:v>
                </c:pt>
                <c:pt idx="14">
                  <c:v>45046</c:v>
                </c:pt>
                <c:pt idx="15">
                  <c:v>45076</c:v>
                </c:pt>
                <c:pt idx="16">
                  <c:v>45107</c:v>
                </c:pt>
                <c:pt idx="17">
                  <c:v>45137</c:v>
                </c:pt>
                <c:pt idx="18">
                  <c:v>45168</c:v>
                </c:pt>
                <c:pt idx="19">
                  <c:v>45199</c:v>
                </c:pt>
                <c:pt idx="20">
                  <c:v>45229</c:v>
                </c:pt>
              </c:numCache>
            </c:numRef>
          </c:cat>
          <c:val>
            <c:numRef>
              <c:f>Commodities!$J$29:$J$49</c:f>
              <c:numCache>
                <c:formatCode>0.0</c:formatCode>
                <c:ptCount val="21"/>
                <c:pt idx="0">
                  <c:v>100</c:v>
                </c:pt>
                <c:pt idx="1">
                  <c:v>104.96984203208648</c:v>
                </c:pt>
                <c:pt idx="2">
                  <c:v>108.21774844211683</c:v>
                </c:pt>
                <c:pt idx="3">
                  <c:v>105.92068256730288</c:v>
                </c:pt>
                <c:pt idx="4">
                  <c:v>103.24632142275138</c:v>
                </c:pt>
                <c:pt idx="5">
                  <c:v>100.75174926270769</c:v>
                </c:pt>
                <c:pt idx="6">
                  <c:v>99.22788562348714</c:v>
                </c:pt>
                <c:pt idx="7">
                  <c:v>99.905242793984172</c:v>
                </c:pt>
                <c:pt idx="8">
                  <c:v>100.53723912510736</c:v>
                </c:pt>
                <c:pt idx="9">
                  <c:v>106.60737660535295</c:v>
                </c:pt>
                <c:pt idx="10">
                  <c:v>110.4204013184528</c:v>
                </c:pt>
                <c:pt idx="11">
                  <c:v>109.55891243435359</c:v>
                </c:pt>
                <c:pt idx="12">
                  <c:v>117.58124674723902</c:v>
                </c:pt>
                <c:pt idx="13">
                  <c:v>115.154410304245</c:v>
                </c:pt>
                <c:pt idx="14">
                  <c:v>135.04250274677645</c:v>
                </c:pt>
                <c:pt idx="15">
                  <c:v>141.34671229122648</c:v>
                </c:pt>
                <c:pt idx="16">
                  <c:v>136.03284040310612</c:v>
                </c:pt>
                <c:pt idx="17">
                  <c:v>131.88972691950806</c:v>
                </c:pt>
                <c:pt idx="18">
                  <c:v>132.90574975046476</c:v>
                </c:pt>
                <c:pt idx="19">
                  <c:v>145.92967702318339</c:v>
                </c:pt>
                <c:pt idx="20">
                  <c:v>147.79653354221134</c:v>
                </c:pt>
              </c:numCache>
            </c:numRef>
          </c:val>
          <c:smooth val="0"/>
          <c:extLst>
            <c:ext xmlns:c16="http://schemas.microsoft.com/office/drawing/2014/chart" uri="{C3380CC4-5D6E-409C-BE32-E72D297353CC}">
              <c16:uniqueId val="{00000007-49E0-4090-BA4F-6E3DECA8D731}"/>
            </c:ext>
          </c:extLst>
        </c:ser>
        <c:ser>
          <c:idx val="8"/>
          <c:order val="8"/>
          <c:tx>
            <c:strRef>
              <c:f>Commodities!$K$28</c:f>
              <c:strCache>
                <c:ptCount val="1"/>
                <c:pt idx="0">
                  <c:v>Milk</c:v>
                </c:pt>
              </c:strCache>
            </c:strRef>
          </c:tx>
          <c:spPr>
            <a:ln w="28575" cap="rnd">
              <a:solidFill>
                <a:schemeClr val="accent3">
                  <a:lumMod val="60000"/>
                </a:schemeClr>
              </a:solidFill>
              <a:round/>
            </a:ln>
            <a:effectLst/>
          </c:spPr>
          <c:marker>
            <c:symbol val="none"/>
          </c:marker>
          <c:cat>
            <c:numRef>
              <c:f>Commodities!$B$29:$B$49</c:f>
              <c:numCache>
                <c:formatCode>mmm\-yy</c:formatCode>
                <c:ptCount val="21"/>
                <c:pt idx="0">
                  <c:v>44620</c:v>
                </c:pt>
                <c:pt idx="1">
                  <c:v>44651</c:v>
                </c:pt>
                <c:pt idx="2">
                  <c:v>44681</c:v>
                </c:pt>
                <c:pt idx="3">
                  <c:v>44712</c:v>
                </c:pt>
                <c:pt idx="4">
                  <c:v>44742</c:v>
                </c:pt>
                <c:pt idx="5">
                  <c:v>44773</c:v>
                </c:pt>
                <c:pt idx="6">
                  <c:v>44804</c:v>
                </c:pt>
                <c:pt idx="7">
                  <c:v>44834</c:v>
                </c:pt>
                <c:pt idx="8">
                  <c:v>44865</c:v>
                </c:pt>
                <c:pt idx="9">
                  <c:v>44895</c:v>
                </c:pt>
                <c:pt idx="10">
                  <c:v>44926</c:v>
                </c:pt>
                <c:pt idx="11">
                  <c:v>44957</c:v>
                </c:pt>
                <c:pt idx="12">
                  <c:v>44985</c:v>
                </c:pt>
                <c:pt idx="13">
                  <c:v>45016</c:v>
                </c:pt>
                <c:pt idx="14">
                  <c:v>45046</c:v>
                </c:pt>
                <c:pt idx="15">
                  <c:v>45076</c:v>
                </c:pt>
                <c:pt idx="16">
                  <c:v>45107</c:v>
                </c:pt>
                <c:pt idx="17">
                  <c:v>45137</c:v>
                </c:pt>
                <c:pt idx="18">
                  <c:v>45168</c:v>
                </c:pt>
                <c:pt idx="19">
                  <c:v>45199</c:v>
                </c:pt>
                <c:pt idx="20">
                  <c:v>45229</c:v>
                </c:pt>
              </c:numCache>
            </c:numRef>
          </c:cat>
          <c:val>
            <c:numRef>
              <c:f>Commodities!$K$29:$K$49</c:f>
              <c:numCache>
                <c:formatCode>0.0</c:formatCode>
                <c:ptCount val="21"/>
                <c:pt idx="0">
                  <c:v>100</c:v>
                </c:pt>
                <c:pt idx="1">
                  <c:v>104.53404889815117</c:v>
                </c:pt>
                <c:pt idx="2">
                  <c:v>106.32331006682855</c:v>
                </c:pt>
                <c:pt idx="3">
                  <c:v>104.91470925263744</c:v>
                </c:pt>
                <c:pt idx="4">
                  <c:v>108.60534010907099</c:v>
                </c:pt>
                <c:pt idx="5">
                  <c:v>108.65598294458782</c:v>
                </c:pt>
                <c:pt idx="6">
                  <c:v>104.3892496650372</c:v>
                </c:pt>
                <c:pt idx="7">
                  <c:v>103.328082903143</c:v>
                </c:pt>
                <c:pt idx="8">
                  <c:v>104.61495841538841</c:v>
                </c:pt>
                <c:pt idx="9">
                  <c:v>97.435720554476049</c:v>
                </c:pt>
                <c:pt idx="10">
                  <c:v>92.773542927915372</c:v>
                </c:pt>
                <c:pt idx="11">
                  <c:v>84.882593482568112</c:v>
                </c:pt>
                <c:pt idx="12">
                  <c:v>79.520256312971611</c:v>
                </c:pt>
                <c:pt idx="13">
                  <c:v>77.557401898519501</c:v>
                </c:pt>
                <c:pt idx="14">
                  <c:v>75.886345432317142</c:v>
                </c:pt>
                <c:pt idx="15">
                  <c:v>76.065419926940507</c:v>
                </c:pt>
                <c:pt idx="16">
                  <c:v>76.311362007580513</c:v>
                </c:pt>
                <c:pt idx="17">
                  <c:v>76.62087641852392</c:v>
                </c:pt>
                <c:pt idx="18">
                  <c:v>79.355478451491166</c:v>
                </c:pt>
                <c:pt idx="19">
                  <c:v>78.943511977532381</c:v>
                </c:pt>
                <c:pt idx="20">
                  <c:v>89.9624805025082</c:v>
                </c:pt>
              </c:numCache>
            </c:numRef>
          </c:val>
          <c:smooth val="0"/>
          <c:extLst>
            <c:ext xmlns:c16="http://schemas.microsoft.com/office/drawing/2014/chart" uri="{C3380CC4-5D6E-409C-BE32-E72D297353CC}">
              <c16:uniqueId val="{00000008-49E0-4090-BA4F-6E3DECA8D731}"/>
            </c:ext>
          </c:extLst>
        </c:ser>
        <c:ser>
          <c:idx val="9"/>
          <c:order val="9"/>
          <c:tx>
            <c:strRef>
              <c:f>Commodities!$Q$28</c:f>
              <c:strCache>
                <c:ptCount val="1"/>
                <c:pt idx="0">
                  <c:v>Maize</c:v>
                </c:pt>
              </c:strCache>
            </c:strRef>
          </c:tx>
          <c:spPr>
            <a:ln w="28575" cap="rnd">
              <a:solidFill>
                <a:schemeClr val="accent4">
                  <a:lumMod val="60000"/>
                </a:schemeClr>
              </a:solidFill>
              <a:round/>
            </a:ln>
            <a:effectLst/>
          </c:spPr>
          <c:marker>
            <c:symbol val="none"/>
          </c:marker>
          <c:val>
            <c:numRef>
              <c:f>Commodities!$Q$29:$Q$49</c:f>
              <c:numCache>
                <c:formatCode>0.0</c:formatCode>
                <c:ptCount val="21"/>
                <c:pt idx="0">
                  <c:v>100</c:v>
                </c:pt>
                <c:pt idx="1">
                  <c:v>114.78076183147368</c:v>
                </c:pt>
                <c:pt idx="2">
                  <c:v>119.07787610619469</c:v>
                </c:pt>
                <c:pt idx="3">
                  <c:v>117.84857423795478</c:v>
                </c:pt>
                <c:pt idx="4">
                  <c:v>114.7077960387695</c:v>
                </c:pt>
                <c:pt idx="5">
                  <c:v>106.83716814159294</c:v>
                </c:pt>
                <c:pt idx="6">
                  <c:v>100.43024240092342</c:v>
                </c:pt>
                <c:pt idx="7">
                  <c:v>106.79072903497682</c:v>
                </c:pt>
                <c:pt idx="8">
                  <c:v>117.38525073746314</c:v>
                </c:pt>
                <c:pt idx="9">
                  <c:v>109.65522123893805</c:v>
                </c:pt>
                <c:pt idx="10">
                  <c:v>103.26776232616939</c:v>
                </c:pt>
                <c:pt idx="11">
                  <c:v>103.47433628318585</c:v>
                </c:pt>
                <c:pt idx="12">
                  <c:v>101.90442477876105</c:v>
                </c:pt>
                <c:pt idx="13">
                  <c:v>97.364217006540954</c:v>
                </c:pt>
                <c:pt idx="14">
                  <c:v>99.490265486725647</c:v>
                </c:pt>
                <c:pt idx="15">
                  <c:v>91.629161399072885</c:v>
                </c:pt>
                <c:pt idx="16">
                  <c:v>91.206405394016016</c:v>
                </c:pt>
                <c:pt idx="17">
                  <c:v>80.387694900969237</c:v>
                </c:pt>
                <c:pt idx="18">
                  <c:v>70.958676414005382</c:v>
                </c:pt>
                <c:pt idx="19">
                  <c:v>76.484247787610627</c:v>
                </c:pt>
                <c:pt idx="20">
                  <c:v>75.819629927594505</c:v>
                </c:pt>
              </c:numCache>
            </c:numRef>
          </c:val>
          <c:smooth val="0"/>
          <c:extLst>
            <c:ext xmlns:c16="http://schemas.microsoft.com/office/drawing/2014/chart" uri="{C3380CC4-5D6E-409C-BE32-E72D297353CC}">
              <c16:uniqueId val="{00000009-49E0-4090-BA4F-6E3DECA8D731}"/>
            </c:ext>
          </c:extLst>
        </c:ser>
        <c:dLbls>
          <c:showLegendKey val="0"/>
          <c:showVal val="0"/>
          <c:showCatName val="0"/>
          <c:showSerName val="0"/>
          <c:showPercent val="0"/>
          <c:showBubbleSize val="0"/>
        </c:dLbls>
        <c:smooth val="0"/>
        <c:axId val="1397413672"/>
        <c:axId val="1397422528"/>
      </c:lineChart>
      <c:dateAx>
        <c:axId val="13974136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1397422528"/>
        <c:crosses val="autoZero"/>
        <c:auto val="1"/>
        <c:lblOffset val="100"/>
        <c:baseTimeUnit val="months"/>
      </c:dateAx>
      <c:valAx>
        <c:axId val="1397422528"/>
        <c:scaling>
          <c:orientation val="minMax"/>
          <c:min val="30"/>
        </c:scaling>
        <c:delete val="0"/>
        <c:axPos val="l"/>
        <c:majorGridlines>
          <c:spPr>
            <a:ln w="6350" cap="flat" cmpd="sng" algn="ctr">
              <a:solidFill>
                <a:schemeClr val="accent1"/>
              </a:solidFill>
              <a:prstDash val="solid"/>
              <a:miter lim="800000"/>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Lato" panose="020F0502020204030203" pitchFamily="34" charset="0"/>
                <a:ea typeface="Lato" panose="020F0502020204030203" pitchFamily="34" charset="0"/>
                <a:cs typeface="Lato" panose="020F0502020204030203" pitchFamily="34" charset="0"/>
              </a:defRPr>
            </a:pPr>
            <a:endParaRPr lang="en-US"/>
          </a:p>
        </c:txPr>
        <c:crossAx val="1397413672"/>
        <c:crossesAt val="44593"/>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'Total Market Earnings'!$B$1</c:f>
              <c:strCache>
                <c:ptCount val="1"/>
                <c:pt idx="0">
                  <c:v> Total Market Earnings (Rs. mn) </c:v>
                </c:pt>
              </c:strCache>
            </c:strRef>
          </c:tx>
          <c:spPr>
            <a:ln w="28575" cap="rnd">
              <a:solidFill>
                <a:schemeClr val="accent1"/>
              </a:solidFill>
              <a:round/>
            </a:ln>
            <a:effectLst/>
          </c:spPr>
          <c:marker>
            <c:symbol val="none"/>
          </c:marker>
          <c:cat>
            <c:numRef>
              <c:f>'Total Market Earnings'!$A$2:$A$50</c:f>
              <c:numCache>
                <c:formatCode>d\-mmm\-yy</c:formatCode>
                <c:ptCount val="49"/>
                <c:pt idx="0">
                  <c:v>40999</c:v>
                </c:pt>
                <c:pt idx="1">
                  <c:v>41090</c:v>
                </c:pt>
                <c:pt idx="2">
                  <c:v>41182</c:v>
                </c:pt>
                <c:pt idx="3">
                  <c:v>41274</c:v>
                </c:pt>
                <c:pt idx="4">
                  <c:v>41364</c:v>
                </c:pt>
                <c:pt idx="5">
                  <c:v>41455</c:v>
                </c:pt>
                <c:pt idx="6">
                  <c:v>41547</c:v>
                </c:pt>
                <c:pt idx="7">
                  <c:v>41639</c:v>
                </c:pt>
                <c:pt idx="8">
                  <c:v>41729</c:v>
                </c:pt>
                <c:pt idx="9">
                  <c:v>41820</c:v>
                </c:pt>
                <c:pt idx="10">
                  <c:v>41912</c:v>
                </c:pt>
                <c:pt idx="11">
                  <c:v>42004</c:v>
                </c:pt>
                <c:pt idx="12">
                  <c:v>42094</c:v>
                </c:pt>
                <c:pt idx="13">
                  <c:v>42185</c:v>
                </c:pt>
                <c:pt idx="14">
                  <c:v>42277</c:v>
                </c:pt>
                <c:pt idx="15">
                  <c:v>42369</c:v>
                </c:pt>
                <c:pt idx="16">
                  <c:v>42460</c:v>
                </c:pt>
                <c:pt idx="17">
                  <c:v>42551</c:v>
                </c:pt>
                <c:pt idx="18">
                  <c:v>42643</c:v>
                </c:pt>
                <c:pt idx="19">
                  <c:v>42735</c:v>
                </c:pt>
                <c:pt idx="20">
                  <c:v>42825</c:v>
                </c:pt>
                <c:pt idx="21">
                  <c:v>42916</c:v>
                </c:pt>
                <c:pt idx="22">
                  <c:v>43008</c:v>
                </c:pt>
                <c:pt idx="23">
                  <c:v>43100</c:v>
                </c:pt>
                <c:pt idx="24">
                  <c:v>43190</c:v>
                </c:pt>
                <c:pt idx="25">
                  <c:v>43281</c:v>
                </c:pt>
                <c:pt idx="26">
                  <c:v>43373</c:v>
                </c:pt>
                <c:pt idx="27">
                  <c:v>43465</c:v>
                </c:pt>
                <c:pt idx="28">
                  <c:v>43555</c:v>
                </c:pt>
                <c:pt idx="29">
                  <c:v>43646</c:v>
                </c:pt>
                <c:pt idx="30">
                  <c:v>43738</c:v>
                </c:pt>
                <c:pt idx="31">
                  <c:v>43830</c:v>
                </c:pt>
                <c:pt idx="32">
                  <c:v>43921</c:v>
                </c:pt>
                <c:pt idx="33">
                  <c:v>44012</c:v>
                </c:pt>
                <c:pt idx="34">
                  <c:v>44104</c:v>
                </c:pt>
                <c:pt idx="35">
                  <c:v>44196</c:v>
                </c:pt>
                <c:pt idx="36">
                  <c:v>44286</c:v>
                </c:pt>
                <c:pt idx="37">
                  <c:v>44377</c:v>
                </c:pt>
                <c:pt idx="38">
                  <c:v>44469</c:v>
                </c:pt>
                <c:pt idx="39">
                  <c:v>44561</c:v>
                </c:pt>
                <c:pt idx="40">
                  <c:v>44651</c:v>
                </c:pt>
                <c:pt idx="41">
                  <c:v>44742</c:v>
                </c:pt>
                <c:pt idx="42">
                  <c:v>44834</c:v>
                </c:pt>
                <c:pt idx="43">
                  <c:v>44926</c:v>
                </c:pt>
                <c:pt idx="44">
                  <c:v>45016</c:v>
                </c:pt>
                <c:pt idx="45">
                  <c:v>45107</c:v>
                </c:pt>
                <c:pt idx="46">
                  <c:v>45199</c:v>
                </c:pt>
                <c:pt idx="47">
                  <c:v>45291</c:v>
                </c:pt>
                <c:pt idx="48">
                  <c:v>45382</c:v>
                </c:pt>
              </c:numCache>
            </c:numRef>
          </c:cat>
          <c:val>
            <c:numRef>
              <c:f>'Total Market Earnings'!$B$2:$B$50</c:f>
              <c:numCache>
                <c:formatCode>_-* #,##0.0_-;\-* #,##0.0_-;_-* "-"??_-;_-@_-</c:formatCode>
                <c:ptCount val="49"/>
                <c:pt idx="0">
                  <c:v>50560.562250000003</c:v>
                </c:pt>
                <c:pt idx="1">
                  <c:v>32777.157469999998</c:v>
                </c:pt>
                <c:pt idx="2">
                  <c:v>43493.978499999997</c:v>
                </c:pt>
                <c:pt idx="3">
                  <c:v>46494.126270000001</c:v>
                </c:pt>
                <c:pt idx="4">
                  <c:v>52709.124250000001</c:v>
                </c:pt>
                <c:pt idx="5">
                  <c:v>33964.16848</c:v>
                </c:pt>
                <c:pt idx="6">
                  <c:v>33793.767469999999</c:v>
                </c:pt>
                <c:pt idx="7">
                  <c:v>49596.11277</c:v>
                </c:pt>
                <c:pt idx="8">
                  <c:v>48853.598570000002</c:v>
                </c:pt>
                <c:pt idx="9">
                  <c:v>41236.019130000001</c:v>
                </c:pt>
                <c:pt idx="10">
                  <c:v>50681.000090000001</c:v>
                </c:pt>
                <c:pt idx="11">
                  <c:v>54325.056729999997</c:v>
                </c:pt>
                <c:pt idx="12">
                  <c:v>51102.26453</c:v>
                </c:pt>
                <c:pt idx="13">
                  <c:v>47081.76556</c:v>
                </c:pt>
                <c:pt idx="14">
                  <c:v>47728.386890000002</c:v>
                </c:pt>
                <c:pt idx="15">
                  <c:v>58363.508860000002</c:v>
                </c:pt>
                <c:pt idx="16">
                  <c:v>58441.495289999999</c:v>
                </c:pt>
                <c:pt idx="17">
                  <c:v>52091.401230000003</c:v>
                </c:pt>
                <c:pt idx="18">
                  <c:v>62049.906519999997</c:v>
                </c:pt>
                <c:pt idx="19">
                  <c:v>60640.212820000001</c:v>
                </c:pt>
                <c:pt idx="20">
                  <c:v>51395.544470000001</c:v>
                </c:pt>
                <c:pt idx="21">
                  <c:v>46465.166620000004</c:v>
                </c:pt>
                <c:pt idx="22">
                  <c:v>53761.565170000002</c:v>
                </c:pt>
                <c:pt idx="23">
                  <c:v>72532.0196</c:v>
                </c:pt>
                <c:pt idx="24">
                  <c:v>75232.052540000004</c:v>
                </c:pt>
                <c:pt idx="25">
                  <c:v>48565.026059999997</c:v>
                </c:pt>
                <c:pt idx="26">
                  <c:v>48719.558129999998</c:v>
                </c:pt>
                <c:pt idx="27">
                  <c:v>67973.509730000005</c:v>
                </c:pt>
                <c:pt idx="28">
                  <c:v>78261.404729999995</c:v>
                </c:pt>
                <c:pt idx="29">
                  <c:v>33573.926079999997</c:v>
                </c:pt>
                <c:pt idx="30">
                  <c:v>46628.8102</c:v>
                </c:pt>
                <c:pt idx="31">
                  <c:v>65953.889439999999</c:v>
                </c:pt>
                <c:pt idx="32">
                  <c:v>47880.04075</c:v>
                </c:pt>
                <c:pt idx="33">
                  <c:v>32483.224450000002</c:v>
                </c:pt>
                <c:pt idx="34">
                  <c:v>73962.059859999994</c:v>
                </c:pt>
                <c:pt idx="35">
                  <c:v>81092.378800000006</c:v>
                </c:pt>
                <c:pt idx="36">
                  <c:v>109800.17449999999</c:v>
                </c:pt>
                <c:pt idx="37">
                  <c:v>71427.720629999996</c:v>
                </c:pt>
                <c:pt idx="38">
                  <c:v>111095.1406</c:v>
                </c:pt>
                <c:pt idx="39">
                  <c:v>172529.0307</c:v>
                </c:pt>
                <c:pt idx="40">
                  <c:v>255477.0656</c:v>
                </c:pt>
                <c:pt idx="41">
                  <c:v>161610.7789</c:v>
                </c:pt>
                <c:pt idx="42">
                  <c:v>149400.9326</c:v>
                </c:pt>
                <c:pt idx="43">
                  <c:v>88772</c:v>
                </c:pt>
                <c:pt idx="44">
                  <c:v>85468</c:v>
                </c:pt>
                <c:pt idx="45">
                  <c:v>51786</c:v>
                </c:pt>
                <c:pt idx="46">
                  <c:v>135038</c:v>
                </c:pt>
                <c:pt idx="47">
                  <c:v>182000</c:v>
                </c:pt>
                <c:pt idx="48">
                  <c:v>118737</c:v>
                </c:pt>
              </c:numCache>
            </c:numRef>
          </c:val>
          <c:smooth val="0"/>
          <c:extLst>
            <c:ext xmlns:c16="http://schemas.microsoft.com/office/drawing/2014/chart" uri="{C3380CC4-5D6E-409C-BE32-E72D297353CC}">
              <c16:uniqueId val="{00000000-E9C2-4095-AE65-128227CAAB35}"/>
            </c:ext>
          </c:extLst>
        </c:ser>
        <c:dLbls>
          <c:showLegendKey val="0"/>
          <c:showVal val="0"/>
          <c:showCatName val="0"/>
          <c:showSerName val="0"/>
          <c:showPercent val="0"/>
          <c:showBubbleSize val="0"/>
        </c:dLbls>
        <c:smooth val="0"/>
        <c:axId val="649773360"/>
        <c:axId val="649773720"/>
      </c:lineChart>
      <c:dateAx>
        <c:axId val="649773360"/>
        <c:scaling>
          <c:orientation val="minMax"/>
          <c:max val="45382"/>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773720"/>
        <c:crosses val="autoZero"/>
        <c:auto val="1"/>
        <c:lblOffset val="100"/>
        <c:baseTimeUnit val="months"/>
        <c:majorUnit val="12"/>
        <c:majorTimeUnit val="months"/>
      </c:dateAx>
      <c:valAx>
        <c:axId val="649773720"/>
        <c:scaling>
          <c:orientation val="minMax"/>
        </c:scaling>
        <c:delete val="0"/>
        <c:axPos val="l"/>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773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HNB Retirement</a:t>
            </a:r>
            <a:r>
              <a:rPr lang="en-US" baseline="0"/>
              <a:t> Fund vs ASPI - Indexed to Dec 2022</a:t>
            </a:r>
            <a:endParaRPr lang="en-US"/>
          </a:p>
        </c:rich>
      </c:tx>
      <c:layout>
        <c:manualLayout>
          <c:xMode val="edge"/>
          <c:yMode val="edge"/>
          <c:x val="0.1349582239720034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52559055118111"/>
          <c:y val="0.16287037037037036"/>
          <c:w val="0.85991885389326339"/>
          <c:h val="0.54720764071157768"/>
        </c:manualLayout>
      </c:layout>
      <c:lineChart>
        <c:grouping val="standard"/>
        <c:varyColors val="0"/>
        <c:ser>
          <c:idx val="0"/>
          <c:order val="0"/>
          <c:tx>
            <c:strRef>
              <c:f>'HNB Retirement Fund'!$A$10</c:f>
              <c:strCache>
                <c:ptCount val="1"/>
                <c:pt idx="0">
                  <c:v>ASPI</c:v>
                </c:pt>
              </c:strCache>
            </c:strRef>
          </c:tx>
          <c:spPr>
            <a:ln w="28575" cap="rnd">
              <a:solidFill>
                <a:srgbClr val="FFFF00"/>
              </a:solidFill>
              <a:round/>
            </a:ln>
            <a:effectLst/>
          </c:spPr>
          <c:marker>
            <c:symbol val="none"/>
          </c:marker>
          <c:cat>
            <c:numRef>
              <c:f>'HNB Retirement Fund'!$B$9:$M$9</c:f>
              <c:numCache>
                <c:formatCode>mmm\-yy</c:formatCode>
                <c:ptCount val="12"/>
                <c:pt idx="0">
                  <c:v>44896</c:v>
                </c:pt>
                <c:pt idx="1">
                  <c:v>44927</c:v>
                </c:pt>
                <c:pt idx="2">
                  <c:v>44958</c:v>
                </c:pt>
                <c:pt idx="3">
                  <c:v>44986</c:v>
                </c:pt>
                <c:pt idx="4">
                  <c:v>45017</c:v>
                </c:pt>
                <c:pt idx="5">
                  <c:v>45047</c:v>
                </c:pt>
                <c:pt idx="6">
                  <c:v>45078</c:v>
                </c:pt>
                <c:pt idx="7">
                  <c:v>45108</c:v>
                </c:pt>
                <c:pt idx="8">
                  <c:v>45139</c:v>
                </c:pt>
                <c:pt idx="9">
                  <c:v>45170</c:v>
                </c:pt>
                <c:pt idx="10">
                  <c:v>45200</c:v>
                </c:pt>
                <c:pt idx="11">
                  <c:v>45231</c:v>
                </c:pt>
              </c:numCache>
            </c:numRef>
          </c:cat>
          <c:val>
            <c:numRef>
              <c:f>'HNB Retirement Fund'!$B$10:$M$10</c:f>
              <c:numCache>
                <c:formatCode>_(* #,##0.0_);_(* \(#,##0.0\);_(* "-"??_);_(@_)</c:formatCode>
                <c:ptCount val="12"/>
                <c:pt idx="0">
                  <c:v>100</c:v>
                </c:pt>
                <c:pt idx="1">
                  <c:v>104.42173184791852</c:v>
                </c:pt>
                <c:pt idx="2">
                  <c:v>108.23142505117991</c:v>
                </c:pt>
                <c:pt idx="3">
                  <c:v>109.55797994265966</c:v>
                </c:pt>
                <c:pt idx="4">
                  <c:v>105.81354259181168</c:v>
                </c:pt>
                <c:pt idx="5">
                  <c:v>100.77164456527117</c:v>
                </c:pt>
                <c:pt idx="6">
                  <c:v>111.22883601934591</c:v>
                </c:pt>
                <c:pt idx="7">
                  <c:v>134.12457035970814</c:v>
                </c:pt>
                <c:pt idx="8">
                  <c:v>130.91419444359374</c:v>
                </c:pt>
                <c:pt idx="9">
                  <c:v>133.52254389457295</c:v>
                </c:pt>
                <c:pt idx="10">
                  <c:v>125.41491649842278</c:v>
                </c:pt>
                <c:pt idx="11">
                  <c:v>124.78591604375204</c:v>
                </c:pt>
              </c:numCache>
            </c:numRef>
          </c:val>
          <c:smooth val="0"/>
          <c:extLst>
            <c:ext xmlns:c16="http://schemas.microsoft.com/office/drawing/2014/chart" uri="{C3380CC4-5D6E-409C-BE32-E72D297353CC}">
              <c16:uniqueId val="{00000000-75D4-437D-BFE4-B32299CF546E}"/>
            </c:ext>
          </c:extLst>
        </c:ser>
        <c:ser>
          <c:idx val="1"/>
          <c:order val="1"/>
          <c:tx>
            <c:strRef>
              <c:f>'HNB Retirement Fund'!$A$11</c:f>
              <c:strCache>
                <c:ptCount val="1"/>
                <c:pt idx="0">
                  <c:v>HNB Retirement Fund - NAV  (Rs mn)</c:v>
                </c:pt>
              </c:strCache>
            </c:strRef>
          </c:tx>
          <c:spPr>
            <a:ln w="28575" cap="rnd">
              <a:solidFill>
                <a:srgbClr val="002060"/>
              </a:solidFill>
              <a:round/>
            </a:ln>
            <a:effectLst/>
          </c:spPr>
          <c:marker>
            <c:symbol val="none"/>
          </c:marker>
          <c:cat>
            <c:numRef>
              <c:f>'HNB Retirement Fund'!$B$9:$M$9</c:f>
              <c:numCache>
                <c:formatCode>mmm\-yy</c:formatCode>
                <c:ptCount val="12"/>
                <c:pt idx="0">
                  <c:v>44896</c:v>
                </c:pt>
                <c:pt idx="1">
                  <c:v>44927</c:v>
                </c:pt>
                <c:pt idx="2">
                  <c:v>44958</c:v>
                </c:pt>
                <c:pt idx="3">
                  <c:v>44986</c:v>
                </c:pt>
                <c:pt idx="4">
                  <c:v>45017</c:v>
                </c:pt>
                <c:pt idx="5">
                  <c:v>45047</c:v>
                </c:pt>
                <c:pt idx="6">
                  <c:v>45078</c:v>
                </c:pt>
                <c:pt idx="7">
                  <c:v>45108</c:v>
                </c:pt>
                <c:pt idx="8">
                  <c:v>45139</c:v>
                </c:pt>
                <c:pt idx="9">
                  <c:v>45170</c:v>
                </c:pt>
                <c:pt idx="10">
                  <c:v>45200</c:v>
                </c:pt>
                <c:pt idx="11">
                  <c:v>45231</c:v>
                </c:pt>
              </c:numCache>
            </c:numRef>
          </c:cat>
          <c:val>
            <c:numRef>
              <c:f>'HNB Retirement Fund'!$B$11:$M$11</c:f>
              <c:numCache>
                <c:formatCode>_(* #,##0.0_);_(* \(#,##0.0\);_(* "-"??_);_(@_)</c:formatCode>
                <c:ptCount val="12"/>
                <c:pt idx="0">
                  <c:v>100</c:v>
                </c:pt>
                <c:pt idx="1">
                  <c:v>105.7203166226913</c:v>
                </c:pt>
                <c:pt idx="2">
                  <c:v>109.36147757255937</c:v>
                </c:pt>
                <c:pt idx="3">
                  <c:v>112.71767810026385</c:v>
                </c:pt>
                <c:pt idx="4">
                  <c:v>111.05013192612138</c:v>
                </c:pt>
                <c:pt idx="5">
                  <c:v>109.25593667546174</c:v>
                </c:pt>
                <c:pt idx="6">
                  <c:v>118.15303430079156</c:v>
                </c:pt>
                <c:pt idx="7">
                  <c:v>136.7598944591029</c:v>
                </c:pt>
                <c:pt idx="8">
                  <c:v>141.55145118733509</c:v>
                </c:pt>
                <c:pt idx="9">
                  <c:v>144.47493403693932</c:v>
                </c:pt>
                <c:pt idx="10">
                  <c:v>136.52770448548813</c:v>
                </c:pt>
                <c:pt idx="11">
                  <c:v>135.88390501319262</c:v>
                </c:pt>
              </c:numCache>
            </c:numRef>
          </c:val>
          <c:smooth val="0"/>
          <c:extLst>
            <c:ext xmlns:c16="http://schemas.microsoft.com/office/drawing/2014/chart" uri="{C3380CC4-5D6E-409C-BE32-E72D297353CC}">
              <c16:uniqueId val="{00000001-75D4-437D-BFE4-B32299CF546E}"/>
            </c:ext>
          </c:extLst>
        </c:ser>
        <c:dLbls>
          <c:showLegendKey val="0"/>
          <c:showVal val="0"/>
          <c:showCatName val="0"/>
          <c:showSerName val="0"/>
          <c:showPercent val="0"/>
          <c:showBubbleSize val="0"/>
        </c:dLbls>
        <c:smooth val="0"/>
        <c:axId val="745603856"/>
        <c:axId val="938602728"/>
      </c:lineChart>
      <c:dateAx>
        <c:axId val="74560385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938602728"/>
        <c:crosses val="autoZero"/>
        <c:auto val="1"/>
        <c:lblOffset val="100"/>
        <c:baseTimeUnit val="months"/>
      </c:dateAx>
      <c:valAx>
        <c:axId val="938602728"/>
        <c:scaling>
          <c:orientation val="minMax"/>
          <c:min val="80"/>
        </c:scaling>
        <c:delete val="0"/>
        <c:axPos val="l"/>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745603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49</xdr:col>
      <xdr:colOff>71718</xdr:colOff>
      <xdr:row>49</xdr:row>
      <xdr:rowOff>89646</xdr:rowOff>
    </xdr:from>
    <xdr:to>
      <xdr:col>51</xdr:col>
      <xdr:colOff>286871</xdr:colOff>
      <xdr:row>50</xdr:row>
      <xdr:rowOff>116540</xdr:rowOff>
    </xdr:to>
    <xdr:sp macro="" textlink="">
      <xdr:nvSpPr>
        <xdr:cNvPr id="19" name="Rectangle 18">
          <a:extLst>
            <a:ext uri="{FF2B5EF4-FFF2-40B4-BE49-F238E27FC236}">
              <a16:creationId xmlns:a16="http://schemas.microsoft.com/office/drawing/2014/main" id="{2E6B7C8D-8AD7-48DC-9685-8E481C2A8980}"/>
            </a:ext>
          </a:extLst>
        </xdr:cNvPr>
        <xdr:cNvSpPr/>
      </xdr:nvSpPr>
      <xdr:spPr>
        <a:xfrm>
          <a:off x="37463506" y="9825317"/>
          <a:ext cx="1434353" cy="206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49</xdr:col>
      <xdr:colOff>71718</xdr:colOff>
      <xdr:row>52</xdr:row>
      <xdr:rowOff>116541</xdr:rowOff>
    </xdr:from>
    <xdr:to>
      <xdr:col>51</xdr:col>
      <xdr:colOff>286871</xdr:colOff>
      <xdr:row>53</xdr:row>
      <xdr:rowOff>143435</xdr:rowOff>
    </xdr:to>
    <xdr:sp macro="" textlink="">
      <xdr:nvSpPr>
        <xdr:cNvPr id="20" name="Rectangle 19">
          <a:extLst>
            <a:ext uri="{FF2B5EF4-FFF2-40B4-BE49-F238E27FC236}">
              <a16:creationId xmlns:a16="http://schemas.microsoft.com/office/drawing/2014/main" id="{B29689CF-D1D6-44AF-8CF8-A2F9A9FC1355}"/>
            </a:ext>
          </a:extLst>
        </xdr:cNvPr>
        <xdr:cNvSpPr/>
      </xdr:nvSpPr>
      <xdr:spPr>
        <a:xfrm>
          <a:off x="37463506" y="10390094"/>
          <a:ext cx="1434353" cy="206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49</xdr:col>
      <xdr:colOff>295836</xdr:colOff>
      <xdr:row>44</xdr:row>
      <xdr:rowOff>170329</xdr:rowOff>
    </xdr:from>
    <xdr:to>
      <xdr:col>49</xdr:col>
      <xdr:colOff>304800</xdr:colOff>
      <xdr:row>47</xdr:row>
      <xdr:rowOff>17930</xdr:rowOff>
    </xdr:to>
    <xdr:cxnSp macro="">
      <xdr:nvCxnSpPr>
        <xdr:cNvPr id="22" name="Straight Arrow Connector 21">
          <a:extLst>
            <a:ext uri="{FF2B5EF4-FFF2-40B4-BE49-F238E27FC236}">
              <a16:creationId xmlns:a16="http://schemas.microsoft.com/office/drawing/2014/main" id="{0E51D1AD-B765-F156-6BD5-70D65167DAB0}"/>
            </a:ext>
          </a:extLst>
        </xdr:cNvPr>
        <xdr:cNvCxnSpPr/>
      </xdr:nvCxnSpPr>
      <xdr:spPr>
        <a:xfrm>
          <a:off x="37687624" y="9009529"/>
          <a:ext cx="8964" cy="385483"/>
        </a:xfrm>
        <a:prstGeom prst="straightConnector1">
          <a:avLst/>
        </a:prstGeom>
        <a:ln w="28575">
          <a:solidFill>
            <a:srgbClr val="FF0000"/>
          </a:solidFill>
          <a:headEnd type="triangle"/>
          <a:tailEnd type="triangle"/>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263337</xdr:colOff>
      <xdr:row>0</xdr:row>
      <xdr:rowOff>180415</xdr:rowOff>
    </xdr:from>
    <xdr:to>
      <xdr:col>19</xdr:col>
      <xdr:colOff>184896</xdr:colOff>
      <xdr:row>13</xdr:row>
      <xdr:rowOff>66115</xdr:rowOff>
    </xdr:to>
    <xdr:graphicFrame macro="">
      <xdr:nvGraphicFramePr>
        <xdr:cNvPr id="2" name="Chart 1">
          <a:extLst>
            <a:ext uri="{FF2B5EF4-FFF2-40B4-BE49-F238E27FC236}">
              <a16:creationId xmlns:a16="http://schemas.microsoft.com/office/drawing/2014/main" id="{8394457A-56D0-CECE-0A17-110A1EA86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54</xdr:col>
      <xdr:colOff>58271</xdr:colOff>
      <xdr:row>13</xdr:row>
      <xdr:rowOff>13447</xdr:rowOff>
    </xdr:from>
    <xdr:to>
      <xdr:col>61</xdr:col>
      <xdr:colOff>255494</xdr:colOff>
      <xdr:row>26</xdr:row>
      <xdr:rowOff>13447</xdr:rowOff>
    </xdr:to>
    <xdr:graphicFrame macro="">
      <xdr:nvGraphicFramePr>
        <xdr:cNvPr id="3" name="Chart 2">
          <a:extLst>
            <a:ext uri="{FF2B5EF4-FFF2-40B4-BE49-F238E27FC236}">
              <a16:creationId xmlns:a16="http://schemas.microsoft.com/office/drawing/2014/main" id="{41B59148-3330-FBC2-D849-770E2F71E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41</xdr:col>
      <xdr:colOff>0</xdr:colOff>
      <xdr:row>12</xdr:row>
      <xdr:rowOff>0</xdr:rowOff>
    </xdr:from>
    <xdr:to>
      <xdr:col>52</xdr:col>
      <xdr:colOff>561405</xdr:colOff>
      <xdr:row>36</xdr:row>
      <xdr:rowOff>170308</xdr:rowOff>
    </xdr:to>
    <xdr:pic>
      <xdr:nvPicPr>
        <xdr:cNvPr id="2" name="Picture 1">
          <a:extLst>
            <a:ext uri="{FF2B5EF4-FFF2-40B4-BE49-F238E27FC236}">
              <a16:creationId xmlns:a16="http://schemas.microsoft.com/office/drawing/2014/main" id="{B5314C56-2E40-E4B7-7396-CA3CC01F00F7}"/>
            </a:ext>
          </a:extLst>
        </xdr:cNvPr>
        <xdr:cNvPicPr>
          <a:picLocks noChangeAspect="1"/>
        </xdr:cNvPicPr>
      </xdr:nvPicPr>
      <xdr:blipFill>
        <a:blip xmlns:r="http://schemas.openxmlformats.org/officeDocument/2006/relationships" r:embed="rId1"/>
        <a:stretch>
          <a:fillRect/>
        </a:stretch>
      </xdr:blipFill>
      <xdr:spPr>
        <a:xfrm>
          <a:off x="31367506" y="2644588"/>
          <a:ext cx="7643522" cy="49305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777240</xdr:colOff>
      <xdr:row>54</xdr:row>
      <xdr:rowOff>129540</xdr:rowOff>
    </xdr:from>
    <xdr:to>
      <xdr:col>8</xdr:col>
      <xdr:colOff>693420</xdr:colOff>
      <xdr:row>69</xdr:row>
      <xdr:rowOff>129540</xdr:rowOff>
    </xdr:to>
    <xdr:graphicFrame macro="">
      <xdr:nvGraphicFramePr>
        <xdr:cNvPr id="2" name="Chart 1">
          <a:extLst>
            <a:ext uri="{FF2B5EF4-FFF2-40B4-BE49-F238E27FC236}">
              <a16:creationId xmlns:a16="http://schemas.microsoft.com/office/drawing/2014/main" id="{F54A7399-50E7-4B19-B7C1-D8DCB8B0E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746760</xdr:colOff>
      <xdr:row>54</xdr:row>
      <xdr:rowOff>129540</xdr:rowOff>
    </xdr:from>
    <xdr:to>
      <xdr:col>16</xdr:col>
      <xdr:colOff>53340</xdr:colOff>
      <xdr:row>69</xdr:row>
      <xdr:rowOff>129540</xdr:rowOff>
    </xdr:to>
    <xdr:graphicFrame macro="">
      <xdr:nvGraphicFramePr>
        <xdr:cNvPr id="3" name="Chart 2">
          <a:extLst>
            <a:ext uri="{FF2B5EF4-FFF2-40B4-BE49-F238E27FC236}">
              <a16:creationId xmlns:a16="http://schemas.microsoft.com/office/drawing/2014/main" id="{B8091640-8528-49F7-96F6-785F5E21A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723900</xdr:colOff>
      <xdr:row>71</xdr:row>
      <xdr:rowOff>7620</xdr:rowOff>
    </xdr:from>
    <xdr:to>
      <xdr:col>8</xdr:col>
      <xdr:colOff>640080</xdr:colOff>
      <xdr:row>86</xdr:row>
      <xdr:rowOff>7620</xdr:rowOff>
    </xdr:to>
    <xdr:graphicFrame macro="">
      <xdr:nvGraphicFramePr>
        <xdr:cNvPr id="4" name="Chart 3">
          <a:extLst>
            <a:ext uri="{FF2B5EF4-FFF2-40B4-BE49-F238E27FC236}">
              <a16:creationId xmlns:a16="http://schemas.microsoft.com/office/drawing/2014/main" id="{CFF20B72-DC84-45B5-9B81-F8D5F8991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723900</xdr:colOff>
      <xdr:row>71</xdr:row>
      <xdr:rowOff>7620</xdr:rowOff>
    </xdr:from>
    <xdr:to>
      <xdr:col>16</xdr:col>
      <xdr:colOff>30480</xdr:colOff>
      <xdr:row>86</xdr:row>
      <xdr:rowOff>7620</xdr:rowOff>
    </xdr:to>
    <xdr:graphicFrame macro="">
      <xdr:nvGraphicFramePr>
        <xdr:cNvPr id="5" name="Chart 4">
          <a:extLst>
            <a:ext uri="{FF2B5EF4-FFF2-40B4-BE49-F238E27FC236}">
              <a16:creationId xmlns:a16="http://schemas.microsoft.com/office/drawing/2014/main" id="{3B3F0F0D-34DA-4D30-A686-9F0770913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739140</xdr:colOff>
      <xdr:row>87</xdr:row>
      <xdr:rowOff>167640</xdr:rowOff>
    </xdr:from>
    <xdr:to>
      <xdr:col>8</xdr:col>
      <xdr:colOff>655320</xdr:colOff>
      <xdr:row>102</xdr:row>
      <xdr:rowOff>167640</xdr:rowOff>
    </xdr:to>
    <xdr:graphicFrame macro="">
      <xdr:nvGraphicFramePr>
        <xdr:cNvPr id="6" name="Chart 5">
          <a:extLst>
            <a:ext uri="{FF2B5EF4-FFF2-40B4-BE49-F238E27FC236}">
              <a16:creationId xmlns:a16="http://schemas.microsoft.com/office/drawing/2014/main" id="{051B923D-98FA-430F-8FD2-292086A81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731520</xdr:colOff>
      <xdr:row>87</xdr:row>
      <xdr:rowOff>76200</xdr:rowOff>
    </xdr:from>
    <xdr:to>
      <xdr:col>16</xdr:col>
      <xdr:colOff>182880</xdr:colOff>
      <xdr:row>102</xdr:row>
      <xdr:rowOff>76200</xdr:rowOff>
    </xdr:to>
    <xdr:graphicFrame macro="">
      <xdr:nvGraphicFramePr>
        <xdr:cNvPr id="7" name="Chart 6">
          <a:extLst>
            <a:ext uri="{FF2B5EF4-FFF2-40B4-BE49-F238E27FC236}">
              <a16:creationId xmlns:a16="http://schemas.microsoft.com/office/drawing/2014/main" id="{126F3B36-F4FF-4150-AE88-988D84EDE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617220</xdr:colOff>
      <xdr:row>104</xdr:row>
      <xdr:rowOff>91440</xdr:rowOff>
    </xdr:from>
    <xdr:to>
      <xdr:col>8</xdr:col>
      <xdr:colOff>533400</xdr:colOff>
      <xdr:row>119</xdr:row>
      <xdr:rowOff>91440</xdr:rowOff>
    </xdr:to>
    <xdr:graphicFrame macro="">
      <xdr:nvGraphicFramePr>
        <xdr:cNvPr id="8" name="Chart 7">
          <a:extLst>
            <a:ext uri="{FF2B5EF4-FFF2-40B4-BE49-F238E27FC236}">
              <a16:creationId xmlns:a16="http://schemas.microsoft.com/office/drawing/2014/main" id="{5B1BF6F1-A865-48B5-825A-B9A9B5BFA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54</xdr:row>
      <xdr:rowOff>0</xdr:rowOff>
    </xdr:from>
    <xdr:to>
      <xdr:col>11</xdr:col>
      <xdr:colOff>366700</xdr:colOff>
      <xdr:row>82</xdr:row>
      <xdr:rowOff>38547</xdr:rowOff>
    </xdr:to>
    <xdr:pic>
      <xdr:nvPicPr>
        <xdr:cNvPr id="2" name="Picture 1">
          <a:extLst>
            <a:ext uri="{FF2B5EF4-FFF2-40B4-BE49-F238E27FC236}">
              <a16:creationId xmlns:a16="http://schemas.microsoft.com/office/drawing/2014/main" id="{F7F21FF1-919B-18A8-E26E-428A69C2B83B}"/>
            </a:ext>
          </a:extLst>
        </xdr:cNvPr>
        <xdr:cNvPicPr>
          <a:picLocks noChangeAspect="1"/>
        </xdr:cNvPicPr>
      </xdr:nvPicPr>
      <xdr:blipFill>
        <a:blip xmlns:r="http://schemas.openxmlformats.org/officeDocument/2006/relationships" r:embed="rId1"/>
        <a:stretch>
          <a:fillRect/>
        </a:stretch>
      </xdr:blipFill>
      <xdr:spPr>
        <a:xfrm>
          <a:off x="0" y="9875520"/>
          <a:ext cx="10851820" cy="51591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95</xdr:row>
      <xdr:rowOff>60960</xdr:rowOff>
    </xdr:from>
    <xdr:to>
      <xdr:col>11</xdr:col>
      <xdr:colOff>366700</xdr:colOff>
      <xdr:row>123</xdr:row>
      <xdr:rowOff>99507</xdr:rowOff>
    </xdr:to>
    <xdr:pic>
      <xdr:nvPicPr>
        <xdr:cNvPr id="2" name="Picture 1">
          <a:extLst>
            <a:ext uri="{FF2B5EF4-FFF2-40B4-BE49-F238E27FC236}">
              <a16:creationId xmlns:a16="http://schemas.microsoft.com/office/drawing/2014/main" id="{DD603501-751A-4F00-BF5B-AC2FD1FB31AB}"/>
            </a:ext>
          </a:extLst>
        </xdr:cNvPr>
        <xdr:cNvPicPr>
          <a:picLocks noChangeAspect="1"/>
        </xdr:cNvPicPr>
      </xdr:nvPicPr>
      <xdr:blipFill>
        <a:blip xmlns:r="http://schemas.openxmlformats.org/officeDocument/2006/relationships" r:embed="rId1"/>
        <a:stretch>
          <a:fillRect/>
        </a:stretch>
      </xdr:blipFill>
      <xdr:spPr>
        <a:xfrm>
          <a:off x="0" y="16885920"/>
          <a:ext cx="10851820" cy="51591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419100</xdr:colOff>
      <xdr:row>5</xdr:row>
      <xdr:rowOff>160020</xdr:rowOff>
    </xdr:from>
    <xdr:to>
      <xdr:col>14</xdr:col>
      <xdr:colOff>114300</xdr:colOff>
      <xdr:row>27</xdr:row>
      <xdr:rowOff>160020</xdr:rowOff>
    </xdr:to>
    <xdr:graphicFrame macro="">
      <xdr:nvGraphicFramePr>
        <xdr:cNvPr id="2" name="Chart 1">
          <a:extLst>
            <a:ext uri="{FF2B5EF4-FFF2-40B4-BE49-F238E27FC236}">
              <a16:creationId xmlns:a16="http://schemas.microsoft.com/office/drawing/2014/main" id="{4EF0E45E-D083-463B-A555-5499F6BC7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350520</xdr:colOff>
      <xdr:row>52</xdr:row>
      <xdr:rowOff>76200</xdr:rowOff>
    </xdr:from>
    <xdr:to>
      <xdr:col>15</xdr:col>
      <xdr:colOff>198120</xdr:colOff>
      <xdr:row>72</xdr:row>
      <xdr:rowOff>83820</xdr:rowOff>
    </xdr:to>
    <xdr:graphicFrame macro="">
      <xdr:nvGraphicFramePr>
        <xdr:cNvPr id="2" name="Chart 1">
          <a:extLst>
            <a:ext uri="{FF2B5EF4-FFF2-40B4-BE49-F238E27FC236}">
              <a16:creationId xmlns:a16="http://schemas.microsoft.com/office/drawing/2014/main" id="{FB3AD7B0-65D3-4AA5-93DE-901FFD381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434340</xdr:colOff>
      <xdr:row>2</xdr:row>
      <xdr:rowOff>34290</xdr:rowOff>
    </xdr:from>
    <xdr:to>
      <xdr:col>10</xdr:col>
      <xdr:colOff>68580</xdr:colOff>
      <xdr:row>17</xdr:row>
      <xdr:rowOff>34290</xdr:rowOff>
    </xdr:to>
    <xdr:graphicFrame macro="">
      <xdr:nvGraphicFramePr>
        <xdr:cNvPr id="2" name="Chart 1">
          <a:extLst>
            <a:ext uri="{FF2B5EF4-FFF2-40B4-BE49-F238E27FC236}">
              <a16:creationId xmlns:a16="http://schemas.microsoft.com/office/drawing/2014/main" id="{55F2B697-7B16-4A1A-8522-FC3412398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388620</xdr:colOff>
      <xdr:row>12</xdr:row>
      <xdr:rowOff>106680</xdr:rowOff>
    </xdr:from>
    <xdr:to>
      <xdr:col>11</xdr:col>
      <xdr:colOff>38100</xdr:colOff>
      <xdr:row>27</xdr:row>
      <xdr:rowOff>106680</xdr:rowOff>
    </xdr:to>
    <xdr:graphicFrame macro="">
      <xdr:nvGraphicFramePr>
        <xdr:cNvPr id="3" name="Chart 2">
          <a:extLst>
            <a:ext uri="{FF2B5EF4-FFF2-40B4-BE49-F238E27FC236}">
              <a16:creationId xmlns:a16="http://schemas.microsoft.com/office/drawing/2014/main" id="{950626E1-717B-575B-BBF3-29FBB2323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esktop\Personal\Tra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 Portfolio"/>
      <sheetName val="Completed"/>
      <sheetName val="Trades"/>
      <sheetName val="Completed - Trades"/>
      <sheetName val="LMF"/>
      <sheetName val="SIRA"/>
      <sheetName val="ACL"/>
      <sheetName val="VPEL"/>
      <sheetName val="LLUB"/>
      <sheetName val="BPPL"/>
      <sheetName val="GLAS"/>
      <sheetName val="TYRE"/>
      <sheetName val="TKYO"/>
      <sheetName val="AEL"/>
      <sheetName val="RICH"/>
      <sheetName val="LWL"/>
      <sheetName val="ASIR"/>
      <sheetName val="LHCL"/>
      <sheetName val="AAIC"/>
      <sheetName val="DIAL"/>
      <sheetName val="DIST"/>
      <sheetName val="MGT"/>
      <sheetName val="LIOC"/>
      <sheetName val="BTC"/>
      <sheetName val="CSE"/>
      <sheetName val="Bull Vs Bear"/>
      <sheetName val="Swing Trade"/>
      <sheetName val="Artheha"/>
      <sheetName val="Completed - Trades Artheha"/>
      <sheetName val="YTM calculations"/>
      <sheetName val="Sheet1"/>
    </sheetNames>
    <sheetDataSet>
      <sheetData sheetId="0" refreshError="1">
        <row r="294">
          <cell r="I294" t="str">
            <v>SELL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persons/person.xml><?xml version="1.0" encoding="utf-8"?>
<personList xmlns="http://schemas.microsoft.com/office/spreadsheetml/2018/threadedcomments" xmlns:x="http://schemas.openxmlformats.org/spreadsheetml/2006/main">
  <person displayName="Dasuni Thennakoon" id="{25935BCB-70B1-43C7-9273-4DFA2AB08836}" userId="dd231854dc1fe4a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M3" dT="2024-08-21T09:45:11.53" personId="{25935BCB-70B1-43C7-9273-4DFA2AB08836}" id="{79B41199-4750-4CE0-9880-090E7630CF1B}">
    <text>What might be the reason Lanka Tile’s revenue declined?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8.bin"/><Relationship Id="rId1" Type="http://schemas.openxmlformats.org/officeDocument/2006/relationships/hyperlink" Target="https://www.expolanka.com/uploads/Presentation/IR_Presentation_Q4-2022.pdf" TargetMode="External"/><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4.xml"/><Relationship Id="rId1" Type="http://schemas.openxmlformats.org/officeDocument/2006/relationships/printerSettings" Target="../printerSettings/printerSettings25.bin"/><Relationship Id="rId4" Type="http://schemas.openxmlformats.org/officeDocument/2006/relationships/comments" Target="../comments2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5.x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4.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drawing" Target="../drawings/drawing6.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drawing" Target="../drawings/drawing7.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drawing" Target="../drawings/drawing9.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10.xml"/><Relationship Id="rId1" Type="http://schemas.openxmlformats.org/officeDocument/2006/relationships/printerSettings" Target="../printerSettings/printerSettings30.bin"/><Relationship Id="rId4" Type="http://schemas.openxmlformats.org/officeDocument/2006/relationships/comments" Target="../comments34.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E1B3-76B4-4AD0-A793-B6A79904F6AB}">
  <sheetPr>
    <tabColor rgb="FF92D050"/>
  </sheetPr>
  <dimension ref="A1:B1"/>
  <sheetViews>
    <sheetView workbookViewId="0">
      <selection activeCell="A2" sqref="A2"/>
    </sheetView>
  </sheetViews>
  <sheetFormatPr defaultRowHeight="15" x14ac:dyDescent="0.25"/>
  <sheetData>
    <row r="1" spans="1:2" x14ac:dyDescent="0.25">
      <c r="A1" t="s">
        <v>1081</v>
      </c>
      <c r="B1" t="s">
        <v>1082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8EE1-9EDE-43E6-B266-C3167177705D}">
  <sheetPr>
    <tabColor rgb="FF92D050"/>
  </sheetPr>
  <dimension ref="A1:AC50"/>
  <sheetViews>
    <sheetView workbookViewId="0">
      <pane ySplit="1" topLeftCell="A2" activePane="bottomLeft" state="frozen"/>
      <selection pane="bottomLeft" activeCell="F51" sqref="F51"/>
    </sheetView>
  </sheetViews>
  <sheetFormatPr defaultRowHeight="15" x14ac:dyDescent="0.25"/>
  <cols>
    <col min="5" max="5" width="10.140625" bestFit="1" customWidth="1"/>
    <col min="11" max="11" width="12.28515625" bestFit="1" customWidth="1"/>
    <col min="12" max="12" width="8.85546875" style="152"/>
    <col min="14" max="14" width="8.85546875" style="151"/>
    <col min="15" max="15" width="8.85546875" style="152"/>
    <col min="17" max="17" width="8.85546875" style="151"/>
    <col min="18" max="18" width="8.85546875" style="152"/>
    <col min="20" max="20" width="8.85546875" style="151"/>
    <col min="21" max="21" width="8.85546875" style="152"/>
    <col min="23" max="23" width="8.85546875" style="151"/>
    <col min="24" max="24" width="8.85546875" style="152"/>
    <col min="26" max="26" width="8.85546875" style="151"/>
    <col min="27" max="28" width="11.28515625" customWidth="1"/>
    <col min="29" max="29" width="11.42578125" bestFit="1" customWidth="1"/>
  </cols>
  <sheetData>
    <row r="1" spans="1:29" x14ac:dyDescent="0.25">
      <c r="B1" t="s">
        <v>425</v>
      </c>
      <c r="C1" s="136" t="s">
        <v>993</v>
      </c>
      <c r="D1" s="136" t="s">
        <v>997</v>
      </c>
      <c r="E1" s="136" t="s">
        <v>951</v>
      </c>
      <c r="F1" s="136" t="s">
        <v>29</v>
      </c>
      <c r="G1" s="136" t="s">
        <v>313</v>
      </c>
      <c r="H1" s="136" t="s">
        <v>88</v>
      </c>
      <c r="I1" s="183" t="s">
        <v>995</v>
      </c>
      <c r="J1" s="154" t="s">
        <v>37</v>
      </c>
      <c r="K1" s="146" t="s">
        <v>998</v>
      </c>
      <c r="L1" s="184" t="s">
        <v>11</v>
      </c>
      <c r="M1" s="185"/>
      <c r="N1" s="186"/>
      <c r="O1" s="184" t="s">
        <v>951</v>
      </c>
      <c r="P1" s="185"/>
      <c r="Q1" s="186"/>
      <c r="R1" s="184" t="s">
        <v>997</v>
      </c>
      <c r="S1" s="185"/>
      <c r="T1" s="186"/>
      <c r="U1" s="184" t="s">
        <v>29</v>
      </c>
      <c r="V1" s="185"/>
      <c r="W1" s="186"/>
      <c r="X1" s="184" t="s">
        <v>30</v>
      </c>
      <c r="Y1" s="185"/>
      <c r="Z1" s="186"/>
      <c r="AA1" s="184" t="s">
        <v>1001</v>
      </c>
      <c r="AB1" s="185"/>
      <c r="AC1" s="146"/>
    </row>
    <row r="2" spans="1:29" x14ac:dyDescent="0.25">
      <c r="C2" s="136"/>
      <c r="D2" s="136" t="s">
        <v>28</v>
      </c>
      <c r="E2" s="136" t="s">
        <v>28</v>
      </c>
      <c r="F2" s="136" t="s">
        <v>994</v>
      </c>
      <c r="G2" s="136"/>
      <c r="H2" s="136" t="s">
        <v>999</v>
      </c>
      <c r="I2" s="183"/>
      <c r="J2" s="136"/>
      <c r="K2" s="146"/>
      <c r="L2" s="148" t="s">
        <v>190</v>
      </c>
      <c r="M2" s="147" t="s">
        <v>191</v>
      </c>
      <c r="N2" s="149" t="s">
        <v>991</v>
      </c>
      <c r="O2" s="148" t="s">
        <v>190</v>
      </c>
      <c r="P2" s="147" t="s">
        <v>191</v>
      </c>
      <c r="Q2" s="149" t="s">
        <v>991</v>
      </c>
      <c r="R2" s="148" t="s">
        <v>190</v>
      </c>
      <c r="S2" s="147" t="s">
        <v>191</v>
      </c>
      <c r="T2" s="149" t="s">
        <v>991</v>
      </c>
      <c r="U2" s="148" t="s">
        <v>190</v>
      </c>
      <c r="V2" s="147" t="s">
        <v>191</v>
      </c>
      <c r="W2" s="149" t="s">
        <v>991</v>
      </c>
      <c r="X2" s="148" t="s">
        <v>190</v>
      </c>
      <c r="Y2" s="147" t="s">
        <v>191</v>
      </c>
      <c r="Z2" s="149" t="s">
        <v>991</v>
      </c>
      <c r="AA2" s="146" t="s">
        <v>996</v>
      </c>
      <c r="AB2" s="146" t="s">
        <v>1000</v>
      </c>
      <c r="AC2" s="146" t="s">
        <v>963</v>
      </c>
    </row>
    <row r="3" spans="1:29" x14ac:dyDescent="0.25">
      <c r="A3">
        <v>1</v>
      </c>
      <c r="B3" t="s">
        <v>33</v>
      </c>
      <c r="C3" s="155">
        <v>46.9</v>
      </c>
      <c r="D3" s="78">
        <f>+SUM(MGT!AI26:AL26)/1000</f>
        <v>2544.4119999999998</v>
      </c>
      <c r="E3" s="78">
        <f>+SUM(MGT!AI3:AL3)/1000</f>
        <v>50252.885999999999</v>
      </c>
      <c r="F3" s="2">
        <f>+SUM(MGT!AI29:AL29)</f>
        <v>6.1240038600393385</v>
      </c>
      <c r="G3" s="2">
        <f>+MGT!AL46</f>
        <v>24.110886634892982</v>
      </c>
      <c r="H3" s="4">
        <f>+MGT!AO33</f>
        <v>0.22511268779107069</v>
      </c>
      <c r="I3" s="2">
        <f>+MGT!AO35</f>
        <v>8.0028418994924717</v>
      </c>
      <c r="J3" s="2">
        <f t="shared" ref="J3:J24" si="0">+C3/G3</f>
        <v>1.9451794000858886</v>
      </c>
      <c r="K3" s="4">
        <f>+Y3/C3</f>
        <v>5.6289978678038387E-2</v>
      </c>
      <c r="L3" s="150">
        <f>+C3/U3</f>
        <v>6.3228850690933598</v>
      </c>
      <c r="M3" s="2">
        <f>+C3/V3</f>
        <v>6.1852950873722392</v>
      </c>
      <c r="N3" s="2">
        <f>+C3/W3</f>
        <v>5.6285628562856287</v>
      </c>
      <c r="O3" s="153">
        <f>+MGT!AQ11</f>
        <v>62655.5</v>
      </c>
      <c r="P3" s="10">
        <f>+MGT!AV11</f>
        <v>55904</v>
      </c>
      <c r="Q3" s="156">
        <f>+MGT!BA11</f>
        <v>62636</v>
      </c>
      <c r="R3" s="153">
        <f>+MGT!AS11</f>
        <v>3075</v>
      </c>
      <c r="S3" s="10">
        <f>+MGT!AX11</f>
        <v>3550</v>
      </c>
      <c r="T3" s="156">
        <f>+MGT!BC11</f>
        <v>3902.5</v>
      </c>
      <c r="U3" s="150">
        <f>+MGT!AT11</f>
        <v>7.4175000000000004</v>
      </c>
      <c r="V3" s="2">
        <f>+MGT!AY11</f>
        <v>7.5824999999999996</v>
      </c>
      <c r="W3" s="2">
        <f>+MGT!BD11</f>
        <v>8.3324999999999996</v>
      </c>
      <c r="X3" s="150">
        <f>+MGT!AU11</f>
        <v>2.5750000000000002</v>
      </c>
      <c r="Y3" s="2">
        <f>+MGT!AZ11</f>
        <v>2.64</v>
      </c>
      <c r="Z3" s="157">
        <f>+MGT!BE11</f>
        <v>2.84</v>
      </c>
      <c r="AA3" s="145">
        <f>+P3/O3-1</f>
        <v>-0.10775590331255835</v>
      </c>
      <c r="AB3" s="145">
        <f>+S3/R3-1</f>
        <v>0.15447154471544722</v>
      </c>
      <c r="AC3" s="10">
        <f>+MGT!AK44</f>
        <v>415481.77600000001</v>
      </c>
    </row>
    <row r="4" spans="1:29" x14ac:dyDescent="0.25">
      <c r="A4">
        <v>2</v>
      </c>
      <c r="B4" t="s">
        <v>69</v>
      </c>
      <c r="C4" s="155">
        <v>40</v>
      </c>
      <c r="D4" s="78">
        <f>+SUM(TJL!C24:F24)/1000</f>
        <v>1116.479</v>
      </c>
      <c r="E4" s="78">
        <f>+SUM(TJL!C2:F2)/1000</f>
        <v>60698.879999999997</v>
      </c>
      <c r="F4" s="2">
        <f>+SUM(TJL!C27:F27)</f>
        <v>1.5577183343234065</v>
      </c>
      <c r="G4" s="2">
        <f>+TJL!F45</f>
        <v>42.011675154577503</v>
      </c>
      <c r="H4" s="4" t="e">
        <f>+TJL!#REF!</f>
        <v>#REF!</v>
      </c>
      <c r="I4" s="2" t="e">
        <f>+TJL!#REF!</f>
        <v>#REF!</v>
      </c>
      <c r="J4" s="2">
        <f t="shared" si="0"/>
        <v>0.95211628321946795</v>
      </c>
      <c r="K4" s="4" t="e">
        <f>+Y4/C4</f>
        <v>#REF!</v>
      </c>
      <c r="L4" s="150" t="e">
        <f>+C4/U4</f>
        <v>#REF!</v>
      </c>
      <c r="M4" s="2" t="e">
        <f>+C4/V4</f>
        <v>#REF!</v>
      </c>
      <c r="N4" s="157" t="e">
        <f>+C4/W4</f>
        <v>#REF!</v>
      </c>
      <c r="O4" s="153" t="e">
        <f>+TJL!#REF!</f>
        <v>#REF!</v>
      </c>
      <c r="P4" s="10" t="e">
        <f>+TJL!#REF!</f>
        <v>#REF!</v>
      </c>
      <c r="Q4" s="156" t="e">
        <f>+TJL!#REF!</f>
        <v>#REF!</v>
      </c>
      <c r="R4" s="153" t="e">
        <f>+TJL!#REF!</f>
        <v>#REF!</v>
      </c>
      <c r="S4" s="10" t="e">
        <f>+TJL!#REF!</f>
        <v>#REF!</v>
      </c>
      <c r="T4" s="156" t="e">
        <f>+TJL!#REF!</f>
        <v>#REF!</v>
      </c>
      <c r="U4" s="150" t="e">
        <f>+TJL!#REF!</f>
        <v>#REF!</v>
      </c>
      <c r="V4" s="2" t="e">
        <f>+TJL!#REF!</f>
        <v>#REF!</v>
      </c>
      <c r="W4" s="151" t="e">
        <f>+TJL!#REF!</f>
        <v>#REF!</v>
      </c>
      <c r="X4" s="150" t="e">
        <f>+TJL!#REF!</f>
        <v>#REF!</v>
      </c>
      <c r="Y4" s="2" t="e">
        <f>+TJL!#REF!</f>
        <v>#REF!</v>
      </c>
      <c r="Z4" s="151" t="e">
        <f>+TJL!#REF!</f>
        <v>#REF!</v>
      </c>
      <c r="AA4" s="145" t="e">
        <f>+P4/O4-1</f>
        <v>#REF!</v>
      </c>
      <c r="AB4" s="145" t="e">
        <f>+S4/R4-1</f>
        <v>#REF!</v>
      </c>
      <c r="AC4" s="10">
        <f>+TJL!E43</f>
        <v>716739.97499999998</v>
      </c>
    </row>
    <row r="5" spans="1:29" x14ac:dyDescent="0.25">
      <c r="A5">
        <v>3</v>
      </c>
      <c r="B5" t="s">
        <v>72</v>
      </c>
      <c r="C5" s="155">
        <v>18.399999999999999</v>
      </c>
      <c r="D5" s="78">
        <f>+SUM(BPPL!AJ26:AM26)/1000</f>
        <v>422.00335799999999</v>
      </c>
      <c r="E5" s="78">
        <f>+SUM(BPPL!AJ3:AM3)/1000</f>
        <v>5933.4160000000002</v>
      </c>
      <c r="F5" s="2">
        <f>+SUM(BPPL!AJ29:AM29)</f>
        <v>1.3753055048214713</v>
      </c>
      <c r="G5" s="2">
        <f>+BPPL!AM46</f>
        <v>13.086934777603805</v>
      </c>
      <c r="H5" s="4">
        <f>+BPPL!AO33</f>
        <v>0.15382124848882126</v>
      </c>
      <c r="I5" s="2">
        <f>+BPPL!AO35</f>
        <v>9.1403653026779086</v>
      </c>
      <c r="J5" s="2">
        <f t="shared" si="0"/>
        <v>1.4059824025018184</v>
      </c>
      <c r="K5" s="4"/>
      <c r="L5" s="150"/>
      <c r="M5" s="2"/>
      <c r="O5" s="153"/>
      <c r="P5" s="10"/>
      <c r="R5" s="153"/>
      <c r="S5" s="10"/>
      <c r="U5" s="150"/>
      <c r="V5" s="2"/>
      <c r="X5" s="150"/>
      <c r="Y5" s="2"/>
      <c r="AA5" s="145"/>
      <c r="AB5" s="145"/>
      <c r="AC5" s="10">
        <f>+BPPL!AK44</f>
        <v>306843.35700000002</v>
      </c>
    </row>
    <row r="6" spans="1:29" x14ac:dyDescent="0.25">
      <c r="A6">
        <v>4</v>
      </c>
      <c r="B6" t="s">
        <v>110</v>
      </c>
      <c r="C6" s="155">
        <v>95.6</v>
      </c>
      <c r="D6" s="78">
        <f>+SUM(HAYL!AI28:AL28)/1000</f>
        <v>6888.77</v>
      </c>
      <c r="E6" s="78">
        <f>+SUM(HAYL!AI3:AL3)/1000</f>
        <v>436833.27</v>
      </c>
      <c r="F6" s="2">
        <f>+SUM(HAYL!AI31:AL31)</f>
        <v>9.1850266666666673</v>
      </c>
      <c r="G6" s="2">
        <f>+HAYL!AL48</f>
        <v>106.88399066666666</v>
      </c>
      <c r="H6" s="4">
        <f>+HAYL!AN35</f>
        <v>0.20139277225639132</v>
      </c>
      <c r="I6" s="2">
        <f>+HAYL!AN37</f>
        <v>4.4412104359035451</v>
      </c>
      <c r="J6" s="2">
        <f t="shared" si="0"/>
        <v>0.89442768186063115</v>
      </c>
      <c r="K6" s="4"/>
      <c r="L6" s="150">
        <f>+C6/U6</f>
        <v>10.402611534276387</v>
      </c>
      <c r="M6" s="2">
        <f>+C6/V6</f>
        <v>5.3259052924791082</v>
      </c>
      <c r="O6" s="153">
        <f>+HAYL!AP11</f>
        <v>416563</v>
      </c>
      <c r="P6" s="10">
        <f>+HAYL!AU11</f>
        <v>448372</v>
      </c>
      <c r="R6" s="153">
        <f>+HAYL!AR11</f>
        <v>6892</v>
      </c>
      <c r="S6" s="10">
        <f>+HAYL!AW11</f>
        <v>13460</v>
      </c>
      <c r="U6" s="150">
        <f>+HAYL!AS11</f>
        <v>9.19</v>
      </c>
      <c r="V6" s="2">
        <f>+HAYL!AX11</f>
        <v>17.95</v>
      </c>
      <c r="X6" s="150"/>
      <c r="Y6" s="2"/>
      <c r="AA6" s="145">
        <f>+P6/O6-1</f>
        <v>7.6360598516910905E-2</v>
      </c>
      <c r="AB6" s="145">
        <f>+S6/R6-1</f>
        <v>0.95298897272199645</v>
      </c>
      <c r="AC6" s="10">
        <f>+HAYL!AK46</f>
        <v>750000</v>
      </c>
    </row>
    <row r="7" spans="1:29" x14ac:dyDescent="0.25">
      <c r="A7">
        <v>5</v>
      </c>
      <c r="B7" t="s">
        <v>85</v>
      </c>
      <c r="C7" s="155">
        <v>79</v>
      </c>
      <c r="D7" s="78">
        <f>+SUM(HAYC!AI29:AL29)/1000</f>
        <v>3743.9290000000001</v>
      </c>
      <c r="E7" s="78">
        <f>+SUM(HAYC!AI3:AL3)/1000</f>
        <v>43179.205000000002</v>
      </c>
      <c r="F7" s="2">
        <f>+SUM(HAYC!AI32:AL32)</f>
        <v>12.600571310775392</v>
      </c>
      <c r="G7" s="3">
        <f>+HAYC!AL49</f>
        <v>77.089303699216231</v>
      </c>
      <c r="H7" s="4">
        <f>+HAYC!AN36</f>
        <v>0.21881837328075227</v>
      </c>
      <c r="I7" s="2">
        <f>+HAYC!AN38</f>
        <v>4.683269857025671</v>
      </c>
      <c r="J7" s="2">
        <f t="shared" si="0"/>
        <v>1.0247854917491386</v>
      </c>
      <c r="K7" s="4"/>
      <c r="L7" s="150"/>
      <c r="M7" s="2"/>
      <c r="O7" s="153"/>
      <c r="P7" s="10"/>
      <c r="R7" s="153"/>
      <c r="S7" s="10"/>
      <c r="U7" s="150"/>
      <c r="V7" s="2"/>
      <c r="X7" s="150"/>
      <c r="Y7" s="2"/>
      <c r="AA7" s="145"/>
      <c r="AB7" s="145"/>
      <c r="AC7" s="10">
        <f>+HAYC!AK47</f>
        <v>297123.75</v>
      </c>
    </row>
    <row r="8" spans="1:29" x14ac:dyDescent="0.25">
      <c r="A8">
        <v>6</v>
      </c>
      <c r="B8" t="s">
        <v>169</v>
      </c>
      <c r="C8" s="155">
        <v>5.2</v>
      </c>
      <c r="D8" s="78">
        <f>+SUM(HELA!AI28:AL28)/1000</f>
        <v>-1852.2170000000001</v>
      </c>
      <c r="E8" s="78">
        <f>+SUM(HELA!AI3:AL3)/1000</f>
        <v>70180.266000000003</v>
      </c>
      <c r="F8" s="2">
        <f>+SUM(HELA!AI31:AL31)</f>
        <v>-1.4338827393148392</v>
      </c>
      <c r="G8" s="3">
        <f>+HELA!AL48</f>
        <v>6.3843371240143965</v>
      </c>
      <c r="H8" s="4"/>
      <c r="I8" s="2"/>
      <c r="J8" s="2">
        <f t="shared" si="0"/>
        <v>0.81449332937642571</v>
      </c>
      <c r="K8" s="4"/>
      <c r="L8" s="150"/>
      <c r="M8" s="2"/>
      <c r="O8" s="153"/>
      <c r="P8" s="10"/>
      <c r="R8" s="153"/>
      <c r="S8" s="10"/>
      <c r="U8" s="150"/>
      <c r="V8" s="2"/>
      <c r="X8" s="150"/>
      <c r="Y8" s="2"/>
      <c r="AA8" s="145"/>
      <c r="AB8" s="145"/>
      <c r="AC8" s="10">
        <f>+HELA!AK46</f>
        <v>1309955.933</v>
      </c>
    </row>
    <row r="9" spans="1:29" x14ac:dyDescent="0.25">
      <c r="A9">
        <v>7</v>
      </c>
      <c r="B9" t="s">
        <v>200</v>
      </c>
      <c r="C9" s="155">
        <v>151</v>
      </c>
      <c r="D9" s="78"/>
      <c r="E9" s="78">
        <f>+SUM(EXPO!AH3:AK3)/1000</f>
        <v>239094.61980800002</v>
      </c>
      <c r="F9" s="2">
        <f>+SUM(EXPO!AH32:AK32)</f>
        <v>-6.9347098175623998</v>
      </c>
      <c r="G9" s="3">
        <f>+EXPO!AK49</f>
        <v>66.043483059877289</v>
      </c>
      <c r="H9" s="4">
        <f>+EXPO!AO33</f>
        <v>0.50793182391160197</v>
      </c>
      <c r="I9" s="2">
        <f>+EXPO!AO35</f>
        <v>4.5013372657304691</v>
      </c>
      <c r="J9" s="2">
        <f t="shared" si="0"/>
        <v>2.2863724474237408</v>
      </c>
      <c r="K9" s="4"/>
      <c r="L9" s="150"/>
      <c r="M9" s="2"/>
      <c r="O9" s="153"/>
      <c r="P9" s="10"/>
      <c r="R9" s="153"/>
      <c r="S9" s="10"/>
      <c r="U9" s="150"/>
      <c r="V9" s="2"/>
      <c r="X9" s="150"/>
      <c r="Y9" s="2"/>
      <c r="AA9" s="145"/>
      <c r="AB9" s="145"/>
      <c r="AC9" s="10">
        <f>+EXPO!AK47</f>
        <v>1954915</v>
      </c>
    </row>
    <row r="10" spans="1:29" x14ac:dyDescent="0.25">
      <c r="A10">
        <v>8</v>
      </c>
      <c r="B10" t="s">
        <v>170</v>
      </c>
      <c r="C10" s="155">
        <v>27.7</v>
      </c>
      <c r="D10" s="78">
        <f>+SUM(GLAS!AI26:AL26)/1000</f>
        <v>2938.83</v>
      </c>
      <c r="E10" s="78">
        <f>+SUM(GLAS!AI3:AL3)/1000</f>
        <v>17823.508999999998</v>
      </c>
      <c r="F10" s="2">
        <f>+SUM(GLAS!AI29:AL29)</f>
        <v>3.0932249844140443</v>
      </c>
      <c r="G10" s="3">
        <f>+GLAS!AL46</f>
        <v>11.649883345306986</v>
      </c>
      <c r="H10" s="4">
        <f>+GLAS!AO33</f>
        <v>0.31506446405082245</v>
      </c>
      <c r="I10" s="2">
        <f>+GLAS!AO35</f>
        <v>7.104854789468197</v>
      </c>
      <c r="J10" s="2">
        <f t="shared" si="0"/>
        <v>2.3777062120676606</v>
      </c>
      <c r="K10" s="4">
        <f>+Y10/C10</f>
        <v>6.8592057761732855E-2</v>
      </c>
      <c r="L10" s="150">
        <f>+C10/U10</f>
        <v>9.3581081081081088</v>
      </c>
      <c r="M10" s="2">
        <f>+C10/V10</f>
        <v>7.5271739130434776</v>
      </c>
      <c r="O10" s="153">
        <f>+GLAS!AQ11</f>
        <v>17866</v>
      </c>
      <c r="P10" s="10">
        <f>+GLAS!AV11</f>
        <v>22199</v>
      </c>
      <c r="R10" s="153">
        <f>+GLAS!AS11</f>
        <v>2814</v>
      </c>
      <c r="S10" s="10">
        <f>+GLAS!AX11</f>
        <v>3492</v>
      </c>
      <c r="U10" s="150">
        <f>+GLAS!AT11</f>
        <v>2.96</v>
      </c>
      <c r="V10" s="2">
        <f>+GLAS!AY11</f>
        <v>3.68</v>
      </c>
      <c r="X10" s="150">
        <f>+GLAS!AU11</f>
        <v>1.5</v>
      </c>
      <c r="Y10" s="2">
        <f>+GLAS!AZ11</f>
        <v>1.9</v>
      </c>
      <c r="AA10" s="145">
        <f>+P10/O10-1</f>
        <v>0.24252770625769626</v>
      </c>
      <c r="AB10" s="145">
        <f>+S10/R10-1</f>
        <v>0.24093816631130061</v>
      </c>
      <c r="AC10" s="10">
        <f>+GLAS!AL44</f>
        <v>950086.08</v>
      </c>
    </row>
    <row r="11" spans="1:29" x14ac:dyDescent="0.25">
      <c r="A11">
        <v>9</v>
      </c>
      <c r="B11" t="s">
        <v>163</v>
      </c>
      <c r="C11" s="155">
        <v>48.8</v>
      </c>
      <c r="D11" s="78">
        <f>+SUM(TKYO!AI28:AL28)/1000</f>
        <v>2418.7249999999999</v>
      </c>
      <c r="E11" s="78">
        <f>+SUM(TKYO!AI3:AL3)/1000</f>
        <v>49823.792999999998</v>
      </c>
      <c r="F11" s="2">
        <f>+SUM(TKYO!AI31:AL31)</f>
        <v>5.4840775884546922</v>
      </c>
      <c r="G11" s="3">
        <f>+TKYO!AL49</f>
        <v>62.391857973676153</v>
      </c>
      <c r="H11" s="4">
        <f>+TKYO!AN35</f>
        <v>0.13288721098547468</v>
      </c>
      <c r="I11" s="2">
        <f>+TKYO!AN37</f>
        <v>5.8858435853242232</v>
      </c>
      <c r="J11" s="2">
        <f t="shared" si="0"/>
        <v>0.78215333835048284</v>
      </c>
      <c r="K11" s="4">
        <f>+Y11/C11</f>
        <v>2.9713114754098366E-2</v>
      </c>
      <c r="L11" s="150">
        <f>+C11/U11</f>
        <v>4.9317837291561393</v>
      </c>
      <c r="M11" s="2">
        <f>+C11/V11</f>
        <v>6</v>
      </c>
      <c r="O11" s="153">
        <f>+TKYO!AP11</f>
        <v>55247.5</v>
      </c>
      <c r="P11" s="10">
        <f>+TKYO!AU11</f>
        <v>57164.873333333329</v>
      </c>
      <c r="R11" s="153">
        <f>+TKYO!AR11</f>
        <v>4371.5</v>
      </c>
      <c r="S11" s="10">
        <f>+TKYO!AW11</f>
        <v>3581.8066666666668</v>
      </c>
      <c r="U11" s="150">
        <f>+TKYO!AS11</f>
        <v>9.8949999999999996</v>
      </c>
      <c r="V11" s="2">
        <f>+TKYO!AX11</f>
        <v>8.1333333333333329</v>
      </c>
      <c r="X11" s="150">
        <f>+TKYO!AT11</f>
        <v>1.8</v>
      </c>
      <c r="Y11" s="2">
        <f>+TKYO!AY11</f>
        <v>1.4500000000000002</v>
      </c>
      <c r="AA11" s="145">
        <f>+P11/O11-1</f>
        <v>3.470516011282565E-2</v>
      </c>
      <c r="AB11" s="145">
        <f>+S11/R11-1</f>
        <v>-0.18064585001334399</v>
      </c>
      <c r="AC11" s="10">
        <f>+TKYO!AK47</f>
        <v>441045</v>
      </c>
    </row>
    <row r="12" spans="1:29" x14ac:dyDescent="0.25">
      <c r="A12">
        <v>10</v>
      </c>
      <c r="B12" t="s">
        <v>370</v>
      </c>
      <c r="C12" s="155">
        <v>48.9</v>
      </c>
      <c r="D12" s="78">
        <f>+SUM(TILE!AI28:AL28)/1000</f>
        <v>2912.2779999999998</v>
      </c>
      <c r="E12" s="134">
        <f>+SUM(TILE!AI3:AL3)/1000</f>
        <v>16131.536</v>
      </c>
      <c r="F12" s="2">
        <f>+SUM(TILE!AI31:AL31)</f>
        <v>10.97928555123325</v>
      </c>
      <c r="G12" s="3">
        <f>+TILE!AL49</f>
        <v>56.305924874096171</v>
      </c>
      <c r="H12" s="4">
        <f>+TILE!AN35</f>
        <v>0.21536604632465864</v>
      </c>
      <c r="I12" s="2">
        <f>+TILE!AN37</f>
        <v>4.0325292590959183</v>
      </c>
      <c r="J12" s="2">
        <f t="shared" si="0"/>
        <v>0.86846988321999297</v>
      </c>
      <c r="K12" s="4"/>
      <c r="L12" s="150"/>
      <c r="M12" s="2"/>
      <c r="O12" s="153"/>
      <c r="P12" s="10"/>
      <c r="R12" s="153"/>
      <c r="S12" s="10"/>
      <c r="U12" s="150"/>
      <c r="V12" s="2"/>
      <c r="X12" s="150"/>
      <c r="Y12" s="2"/>
      <c r="AA12" s="145"/>
      <c r="AB12" s="145"/>
      <c r="AC12" s="10">
        <f>+TILE!AK47</f>
        <v>265252.05</v>
      </c>
    </row>
    <row r="13" spans="1:29" x14ac:dyDescent="0.25">
      <c r="A13">
        <v>11</v>
      </c>
      <c r="B13" t="s">
        <v>383</v>
      </c>
      <c r="C13" s="155">
        <v>17.899999999999999</v>
      </c>
      <c r="D13" s="78">
        <f>+SUM(JAT!AI28:AL28)/1000</f>
        <v>1021.2016669999999</v>
      </c>
      <c r="E13" s="134">
        <f>+SUM(JAT!AI3:AL3)/1000</f>
        <v>11560.476333999999</v>
      </c>
      <c r="F13" s="2">
        <f>+SUM(JAT!AI31:AL31)</f>
        <v>2.0007564951406023</v>
      </c>
      <c r="G13" s="3">
        <f>+JAT!AL49</f>
        <v>17.915999604104776</v>
      </c>
      <c r="H13" s="4">
        <f>+JAT!AN35</f>
        <v>0.12066454826465171</v>
      </c>
      <c r="I13" s="2">
        <f>+JAT!AN37</f>
        <v>8.2800373428690701</v>
      </c>
      <c r="J13" s="2">
        <f t="shared" si="0"/>
        <v>0.99910696559174339</v>
      </c>
      <c r="K13" s="4"/>
      <c r="L13" s="150"/>
      <c r="M13" s="2"/>
      <c r="O13" s="153"/>
      <c r="P13" s="10"/>
      <c r="R13" s="153"/>
      <c r="S13" s="10"/>
      <c r="U13" s="150"/>
      <c r="V13" s="2"/>
      <c r="X13" s="150"/>
      <c r="Y13" s="2"/>
      <c r="AA13" s="145"/>
      <c r="AB13" s="145"/>
      <c r="AC13" s="10">
        <f>+JAT!AK47</f>
        <v>510407.77299999999</v>
      </c>
    </row>
    <row r="14" spans="1:29" x14ac:dyDescent="0.25">
      <c r="A14">
        <v>12</v>
      </c>
      <c r="B14" t="s">
        <v>73</v>
      </c>
      <c r="C14" s="155">
        <v>371</v>
      </c>
      <c r="D14" s="78">
        <f>+SUM(CARG!AI28:AL28)/1000</f>
        <v>5886.7849999999999</v>
      </c>
      <c r="E14" s="134">
        <f>+SUM(CARG!AI3:AL3)/1000</f>
        <v>223440.484</v>
      </c>
      <c r="F14" s="2">
        <f>+SUM(CARG!AI31:AL31)</f>
        <v>22.845532585041276</v>
      </c>
      <c r="G14" s="3">
        <f>+CARG!AL49</f>
        <v>125.86176102272493</v>
      </c>
      <c r="H14" s="4">
        <f>+CARG!AN35</f>
        <v>0.21500723443232672</v>
      </c>
      <c r="I14" s="2">
        <f>+CARG!AN37</f>
        <v>13.709670991546373</v>
      </c>
      <c r="J14" s="2">
        <f t="shared" si="0"/>
        <v>2.9476784448694802</v>
      </c>
      <c r="K14" s="4">
        <f>+Y14/C14</f>
        <v>3.925426774483378E-2</v>
      </c>
      <c r="L14" s="150">
        <f>+C14/U14</f>
        <v>12.079444323855002</v>
      </c>
      <c r="M14" s="2">
        <f>+C14/V14</f>
        <v>8.4812923874114148</v>
      </c>
      <c r="O14" s="153">
        <f>+CARG!AP11</f>
        <v>229901.66666666666</v>
      </c>
      <c r="P14" s="10">
        <f>+CARG!AU11</f>
        <v>264689.33333333331</v>
      </c>
      <c r="R14" s="153">
        <f>+CARG!AR11</f>
        <v>7917</v>
      </c>
      <c r="S14" s="10">
        <f>+CARG!AW11</f>
        <v>11268.333333333334</v>
      </c>
      <c r="U14" s="150">
        <f>+CARG!AS11</f>
        <v>30.713333333333335</v>
      </c>
      <c r="V14" s="2">
        <f>+CARG!AX11</f>
        <v>43.743333333333332</v>
      </c>
      <c r="X14" s="150">
        <f>+CARG!AT11</f>
        <v>10.433333333333334</v>
      </c>
      <c r="Y14" s="2">
        <f>+CARG!AY11</f>
        <v>14.563333333333333</v>
      </c>
      <c r="AA14" s="145">
        <f>+P14/O14-1</f>
        <v>0.15131541746108845</v>
      </c>
      <c r="AB14" s="145">
        <f>+S14/R14-1</f>
        <v>0.42330849227400957</v>
      </c>
      <c r="AC14" s="10">
        <f>+CARG!AK47</f>
        <v>257677.731</v>
      </c>
    </row>
    <row r="15" spans="1:29" x14ac:dyDescent="0.25">
      <c r="A15">
        <v>13</v>
      </c>
      <c r="B15" t="s">
        <v>353</v>
      </c>
      <c r="C15" s="155">
        <v>55.5</v>
      </c>
      <c r="D15" s="134">
        <f>+SUM(CCS!AH28:AK28)/1000</f>
        <v>3282.2089999999998</v>
      </c>
      <c r="E15" s="134">
        <f>+SUM(CCS!AH3:AK3)/1000</f>
        <v>135634.05900000001</v>
      </c>
      <c r="F15" s="2">
        <f>+SUM(CCS!AH31:AK31)</f>
        <v>3.4535027356902357</v>
      </c>
      <c r="G15" s="3">
        <f>+CCS!AK49</f>
        <v>21.38215803872054</v>
      </c>
      <c r="H15" s="4">
        <f>+CCS!AM35</f>
        <v>0.15354589449772724</v>
      </c>
      <c r="I15" s="2">
        <f>+CCS!AM37</f>
        <v>16.90453539800977</v>
      </c>
      <c r="J15" s="2">
        <f t="shared" si="0"/>
        <v>2.5956220087559037</v>
      </c>
      <c r="K15" s="4">
        <f>+Y15/C15</f>
        <v>4.9779419571086232E-2</v>
      </c>
      <c r="L15" s="150">
        <f>+C15/U15</f>
        <v>18.512268793178869</v>
      </c>
      <c r="M15" s="2">
        <f>+C15/V15</f>
        <v>11.302512869477866</v>
      </c>
      <c r="O15" s="153">
        <f>+CCS!AO11</f>
        <v>139919.79999999999</v>
      </c>
      <c r="P15" s="10">
        <f>+CCS!AT11</f>
        <v>155475.6</v>
      </c>
      <c r="R15" s="153">
        <f>+CCS!AQ11</f>
        <v>2848.6</v>
      </c>
      <c r="S15" s="10">
        <f>+CCS!AV11</f>
        <v>4669.2</v>
      </c>
      <c r="U15" s="150">
        <f>+CCS!AR11</f>
        <v>2.9980117845117844</v>
      </c>
      <c r="V15" s="2">
        <f>+CCS!AW11</f>
        <v>4.9104124579124582</v>
      </c>
      <c r="X15" s="150">
        <f>+CCS!AS11</f>
        <v>1.6637573653198654</v>
      </c>
      <c r="Y15" s="2">
        <f>+CCS!AX11</f>
        <v>2.7627577861952859</v>
      </c>
      <c r="AA15" s="145">
        <f>+P15/O15-1</f>
        <v>0.11117654542101985</v>
      </c>
      <c r="AB15" s="145">
        <f>+S15/R15-1</f>
        <v>0.63912097170539917</v>
      </c>
      <c r="AC15" s="10">
        <f>+CCS!AK47</f>
        <v>950400</v>
      </c>
    </row>
    <row r="16" spans="1:29" x14ac:dyDescent="0.25">
      <c r="A16">
        <v>14</v>
      </c>
      <c r="B16" t="s">
        <v>419</v>
      </c>
      <c r="C16" s="155">
        <v>25.7</v>
      </c>
      <c r="D16" s="78">
        <f>+SUM(LMF!AI28:AL28)/1000</f>
        <v>2273.67</v>
      </c>
      <c r="E16" s="78">
        <f>+SUM(LMF!AI3:AL3)/1000</f>
        <v>16763.348999999998</v>
      </c>
      <c r="F16" s="2">
        <f>+SUM(LMF!AI31:AL31)</f>
        <v>5.6844592229611486</v>
      </c>
      <c r="G16" s="3">
        <f>+LMF!AL49</f>
        <v>54.661415570778537</v>
      </c>
      <c r="H16" s="4">
        <f>+LMF!AN35</f>
        <v>8.9831254264536212E-2</v>
      </c>
      <c r="I16" s="2">
        <f>+LMF!AN37</f>
        <v>5.2338923433534887</v>
      </c>
      <c r="J16" s="2">
        <f t="shared" si="0"/>
        <v>0.47016711388899651</v>
      </c>
      <c r="K16" s="4"/>
      <c r="L16" s="150"/>
      <c r="M16" s="2"/>
      <c r="O16" s="153"/>
      <c r="P16" s="10"/>
      <c r="R16" s="153"/>
      <c r="S16" s="10"/>
      <c r="U16" s="150"/>
      <c r="V16" s="2"/>
      <c r="X16" s="150"/>
      <c r="Y16" s="2"/>
      <c r="AA16" s="145"/>
      <c r="AB16" s="145"/>
      <c r="AC16" s="10">
        <f>+LMF!AK47</f>
        <v>399980</v>
      </c>
    </row>
    <row r="17" spans="1:29" x14ac:dyDescent="0.25">
      <c r="A17">
        <v>15</v>
      </c>
      <c r="B17" t="s">
        <v>92</v>
      </c>
      <c r="C17" s="155">
        <v>121.75</v>
      </c>
      <c r="D17" s="78">
        <f>+SUM(LLUB!AJ28:AM28)/1000</f>
        <v>3832.0859999999998</v>
      </c>
      <c r="E17" s="78">
        <f>+SUM(LLUB!AJ3:AM3)/1000</f>
        <v>24063.246999999999</v>
      </c>
      <c r="F17" s="2">
        <f>+SUM(LLUB!AI31:AL31)</f>
        <v>14.979983333333333</v>
      </c>
      <c r="G17" s="3">
        <f>+LLUB!AM49</f>
        <v>32.584016666666663</v>
      </c>
      <c r="H17" s="4">
        <f>+LLUB!AO35</f>
        <v>0.6003275454646293</v>
      </c>
      <c r="I17" s="2">
        <f>+LLUB!AO37</f>
        <v>6.2240930921591282</v>
      </c>
      <c r="J17" s="2">
        <f t="shared" si="0"/>
        <v>3.7364945287592439</v>
      </c>
      <c r="K17" s="4">
        <f t="shared" ref="K17:K23" si="1">+Y17/C17</f>
        <v>0.11830800821355236</v>
      </c>
      <c r="L17" s="150"/>
      <c r="M17" s="2">
        <f t="shared" ref="M17:M23" si="2">+C17/V17</f>
        <v>6.8383509323747464</v>
      </c>
      <c r="N17" s="2">
        <f>+C17/W17</f>
        <v>5.984271319734578</v>
      </c>
      <c r="O17" s="153"/>
      <c r="P17" s="10">
        <f>+LLUB!AV9</f>
        <v>25710.400000000001</v>
      </c>
      <c r="Q17" s="156">
        <f>+LLUB!BA9</f>
        <v>28683.25</v>
      </c>
      <c r="R17" s="153"/>
      <c r="S17" s="10">
        <f>+LLUB!AX9</f>
        <v>4271.2</v>
      </c>
      <c r="T17" s="156">
        <f>+LLUB!BC9</f>
        <v>4882.5</v>
      </c>
      <c r="U17" s="150"/>
      <c r="V17" s="2">
        <f>+LLUB!AY9</f>
        <v>17.804000000000002</v>
      </c>
      <c r="W17" s="157">
        <f>+LLUB!BD9</f>
        <v>20.345000000000002</v>
      </c>
      <c r="X17" s="150"/>
      <c r="Y17" s="2">
        <f>+LLUB!AZ9</f>
        <v>14.404</v>
      </c>
      <c r="Z17" s="151">
        <f>+LLUB!BE9</f>
        <v>16.600000000000001</v>
      </c>
      <c r="AA17" s="145">
        <f>+Q17/P17-1</f>
        <v>0.11562830605513708</v>
      </c>
      <c r="AB17" s="145">
        <f>+T17/S17-1</f>
        <v>0.14312137104326661</v>
      </c>
      <c r="AC17" s="10">
        <f>+LLUB!AL47</f>
        <v>240000</v>
      </c>
    </row>
    <row r="18" spans="1:29" x14ac:dyDescent="0.25">
      <c r="A18">
        <v>16</v>
      </c>
      <c r="B18" s="146" t="s">
        <v>168</v>
      </c>
      <c r="C18" s="158">
        <v>114.5</v>
      </c>
      <c r="D18" s="78">
        <f>+SUM(LIOC!AI28:AL28)/1000</f>
        <v>13944.994000000001</v>
      </c>
      <c r="E18" s="78">
        <f>+SUM(LIOC!AI3:AL3)/1000</f>
        <v>263568.72100000002</v>
      </c>
      <c r="F18" s="2">
        <f>+SUM(LIOC!AH31:AK31)</f>
        <v>33.242321212029985</v>
      </c>
      <c r="G18" s="3">
        <f>+LIOC!AL49</f>
        <v>137.98101231702802</v>
      </c>
      <c r="H18" s="4">
        <f>+LIOC!AO35</f>
        <v>0.34565377886727522</v>
      </c>
      <c r="I18" s="2">
        <f>+LIOC!AO37</f>
        <v>2.142105542671414</v>
      </c>
      <c r="J18" s="2">
        <f t="shared" si="0"/>
        <v>0.82982432203731371</v>
      </c>
      <c r="K18" s="4">
        <f t="shared" si="1"/>
        <v>8.0393013100436686E-2</v>
      </c>
      <c r="L18" s="150">
        <f>+C18/U18</f>
        <v>3.1544872236379917</v>
      </c>
      <c r="M18" s="2">
        <f t="shared" si="2"/>
        <v>2.908121150549241</v>
      </c>
      <c r="O18" s="153">
        <f>+LIOC!AQ9</f>
        <v>265956.75</v>
      </c>
      <c r="P18" s="10">
        <f>+LIOC!AV9</f>
        <v>304364.5</v>
      </c>
      <c r="R18" s="153">
        <f>+LIOC!AS9</f>
        <v>19320</v>
      </c>
      <c r="S18" s="10">
        <f>+LIOC!AX9</f>
        <v>20953.75</v>
      </c>
      <c r="U18" s="150">
        <f>+LIOC!AT9</f>
        <v>36.297499999999999</v>
      </c>
      <c r="V18" s="2">
        <f>+LIOC!AY9</f>
        <v>39.372500000000002</v>
      </c>
      <c r="X18" s="150">
        <f>+LIOC!AU9</f>
        <v>8.7850000000000001</v>
      </c>
      <c r="Y18" s="2">
        <f>+LIOC!AZ9</f>
        <v>9.2050000000000001</v>
      </c>
      <c r="AA18" s="145">
        <f>+P18/O18-1</f>
        <v>0.14441351836341809</v>
      </c>
      <c r="AB18" s="145">
        <f>+S18/R18-1</f>
        <v>8.4562629399586031E-2</v>
      </c>
      <c r="AC18" s="10">
        <f>+LIOC!AK47</f>
        <v>532465.70499999996</v>
      </c>
    </row>
    <row r="19" spans="1:29" x14ac:dyDescent="0.25">
      <c r="A19">
        <v>17</v>
      </c>
      <c r="B19" t="s">
        <v>171</v>
      </c>
      <c r="C19" s="155">
        <v>1226.25</v>
      </c>
      <c r="D19" s="78">
        <f>+SUM(CTC!AH32:AK32)</f>
        <v>25477</v>
      </c>
      <c r="E19" s="78">
        <f>+SUM(CTC!AH7:AK7)</f>
        <v>52182</v>
      </c>
      <c r="F19" s="2">
        <f>+SUM(CTC!AH35:AK35)</f>
        <v>136.0051774747987</v>
      </c>
      <c r="G19" s="3">
        <f>+CTC!AK51</f>
        <v>53.255393118836281</v>
      </c>
      <c r="H19" s="4">
        <f>+CTC!AM39</f>
        <v>2.1295579181417361</v>
      </c>
      <c r="I19" s="2">
        <f>+CTC!AM41</f>
        <v>10.812496236405604</v>
      </c>
      <c r="J19" s="2">
        <f t="shared" si="0"/>
        <v>23.025836975115276</v>
      </c>
      <c r="K19" s="4">
        <f>+Y19/C19</f>
        <v>0.11513149847094802</v>
      </c>
      <c r="L19" s="150"/>
      <c r="M19" s="2">
        <f t="shared" si="2"/>
        <v>8.6329795659749706</v>
      </c>
      <c r="O19" s="153"/>
      <c r="P19" s="10">
        <f>+CTC!AT9</f>
        <v>56967.5</v>
      </c>
      <c r="R19" s="153"/>
      <c r="S19" s="10">
        <f>+CTC!AV9</f>
        <v>26606.75</v>
      </c>
      <c r="U19" s="150"/>
      <c r="V19" s="2">
        <f>+CTC!AW9</f>
        <v>142.04250000000002</v>
      </c>
      <c r="X19" s="150"/>
      <c r="Y19" s="2">
        <f>+CTC!AX9</f>
        <v>141.18</v>
      </c>
      <c r="AA19" s="145"/>
      <c r="AB19" s="145"/>
      <c r="AC19" s="10">
        <f>+CTC!AK49*1000</f>
        <v>187323.75099999999</v>
      </c>
    </row>
    <row r="20" spans="1:29" x14ac:dyDescent="0.25">
      <c r="A20">
        <v>18</v>
      </c>
      <c r="B20" t="s">
        <v>375</v>
      </c>
      <c r="C20" s="155">
        <v>25.5</v>
      </c>
      <c r="D20" s="78">
        <f>+SUM(DIST!AH32:AK32)/1000</f>
        <v>15115.08</v>
      </c>
      <c r="E20" s="78">
        <f>+SUM(DIST!AH7:AK7)/1000</f>
        <v>49388.349000000002</v>
      </c>
      <c r="F20" s="2">
        <f>+SUM(DIST!AH35:AK35)</f>
        <v>3.2858869565217392</v>
      </c>
      <c r="G20" s="3">
        <f>+DIST!AK53</f>
        <v>1.9186289130434782</v>
      </c>
      <c r="H20" s="4">
        <f>+DIST!AM39</f>
        <v>1.8859359791366441</v>
      </c>
      <c r="I20" s="2">
        <f>+DIST!AM41</f>
        <v>7.0472917260854535</v>
      </c>
      <c r="J20" s="2">
        <f t="shared" si="0"/>
        <v>13.29074102169654</v>
      </c>
      <c r="K20" s="4">
        <f t="shared" si="1"/>
        <v>0.10196078431372547</v>
      </c>
      <c r="L20" s="150">
        <f>+C20/U20</f>
        <v>7.6119402985074629</v>
      </c>
      <c r="M20" s="2">
        <f t="shared" si="2"/>
        <v>5.9942765645760234</v>
      </c>
      <c r="N20" s="157">
        <f>+C20/W20</f>
        <v>5.7046979865771812</v>
      </c>
      <c r="O20" s="153">
        <f>+DIST!AO11</f>
        <v>52966</v>
      </c>
      <c r="P20" s="10">
        <f>+DIST!AT11</f>
        <v>65394.666666666664</v>
      </c>
      <c r="Q20" s="156">
        <f>+DIST!AY11</f>
        <v>71380.5</v>
      </c>
      <c r="R20" s="153">
        <f>+DIST!AQ11</f>
        <v>15381.666666666666</v>
      </c>
      <c r="S20" s="10">
        <f>+DIST!AV11</f>
        <v>19525.333333333332</v>
      </c>
      <c r="T20" s="156">
        <f>+DIST!BA11</f>
        <v>20567.5</v>
      </c>
      <c r="U20" s="150">
        <f>+DIST!AR11</f>
        <v>3.35</v>
      </c>
      <c r="V20" s="2">
        <f>+DIST!AW11</f>
        <v>4.2540579710144923</v>
      </c>
      <c r="W20" s="157">
        <f>+DIST!BB11</f>
        <v>4.47</v>
      </c>
      <c r="X20" s="150">
        <f>+DIST!AS11</f>
        <v>2.15</v>
      </c>
      <c r="Y20" s="2">
        <f>+DIST!AX11</f>
        <v>2.5999999999999996</v>
      </c>
      <c r="Z20" s="151">
        <f>+DIST!BC11</f>
        <v>3.1</v>
      </c>
      <c r="AA20" s="145">
        <f>+P20/O20-1</f>
        <v>0.23465367720172692</v>
      </c>
      <c r="AB20" s="145">
        <f>+S20/R20-1</f>
        <v>0.26938996641022861</v>
      </c>
      <c r="AC20" s="10">
        <f>+DIST!AK51</f>
        <v>4600000</v>
      </c>
    </row>
    <row r="21" spans="1:29" x14ac:dyDescent="0.25">
      <c r="A21">
        <v>19</v>
      </c>
      <c r="B21" t="s">
        <v>367</v>
      </c>
      <c r="C21" s="155">
        <v>77.900000000000006</v>
      </c>
      <c r="D21" s="78">
        <f>+SUM(HHL!AI28:AL28)/1000</f>
        <v>6108.52</v>
      </c>
      <c r="E21" s="78">
        <f>+SUM(HHL!AI3:AL3)/1000</f>
        <v>121613.772</v>
      </c>
      <c r="F21" s="2">
        <f>+SUM(HHL!AI31:AL31)</f>
        <v>10.239727607542036</v>
      </c>
      <c r="G21" s="3">
        <f>+HHL!AL49</f>
        <v>72.804784804451558</v>
      </c>
      <c r="H21" s="4">
        <f>+HHL!AN35</f>
        <v>0.13124040013866942</v>
      </c>
      <c r="I21" s="2">
        <f>+HHL!AN37</f>
        <v>8.1528600859633702</v>
      </c>
      <c r="J21" s="2">
        <f t="shared" si="0"/>
        <v>1.0699846199564196</v>
      </c>
      <c r="K21" s="4">
        <f t="shared" si="1"/>
        <v>4.9743260590500639E-2</v>
      </c>
      <c r="L21" s="150">
        <f>+C21/U21</f>
        <v>7.5338491295938113</v>
      </c>
      <c r="M21" s="2">
        <f t="shared" si="2"/>
        <v>5.855381840048107</v>
      </c>
      <c r="O21" s="153">
        <f>+HHL!AP11</f>
        <v>124057.4</v>
      </c>
      <c r="P21" s="10">
        <f>+HHL!AU11</f>
        <v>140094.39999999999</v>
      </c>
      <c r="R21" s="153">
        <f>+HHL!AR11</f>
        <v>6204.4</v>
      </c>
      <c r="S21" s="10">
        <f>+HHL!AW11</f>
        <v>7975.6</v>
      </c>
      <c r="U21" s="150">
        <f>+HHL!AS11</f>
        <v>10.34</v>
      </c>
      <c r="V21" s="2">
        <f>+HHL!AX11</f>
        <v>13.303999999999998</v>
      </c>
      <c r="X21" s="150">
        <f>+HHL!AT11</f>
        <v>2.95</v>
      </c>
      <c r="Y21" s="2">
        <f>+HHL!AY11</f>
        <v>3.875</v>
      </c>
      <c r="AA21" s="145">
        <f>+P21/O21-1</f>
        <v>0.12927080528851964</v>
      </c>
      <c r="AB21" s="145">
        <f>+S21/R21-1</f>
        <v>0.28547482431822591</v>
      </c>
      <c r="AC21" s="10">
        <f>+HHL!AK47</f>
        <v>596551.02500000002</v>
      </c>
    </row>
    <row r="22" spans="1:29" x14ac:dyDescent="0.25">
      <c r="A22">
        <v>20</v>
      </c>
      <c r="B22" t="s">
        <v>381</v>
      </c>
      <c r="C22" s="155">
        <v>58.1</v>
      </c>
      <c r="D22" s="78">
        <f>+SUM(SUN!AH28:AK28)/1000</f>
        <v>4019.722933</v>
      </c>
      <c r="E22" s="78">
        <f>+SUM(SUN!AH3:AK3)/1000</f>
        <v>55711.077197999999</v>
      </c>
      <c r="F22" s="2">
        <f>+SUM(SUN!AH31:AK31)</f>
        <v>8.1706065041953693</v>
      </c>
      <c r="G22" s="3">
        <f>+SUN!AK49</f>
        <v>37.156922490249983</v>
      </c>
      <c r="H22" s="4">
        <f>+SUN!AM35</f>
        <v>0.1980930209733332</v>
      </c>
      <c r="I22" s="2">
        <f>+SUN!AM37</f>
        <v>7.8934565138424091</v>
      </c>
      <c r="J22" s="2">
        <f t="shared" si="0"/>
        <v>1.563638646748678</v>
      </c>
      <c r="K22" s="4">
        <f t="shared" si="1"/>
        <v>5.0344234079173836E-2</v>
      </c>
      <c r="L22" s="150">
        <f>+C22/U22</f>
        <v>5.7906976744186052</v>
      </c>
      <c r="M22" s="2">
        <f t="shared" si="2"/>
        <v>5.1129363449692002</v>
      </c>
      <c r="O22" s="153">
        <f>+SUN!AO11</f>
        <v>57142.333333333336</v>
      </c>
      <c r="P22" s="10">
        <f>+SUN!AT11</f>
        <v>65798</v>
      </c>
      <c r="R22" s="153">
        <f>+SUN!AQ11</f>
        <v>4939</v>
      </c>
      <c r="S22" s="10">
        <f>+SUN!AV11</f>
        <v>5595.666666666667</v>
      </c>
      <c r="U22" s="150">
        <f>+SUN!AR11</f>
        <v>10.033333333333333</v>
      </c>
      <c r="V22" s="2">
        <f>+SUN!AW11</f>
        <v>11.363333333333332</v>
      </c>
      <c r="X22" s="150">
        <f>+SUN!AS11</f>
        <v>2.25</v>
      </c>
      <c r="Y22" s="2">
        <f>+SUN!AX11</f>
        <v>2.9249999999999998</v>
      </c>
      <c r="AA22" s="145">
        <f>+P22/O22-1</f>
        <v>0.15147555519258926</v>
      </c>
      <c r="AB22" s="145">
        <f>+S22/R22-1</f>
        <v>0.13295538908011073</v>
      </c>
      <c r="AC22" s="10">
        <f>+SUN!AK47</f>
        <v>491973.62900000002</v>
      </c>
    </row>
    <row r="23" spans="1:29" x14ac:dyDescent="0.25">
      <c r="A23">
        <v>21</v>
      </c>
      <c r="B23" t="s">
        <v>386</v>
      </c>
      <c r="C23" s="155">
        <v>9.4</v>
      </c>
      <c r="D23" s="78">
        <f>+SUM(DIAL!AJ28:AM28)/1000</f>
        <v>14190.296</v>
      </c>
      <c r="E23" s="78">
        <f>+SUM(DIAL!AJ3:AM3)/1000</f>
        <v>180914.26199999999</v>
      </c>
      <c r="F23" s="2">
        <f>+SUM(DIAL!AI31:AL31)</f>
        <v>2.4386196846881045</v>
      </c>
      <c r="G23" s="3">
        <f>+DIAL!AL49</f>
        <v>8.0431201588391783</v>
      </c>
      <c r="H23" s="4">
        <f>+DIAL!AO35</f>
        <v>-7.8553247727882844E-2</v>
      </c>
      <c r="I23" s="2"/>
      <c r="J23" s="2">
        <f t="shared" si="0"/>
        <v>1.1687006801296691</v>
      </c>
      <c r="K23" s="4">
        <f t="shared" si="1"/>
        <v>6.9680851063829791E-2</v>
      </c>
      <c r="L23" s="150">
        <f>+C23/U23</f>
        <v>4</v>
      </c>
      <c r="M23" s="2">
        <f t="shared" si="2"/>
        <v>7.4308300395256914</v>
      </c>
      <c r="N23" s="2">
        <f>+C23/W23</f>
        <v>4.4976076555023932</v>
      </c>
      <c r="O23" s="153">
        <f>+DIAL!AQ11</f>
        <v>192901</v>
      </c>
      <c r="P23" s="10">
        <f>+DIAL!AV11</f>
        <v>180360.5</v>
      </c>
      <c r="Q23" s="156">
        <f>+DIAL!BA11</f>
        <v>194372.5</v>
      </c>
      <c r="R23" s="153">
        <f>+DIAL!AS11</f>
        <v>19373</v>
      </c>
      <c r="S23" s="10">
        <f>+DIAL!AX11</f>
        <v>10827</v>
      </c>
      <c r="T23" s="156">
        <f>+DIAL!BC11</f>
        <v>18197.5</v>
      </c>
      <c r="U23" s="150">
        <f>+DIAL!AT11</f>
        <v>2.35</v>
      </c>
      <c r="V23" s="2">
        <f>+DIAL!AY11</f>
        <v>1.2650000000000001</v>
      </c>
      <c r="W23" s="2">
        <f>+DIAL!BD11</f>
        <v>2.09</v>
      </c>
      <c r="X23" s="150">
        <f>+DIAL!AU11</f>
        <v>0.94</v>
      </c>
      <c r="Y23" s="2">
        <f>+DIAL!AZ11</f>
        <v>0.65500000000000003</v>
      </c>
      <c r="Z23" s="157">
        <f>+DIAL!BE11</f>
        <v>1.0449999999999999</v>
      </c>
      <c r="AA23" s="145">
        <f>+P23/O23-1</f>
        <v>-6.5010031052197714E-2</v>
      </c>
      <c r="AB23" s="145">
        <f>+S23/R23-1</f>
        <v>-0.44112940690651936</v>
      </c>
      <c r="AC23" s="10">
        <f>+DIAL!AL47</f>
        <v>8247640.3049999997</v>
      </c>
    </row>
    <row r="24" spans="1:29" x14ac:dyDescent="0.25">
      <c r="A24">
        <v>22</v>
      </c>
      <c r="B24" t="s">
        <v>109</v>
      </c>
      <c r="C24" s="155">
        <v>7.6</v>
      </c>
      <c r="D24" s="78">
        <f>+SUM(PLR!AI29:AL29)/1000</f>
        <v>1129.0017009999999</v>
      </c>
      <c r="E24" s="78">
        <f>+SUM(PLR!AI3:AL3)/1000</f>
        <v>8090.3790939999999</v>
      </c>
      <c r="F24" s="2">
        <f>+SUM(PLR!AI32:AL32)</f>
        <v>1.2042684810666666</v>
      </c>
      <c r="G24" s="3">
        <f>+PLR!AL49</f>
        <v>10.213057574400001</v>
      </c>
      <c r="H24" s="4">
        <f>+PLR!AN36</f>
        <v>0.27339237917827058</v>
      </c>
      <c r="I24" s="2">
        <f>+PLR!AN38</f>
        <v>2.7218952498090578</v>
      </c>
      <c r="J24" s="2">
        <f t="shared" si="0"/>
        <v>0.74414541821933144</v>
      </c>
      <c r="K24" s="4"/>
      <c r="L24" s="150"/>
      <c r="M24" s="2"/>
      <c r="O24" s="153"/>
      <c r="P24" s="10"/>
      <c r="R24" s="153"/>
      <c r="S24" s="10"/>
      <c r="U24" s="150"/>
      <c r="V24" s="2"/>
      <c r="X24" s="150"/>
      <c r="Y24" s="2"/>
      <c r="AA24" s="145"/>
      <c r="AB24" s="145"/>
      <c r="AC24" s="10">
        <f>+PLR!AK47</f>
        <v>937500</v>
      </c>
    </row>
    <row r="25" spans="1:29" x14ac:dyDescent="0.25">
      <c r="A25">
        <v>23</v>
      </c>
      <c r="B25" t="s">
        <v>228</v>
      </c>
      <c r="C25" s="155">
        <v>73.8</v>
      </c>
      <c r="D25" s="78"/>
      <c r="E25" s="78"/>
      <c r="F25" s="2"/>
      <c r="G25" s="3"/>
      <c r="H25" s="4"/>
      <c r="I25" s="2"/>
      <c r="J25" s="2"/>
      <c r="K25" s="4"/>
      <c r="L25" s="150"/>
      <c r="M25" s="2"/>
      <c r="O25" s="153"/>
      <c r="P25" s="10"/>
      <c r="R25" s="153"/>
      <c r="S25" s="10"/>
      <c r="U25" s="150"/>
      <c r="V25" s="2"/>
      <c r="X25" s="150"/>
      <c r="Y25" s="2"/>
      <c r="AA25" s="145"/>
      <c r="AB25" s="145"/>
      <c r="AC25" s="10"/>
    </row>
    <row r="26" spans="1:29" x14ac:dyDescent="0.25">
      <c r="A26">
        <v>24</v>
      </c>
      <c r="B26" t="s">
        <v>339</v>
      </c>
      <c r="C26" s="155">
        <v>120</v>
      </c>
      <c r="D26" s="78"/>
      <c r="E26" s="78"/>
      <c r="F26" s="2"/>
      <c r="G26" s="3"/>
      <c r="H26" s="4"/>
      <c r="I26" s="2"/>
      <c r="J26" s="2"/>
      <c r="K26" s="4"/>
      <c r="L26" s="150"/>
      <c r="M26" s="2"/>
      <c r="O26" s="153"/>
      <c r="P26" s="10"/>
      <c r="R26" s="153"/>
      <c r="S26" s="10"/>
      <c r="U26" s="150"/>
      <c r="V26" s="2"/>
      <c r="X26" s="150"/>
      <c r="Y26" s="2"/>
      <c r="AA26" s="145"/>
      <c r="AB26" s="145"/>
      <c r="AC26" s="10"/>
    </row>
    <row r="27" spans="1:29" x14ac:dyDescent="0.25">
      <c r="A27">
        <v>25</v>
      </c>
      <c r="B27" t="s">
        <v>116</v>
      </c>
      <c r="C27" s="155">
        <v>181.5</v>
      </c>
      <c r="D27" s="78"/>
      <c r="E27" s="78"/>
      <c r="F27" s="2"/>
      <c r="G27" s="3"/>
      <c r="H27" s="4"/>
      <c r="I27" s="2"/>
      <c r="J27" s="2"/>
      <c r="K27" s="4"/>
      <c r="L27" s="150"/>
      <c r="M27" s="2"/>
      <c r="O27" s="153"/>
      <c r="P27" s="10"/>
      <c r="R27" s="153"/>
      <c r="S27" s="10"/>
      <c r="U27" s="150"/>
      <c r="V27" s="2"/>
      <c r="X27" s="150"/>
      <c r="Y27" s="2"/>
      <c r="AA27" s="145"/>
      <c r="AB27" s="145"/>
      <c r="AC27" s="10"/>
    </row>
    <row r="28" spans="1:29" x14ac:dyDescent="0.25">
      <c r="A28">
        <v>26</v>
      </c>
      <c r="B28" t="s">
        <v>322</v>
      </c>
      <c r="C28" s="155">
        <v>89</v>
      </c>
      <c r="D28" s="78"/>
      <c r="E28" s="78"/>
      <c r="F28" s="2"/>
      <c r="G28" s="3"/>
      <c r="H28" s="4"/>
      <c r="I28" s="2"/>
      <c r="J28" s="2"/>
      <c r="K28" s="4"/>
      <c r="L28" s="150"/>
      <c r="M28" s="2"/>
      <c r="O28" s="153"/>
      <c r="P28" s="10"/>
      <c r="R28" s="153"/>
      <c r="S28" s="10"/>
      <c r="U28" s="150"/>
      <c r="V28" s="2"/>
      <c r="X28" s="150"/>
      <c r="Y28" s="2"/>
      <c r="AA28" s="145"/>
      <c r="AB28" s="145"/>
      <c r="AC28" s="10"/>
    </row>
    <row r="29" spans="1:29" x14ac:dyDescent="0.25">
      <c r="A29">
        <v>27</v>
      </c>
      <c r="B29" t="s">
        <v>340</v>
      </c>
      <c r="C29" s="155">
        <v>19.8</v>
      </c>
      <c r="D29" s="78"/>
      <c r="E29" s="78"/>
      <c r="F29" s="2"/>
      <c r="G29" s="3"/>
      <c r="H29" s="4"/>
      <c r="I29" s="2"/>
      <c r="J29" s="2"/>
      <c r="K29" s="4"/>
      <c r="L29" s="150"/>
      <c r="M29" s="2"/>
      <c r="O29" s="153"/>
      <c r="P29" s="10"/>
      <c r="R29" s="153"/>
      <c r="S29" s="10"/>
      <c r="U29" s="150"/>
      <c r="V29" s="2"/>
      <c r="X29" s="150"/>
      <c r="Y29" s="2"/>
      <c r="AA29" s="145"/>
      <c r="AB29" s="145"/>
      <c r="AC29" s="10"/>
    </row>
    <row r="30" spans="1:29" x14ac:dyDescent="0.25">
      <c r="A30">
        <v>28</v>
      </c>
      <c r="B30" t="s">
        <v>341</v>
      </c>
      <c r="C30" s="155">
        <v>43.6</v>
      </c>
      <c r="D30" s="78"/>
      <c r="E30" s="78"/>
      <c r="F30" s="2"/>
      <c r="G30" s="3"/>
      <c r="H30" s="4"/>
      <c r="I30" s="2"/>
      <c r="J30" s="2"/>
      <c r="K30" s="4"/>
      <c r="L30" s="150"/>
      <c r="M30" s="2"/>
      <c r="O30" s="153"/>
      <c r="P30" s="10"/>
      <c r="R30" s="153"/>
      <c r="S30" s="10"/>
      <c r="U30" s="150"/>
      <c r="V30" s="2"/>
      <c r="X30" s="150"/>
      <c r="Y30" s="2"/>
      <c r="AA30" s="145"/>
      <c r="AB30" s="145"/>
      <c r="AC30" s="10"/>
    </row>
    <row r="31" spans="1:29" x14ac:dyDescent="0.25">
      <c r="A31">
        <v>29</v>
      </c>
      <c r="B31" t="s">
        <v>524</v>
      </c>
      <c r="C31" s="155">
        <v>64.5</v>
      </c>
      <c r="D31" s="78">
        <f>+SUM(AAIC!AJ48:AM48)/1000</f>
        <v>3190.3809999999999</v>
      </c>
      <c r="E31" s="78">
        <f>+SUM(AAIC!AJ16:AM16)/1000</f>
        <v>32959.620999999999</v>
      </c>
      <c r="F31" s="2">
        <f>+SUM(AAIC!AI51:AL51)</f>
        <v>7.5690773333333325</v>
      </c>
      <c r="G31" s="3">
        <f>+AAIC!AL83</f>
        <v>35.55558933333333</v>
      </c>
      <c r="H31" s="4">
        <f>+AAIC!AO55</f>
        <v>0.2458523019975003</v>
      </c>
      <c r="I31" s="2">
        <f>+AAIC!AO57</f>
        <v>7.7061725733858069</v>
      </c>
      <c r="J31" s="2">
        <f>+C31/G31</f>
        <v>1.8140607766422623</v>
      </c>
      <c r="K31" s="4"/>
      <c r="L31" s="150"/>
      <c r="M31" s="2"/>
      <c r="O31" s="153"/>
      <c r="P31" s="10"/>
      <c r="R31" s="153"/>
      <c r="S31" s="10"/>
      <c r="U31" s="150"/>
      <c r="V31" s="2"/>
      <c r="X31" s="150"/>
      <c r="Y31" s="2"/>
      <c r="AA31" s="145"/>
      <c r="AB31" s="145"/>
      <c r="AC31" s="10">
        <f>+AAIC!AM81</f>
        <v>375000</v>
      </c>
    </row>
    <row r="32" spans="1:29" x14ac:dyDescent="0.25">
      <c r="A32">
        <v>30</v>
      </c>
      <c r="B32" t="s">
        <v>278</v>
      </c>
      <c r="C32" s="155">
        <v>15.6</v>
      </c>
      <c r="D32" s="78"/>
      <c r="E32" s="78"/>
      <c r="F32" s="2"/>
      <c r="G32" s="3"/>
      <c r="H32" s="4"/>
      <c r="I32" s="2"/>
      <c r="J32" s="2"/>
      <c r="K32" s="4"/>
      <c r="L32" s="150"/>
      <c r="M32" s="2"/>
      <c r="O32" s="153"/>
      <c r="P32" s="10"/>
      <c r="R32" s="153"/>
      <c r="S32" s="10"/>
      <c r="U32" s="150"/>
      <c r="V32" s="2"/>
      <c r="X32" s="150"/>
      <c r="Y32" s="2"/>
      <c r="AA32" s="145"/>
      <c r="AB32" s="145"/>
      <c r="AC32" s="10"/>
    </row>
    <row r="33" spans="1:29" x14ac:dyDescent="0.25">
      <c r="A33">
        <v>31</v>
      </c>
      <c r="B33" t="s">
        <v>280</v>
      </c>
      <c r="C33" s="155">
        <v>63.6</v>
      </c>
      <c r="D33" s="78"/>
      <c r="E33" s="78"/>
      <c r="F33" s="2"/>
      <c r="G33" s="3"/>
      <c r="H33" s="4"/>
      <c r="I33" s="2"/>
      <c r="J33" s="2"/>
      <c r="K33" s="4"/>
      <c r="L33" s="150"/>
      <c r="M33" s="2"/>
      <c r="O33" s="153"/>
      <c r="P33" s="10"/>
      <c r="R33" s="153"/>
      <c r="S33" s="10"/>
      <c r="U33" s="150"/>
      <c r="V33" s="2"/>
      <c r="X33" s="150"/>
      <c r="Y33" s="2"/>
      <c r="AA33" s="145"/>
      <c r="AB33" s="145"/>
      <c r="AC33" s="10"/>
    </row>
    <row r="34" spans="1:29" x14ac:dyDescent="0.25">
      <c r="A34">
        <v>32</v>
      </c>
      <c r="B34" t="s">
        <v>510</v>
      </c>
      <c r="C34" s="155">
        <v>85.5</v>
      </c>
      <c r="D34" s="78">
        <f>+SUM(WATA!AI28:AL28)/1000</f>
        <v>2358.77</v>
      </c>
      <c r="E34" s="78">
        <f>+SUM(WATA!AI3:AL3)/1000</f>
        <v>8320.9030000000002</v>
      </c>
      <c r="F34" s="2">
        <f>+SUM(WATA!AH31:AK31)</f>
        <v>9.6700123419254282</v>
      </c>
      <c r="G34" s="3">
        <f>+WATA!AK49</f>
        <v>29.725840369376542</v>
      </c>
      <c r="H34" s="4">
        <f>+WATA!AN35</f>
        <v>0.3704757061308499</v>
      </c>
      <c r="I34" s="2">
        <f>+WATA!AN37</f>
        <v>7.5816209960381782</v>
      </c>
      <c r="J34" s="2">
        <f>+C34/G34</f>
        <v>2.8762853778923541</v>
      </c>
      <c r="K34" s="4"/>
      <c r="L34" s="150"/>
      <c r="M34" s="2"/>
      <c r="O34" s="153"/>
      <c r="P34" s="10"/>
      <c r="R34" s="153"/>
      <c r="S34" s="10"/>
      <c r="U34" s="150"/>
      <c r="V34" s="2"/>
      <c r="X34" s="150"/>
      <c r="Y34" s="2"/>
      <c r="AA34" s="145"/>
      <c r="AB34" s="145"/>
      <c r="AC34" s="10">
        <f>+WATA!AK47</f>
        <v>203308.63399999999</v>
      </c>
    </row>
    <row r="35" spans="1:29" x14ac:dyDescent="0.25">
      <c r="A35">
        <v>33</v>
      </c>
      <c r="B35" t="s">
        <v>492</v>
      </c>
      <c r="C35" s="155">
        <v>82.5</v>
      </c>
      <c r="D35" s="78"/>
    </row>
    <row r="36" spans="1:29" x14ac:dyDescent="0.25">
      <c r="A36">
        <v>34</v>
      </c>
      <c r="B36" t="s">
        <v>586</v>
      </c>
      <c r="C36" s="155">
        <v>13.2</v>
      </c>
      <c r="D36" s="78"/>
    </row>
    <row r="37" spans="1:29" x14ac:dyDescent="0.25">
      <c r="A37">
        <v>35</v>
      </c>
      <c r="B37" t="s">
        <v>535</v>
      </c>
      <c r="C37" s="155">
        <v>23.8</v>
      </c>
      <c r="D37" s="78"/>
    </row>
    <row r="38" spans="1:29" x14ac:dyDescent="0.25">
      <c r="A38">
        <v>36</v>
      </c>
      <c r="B38" t="s">
        <v>512</v>
      </c>
      <c r="C38" s="155">
        <v>33.5</v>
      </c>
      <c r="D38" s="78"/>
    </row>
    <row r="39" spans="1:29" x14ac:dyDescent="0.25">
      <c r="A39">
        <v>37</v>
      </c>
      <c r="B39" t="s">
        <v>918</v>
      </c>
      <c r="C39" s="155">
        <v>177.75</v>
      </c>
      <c r="D39" s="78"/>
    </row>
    <row r="40" spans="1:29" x14ac:dyDescent="0.25">
      <c r="A40">
        <v>38</v>
      </c>
      <c r="B40" t="s">
        <v>441</v>
      </c>
      <c r="C40" s="155">
        <v>21</v>
      </c>
      <c r="D40" s="78"/>
    </row>
    <row r="41" spans="1:29" x14ac:dyDescent="0.25">
      <c r="A41">
        <v>39</v>
      </c>
      <c r="B41" t="s">
        <v>460</v>
      </c>
      <c r="C41" s="155">
        <v>65</v>
      </c>
      <c r="D41" s="78"/>
    </row>
    <row r="42" spans="1:29" x14ac:dyDescent="0.25">
      <c r="A42">
        <v>40</v>
      </c>
      <c r="B42" t="s">
        <v>1073</v>
      </c>
      <c r="C42" s="155">
        <v>922</v>
      </c>
      <c r="D42" s="78"/>
      <c r="E42" s="78"/>
      <c r="F42" s="2"/>
      <c r="G42" s="3"/>
      <c r="H42" s="4"/>
      <c r="I42" s="2"/>
      <c r="J42" s="2"/>
      <c r="K42" s="4"/>
      <c r="L42" s="150"/>
      <c r="M42" s="2"/>
      <c r="N42" s="2"/>
      <c r="O42" s="153"/>
      <c r="P42" s="10"/>
      <c r="Q42" s="156"/>
      <c r="R42" s="153"/>
      <c r="S42" s="10"/>
      <c r="T42" s="156"/>
      <c r="U42" s="150"/>
      <c r="V42" s="2"/>
      <c r="W42" s="2"/>
      <c r="X42" s="150"/>
      <c r="Y42" s="2"/>
      <c r="Z42" s="157"/>
      <c r="AA42" s="145"/>
      <c r="AB42" s="145"/>
      <c r="AC42" s="10"/>
    </row>
    <row r="46" spans="1:29" x14ac:dyDescent="0.25">
      <c r="C46" t="s">
        <v>1020</v>
      </c>
      <c r="F46" t="s">
        <v>1023</v>
      </c>
      <c r="G46" t="s">
        <v>11</v>
      </c>
    </row>
    <row r="47" spans="1:29" x14ac:dyDescent="0.25">
      <c r="C47" t="s">
        <v>1021</v>
      </c>
      <c r="F47" s="145">
        <v>0.4</v>
      </c>
      <c r="G47">
        <v>50</v>
      </c>
    </row>
    <row r="48" spans="1:29" x14ac:dyDescent="0.25">
      <c r="C48" t="s">
        <v>1022</v>
      </c>
      <c r="F48" s="145">
        <v>0.6</v>
      </c>
      <c r="G48">
        <v>4</v>
      </c>
    </row>
    <row r="50" spans="3:6" x14ac:dyDescent="0.25">
      <c r="C50" t="s">
        <v>1020</v>
      </c>
      <c r="F50" s="2">
        <f>+(F47+F48)/(F47/G47+F48/G48)</f>
        <v>6.3291139240506329</v>
      </c>
    </row>
  </sheetData>
  <mergeCells count="7">
    <mergeCell ref="I1:I2"/>
    <mergeCell ref="AA1:AB1"/>
    <mergeCell ref="L1:N1"/>
    <mergeCell ref="O1:Q1"/>
    <mergeCell ref="R1:T1"/>
    <mergeCell ref="U1:W1"/>
    <mergeCell ref="X1:Z1"/>
  </mergeCells>
  <pageMargins left="0.7" right="0.7" top="0.75" bottom="0.75" header="0.3" footer="0.3"/>
  <pageSetup orientation="portrait" r:id="rId1"/>
  <ignoredErrors>
    <ignoredError sqref="E3 E4 E15 E11:E12 E13:E14 E8:E10 E16:E24 E31 E34 E5:E7" formulaRange="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35568-9CF7-4CD4-98F4-1E20F6E15F66}">
  <sheetPr codeName="Sheet1">
    <tabColor rgb="FF92D050"/>
  </sheetPr>
  <dimension ref="A1:BE54"/>
  <sheetViews>
    <sheetView topLeftCell="W1" zoomScale="85" zoomScaleNormal="85" workbookViewId="0">
      <selection activeCell="AN13" sqref="AN13"/>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4" width="12" style="12" customWidth="1"/>
    <col min="35" max="35" width="12" style="170" customWidth="1"/>
    <col min="36" max="38" width="12" style="12" customWidth="1"/>
    <col min="39" max="39" width="12" style="170" customWidth="1"/>
    <col min="40" max="41" width="8.85546875" style="12"/>
    <col min="42" max="42" width="14.28515625" style="50" bestFit="1" customWidth="1"/>
    <col min="43" max="16384" width="8.85546875" style="50"/>
  </cols>
  <sheetData>
    <row r="1" spans="1:57" ht="15.75" thickBot="1" x14ac:dyDescent="0.3">
      <c r="W1" s="20" t="s">
        <v>194</v>
      </c>
      <c r="X1" s="59">
        <f>+'Valuation Sheet'!C3</f>
        <v>46.9</v>
      </c>
    </row>
    <row r="2" spans="1:57" ht="17.25" thickBot="1" x14ac:dyDescent="0.3">
      <c r="B2" s="40" t="s">
        <v>65</v>
      </c>
      <c r="C2" s="42" t="s">
        <v>0</v>
      </c>
      <c r="D2" s="42" t="s">
        <v>1</v>
      </c>
      <c r="E2" s="42" t="s">
        <v>2</v>
      </c>
      <c r="F2" s="42" t="s">
        <v>3</v>
      </c>
      <c r="G2" s="42" t="s">
        <v>4</v>
      </c>
      <c r="H2" s="42" t="s">
        <v>5</v>
      </c>
      <c r="I2" s="42" t="s">
        <v>6</v>
      </c>
      <c r="J2" s="43" t="s">
        <v>7</v>
      </c>
      <c r="M2" s="1" t="s">
        <v>8</v>
      </c>
      <c r="N2" t="str">
        <f>'[1]LT Portfolio'!I294</f>
        <v>SELL</v>
      </c>
      <c r="P2" s="1" t="s">
        <v>9</v>
      </c>
      <c r="Q2" s="2">
        <f>J14*J21</f>
        <v>21.034272979035435</v>
      </c>
      <c r="W2" s="20" t="s">
        <v>33</v>
      </c>
      <c r="X2" s="11" t="s">
        <v>14</v>
      </c>
      <c r="Y2" s="11" t="s">
        <v>16</v>
      </c>
      <c r="Z2" s="11" t="s">
        <v>18</v>
      </c>
      <c r="AA2" s="11" t="s">
        <v>20</v>
      </c>
      <c r="AB2" s="11" t="s">
        <v>22</v>
      </c>
      <c r="AC2" s="11" t="s">
        <v>24</v>
      </c>
      <c r="AD2" s="11" t="s">
        <v>26</v>
      </c>
      <c r="AE2" s="11" t="s">
        <v>39</v>
      </c>
      <c r="AF2" s="11" t="s">
        <v>38</v>
      </c>
      <c r="AG2" s="11" t="s">
        <v>71</v>
      </c>
      <c r="AH2" s="11" t="s">
        <v>83</v>
      </c>
      <c r="AI2" s="171" t="s">
        <v>84</v>
      </c>
      <c r="AJ2" s="11" t="s">
        <v>365</v>
      </c>
      <c r="AK2" s="11" t="s">
        <v>948</v>
      </c>
      <c r="AL2" s="11" t="s">
        <v>1018</v>
      </c>
      <c r="AM2" s="171" t="s">
        <v>1074</v>
      </c>
      <c r="AP2" s="71" t="str">
        <f>+W2</f>
        <v>MGT</v>
      </c>
      <c r="AQ2" s="189" t="s">
        <v>190</v>
      </c>
      <c r="AR2" s="190"/>
      <c r="AS2" s="190"/>
      <c r="AT2" s="190"/>
      <c r="AU2" s="191"/>
      <c r="AV2" s="192" t="s">
        <v>191</v>
      </c>
      <c r="AW2" s="192"/>
      <c r="AX2" s="192"/>
      <c r="AY2" s="192"/>
      <c r="AZ2" s="192"/>
      <c r="BA2" s="192" t="s">
        <v>991</v>
      </c>
      <c r="BB2" s="192"/>
      <c r="BC2" s="192"/>
      <c r="BD2" s="192"/>
      <c r="BE2" s="192"/>
    </row>
    <row r="3" spans="1:57" ht="18" thickTop="1" thickBot="1" x14ac:dyDescent="0.4">
      <c r="B3" s="25" t="s">
        <v>10</v>
      </c>
      <c r="C3" s="26">
        <v>8494.8410000000003</v>
      </c>
      <c r="D3" s="26">
        <v>8332.8320000000003</v>
      </c>
      <c r="E3" s="26">
        <v>8964.5290000000005</v>
      </c>
      <c r="F3" s="26">
        <v>11982.987999999999</v>
      </c>
      <c r="G3" s="26">
        <v>12225.352999999999</v>
      </c>
      <c r="H3" s="26">
        <v>14769.114</v>
      </c>
      <c r="I3" s="27">
        <v>31652.58</v>
      </c>
      <c r="J3" s="21"/>
      <c r="M3" s="1" t="s">
        <v>11</v>
      </c>
      <c r="N3" s="2">
        <f>'[1]LT Portfolio'!W294</f>
        <v>0</v>
      </c>
      <c r="W3" s="12" t="s">
        <v>62</v>
      </c>
      <c r="X3" s="13">
        <v>4205828</v>
      </c>
      <c r="Y3" s="13">
        <v>3844988</v>
      </c>
      <c r="Z3" s="13">
        <v>3723204</v>
      </c>
      <c r="AA3" s="13">
        <v>5813709</v>
      </c>
      <c r="AB3" s="13">
        <v>8155862</v>
      </c>
      <c r="AC3" s="13">
        <v>8490686</v>
      </c>
      <c r="AD3" s="13">
        <v>9200419</v>
      </c>
      <c r="AE3" s="13">
        <v>15038517</v>
      </c>
      <c r="AF3" s="13">
        <v>16795679</v>
      </c>
      <c r="AG3" s="13">
        <v>14956175</v>
      </c>
      <c r="AH3" s="13">
        <v>14158418</v>
      </c>
      <c r="AI3" s="172">
        <v>14276671</v>
      </c>
      <c r="AJ3" s="13">
        <v>15877062</v>
      </c>
      <c r="AK3" s="13">
        <v>10686568</v>
      </c>
      <c r="AL3" s="13">
        <v>9412585</v>
      </c>
      <c r="AM3" s="172">
        <v>12912687</v>
      </c>
      <c r="AP3" s="69"/>
      <c r="AQ3" s="66" t="s">
        <v>78</v>
      </c>
      <c r="AR3" s="67" t="s">
        <v>17</v>
      </c>
      <c r="AS3" s="67" t="s">
        <v>184</v>
      </c>
      <c r="AT3" s="67" t="s">
        <v>29</v>
      </c>
      <c r="AU3" s="68" t="s">
        <v>30</v>
      </c>
      <c r="AV3" s="66" t="s">
        <v>78</v>
      </c>
      <c r="AW3" s="67" t="s">
        <v>17</v>
      </c>
      <c r="AX3" s="67" t="s">
        <v>184</v>
      </c>
      <c r="AY3" s="67" t="s">
        <v>29</v>
      </c>
      <c r="AZ3" s="68" t="s">
        <v>30</v>
      </c>
      <c r="BA3" s="66" t="s">
        <v>78</v>
      </c>
      <c r="BB3" s="67" t="s">
        <v>17</v>
      </c>
      <c r="BC3" s="67" t="s">
        <v>184</v>
      </c>
      <c r="BD3" s="67" t="s">
        <v>29</v>
      </c>
      <c r="BE3" s="68" t="s">
        <v>30</v>
      </c>
    </row>
    <row r="4" spans="1:57" ht="18" thickTop="1" thickBot="1" x14ac:dyDescent="0.4">
      <c r="B4" s="28" t="s">
        <v>12</v>
      </c>
      <c r="C4" s="29"/>
      <c r="D4" s="30">
        <f t="shared" ref="D4:G4" si="0">(D3/C3-1)*100</f>
        <v>-1.9071457605857489</v>
      </c>
      <c r="E4" s="30">
        <f t="shared" si="0"/>
        <v>7.5808200621349409</v>
      </c>
      <c r="F4" s="30">
        <f t="shared" si="0"/>
        <v>33.671138773715811</v>
      </c>
      <c r="G4" s="30">
        <f t="shared" si="0"/>
        <v>2.0225756714435494</v>
      </c>
      <c r="H4" s="30">
        <f>(H3/G3-1)*100</f>
        <v>20.807260125740346</v>
      </c>
      <c r="I4" s="31">
        <f>(I3/H3-1)*100</f>
        <v>114.31603818617693</v>
      </c>
      <c r="J4" s="22">
        <f>((I3/D3)^(1/5)-1)*100</f>
        <v>30.594022135840859</v>
      </c>
      <c r="W4" s="12" t="s">
        <v>40</v>
      </c>
      <c r="X4" s="17"/>
      <c r="Y4" s="17"/>
      <c r="Z4" s="17"/>
      <c r="AA4" s="17"/>
      <c r="AB4" s="18">
        <f t="shared" ref="AB4:AL4" si="1">+AB3/X3-1</f>
        <v>0.93918106018600866</v>
      </c>
      <c r="AC4" s="18">
        <f t="shared" si="1"/>
        <v>1.2082477240501142</v>
      </c>
      <c r="AD4" s="18">
        <f t="shared" si="1"/>
        <v>1.4711025772426116</v>
      </c>
      <c r="AE4" s="18">
        <f t="shared" si="1"/>
        <v>1.586733701325608</v>
      </c>
      <c r="AF4" s="18">
        <f t="shared" si="1"/>
        <v>1.0593383017025055</v>
      </c>
      <c r="AG4" s="18">
        <f t="shared" si="1"/>
        <v>0.76148016779798477</v>
      </c>
      <c r="AH4" s="18">
        <f t="shared" si="1"/>
        <v>0.53888839193084581</v>
      </c>
      <c r="AI4" s="173">
        <f t="shared" si="1"/>
        <v>-5.0659649485384817E-2</v>
      </c>
      <c r="AJ4" s="18">
        <f t="shared" si="1"/>
        <v>-5.4693650670508798E-2</v>
      </c>
      <c r="AK4" s="18">
        <f t="shared" si="1"/>
        <v>-0.2854745280795391</v>
      </c>
      <c r="AL4" s="18">
        <f t="shared" si="1"/>
        <v>-0.33519514680241813</v>
      </c>
      <c r="AM4" s="173">
        <f>+AM3/AI3-1</f>
        <v>-9.5539359280605418E-2</v>
      </c>
      <c r="AP4" s="69" t="s">
        <v>185</v>
      </c>
      <c r="AQ4" s="60"/>
      <c r="AR4" s="61"/>
      <c r="AS4" s="61"/>
      <c r="AT4" s="74"/>
      <c r="AU4" s="64"/>
      <c r="AV4" s="60"/>
      <c r="AW4" s="61"/>
      <c r="AX4" s="61"/>
      <c r="AY4" s="58"/>
      <c r="AZ4" s="64"/>
      <c r="BA4" s="60"/>
      <c r="BB4" s="61"/>
      <c r="BC4" s="61"/>
      <c r="BD4" s="58"/>
      <c r="BE4" s="64"/>
    </row>
    <row r="5" spans="1:57" ht="18" thickTop="1" thickBot="1" x14ac:dyDescent="0.4">
      <c r="B5" s="32" t="s">
        <v>13</v>
      </c>
      <c r="C5" s="29">
        <v>1070.806</v>
      </c>
      <c r="D5" s="26">
        <v>974.24400000000003</v>
      </c>
      <c r="E5" s="26">
        <v>944.45699999999999</v>
      </c>
      <c r="F5" s="26">
        <v>1428.694</v>
      </c>
      <c r="G5" s="26">
        <v>1584.6610000000001</v>
      </c>
      <c r="H5" s="26">
        <v>2019.4580000000001</v>
      </c>
      <c r="I5" s="27">
        <v>4121.5630000000001</v>
      </c>
      <c r="J5" s="21"/>
      <c r="M5" s="1" t="s">
        <v>14</v>
      </c>
      <c r="N5" s="3">
        <f>202.575/415.481776</f>
        <v>0.48756651122045841</v>
      </c>
      <c r="W5" s="12" t="s">
        <v>41</v>
      </c>
      <c r="Y5" s="18">
        <f t="shared" ref="Y5:AC5" si="2">+Y3/X3-1</f>
        <v>-8.5795234612542459E-2</v>
      </c>
      <c r="Z5" s="18">
        <f t="shared" si="2"/>
        <v>-3.1673440853391521E-2</v>
      </c>
      <c r="AA5" s="18">
        <f t="shared" si="2"/>
        <v>0.56148011229038208</v>
      </c>
      <c r="AB5" s="18">
        <f t="shared" si="2"/>
        <v>0.40286725737390716</v>
      </c>
      <c r="AC5" s="18">
        <f t="shared" si="2"/>
        <v>4.1053171326341786E-2</v>
      </c>
      <c r="AD5" s="18">
        <f t="shared" ref="AD5:AM5" si="3">+AD3/AC3-1</f>
        <v>8.3589594527462285E-2</v>
      </c>
      <c r="AE5" s="18">
        <f t="shared" si="3"/>
        <v>0.63454697008907957</v>
      </c>
      <c r="AF5" s="18">
        <f t="shared" si="3"/>
        <v>0.11684410105065557</v>
      </c>
      <c r="AG5" s="18">
        <f t="shared" si="3"/>
        <v>-0.10952245515051817</v>
      </c>
      <c r="AH5" s="18">
        <f t="shared" si="3"/>
        <v>-5.3339640650099329E-2</v>
      </c>
      <c r="AI5" s="173">
        <f t="shared" si="3"/>
        <v>8.3521336917726785E-3</v>
      </c>
      <c r="AJ5" s="18">
        <f t="shared" si="3"/>
        <v>0.11209833160685712</v>
      </c>
      <c r="AK5" s="18">
        <f t="shared" si="3"/>
        <v>-0.32691778869415511</v>
      </c>
      <c r="AL5" s="18">
        <f t="shared" si="3"/>
        <v>-0.11921348369280016</v>
      </c>
      <c r="AM5" s="173">
        <f t="shared" si="3"/>
        <v>0.37185342814965283</v>
      </c>
      <c r="AP5" s="69" t="s">
        <v>186</v>
      </c>
      <c r="AQ5" s="60"/>
      <c r="AR5" s="61"/>
      <c r="AS5" s="61"/>
      <c r="AT5" s="58"/>
      <c r="AU5" s="64"/>
      <c r="AV5" s="60"/>
      <c r="AW5" s="61"/>
      <c r="AX5" s="61"/>
      <c r="AY5" s="58">
        <v>7.64</v>
      </c>
      <c r="AZ5" s="64">
        <v>3.06</v>
      </c>
      <c r="BA5" s="60"/>
      <c r="BB5" s="61"/>
      <c r="BC5" s="61"/>
      <c r="BD5" s="58">
        <v>8.41</v>
      </c>
      <c r="BE5" s="64">
        <v>3.36</v>
      </c>
    </row>
    <row r="6" spans="1:57" ht="18" thickTop="1" thickBot="1" x14ac:dyDescent="0.4">
      <c r="B6" s="28" t="s">
        <v>15</v>
      </c>
      <c r="C6" s="30">
        <f t="shared" ref="C6:G6" si="4">C5/C$3*100</f>
        <v>12.605368364163613</v>
      </c>
      <c r="D6" s="30">
        <f t="shared" si="4"/>
        <v>11.691631368543131</v>
      </c>
      <c r="E6" s="30">
        <f t="shared" si="4"/>
        <v>10.535489371499606</v>
      </c>
      <c r="F6" s="30">
        <f t="shared" si="4"/>
        <v>11.922685727466305</v>
      </c>
      <c r="G6" s="30">
        <f t="shared" si="4"/>
        <v>12.962087884088092</v>
      </c>
      <c r="H6" s="30">
        <f>H5/H$3*100</f>
        <v>13.673521647947195</v>
      </c>
      <c r="I6" s="31">
        <f>I5/I$3*100</f>
        <v>13.021254507531454</v>
      </c>
      <c r="J6" s="23">
        <f>AVERAGE(D6:I6)</f>
        <v>12.301111751179297</v>
      </c>
      <c r="M6" s="1" t="s">
        <v>16</v>
      </c>
      <c r="N6" s="3">
        <f>261.001/415.481776</f>
        <v>0.62818880412218114</v>
      </c>
      <c r="AP6" s="69" t="s">
        <v>187</v>
      </c>
      <c r="AQ6" s="60">
        <v>66126</v>
      </c>
      <c r="AR6" s="61">
        <v>6855</v>
      </c>
      <c r="AS6" s="61">
        <v>3815</v>
      </c>
      <c r="AT6" s="58">
        <v>9.18</v>
      </c>
      <c r="AU6" s="64">
        <v>2.75</v>
      </c>
      <c r="AV6" s="60"/>
      <c r="AW6" s="61"/>
      <c r="AX6" s="61"/>
      <c r="AY6" s="58"/>
      <c r="AZ6" s="64"/>
      <c r="BA6" s="60"/>
      <c r="BB6" s="61"/>
      <c r="BC6" s="61"/>
      <c r="BD6" s="58"/>
      <c r="BE6" s="64"/>
    </row>
    <row r="7" spans="1:57" ht="18" thickTop="1" thickBot="1" x14ac:dyDescent="0.4">
      <c r="B7" s="32" t="s">
        <v>17</v>
      </c>
      <c r="C7" s="26">
        <f>+C9--118.373</f>
        <v>375.37899999999996</v>
      </c>
      <c r="D7" s="26">
        <f>+D9--140.04</f>
        <v>202.05500000000001</v>
      </c>
      <c r="E7" s="26">
        <f>+E9--151.365</f>
        <v>143.74299999999999</v>
      </c>
      <c r="F7" s="26">
        <f>+F9--152.896</f>
        <v>469.66399999999999</v>
      </c>
      <c r="G7" s="26">
        <f>+G9--145.801</f>
        <v>449.79599999999999</v>
      </c>
      <c r="H7" s="26">
        <f>+H9--159.323</f>
        <v>889.89800000000002</v>
      </c>
      <c r="I7" s="27">
        <f>+I9-1399.847</f>
        <v>1755.7969999999998</v>
      </c>
      <c r="J7" s="24"/>
      <c r="M7" s="1" t="s">
        <v>18</v>
      </c>
      <c r="N7" s="3">
        <f>'[1]LT Portfolio'!P294</f>
        <v>0</v>
      </c>
      <c r="W7" s="12" t="s">
        <v>61</v>
      </c>
      <c r="X7" s="13">
        <v>22386114</v>
      </c>
      <c r="Y7" s="13">
        <v>20462583</v>
      </c>
      <c r="Z7" s="13">
        <v>18813703</v>
      </c>
      <c r="AA7" s="13">
        <v>28796894</v>
      </c>
      <c r="AB7" s="13">
        <v>40189860</v>
      </c>
      <c r="AC7" s="13">
        <v>41826038</v>
      </c>
      <c r="AD7" s="13">
        <v>39405896</v>
      </c>
      <c r="AE7" s="13">
        <v>41283608</v>
      </c>
      <c r="AF7" s="13">
        <v>45535349</v>
      </c>
      <c r="AG7" s="13">
        <v>40229056</v>
      </c>
      <c r="AH7" s="13">
        <v>39583449</v>
      </c>
      <c r="AI7" s="172">
        <v>45114143</v>
      </c>
      <c r="AJ7" s="13">
        <v>47978792</v>
      </c>
      <c r="AK7" s="13">
        <v>31973060</v>
      </c>
      <c r="AL7" s="13">
        <v>30260825</v>
      </c>
      <c r="AM7" s="172">
        <v>42207980</v>
      </c>
      <c r="AP7" s="69" t="s">
        <v>188</v>
      </c>
      <c r="AQ7" s="60">
        <v>65198</v>
      </c>
      <c r="AR7" s="61">
        <v>5724</v>
      </c>
      <c r="AS7" s="61">
        <v>3356</v>
      </c>
      <c r="AT7" s="74">
        <v>8.1</v>
      </c>
      <c r="AU7" s="64">
        <v>2.4</v>
      </c>
      <c r="AV7" s="60">
        <v>57931</v>
      </c>
      <c r="AW7" s="61">
        <v>6428</v>
      </c>
      <c r="AX7" s="61">
        <v>4095</v>
      </c>
      <c r="AY7" s="58">
        <v>9.9</v>
      </c>
      <c r="AZ7" s="64">
        <v>3</v>
      </c>
      <c r="BA7" s="60">
        <v>66531</v>
      </c>
      <c r="BB7" s="61">
        <v>7036</v>
      </c>
      <c r="BC7" s="61">
        <v>4744</v>
      </c>
      <c r="BD7" s="58">
        <v>11.4</v>
      </c>
      <c r="BE7" s="64">
        <v>3.4</v>
      </c>
    </row>
    <row r="8" spans="1:57" ht="18" thickTop="1" thickBot="1" x14ac:dyDescent="0.4">
      <c r="B8" s="28" t="s">
        <v>19</v>
      </c>
      <c r="C8" s="30">
        <f t="shared" ref="C8:I8" si="5">C7/C$3*100</f>
        <v>4.4189055451420449</v>
      </c>
      <c r="D8" s="30">
        <f t="shared" si="5"/>
        <v>2.4248058763215194</v>
      </c>
      <c r="E8" s="30">
        <f t="shared" si="5"/>
        <v>1.6034640526010902</v>
      </c>
      <c r="F8" s="30">
        <f t="shared" si="5"/>
        <v>3.9194231021511499</v>
      </c>
      <c r="G8" s="30">
        <f t="shared" si="5"/>
        <v>3.6792066454032044</v>
      </c>
      <c r="H8" s="30">
        <f t="shared" si="5"/>
        <v>6.0253986799749804</v>
      </c>
      <c r="I8" s="31">
        <f t="shared" si="5"/>
        <v>5.5470896843164121</v>
      </c>
      <c r="J8" s="23">
        <f>AVERAGE(D8:I8)</f>
        <v>3.8665646734613923</v>
      </c>
      <c r="M8" s="1" t="s">
        <v>20</v>
      </c>
      <c r="N8" s="3">
        <f>'[1]LT Portfolio'!Q294</f>
        <v>0</v>
      </c>
      <c r="W8" s="12" t="s">
        <v>40</v>
      </c>
      <c r="AB8" s="18">
        <f t="shared" ref="AB8:AM8" si="6">+AB7/X7-1</f>
        <v>0.79530310620235389</v>
      </c>
      <c r="AC8" s="18">
        <f t="shared" si="6"/>
        <v>1.0440253315038479</v>
      </c>
      <c r="AD8" s="18">
        <f t="shared" si="6"/>
        <v>1.0945316294192589</v>
      </c>
      <c r="AE8" s="18">
        <f t="shared" si="6"/>
        <v>0.43361322231487875</v>
      </c>
      <c r="AF8" s="18">
        <f t="shared" si="6"/>
        <v>0.13300591243661963</v>
      </c>
      <c r="AG8" s="18">
        <f t="shared" si="6"/>
        <v>-3.8181527019126249E-2</v>
      </c>
      <c r="AH8" s="18">
        <f t="shared" si="6"/>
        <v>4.5057470587650528E-3</v>
      </c>
      <c r="AI8" s="173">
        <f t="shared" si="6"/>
        <v>9.2785858251536624E-2</v>
      </c>
      <c r="AJ8" s="18">
        <f t="shared" si="6"/>
        <v>5.3660355167147067E-2</v>
      </c>
      <c r="AK8" s="18">
        <f t="shared" si="6"/>
        <v>-0.20522470127064374</v>
      </c>
      <c r="AL8" s="18">
        <f t="shared" si="6"/>
        <v>-0.23551823389619231</v>
      </c>
      <c r="AM8" s="173">
        <f t="shared" si="6"/>
        <v>-6.4418003019585224E-2</v>
      </c>
      <c r="AP8" s="69" t="s">
        <v>1078</v>
      </c>
      <c r="AQ8" s="60"/>
      <c r="AR8" s="61"/>
      <c r="AS8" s="61"/>
      <c r="AT8" s="74"/>
      <c r="AU8" s="64"/>
      <c r="AV8" s="60"/>
      <c r="AW8" s="61"/>
      <c r="AX8" s="61"/>
      <c r="AY8" s="58">
        <v>5.56</v>
      </c>
      <c r="AZ8" s="64">
        <v>2</v>
      </c>
      <c r="BA8" s="60"/>
      <c r="BB8" s="61"/>
      <c r="BC8" s="61"/>
      <c r="BD8" s="58">
        <v>6.15</v>
      </c>
      <c r="BE8" s="64">
        <v>2</v>
      </c>
    </row>
    <row r="9" spans="1:57" ht="18" thickTop="1" thickBot="1" x14ac:dyDescent="0.4">
      <c r="B9" s="32" t="s">
        <v>21</v>
      </c>
      <c r="C9" s="26">
        <v>257.00599999999997</v>
      </c>
      <c r="D9" s="26">
        <v>62.015000000000001</v>
      </c>
      <c r="E9" s="26">
        <v>-7.6219999999999999</v>
      </c>
      <c r="F9" s="26">
        <v>316.76799999999997</v>
      </c>
      <c r="G9" s="26">
        <v>303.995</v>
      </c>
      <c r="H9" s="26">
        <v>730.57500000000005</v>
      </c>
      <c r="I9" s="27">
        <v>3155.6439999999998</v>
      </c>
      <c r="J9" s="21"/>
      <c r="M9" s="1" t="s">
        <v>22</v>
      </c>
      <c r="N9" s="3">
        <f>'[1]LT Portfolio'!R294</f>
        <v>0</v>
      </c>
      <c r="O9" s="4">
        <f>N9/N5-1</f>
        <v>-1</v>
      </c>
      <c r="W9" s="12" t="s">
        <v>41</v>
      </c>
      <c r="Y9" s="18">
        <f t="shared" ref="Y9:AC9" si="7">+Y7/X7-1</f>
        <v>-8.5925185586028907E-2</v>
      </c>
      <c r="Z9" s="18">
        <f t="shared" si="7"/>
        <v>-8.0580247371507263E-2</v>
      </c>
      <c r="AA9" s="18">
        <f t="shared" si="7"/>
        <v>0.53063402776157353</v>
      </c>
      <c r="AB9" s="18">
        <f t="shared" si="7"/>
        <v>0.39563176500910124</v>
      </c>
      <c r="AC9" s="18">
        <f t="shared" si="7"/>
        <v>4.0711214221696768E-2</v>
      </c>
      <c r="AD9" s="18">
        <f t="shared" ref="AD9:AM9" si="8">+AD7/AC7-1</f>
        <v>-5.7862090595336757E-2</v>
      </c>
      <c r="AE9" s="18">
        <f t="shared" si="8"/>
        <v>4.7650534326132421E-2</v>
      </c>
      <c r="AF9" s="18">
        <f t="shared" si="8"/>
        <v>0.10298860022118217</v>
      </c>
      <c r="AG9" s="18">
        <f t="shared" si="8"/>
        <v>-0.11653129088787706</v>
      </c>
      <c r="AH9" s="18">
        <f t="shared" si="8"/>
        <v>-1.6048276151446328E-2</v>
      </c>
      <c r="AI9" s="173">
        <f t="shared" si="8"/>
        <v>0.13972238750594967</v>
      </c>
      <c r="AJ9" s="18">
        <f t="shared" si="8"/>
        <v>6.3497803781842777E-2</v>
      </c>
      <c r="AK9" s="18">
        <f t="shared" si="8"/>
        <v>-0.33360014566435936</v>
      </c>
      <c r="AL9" s="18">
        <f t="shared" si="8"/>
        <v>-5.3552428200491331E-2</v>
      </c>
      <c r="AM9" s="173">
        <f t="shared" si="8"/>
        <v>0.39480599091399515</v>
      </c>
      <c r="AP9" s="69" t="s">
        <v>195</v>
      </c>
      <c r="AQ9" s="60">
        <v>61649</v>
      </c>
      <c r="AR9" s="61">
        <v>4200</v>
      </c>
      <c r="AS9" s="61">
        <v>2600</v>
      </c>
      <c r="AT9" s="74">
        <v>6.3</v>
      </c>
      <c r="AU9" s="64"/>
      <c r="AV9" s="60"/>
      <c r="AW9" s="61"/>
      <c r="AX9" s="61"/>
      <c r="AY9" s="58"/>
      <c r="AZ9" s="64"/>
      <c r="BA9" s="60"/>
      <c r="BB9" s="61"/>
      <c r="BC9" s="61"/>
      <c r="BD9" s="58"/>
      <c r="BE9" s="64"/>
    </row>
    <row r="10" spans="1:57" ht="18" thickTop="1" thickBot="1" x14ac:dyDescent="0.4">
      <c r="B10" s="32" t="s">
        <v>23</v>
      </c>
      <c r="C10" s="29">
        <v>261.60500000000002</v>
      </c>
      <c r="D10" s="26">
        <v>73.56</v>
      </c>
      <c r="E10" s="26">
        <v>-105.59699999999999</v>
      </c>
      <c r="F10" s="26">
        <v>181.32499999999999</v>
      </c>
      <c r="G10" s="26">
        <v>231.44499999999999</v>
      </c>
      <c r="H10" s="26">
        <v>736.23900000000003</v>
      </c>
      <c r="I10" s="27">
        <v>2692.346</v>
      </c>
      <c r="J10" s="22">
        <f>((I10/D10)^(1/5)-1)*100</f>
        <v>105.44606628804871</v>
      </c>
      <c r="M10" s="1" t="s">
        <v>24</v>
      </c>
      <c r="N10" s="3">
        <f>'[1]LT Portfolio'!S294</f>
        <v>0</v>
      </c>
      <c r="O10" s="4">
        <f>N10/N6-1</f>
        <v>-1</v>
      </c>
      <c r="AP10" s="69" t="s">
        <v>196</v>
      </c>
      <c r="AQ10" s="60">
        <v>57649</v>
      </c>
      <c r="AR10" s="61">
        <v>4507</v>
      </c>
      <c r="AS10" s="61">
        <v>2529</v>
      </c>
      <c r="AT10" s="58">
        <v>6.09</v>
      </c>
      <c r="AU10" s="64"/>
      <c r="AV10" s="60">
        <v>53877</v>
      </c>
      <c r="AW10" s="61">
        <v>5164</v>
      </c>
      <c r="AX10" s="61">
        <v>3005</v>
      </c>
      <c r="AY10" s="58">
        <v>7.23</v>
      </c>
      <c r="AZ10" s="64">
        <v>2.5</v>
      </c>
      <c r="BA10" s="60">
        <v>58741</v>
      </c>
      <c r="BB10" s="61">
        <v>5618</v>
      </c>
      <c r="BC10" s="61">
        <v>3061</v>
      </c>
      <c r="BD10" s="58">
        <v>7.37</v>
      </c>
      <c r="BE10" s="64">
        <v>2.6</v>
      </c>
    </row>
    <row r="11" spans="1:57" ht="18" thickTop="1" thickBot="1" x14ac:dyDescent="0.4">
      <c r="B11" s="28" t="s">
        <v>25</v>
      </c>
      <c r="C11" s="30">
        <f t="shared" ref="C11:G11" si="9">C10/C$3*100</f>
        <v>3.0795750032284301</v>
      </c>
      <c r="D11" s="30">
        <f t="shared" si="9"/>
        <v>0.88277310763015504</v>
      </c>
      <c r="E11" s="30">
        <f t="shared" si="9"/>
        <v>-1.1779425332886979</v>
      </c>
      <c r="F11" s="30">
        <f t="shared" si="9"/>
        <v>1.513186861240285</v>
      </c>
      <c r="G11" s="30">
        <f t="shared" si="9"/>
        <v>1.8931559685843018</v>
      </c>
      <c r="H11" s="30">
        <f>H10/H$3*100</f>
        <v>4.9849909750848971</v>
      </c>
      <c r="I11" s="31">
        <f>I10/I$3*100</f>
        <v>8.5059290585475171</v>
      </c>
      <c r="J11" s="23">
        <f>AVERAGE(D11:I11)</f>
        <v>2.7670155729664097</v>
      </c>
      <c r="M11" s="1" t="s">
        <v>26</v>
      </c>
      <c r="N11" s="3">
        <f>'[1]LT Portfolio'!T294</f>
        <v>0</v>
      </c>
      <c r="O11" s="4" t="e">
        <f>N11/N7-1</f>
        <v>#DIV/0!</v>
      </c>
      <c r="W11" s="12" t="s">
        <v>42</v>
      </c>
      <c r="X11" s="13">
        <v>536176</v>
      </c>
      <c r="Y11" s="13">
        <v>543061</v>
      </c>
      <c r="Z11" s="13">
        <v>494974</v>
      </c>
      <c r="AA11" s="13">
        <v>830348</v>
      </c>
      <c r="AB11" s="13">
        <v>990442</v>
      </c>
      <c r="AC11" s="13">
        <v>1131305</v>
      </c>
      <c r="AD11" s="13">
        <v>1170194</v>
      </c>
      <c r="AE11" s="13">
        <v>1947604</v>
      </c>
      <c r="AF11" s="13">
        <v>1795972</v>
      </c>
      <c r="AG11" s="13">
        <v>2012466</v>
      </c>
      <c r="AH11" s="13">
        <v>2069956</v>
      </c>
      <c r="AI11" s="172">
        <v>2759012</v>
      </c>
      <c r="AJ11" s="13">
        <v>2792611</v>
      </c>
      <c r="AK11" s="13">
        <v>1967739</v>
      </c>
      <c r="AL11" s="13">
        <v>1920313</v>
      </c>
      <c r="AM11" s="172">
        <v>2536969</v>
      </c>
      <c r="AP11" s="70" t="s">
        <v>192</v>
      </c>
      <c r="AQ11" s="62">
        <f>+AVERAGE(AQ4:AQ10)</f>
        <v>62655.5</v>
      </c>
      <c r="AR11" s="63">
        <f t="shared" ref="AR11:AZ11" si="10">+AVERAGE(AR4:AR10)</f>
        <v>5321.5</v>
      </c>
      <c r="AS11" s="63">
        <f t="shared" si="10"/>
        <v>3075</v>
      </c>
      <c r="AT11" s="72">
        <f t="shared" si="10"/>
        <v>7.4175000000000004</v>
      </c>
      <c r="AU11" s="65">
        <f t="shared" si="10"/>
        <v>2.5750000000000002</v>
      </c>
      <c r="AV11" s="62">
        <f t="shared" si="10"/>
        <v>55904</v>
      </c>
      <c r="AW11" s="63">
        <f t="shared" si="10"/>
        <v>5796</v>
      </c>
      <c r="AX11" s="63">
        <f t="shared" si="10"/>
        <v>3550</v>
      </c>
      <c r="AY11" s="72">
        <f t="shared" si="10"/>
        <v>7.5824999999999996</v>
      </c>
      <c r="AZ11" s="65">
        <f t="shared" si="10"/>
        <v>2.64</v>
      </c>
      <c r="BA11" s="62">
        <f t="shared" ref="BA11:BE11" si="11">+AVERAGE(BA4:BA10)</f>
        <v>62636</v>
      </c>
      <c r="BB11" s="63">
        <f t="shared" si="11"/>
        <v>6327</v>
      </c>
      <c r="BC11" s="63">
        <f t="shared" si="11"/>
        <v>3902.5</v>
      </c>
      <c r="BD11" s="72">
        <f t="shared" si="11"/>
        <v>8.3324999999999996</v>
      </c>
      <c r="BE11" s="65">
        <f t="shared" si="11"/>
        <v>2.84</v>
      </c>
    </row>
    <row r="12" spans="1:57" ht="18" thickTop="1" thickBot="1" x14ac:dyDescent="0.4">
      <c r="B12" s="28" t="s">
        <v>27</v>
      </c>
      <c r="C12" s="29"/>
      <c r="D12" s="30">
        <f t="shared" ref="D12:I12" si="12">(D10/C10-1)*100</f>
        <v>-71.881271382427698</v>
      </c>
      <c r="E12" s="30">
        <f t="shared" si="12"/>
        <v>-243.55220228384988</v>
      </c>
      <c r="F12" s="30">
        <f>-(F10/E10-1)*100</f>
        <v>271.71415854617084</v>
      </c>
      <c r="G12" s="30">
        <f t="shared" si="12"/>
        <v>27.64097614780092</v>
      </c>
      <c r="H12" s="30">
        <f t="shared" si="12"/>
        <v>218.10538140810993</v>
      </c>
      <c r="I12" s="31">
        <f t="shared" si="12"/>
        <v>265.68913083930624</v>
      </c>
      <c r="J12" s="23">
        <f>AVERAGE(D12:I12)</f>
        <v>77.952695545851725</v>
      </c>
      <c r="S12" t="s">
        <v>20</v>
      </c>
      <c r="T12" t="s">
        <v>22</v>
      </c>
      <c r="W12" s="12" t="s">
        <v>43</v>
      </c>
      <c r="X12" s="19">
        <f t="shared" ref="X12:AG12" si="13">+X11/X3</f>
        <v>0.12748405308063002</v>
      </c>
      <c r="Y12" s="19">
        <f t="shared" si="13"/>
        <v>0.14123867226633738</v>
      </c>
      <c r="Z12" s="19">
        <f t="shared" si="13"/>
        <v>0.13294302434140057</v>
      </c>
      <c r="AA12" s="19">
        <f t="shared" si="13"/>
        <v>0.1428258621131536</v>
      </c>
      <c r="AB12" s="19">
        <f t="shared" si="13"/>
        <v>0.12143927888922103</v>
      </c>
      <c r="AC12" s="19">
        <f t="shared" si="13"/>
        <v>0.13324070634575344</v>
      </c>
      <c r="AD12" s="19">
        <f t="shared" si="13"/>
        <v>0.12718920736109954</v>
      </c>
      <c r="AE12" s="19">
        <f t="shared" si="13"/>
        <v>0.12950771675159192</v>
      </c>
      <c r="AF12" s="19">
        <f t="shared" si="13"/>
        <v>0.10693059804250843</v>
      </c>
      <c r="AG12" s="19">
        <f t="shared" si="13"/>
        <v>0.13455753225674344</v>
      </c>
      <c r="AH12" s="19">
        <f t="shared" ref="AH12:AK12" si="14">+AH11/AH3</f>
        <v>0.14619966722270808</v>
      </c>
      <c r="AI12" s="174">
        <f t="shared" si="14"/>
        <v>0.19325317505740658</v>
      </c>
      <c r="AJ12" s="19">
        <f t="shared" si="14"/>
        <v>0.17588965767092174</v>
      </c>
      <c r="AK12" s="19">
        <f t="shared" si="14"/>
        <v>0.18413198699526359</v>
      </c>
      <c r="AL12" s="19">
        <f t="shared" ref="AL12" si="15">+AL11/AL3</f>
        <v>0.20401547502625475</v>
      </c>
      <c r="AM12" s="174">
        <f>+AM11/AM3</f>
        <v>0.19647103658595613</v>
      </c>
      <c r="AP12" s="12"/>
      <c r="AQ12" s="12"/>
      <c r="AR12" s="12"/>
      <c r="AS12" s="12"/>
      <c r="AT12" s="12"/>
      <c r="AU12" s="99" t="s">
        <v>34</v>
      </c>
      <c r="AV12" s="12"/>
      <c r="AW12" s="12"/>
      <c r="AX12" s="12"/>
      <c r="AY12" s="12"/>
      <c r="AZ12" s="99" t="s">
        <v>34</v>
      </c>
      <c r="BA12" s="12"/>
      <c r="BB12" s="12"/>
      <c r="BC12" s="12"/>
      <c r="BD12" s="12"/>
      <c r="BE12" s="99" t="s">
        <v>34</v>
      </c>
    </row>
    <row r="13" spans="1:57" s="73" customFormat="1" ht="18" thickTop="1" thickBot="1" x14ac:dyDescent="0.3">
      <c r="A13" s="6"/>
      <c r="B13" s="187"/>
      <c r="C13" s="188"/>
      <c r="D13" s="188"/>
      <c r="E13" s="188"/>
      <c r="F13" s="188"/>
      <c r="G13" s="188"/>
      <c r="H13" s="188"/>
      <c r="I13" s="41"/>
      <c r="J13" s="5"/>
      <c r="K13" s="6"/>
      <c r="L13" s="6"/>
      <c r="M13" s="1" t="s">
        <v>28</v>
      </c>
      <c r="N13" s="3">
        <f>SUM(N8:N11)</f>
        <v>0</v>
      </c>
      <c r="O13"/>
      <c r="P13"/>
      <c r="Q13" s="7">
        <f>N13*J21</f>
        <v>0</v>
      </c>
      <c r="R13"/>
      <c r="S13" s="7">
        <v>19.109573515092499</v>
      </c>
      <c r="T13" s="7">
        <v>18.873652854412345</v>
      </c>
      <c r="U13" s="6"/>
      <c r="V13" s="6"/>
      <c r="W13" s="12"/>
      <c r="X13" s="12"/>
      <c r="Y13" s="12"/>
      <c r="Z13" s="12"/>
      <c r="AA13" s="12"/>
      <c r="AB13" s="12"/>
      <c r="AC13" s="12"/>
      <c r="AD13" s="12"/>
      <c r="AE13" s="12"/>
      <c r="AF13" s="12"/>
      <c r="AG13" s="12"/>
      <c r="AH13" s="12"/>
      <c r="AI13" s="170"/>
      <c r="AJ13" s="12"/>
      <c r="AK13" s="12"/>
      <c r="AL13" s="12"/>
      <c r="AM13" s="170"/>
      <c r="AN13" s="12"/>
      <c r="AO13" s="12"/>
      <c r="AP13" s="12" t="s">
        <v>193</v>
      </c>
      <c r="AQ13" s="12"/>
      <c r="AR13" s="12"/>
      <c r="AS13" s="12"/>
      <c r="AT13" s="58">
        <f>+$X$1/AT11</f>
        <v>6.3228850690933598</v>
      </c>
      <c r="AU13" s="75">
        <f>+AU11/$X$1</f>
        <v>5.4904051172707892E-2</v>
      </c>
      <c r="AV13" s="12"/>
      <c r="AW13" s="12"/>
      <c r="AX13" s="12"/>
      <c r="AY13" s="58">
        <f>+$X$1/AY11</f>
        <v>6.1852950873722392</v>
      </c>
      <c r="AZ13" s="75">
        <f>+AZ11/$X$1</f>
        <v>5.6289978678038387E-2</v>
      </c>
      <c r="BA13" s="12"/>
      <c r="BB13" s="12"/>
      <c r="BC13" s="12"/>
      <c r="BD13" s="58">
        <f>+$X$1/BD11</f>
        <v>5.6285628562856287</v>
      </c>
      <c r="BE13" s="75">
        <f>+BE11/$X$1</f>
        <v>6.0554371002132193E-2</v>
      </c>
    </row>
    <row r="14" spans="1:57" ht="18" thickTop="1" thickBot="1" x14ac:dyDescent="0.4">
      <c r="B14" s="32" t="s">
        <v>29</v>
      </c>
      <c r="C14" s="33">
        <f>1.26/2</f>
        <v>0.63</v>
      </c>
      <c r="D14" s="34">
        <f>0.35/2</f>
        <v>0.17499999999999999</v>
      </c>
      <c r="E14" s="34">
        <f>-0.51/2</f>
        <v>-0.255</v>
      </c>
      <c r="F14" s="34">
        <f>0.87/2</f>
        <v>0.435</v>
      </c>
      <c r="G14" s="34">
        <v>0.56000000000000005</v>
      </c>
      <c r="H14" s="34">
        <v>1.77</v>
      </c>
      <c r="I14" s="35">
        <v>6.48</v>
      </c>
      <c r="J14" s="23">
        <f>AVERAGE(D14:I14)</f>
        <v>1.5275000000000001</v>
      </c>
      <c r="M14" s="1" t="s">
        <v>11</v>
      </c>
      <c r="N14" s="2" t="e">
        <f>N2/N13</f>
        <v>#VALUE!</v>
      </c>
      <c r="Q14" s="8" t="e">
        <f>Q13/N2-1</f>
        <v>#VALUE!</v>
      </c>
      <c r="S14" s="8" t="e">
        <f>S13/N2-1</f>
        <v>#VALUE!</v>
      </c>
      <c r="T14" s="8" t="e">
        <f>T13/N2-1</f>
        <v>#VALUE!</v>
      </c>
      <c r="W14" s="12" t="s">
        <v>17</v>
      </c>
      <c r="X14" s="13">
        <f>+X20-X17</f>
        <v>288324</v>
      </c>
      <c r="Y14" s="13">
        <f t="shared" ref="Y14:AG14" si="16">+Y20-Y17</f>
        <v>273890</v>
      </c>
      <c r="Z14" s="13">
        <f>+Z20-Z17</f>
        <v>144579</v>
      </c>
      <c r="AA14" s="13">
        <f t="shared" si="16"/>
        <v>339439</v>
      </c>
      <c r="AB14" s="13">
        <f t="shared" si="16"/>
        <v>536419</v>
      </c>
      <c r="AC14" s="13">
        <f t="shared" si="16"/>
        <v>576435</v>
      </c>
      <c r="AD14" s="13">
        <f t="shared" si="16"/>
        <v>304232</v>
      </c>
      <c r="AE14" s="13">
        <f t="shared" si="16"/>
        <v>1018801</v>
      </c>
      <c r="AF14" s="13">
        <f t="shared" si="16"/>
        <v>948030</v>
      </c>
      <c r="AG14" s="13">
        <f t="shared" si="16"/>
        <v>1042260</v>
      </c>
      <c r="AH14" s="13">
        <f t="shared" ref="AH14:AK14" si="17">+AH20-AH17</f>
        <v>1189808</v>
      </c>
      <c r="AI14" s="172">
        <f t="shared" si="17"/>
        <v>1890462</v>
      </c>
      <c r="AJ14" s="13">
        <f>+AJ20-AJ17</f>
        <v>1667858</v>
      </c>
      <c r="AK14" s="13">
        <f t="shared" si="17"/>
        <v>1098743</v>
      </c>
      <c r="AL14" s="13">
        <f t="shared" ref="AL14:AM14" si="18">+AL20-AL17</f>
        <v>1122560</v>
      </c>
      <c r="AM14" s="172">
        <f t="shared" si="18"/>
        <v>1355526</v>
      </c>
    </row>
    <row r="15" spans="1:57" ht="18" thickTop="1" thickBot="1" x14ac:dyDescent="0.4">
      <c r="B15" s="32" t="s">
        <v>30</v>
      </c>
      <c r="C15" s="34">
        <v>0</v>
      </c>
      <c r="D15" s="34">
        <v>0</v>
      </c>
      <c r="E15" s="34">
        <v>0</v>
      </c>
      <c r="F15" s="34">
        <v>0</v>
      </c>
      <c r="G15" s="34">
        <v>0.3</v>
      </c>
      <c r="H15" s="34">
        <v>0.7</v>
      </c>
      <c r="I15" s="35">
        <v>2.1</v>
      </c>
      <c r="J15" s="24"/>
      <c r="R15" s="6"/>
      <c r="S15" s="6"/>
      <c r="W15" s="12" t="s">
        <v>55</v>
      </c>
      <c r="X15" s="19">
        <f t="shared" ref="X15:AG15" si="19">+X14/X3</f>
        <v>6.8553445362007193E-2</v>
      </c>
      <c r="Y15" s="19">
        <f t="shared" si="19"/>
        <v>7.1232992144578872E-2</v>
      </c>
      <c r="Z15" s="19">
        <f t="shared" si="19"/>
        <v>3.883187706072512E-2</v>
      </c>
      <c r="AA15" s="19">
        <f t="shared" si="19"/>
        <v>5.8385963246526444E-2</v>
      </c>
      <c r="AB15" s="19">
        <f t="shared" si="19"/>
        <v>6.5770975526559916E-2</v>
      </c>
      <c r="AC15" s="19">
        <f t="shared" si="19"/>
        <v>6.7890274119193669E-2</v>
      </c>
      <c r="AD15" s="19">
        <f t="shared" si="19"/>
        <v>3.3067189657340609E-2</v>
      </c>
      <c r="AE15" s="19">
        <f t="shared" si="19"/>
        <v>6.7746108210005013E-2</v>
      </c>
      <c r="AF15" s="19">
        <f t="shared" si="19"/>
        <v>5.6444874899073745E-2</v>
      </c>
      <c r="AG15" s="19">
        <f t="shared" si="19"/>
        <v>6.968760394953924E-2</v>
      </c>
      <c r="AH15" s="19">
        <f t="shared" ref="AH15:AK15" si="20">+AH14/AH3</f>
        <v>8.403537739880261E-2</v>
      </c>
      <c r="AI15" s="174">
        <f t="shared" si="20"/>
        <v>0.1324161634039196</v>
      </c>
      <c r="AJ15" s="19">
        <f t="shared" si="20"/>
        <v>0.10504827656401418</v>
      </c>
      <c r="AK15" s="19">
        <f t="shared" si="20"/>
        <v>0.10281532855075642</v>
      </c>
      <c r="AL15" s="19">
        <f t="shared" ref="AL15:AM15" si="21">+AL14/AL3</f>
        <v>0.11926160560568642</v>
      </c>
      <c r="AM15" s="174">
        <f t="shared" si="21"/>
        <v>0.10497629192127092</v>
      </c>
      <c r="AP15" s="73"/>
      <c r="AQ15" s="73"/>
      <c r="AR15" s="73"/>
      <c r="AS15" s="73"/>
      <c r="AT15" s="73"/>
      <c r="AU15" s="73"/>
      <c r="AV15" s="73"/>
      <c r="AW15" s="73"/>
      <c r="AX15" s="73"/>
      <c r="AY15" s="73"/>
      <c r="AZ15" s="73"/>
    </row>
    <row r="16" spans="1:57" ht="18" thickTop="1" thickBot="1" x14ac:dyDescent="0.4">
      <c r="B16" s="32" t="s">
        <v>8</v>
      </c>
      <c r="C16" s="34">
        <v>9</v>
      </c>
      <c r="D16" s="34">
        <f>13.6/2</f>
        <v>6.8</v>
      </c>
      <c r="E16" s="34">
        <f>12.5/2</f>
        <v>6.25</v>
      </c>
      <c r="F16" s="34">
        <f>8.5/2</f>
        <v>4.25</v>
      </c>
      <c r="G16" s="34">
        <f>8.7/2</f>
        <v>4.3499999999999996</v>
      </c>
      <c r="H16" s="34">
        <v>14.1</v>
      </c>
      <c r="I16" s="35">
        <v>29.1</v>
      </c>
      <c r="J16" s="22">
        <f>((I16/D16)^(1/5)-1)*100</f>
        <v>33.744772163900194</v>
      </c>
    </row>
    <row r="17" spans="2:39" ht="18" thickTop="1" thickBot="1" x14ac:dyDescent="0.4">
      <c r="B17" s="32" t="s">
        <v>31</v>
      </c>
      <c r="C17" s="34">
        <f>2578.373/415.481776</f>
        <v>6.2057427038629003</v>
      </c>
      <c r="D17" s="34">
        <f>2707.107/415.481776</f>
        <v>6.5155854152313042</v>
      </c>
      <c r="E17" s="34">
        <f>2683.152/415.481776</f>
        <v>6.4579294568144903</v>
      </c>
      <c r="F17" s="34">
        <f>3179.299/415.481776</f>
        <v>7.6520781022174118</v>
      </c>
      <c r="G17" s="34">
        <f>3543.165/415.481776</f>
        <v>8.5278469590444796</v>
      </c>
      <c r="H17" s="34">
        <f>4225.563/415.481776</f>
        <v>10.17027278712701</v>
      </c>
      <c r="I17" s="35">
        <f>9106.62/415.481776</f>
        <v>21.918217659683826</v>
      </c>
      <c r="J17" s="22">
        <f>((I17/D17)^(1/6)-1)*100</f>
        <v>22.407670232864916</v>
      </c>
      <c r="W17" s="12" t="s">
        <v>44</v>
      </c>
      <c r="X17" s="13">
        <v>-54287</v>
      </c>
      <c r="Y17" s="13">
        <v>-38665</v>
      </c>
      <c r="Z17" s="13">
        <v>2948</v>
      </c>
      <c r="AA17" s="13">
        <v>-36232</v>
      </c>
      <c r="AB17" s="13">
        <v>-90483</v>
      </c>
      <c r="AC17" s="13">
        <v>-148715</v>
      </c>
      <c r="AD17" s="13">
        <v>1674940</v>
      </c>
      <c r="AE17" s="13">
        <v>986461</v>
      </c>
      <c r="AF17" s="13">
        <v>-412419</v>
      </c>
      <c r="AG17" s="13">
        <v>-536441</v>
      </c>
      <c r="AH17" s="13">
        <v>-1170365</v>
      </c>
      <c r="AI17" s="172">
        <v>-828137</v>
      </c>
      <c r="AJ17" s="13">
        <v>-203592</v>
      </c>
      <c r="AK17" s="13">
        <v>-271856</v>
      </c>
      <c r="AL17" s="13">
        <v>-675330</v>
      </c>
      <c r="AM17" s="172">
        <v>-192506</v>
      </c>
    </row>
    <row r="18" spans="2:39" ht="18" thickTop="1" thickBot="1" x14ac:dyDescent="0.4">
      <c r="B18" s="32" t="s">
        <v>32</v>
      </c>
      <c r="C18" s="36">
        <f t="shared" ref="C18:G18" si="22">C14/AVERAGE(B17:C17)*100</f>
        <v>10.15188721259492</v>
      </c>
      <c r="D18" s="36">
        <f t="shared" si="22"/>
        <v>2.7512850602026684</v>
      </c>
      <c r="E18" s="36">
        <f t="shared" si="22"/>
        <v>-3.9310857930945442</v>
      </c>
      <c r="F18" s="36">
        <f t="shared" si="22"/>
        <v>6.1658365267360011</v>
      </c>
      <c r="G18" s="36">
        <f t="shared" si="22"/>
        <v>6.9221581420145961</v>
      </c>
      <c r="H18" s="36">
        <f>H14/AVERAGE(G17:H17)*100</f>
        <v>18.932384903165616</v>
      </c>
      <c r="I18" s="37">
        <f>I14/AVERAGE(H17:I17)*100</f>
        <v>40.3883131289152</v>
      </c>
      <c r="J18" s="23">
        <f>AVERAGE(D18:I18)</f>
        <v>11.871481994656591</v>
      </c>
      <c r="M18" s="9" t="s">
        <v>33</v>
      </c>
      <c r="N18" s="6"/>
      <c r="O18" s="6"/>
      <c r="P18" s="6"/>
      <c r="Q18" s="6"/>
      <c r="W18" s="12" t="s">
        <v>45</v>
      </c>
      <c r="X18" s="15">
        <f t="shared" ref="X18:AG18" si="23">+X17/X14</f>
        <v>-0.18828470748186069</v>
      </c>
      <c r="Y18" s="15">
        <f t="shared" si="23"/>
        <v>-0.1411698126985286</v>
      </c>
      <c r="Z18" s="15">
        <f t="shared" si="23"/>
        <v>2.0390236479710055E-2</v>
      </c>
      <c r="AA18" s="15">
        <f t="shared" si="23"/>
        <v>-0.10674082824896373</v>
      </c>
      <c r="AB18" s="15">
        <f t="shared" si="23"/>
        <v>-0.16867970746748345</v>
      </c>
      <c r="AC18" s="15">
        <f t="shared" si="23"/>
        <v>-0.25799092699090098</v>
      </c>
      <c r="AD18" s="15">
        <f t="shared" si="23"/>
        <v>5.5054695101107054</v>
      </c>
      <c r="AE18" s="15">
        <f t="shared" si="23"/>
        <v>0.96825680383117019</v>
      </c>
      <c r="AF18" s="15">
        <f t="shared" si="23"/>
        <v>-0.43502737255150153</v>
      </c>
      <c r="AG18" s="15">
        <f t="shared" si="23"/>
        <v>-0.51469019246637115</v>
      </c>
      <c r="AH18" s="15">
        <f t="shared" ref="AH18:AK18" si="24">+AH17/AH14</f>
        <v>-0.98365870795960353</v>
      </c>
      <c r="AI18" s="175">
        <f t="shared" si="24"/>
        <v>-0.43806064337712158</v>
      </c>
      <c r="AJ18" s="15">
        <f t="shared" si="24"/>
        <v>-0.12206794583231906</v>
      </c>
      <c r="AK18" s="15">
        <f t="shared" si="24"/>
        <v>-0.24742455697101143</v>
      </c>
      <c r="AL18" s="15">
        <f t="shared" ref="AL18:AM18" si="25">+AL17/AL14</f>
        <v>-0.60159813283922459</v>
      </c>
      <c r="AM18" s="175">
        <f t="shared" si="25"/>
        <v>-0.14201571935912702</v>
      </c>
    </row>
    <row r="19" spans="2:39" ht="18" thickTop="1" thickBot="1" x14ac:dyDescent="0.4">
      <c r="B19" s="32" t="s">
        <v>34</v>
      </c>
      <c r="C19" s="30">
        <f t="shared" ref="C19:G19" si="26">C15/C16*100</f>
        <v>0</v>
      </c>
      <c r="D19" s="30">
        <f t="shared" si="26"/>
        <v>0</v>
      </c>
      <c r="E19" s="30">
        <f t="shared" si="26"/>
        <v>0</v>
      </c>
      <c r="F19" s="30">
        <f t="shared" si="26"/>
        <v>0</v>
      </c>
      <c r="G19" s="30">
        <f t="shared" si="26"/>
        <v>6.8965517241379306</v>
      </c>
      <c r="H19" s="30">
        <f>H15/H16*100</f>
        <v>4.9645390070921982</v>
      </c>
      <c r="I19" s="31">
        <f>I15/I16*100</f>
        <v>7.216494845360824</v>
      </c>
      <c r="J19" s="23">
        <f>AVERAGE(G19:I19)</f>
        <v>6.3591951921969843</v>
      </c>
    </row>
    <row r="20" spans="2:39" ht="18" thickTop="1" thickBot="1" x14ac:dyDescent="0.4">
      <c r="B20" s="32" t="s">
        <v>35</v>
      </c>
      <c r="C20" s="30">
        <f t="shared" ref="C20:G20" si="27">C15/C14*100</f>
        <v>0</v>
      </c>
      <c r="D20" s="30">
        <f t="shared" si="27"/>
        <v>0</v>
      </c>
      <c r="E20" s="30">
        <f t="shared" si="27"/>
        <v>0</v>
      </c>
      <c r="F20" s="30">
        <f t="shared" si="27"/>
        <v>0</v>
      </c>
      <c r="G20" s="30">
        <f t="shared" si="27"/>
        <v>53.571428571428569</v>
      </c>
      <c r="H20" s="30">
        <f>H15/H14*100</f>
        <v>39.548022598870055</v>
      </c>
      <c r="I20" s="31">
        <f>I15/I14*100</f>
        <v>32.407407407407405</v>
      </c>
      <c r="J20" s="23">
        <f>AVERAGE(G20:I20)</f>
        <v>41.842286192568672</v>
      </c>
      <c r="M20" t="s">
        <v>36</v>
      </c>
      <c r="N20" s="4">
        <f>N13/H14-1</f>
        <v>-1</v>
      </c>
      <c r="W20" s="12" t="s">
        <v>21</v>
      </c>
      <c r="X20" s="13">
        <v>234037</v>
      </c>
      <c r="Y20" s="13">
        <v>235225</v>
      </c>
      <c r="Z20" s="13">
        <v>147527</v>
      </c>
      <c r="AA20" s="13">
        <v>303207</v>
      </c>
      <c r="AB20" s="13">
        <v>445936</v>
      </c>
      <c r="AC20" s="13">
        <v>427720</v>
      </c>
      <c r="AD20" s="13">
        <v>1979172</v>
      </c>
      <c r="AE20" s="13">
        <v>2005262</v>
      </c>
      <c r="AF20" s="13">
        <v>535611</v>
      </c>
      <c r="AG20" s="13">
        <v>505819</v>
      </c>
      <c r="AH20" s="13">
        <v>19443</v>
      </c>
      <c r="AI20" s="172">
        <v>1062325</v>
      </c>
      <c r="AJ20" s="13">
        <v>1464266</v>
      </c>
      <c r="AK20" s="13">
        <v>826887</v>
      </c>
      <c r="AL20" s="13">
        <v>447230</v>
      </c>
      <c r="AM20" s="172">
        <v>1163020</v>
      </c>
    </row>
    <row r="21" spans="2:39" ht="18" thickTop="1" thickBot="1" x14ac:dyDescent="0.4">
      <c r="B21" s="32" t="s">
        <v>11</v>
      </c>
      <c r="C21" s="38">
        <f t="shared" ref="C21:D21" si="28">C16/C14</f>
        <v>14.285714285714286</v>
      </c>
      <c r="D21" s="38">
        <f t="shared" si="28"/>
        <v>38.857142857142861</v>
      </c>
      <c r="E21" s="38" t="s">
        <v>64</v>
      </c>
      <c r="F21" s="38">
        <f t="shared" ref="F21:G21" si="29">F16/F14</f>
        <v>9.7701149425287355</v>
      </c>
      <c r="G21" s="38">
        <f t="shared" si="29"/>
        <v>7.7678571428571415</v>
      </c>
      <c r="H21" s="38">
        <f>H16/H14</f>
        <v>7.9661016949152543</v>
      </c>
      <c r="I21" s="39">
        <f>I16/I14</f>
        <v>4.4907407407407405</v>
      </c>
      <c r="J21" s="23">
        <f>AVERAGE(D21:I21)</f>
        <v>13.770391475636945</v>
      </c>
      <c r="W21" s="12" t="s">
        <v>46</v>
      </c>
      <c r="X21" s="19">
        <f t="shared" ref="X21:AG21" si="30">+X20/X3</f>
        <v>5.5645879955147949E-2</v>
      </c>
      <c r="Y21" s="19">
        <f t="shared" si="30"/>
        <v>6.1177043985572908E-2</v>
      </c>
      <c r="Z21" s="19">
        <f t="shared" si="30"/>
        <v>3.9623668216944331E-2</v>
      </c>
      <c r="AA21" s="19">
        <f t="shared" si="30"/>
        <v>5.2153797171478652E-2</v>
      </c>
      <c r="AB21" s="19">
        <f t="shared" si="30"/>
        <v>5.4676746614888777E-2</v>
      </c>
      <c r="AC21" s="19">
        <f t="shared" si="30"/>
        <v>5.0375199365516522E-2</v>
      </c>
      <c r="AD21" s="19">
        <f t="shared" si="30"/>
        <v>0.21511759410087736</v>
      </c>
      <c r="AE21" s="19">
        <f t="shared" si="30"/>
        <v>0.13334173841742508</v>
      </c>
      <c r="AF21" s="19">
        <f t="shared" si="30"/>
        <v>3.1889809277731496E-2</v>
      </c>
      <c r="AG21" s="19">
        <f t="shared" si="30"/>
        <v>3.3820077660230638E-2</v>
      </c>
      <c r="AH21" s="19">
        <f t="shared" ref="AH21:AK21" si="31">+AH20/AH3</f>
        <v>1.3732466437987635E-3</v>
      </c>
      <c r="AI21" s="174">
        <f t="shared" si="31"/>
        <v>7.4409853669668513E-2</v>
      </c>
      <c r="AJ21" s="19">
        <f t="shared" si="31"/>
        <v>9.2225249230619616E-2</v>
      </c>
      <c r="AK21" s="19">
        <f t="shared" si="31"/>
        <v>7.7376291434256533E-2</v>
      </c>
      <c r="AL21" s="19">
        <f t="shared" ref="AL21:AM21" si="32">+AL20/AL3</f>
        <v>4.7514046353897471E-2</v>
      </c>
      <c r="AM21" s="174">
        <f t="shared" si="32"/>
        <v>9.0068008308417921E-2</v>
      </c>
    </row>
    <row r="22" spans="2:39" ht="18" thickTop="1" thickBot="1" x14ac:dyDescent="0.4">
      <c r="B22" s="32" t="s">
        <v>37</v>
      </c>
      <c r="C22" s="38">
        <f t="shared" ref="C22:G22" si="33">C16/C17</f>
        <v>1.4502696017992742</v>
      </c>
      <c r="D22" s="38">
        <f t="shared" si="33"/>
        <v>1.0436514244911634</v>
      </c>
      <c r="E22" s="38">
        <f t="shared" si="33"/>
        <v>0.96780245770645879</v>
      </c>
      <c r="F22" s="38">
        <f t="shared" si="33"/>
        <v>0.55540468134642262</v>
      </c>
      <c r="G22" s="38">
        <f t="shared" si="33"/>
        <v>0.51009358175529507</v>
      </c>
      <c r="H22" s="38">
        <f>H16/H17</f>
        <v>1.3863934916128335</v>
      </c>
      <c r="I22" s="39">
        <f>I16/I17</f>
        <v>1.3276626983007966</v>
      </c>
      <c r="J22" s="23">
        <f>AVERAGE(D22:I22)</f>
        <v>0.96516805586882837</v>
      </c>
    </row>
    <row r="23" spans="2:39" ht="15.75" thickTop="1" x14ac:dyDescent="0.25">
      <c r="W23" s="12" t="s">
        <v>47</v>
      </c>
      <c r="X23" s="13">
        <v>-31462</v>
      </c>
      <c r="Y23" s="13">
        <v>25776</v>
      </c>
      <c r="Z23" s="13">
        <v>19850</v>
      </c>
      <c r="AA23" s="13">
        <v>-3025</v>
      </c>
      <c r="AB23" s="13">
        <v>-52092</v>
      </c>
      <c r="AC23" s="13">
        <v>-30616</v>
      </c>
      <c r="AD23" s="13">
        <v>-377685</v>
      </c>
      <c r="AE23" s="13">
        <v>-394976</v>
      </c>
      <c r="AF23" s="13">
        <v>-34224</v>
      </c>
      <c r="AG23" s="13">
        <v>-2257323</v>
      </c>
      <c r="AH23" s="13">
        <v>34825</v>
      </c>
      <c r="AI23" s="172">
        <v>-160723</v>
      </c>
      <c r="AJ23" s="13">
        <v>-533986</v>
      </c>
      <c r="AK23" s="13">
        <v>-275218</v>
      </c>
      <c r="AL23" s="13">
        <v>-286369</v>
      </c>
      <c r="AM23" s="172">
        <v>-374214</v>
      </c>
    </row>
    <row r="24" spans="2:39" x14ac:dyDescent="0.25">
      <c r="W24" s="12" t="s">
        <v>48</v>
      </c>
      <c r="X24" s="14">
        <f t="shared" ref="X24:AG24" si="34">+X23/X20</f>
        <v>-0.13443173515298862</v>
      </c>
      <c r="Y24" s="14">
        <f t="shared" si="34"/>
        <v>0.10958018918057179</v>
      </c>
      <c r="Z24" s="14">
        <f t="shared" si="34"/>
        <v>0.13455164139445661</v>
      </c>
      <c r="AA24" s="14">
        <f t="shared" si="34"/>
        <v>-9.9766825963780517E-3</v>
      </c>
      <c r="AB24" s="14">
        <f t="shared" si="34"/>
        <v>-0.11681496896415629</v>
      </c>
      <c r="AC24" s="14">
        <f t="shared" si="34"/>
        <v>-7.1579538015524177E-2</v>
      </c>
      <c r="AD24" s="14">
        <f t="shared" si="34"/>
        <v>-0.19082980155337687</v>
      </c>
      <c r="AE24" s="14">
        <f t="shared" si="34"/>
        <v>-0.19696977252847758</v>
      </c>
      <c r="AF24" s="14">
        <f t="shared" si="34"/>
        <v>-6.3897119364613494E-2</v>
      </c>
      <c r="AG24" s="14">
        <f t="shared" si="34"/>
        <v>-4.4627089927424635</v>
      </c>
      <c r="AH24" s="14">
        <f t="shared" ref="AH24:AK24" si="35">+AH23/AH20</f>
        <v>1.791133055598416</v>
      </c>
      <c r="AI24" s="176">
        <f t="shared" si="35"/>
        <v>-0.15129362483232534</v>
      </c>
      <c r="AJ24" s="14">
        <f t="shared" si="35"/>
        <v>-0.36467827566849192</v>
      </c>
      <c r="AK24" s="14">
        <f t="shared" si="35"/>
        <v>-0.33283628839248891</v>
      </c>
      <c r="AL24" s="14">
        <f t="shared" ref="AL24" si="36">+AL23/AL20</f>
        <v>-0.64031706280884559</v>
      </c>
      <c r="AM24" s="176">
        <f>+AM23/AM20</f>
        <v>-0.32176058881188629</v>
      </c>
    </row>
    <row r="25" spans="2:39" x14ac:dyDescent="0.25">
      <c r="M25" s="10"/>
    </row>
    <row r="26" spans="2:39" x14ac:dyDescent="0.25">
      <c r="M26" s="10"/>
      <c r="W26" s="12" t="s">
        <v>49</v>
      </c>
      <c r="X26" s="13">
        <f>+X20+X23</f>
        <v>202575</v>
      </c>
      <c r="Y26" s="13">
        <f>+Y20+Y23</f>
        <v>261001</v>
      </c>
      <c r="Z26" s="13">
        <f>+Z20+Z23</f>
        <v>167377</v>
      </c>
      <c r="AA26" s="13">
        <v>298809</v>
      </c>
      <c r="AB26" s="13">
        <f t="shared" ref="AB26:AG26" si="37">+AB20+AB23</f>
        <v>393844</v>
      </c>
      <c r="AC26" s="13">
        <f t="shared" si="37"/>
        <v>397104</v>
      </c>
      <c r="AD26" s="13">
        <f t="shared" si="37"/>
        <v>1601487</v>
      </c>
      <c r="AE26" s="13">
        <f t="shared" si="37"/>
        <v>1610286</v>
      </c>
      <c r="AF26" s="13">
        <f t="shared" si="37"/>
        <v>501387</v>
      </c>
      <c r="AG26" s="13">
        <f t="shared" si="37"/>
        <v>-1751504</v>
      </c>
      <c r="AH26" s="13">
        <f t="shared" ref="AH26:AK26" si="38">+AH20+AH23</f>
        <v>54268</v>
      </c>
      <c r="AI26" s="172">
        <f t="shared" si="38"/>
        <v>901602</v>
      </c>
      <c r="AJ26" s="13">
        <f t="shared" si="38"/>
        <v>930280</v>
      </c>
      <c r="AK26" s="13">
        <f t="shared" si="38"/>
        <v>551669</v>
      </c>
      <c r="AL26" s="13">
        <f t="shared" ref="AL26:AM26" si="39">+AL20+AL23</f>
        <v>160861</v>
      </c>
      <c r="AM26" s="172">
        <f t="shared" si="39"/>
        <v>788806</v>
      </c>
    </row>
    <row r="27" spans="2:39" x14ac:dyDescent="0.25">
      <c r="W27" s="12" t="s">
        <v>25</v>
      </c>
      <c r="X27" s="19">
        <f t="shared" ref="X27:AG27" si="40">+X26/X3</f>
        <v>4.8165307758662505E-2</v>
      </c>
      <c r="Y27" s="19">
        <f t="shared" si="40"/>
        <v>6.7880836039020148E-2</v>
      </c>
      <c r="Z27" s="19">
        <f t="shared" si="40"/>
        <v>4.4955097813603552E-2</v>
      </c>
      <c r="AA27" s="19">
        <f t="shared" si="40"/>
        <v>5.1397309359653191E-2</v>
      </c>
      <c r="AB27" s="19">
        <f t="shared" si="40"/>
        <v>4.8289684156009503E-2</v>
      </c>
      <c r="AC27" s="19">
        <f t="shared" si="40"/>
        <v>4.6769365867492918E-2</v>
      </c>
      <c r="AD27" s="19">
        <f t="shared" si="40"/>
        <v>0.17406674630796706</v>
      </c>
      <c r="AE27" s="19">
        <f t="shared" si="40"/>
        <v>0.10707744653279309</v>
      </c>
      <c r="AF27" s="19">
        <f t="shared" si="40"/>
        <v>2.9852142327797523E-2</v>
      </c>
      <c r="AG27" s="19">
        <f t="shared" si="40"/>
        <v>-0.11710908704932912</v>
      </c>
      <c r="AH27" s="19">
        <f t="shared" ref="AH27:AK27" si="41">+AH26/AH3</f>
        <v>3.8329141009963118E-3</v>
      </c>
      <c r="AI27" s="174">
        <f t="shared" si="41"/>
        <v>6.3152117184741452E-2</v>
      </c>
      <c r="AJ27" s="19">
        <f t="shared" si="41"/>
        <v>5.8592704368100344E-2</v>
      </c>
      <c r="AK27" s="19">
        <f t="shared" si="41"/>
        <v>5.1622653783703058E-2</v>
      </c>
      <c r="AL27" s="19">
        <f t="shared" ref="AL27:AM27" si="42">+AL26/AL3</f>
        <v>1.7089991750406503E-2</v>
      </c>
      <c r="AM27" s="174">
        <f t="shared" si="42"/>
        <v>6.1087672921987503E-2</v>
      </c>
    </row>
    <row r="29" spans="2:39" x14ac:dyDescent="0.25">
      <c r="M29" s="10"/>
      <c r="W29" s="12" t="s">
        <v>29</v>
      </c>
      <c r="X29" s="16">
        <f t="shared" ref="X29:AI29" si="43">+X26/X44</f>
        <v>0.48756651122045841</v>
      </c>
      <c r="Y29" s="16">
        <f t="shared" si="43"/>
        <v>0.62818880412218125</v>
      </c>
      <c r="Z29" s="16">
        <f t="shared" si="43"/>
        <v>0.40285040083202106</v>
      </c>
      <c r="AA29" s="16">
        <f t="shared" si="43"/>
        <v>0.71918677848339607</v>
      </c>
      <c r="AB29" s="16">
        <f t="shared" si="43"/>
        <v>0.94792123926995053</v>
      </c>
      <c r="AC29" s="16">
        <f t="shared" si="43"/>
        <v>0.95576755212483733</v>
      </c>
      <c r="AD29" s="16">
        <f t="shared" si="43"/>
        <v>3.8545300720963511</v>
      </c>
      <c r="AE29" s="16">
        <f t="shared" si="43"/>
        <v>3.8757078962712432</v>
      </c>
      <c r="AF29" s="16">
        <f t="shared" si="43"/>
        <v>1.2067605102371566</v>
      </c>
      <c r="AG29" s="16">
        <f t="shared" si="43"/>
        <v>-4.2155976535538828</v>
      </c>
      <c r="AH29" s="16">
        <f t="shared" si="43"/>
        <v>0.13061463374509114</v>
      </c>
      <c r="AI29" s="177">
        <f t="shared" si="43"/>
        <v>2.1700157553962125</v>
      </c>
      <c r="AJ29" s="16">
        <f t="shared" ref="AJ29:AM29" si="44">+AJ26/AJ44</f>
        <v>2.2390392400748764</v>
      </c>
      <c r="AK29" s="16">
        <f t="shared" si="44"/>
        <v>1.3277814620682664</v>
      </c>
      <c r="AL29" s="16">
        <f t="shared" si="44"/>
        <v>0.38716740249998355</v>
      </c>
      <c r="AM29" s="177">
        <f t="shared" si="44"/>
        <v>1.898533330617129</v>
      </c>
    </row>
    <row r="30" spans="2:39" x14ac:dyDescent="0.25">
      <c r="M30" s="10"/>
      <c r="W30" s="12" t="s">
        <v>40</v>
      </c>
      <c r="AA30" s="17"/>
      <c r="AB30" s="18">
        <f t="shared" ref="AB30:AM30" si="45">+AB29/X29-1</f>
        <v>0.94418857213377771</v>
      </c>
      <c r="AC30" s="18">
        <f t="shared" si="45"/>
        <v>0.52146543499833342</v>
      </c>
      <c r="AD30" s="18">
        <f t="shared" si="45"/>
        <v>8.5681425763396408</v>
      </c>
      <c r="AE30" s="18">
        <f t="shared" si="45"/>
        <v>4.3890143871168537</v>
      </c>
      <c r="AF30" s="18">
        <f t="shared" si="45"/>
        <v>0.27305989173378298</v>
      </c>
      <c r="AG30" s="18">
        <f t="shared" si="45"/>
        <v>-5.4106934203634314</v>
      </c>
      <c r="AH30" s="18">
        <f t="shared" si="45"/>
        <v>-0.96611399280793409</v>
      </c>
      <c r="AI30" s="173">
        <f t="shared" si="45"/>
        <v>-0.44009821857732101</v>
      </c>
      <c r="AJ30" s="18">
        <f t="shared" si="45"/>
        <v>0.85541308410469363</v>
      </c>
      <c r="AK30" s="18">
        <f t="shared" si="45"/>
        <v>-1.3149687354410837</v>
      </c>
      <c r="AL30" s="18">
        <f t="shared" si="45"/>
        <v>1.9641962113952975</v>
      </c>
      <c r="AM30" s="173">
        <f t="shared" si="45"/>
        <v>-0.1251061998531503</v>
      </c>
    </row>
    <row r="31" spans="2:39" x14ac:dyDescent="0.25">
      <c r="W31" s="12" t="s">
        <v>41</v>
      </c>
      <c r="Y31" s="18">
        <f t="shared" ref="Y31:AD31" si="46">+Y29/X29-1</f>
        <v>0.2884166358138962</v>
      </c>
      <c r="Z31" s="18">
        <f t="shared" si="46"/>
        <v>-0.35871126930548158</v>
      </c>
      <c r="AA31" s="18">
        <f t="shared" si="46"/>
        <v>0.78524528459704745</v>
      </c>
      <c r="AB31" s="18">
        <f t="shared" si="46"/>
        <v>0.31804597585748762</v>
      </c>
      <c r="AC31" s="18">
        <f t="shared" si="46"/>
        <v>8.2773890169711706E-3</v>
      </c>
      <c r="AD31" s="18">
        <f t="shared" si="46"/>
        <v>3.0329158104677871</v>
      </c>
      <c r="AE31" s="18">
        <f>+AE29/AD29-1</f>
        <v>5.4942687639674137E-3</v>
      </c>
      <c r="AF31" s="18">
        <f>+AF29/AE29-1</f>
        <v>-0.68863481393988391</v>
      </c>
      <c r="AG31" s="18">
        <f>+AG29/AF29-1</f>
        <v>-4.49331753715194</v>
      </c>
      <c r="AH31" s="18">
        <f t="shared" ref="AH31" si="47">+AH29/AG29-1</f>
        <v>-1.0309836574738054</v>
      </c>
      <c r="AI31" s="173">
        <f>+AI29/AH29-1</f>
        <v>15.613879265865705</v>
      </c>
      <c r="AJ31" s="18">
        <f>+AJ29/AI29-1</f>
        <v>3.180782651325087E-2</v>
      </c>
      <c r="AK31" s="18">
        <f>+AK29/AJ29-1</f>
        <v>-0.40698606871049581</v>
      </c>
      <c r="AL31" s="18">
        <f t="shared" ref="AL31" si="48">+AL29/AK29-1</f>
        <v>-0.70841029675403178</v>
      </c>
      <c r="AM31" s="173">
        <f>+AM29/AL29-1</f>
        <v>3.9036497348642616</v>
      </c>
    </row>
    <row r="32" spans="2:39" x14ac:dyDescent="0.25">
      <c r="Y32" s="18"/>
      <c r="Z32" s="18"/>
      <c r="AA32" s="18"/>
      <c r="AB32" s="18"/>
      <c r="AC32" s="18"/>
      <c r="AD32" s="18"/>
      <c r="AE32" s="18"/>
      <c r="AF32" s="18"/>
      <c r="AG32" s="18"/>
      <c r="AH32" s="18"/>
      <c r="AI32" s="173"/>
      <c r="AJ32" s="18"/>
      <c r="AK32" s="18"/>
      <c r="AL32" s="18"/>
      <c r="AM32" s="173"/>
    </row>
    <row r="33" spans="23:42" x14ac:dyDescent="0.25">
      <c r="W33" s="12" t="s">
        <v>88</v>
      </c>
      <c r="X33" s="18">
        <f t="shared" ref="X33:AI33" si="49">+X26*4/X38</f>
        <v>0.21880325447901305</v>
      </c>
      <c r="Y33" s="18">
        <f t="shared" si="49"/>
        <v>0.26608610503173524</v>
      </c>
      <c r="Z33" s="18">
        <f t="shared" si="49"/>
        <v>0.15844231881053483</v>
      </c>
      <c r="AA33" s="18">
        <f t="shared" si="49"/>
        <v>0.26417908468417495</v>
      </c>
      <c r="AB33" s="18">
        <f t="shared" si="49"/>
        <v>0.33463885684911282</v>
      </c>
      <c r="AC33" s="18">
        <f t="shared" si="49"/>
        <v>0.32163278628907255</v>
      </c>
      <c r="AD33" s="18">
        <f t="shared" si="49"/>
        <v>0.7034385201712029</v>
      </c>
      <c r="AE33" s="18">
        <f t="shared" si="49"/>
        <v>0.52541963498467703</v>
      </c>
      <c r="AF33" s="18">
        <f t="shared" si="49"/>
        <v>0.16130168105223927</v>
      </c>
      <c r="AG33" s="18">
        <f t="shared" si="49"/>
        <v>-0.66174686794959248</v>
      </c>
      <c r="AH33" s="18">
        <f t="shared" si="49"/>
        <v>2.2869761453739389E-2</v>
      </c>
      <c r="AI33" s="173">
        <f t="shared" si="49"/>
        <v>0.36717635554044209</v>
      </c>
      <c r="AJ33" s="18">
        <f t="shared" ref="AJ33:AL33" si="50">+AJ26*4/AJ38</f>
        <v>0.35789315545882955</v>
      </c>
      <c r="AK33" s="18">
        <f t="shared" si="50"/>
        <v>0.20572838635105456</v>
      </c>
      <c r="AL33" s="18">
        <f t="shared" si="50"/>
        <v>6.4231134816863947E-2</v>
      </c>
      <c r="AM33" s="173">
        <f>+AM26*4/AM38</f>
        <v>0.2917088366340318</v>
      </c>
      <c r="AO33" s="14">
        <f>+AVERAGE(X33:AM33)</f>
        <v>0.22511268779107069</v>
      </c>
      <c r="AP33" s="50" t="s">
        <v>88</v>
      </c>
    </row>
    <row r="34" spans="23:42" x14ac:dyDescent="0.25">
      <c r="AO34" s="56">
        <f>AVERAGE(X33:AM33)*AM46</f>
        <v>5.8604181600756515</v>
      </c>
      <c r="AP34" s="50" t="s">
        <v>183</v>
      </c>
    </row>
    <row r="35" spans="23:42" x14ac:dyDescent="0.25">
      <c r="W35" s="12" t="s">
        <v>52</v>
      </c>
      <c r="X35" s="13">
        <f>458156+20243+117220+2518992+120544+73430</f>
        <v>3308585</v>
      </c>
      <c r="Y35" s="13">
        <f>427579+20515+37702+2071957+130492+259+14173</f>
        <v>2702677</v>
      </c>
      <c r="Z35" s="13">
        <f>665230+21442+2450325+206964+1710+14513</f>
        <v>3360184</v>
      </c>
      <c r="AA35" s="13">
        <f>2475789+50187+410550+5199370+645148+5694+16681</f>
        <v>8803419</v>
      </c>
      <c r="AB35" s="13">
        <f>3184597+52828+347748+6048749+838725+5749+109192</f>
        <v>10587588</v>
      </c>
      <c r="AC35" s="13">
        <f>3263109+50583+228179+5751721+980500+6110+112463</f>
        <v>10392665</v>
      </c>
      <c r="AD35" s="13">
        <f>5159752+56481+451023+5743337+1483655+6307+101485</f>
        <v>13002040</v>
      </c>
      <c r="AE35" s="13">
        <f>5547633+65114+838008+7402911+1636129+7291+270345</f>
        <v>15767431</v>
      </c>
      <c r="AF35" s="13">
        <f>6224823+778972+5252626+1764488+8021+35415+66326</f>
        <v>14130671</v>
      </c>
      <c r="AG35" s="13">
        <f>5846288+63700+698790+7061420+1778365+8575+78300</f>
        <v>15535438</v>
      </c>
      <c r="AH35" s="13">
        <f>5268880+54205+1115814+6252914+1709815+7132+24957</f>
        <v>14433717</v>
      </c>
      <c r="AI35" s="172">
        <f>5350879+52804+564162+4618204+1979211+7691+45958</f>
        <v>12618909</v>
      </c>
      <c r="AJ35" s="13">
        <f>4984053+54870+77686+4156073+2308739+8421+400393</f>
        <v>11990235</v>
      </c>
      <c r="AK35" s="13">
        <f>5737074+51732+174112+2783377+2848164+9081+142756</f>
        <v>11746296</v>
      </c>
      <c r="AL35" s="13">
        <f>5172466+43558+616901+3103581+2775437+7899+81127</f>
        <v>11800969</v>
      </c>
      <c r="AM35" s="172">
        <f>4692694+45982+728005+3988047+2860326+7168+173065</f>
        <v>12495287</v>
      </c>
      <c r="AO35" s="56">
        <f>X1/AO34</f>
        <v>8.0028418994924717</v>
      </c>
      <c r="AP35" s="50" t="s">
        <v>11</v>
      </c>
    </row>
    <row r="36" spans="23:42" x14ac:dyDescent="0.25">
      <c r="W36" s="12" t="s">
        <v>53</v>
      </c>
      <c r="X36" s="13">
        <v>291769</v>
      </c>
      <c r="Y36" s="13">
        <v>645466</v>
      </c>
      <c r="Z36" s="13">
        <v>646002</v>
      </c>
      <c r="AA36" s="13">
        <v>1002776</v>
      </c>
      <c r="AB36" s="13">
        <v>1909683</v>
      </c>
      <c r="AC36" s="13">
        <v>1877694</v>
      </c>
      <c r="AD36" s="13">
        <v>2952809</v>
      </c>
      <c r="AE36" s="13">
        <v>2662859</v>
      </c>
      <c r="AF36" s="13">
        <v>2098362</v>
      </c>
      <c r="AG36" s="13">
        <v>1776260</v>
      </c>
      <c r="AH36" s="13">
        <v>1529726</v>
      </c>
      <c r="AI36" s="172">
        <v>2811177</v>
      </c>
      <c r="AJ36" s="13">
        <v>4040619</v>
      </c>
      <c r="AK36" s="13">
        <v>3756291</v>
      </c>
      <c r="AL36" s="13">
        <v>3371785</v>
      </c>
      <c r="AM36" s="172">
        <v>3971423</v>
      </c>
    </row>
    <row r="37" spans="23:42" x14ac:dyDescent="0.25">
      <c r="W37" s="12" t="s">
        <v>50</v>
      </c>
      <c r="X37" s="13">
        <f t="shared" ref="X37:AG37" si="51">+X35-X36</f>
        <v>3016816</v>
      </c>
      <c r="Y37" s="13">
        <f t="shared" si="51"/>
        <v>2057211</v>
      </c>
      <c r="Z37" s="13">
        <f t="shared" si="51"/>
        <v>2714182</v>
      </c>
      <c r="AA37" s="13">
        <f t="shared" si="51"/>
        <v>7800643</v>
      </c>
      <c r="AB37" s="13">
        <f t="shared" si="51"/>
        <v>8677905</v>
      </c>
      <c r="AC37" s="13">
        <f t="shared" si="51"/>
        <v>8514971</v>
      </c>
      <c r="AD37" s="13">
        <f t="shared" si="51"/>
        <v>10049231</v>
      </c>
      <c r="AE37" s="13">
        <f t="shared" si="51"/>
        <v>13104572</v>
      </c>
      <c r="AF37" s="13">
        <f t="shared" si="51"/>
        <v>12032309</v>
      </c>
      <c r="AG37" s="13">
        <f t="shared" si="51"/>
        <v>13759178</v>
      </c>
      <c r="AH37" s="13">
        <f t="shared" ref="AH37:AK37" si="52">+AH35-AH36</f>
        <v>12903991</v>
      </c>
      <c r="AI37" s="172">
        <f t="shared" si="52"/>
        <v>9807732</v>
      </c>
      <c r="AJ37" s="13">
        <f t="shared" si="52"/>
        <v>7949616</v>
      </c>
      <c r="AK37" s="13">
        <f t="shared" si="52"/>
        <v>7990005</v>
      </c>
      <c r="AL37" s="13">
        <f t="shared" ref="AL37" si="53">+AL35-AL36</f>
        <v>8429184</v>
      </c>
      <c r="AM37" s="172">
        <f>+AM35-AM36</f>
        <v>8523864</v>
      </c>
    </row>
    <row r="38" spans="23:42" x14ac:dyDescent="0.25">
      <c r="W38" s="12" t="s">
        <v>54</v>
      </c>
      <c r="X38" s="13">
        <v>3703327</v>
      </c>
      <c r="Y38" s="13">
        <v>3923557</v>
      </c>
      <c r="Z38" s="13">
        <v>4225563</v>
      </c>
      <c r="AA38" s="13">
        <v>4524340</v>
      </c>
      <c r="AB38" s="13">
        <v>4707690</v>
      </c>
      <c r="AC38" s="13">
        <v>4938601</v>
      </c>
      <c r="AD38" s="13">
        <v>9106621</v>
      </c>
      <c r="AE38" s="13">
        <v>12259047</v>
      </c>
      <c r="AF38" s="13">
        <v>12433522</v>
      </c>
      <c r="AG38" s="13">
        <v>10587154</v>
      </c>
      <c r="AH38" s="13">
        <v>9491660</v>
      </c>
      <c r="AI38" s="172">
        <v>9822005</v>
      </c>
      <c r="AJ38" s="13">
        <v>10397293</v>
      </c>
      <c r="AK38" s="13">
        <v>10726162</v>
      </c>
      <c r="AL38" s="13">
        <v>10017634</v>
      </c>
      <c r="AM38" s="172">
        <v>10816347</v>
      </c>
    </row>
    <row r="40" spans="23:42" x14ac:dyDescent="0.25">
      <c r="W40" s="12" t="s">
        <v>51</v>
      </c>
      <c r="X40" s="14">
        <f t="shared" ref="X40:AC40" si="54">+X35/X38</f>
        <v>0.8934088186109409</v>
      </c>
      <c r="Y40" s="14">
        <f t="shared" si="54"/>
        <v>0.68883337237103981</v>
      </c>
      <c r="Z40" s="14">
        <f t="shared" si="54"/>
        <v>0.7952038580421118</v>
      </c>
      <c r="AA40" s="14">
        <f t="shared" si="54"/>
        <v>1.9457907672721324</v>
      </c>
      <c r="AB40" s="14">
        <f t="shared" si="54"/>
        <v>2.2489985534306633</v>
      </c>
      <c r="AC40" s="14">
        <f t="shared" si="54"/>
        <v>2.1043742954735563</v>
      </c>
      <c r="AD40" s="14">
        <f t="shared" ref="AD40:AI40" si="55">+AD35/AD38</f>
        <v>1.4277567936559565</v>
      </c>
      <c r="AE40" s="14">
        <f t="shared" si="55"/>
        <v>1.2861873357692486</v>
      </c>
      <c r="AF40" s="14">
        <f t="shared" si="55"/>
        <v>1.1364978483168324</v>
      </c>
      <c r="AG40" s="14">
        <f t="shared" si="55"/>
        <v>1.467385663795955</v>
      </c>
      <c r="AH40" s="14">
        <f t="shared" si="55"/>
        <v>1.520673622948989</v>
      </c>
      <c r="AI40" s="176">
        <f t="shared" si="55"/>
        <v>1.284758967237341</v>
      </c>
      <c r="AJ40" s="14">
        <f t="shared" ref="AJ40:AM40" si="56">+AJ35/AJ38</f>
        <v>1.1532073781127452</v>
      </c>
      <c r="AK40" s="14">
        <f t="shared" si="56"/>
        <v>1.0951070849013842</v>
      </c>
      <c r="AL40" s="14">
        <f t="shared" si="56"/>
        <v>1.178019580272148</v>
      </c>
      <c r="AM40" s="176">
        <f t="shared" si="56"/>
        <v>1.1552224609657955</v>
      </c>
    </row>
    <row r="42" spans="23:42" x14ac:dyDescent="0.25">
      <c r="W42" s="12" t="s">
        <v>63</v>
      </c>
      <c r="X42" s="16">
        <f t="shared" ref="X42:AI42" si="57">+(X3*1000)/X7</f>
        <v>187.87664531682452</v>
      </c>
      <c r="Y42" s="16">
        <f t="shared" si="57"/>
        <v>187.90335511406354</v>
      </c>
      <c r="Z42" s="16">
        <f t="shared" si="57"/>
        <v>197.89852109390694</v>
      </c>
      <c r="AA42" s="16">
        <f t="shared" si="57"/>
        <v>201.8866687497617</v>
      </c>
      <c r="AB42" s="16">
        <f t="shared" si="57"/>
        <v>202.93332696356742</v>
      </c>
      <c r="AC42" s="16">
        <f t="shared" si="57"/>
        <v>203.00000683784583</v>
      </c>
      <c r="AD42" s="16">
        <f t="shared" si="57"/>
        <v>233.47823381556913</v>
      </c>
      <c r="AE42" s="16">
        <f t="shared" si="57"/>
        <v>364.27332126591261</v>
      </c>
      <c r="AF42" s="16">
        <f t="shared" si="57"/>
        <v>368.84924281572984</v>
      </c>
      <c r="AG42" s="16">
        <f t="shared" si="57"/>
        <v>371.77544011969854</v>
      </c>
      <c r="AH42" s="16">
        <f t="shared" si="57"/>
        <v>357.68530427957404</v>
      </c>
      <c r="AI42" s="177">
        <f t="shared" si="57"/>
        <v>316.45665972198566</v>
      </c>
      <c r="AJ42" s="16">
        <f t="shared" ref="AJ42:AM42" si="58">+(AJ3*1000)/AJ7</f>
        <v>330.91833575134615</v>
      </c>
      <c r="AK42" s="16">
        <f t="shared" si="58"/>
        <v>334.23663546748418</v>
      </c>
      <c r="AL42" s="16">
        <f t="shared" si="58"/>
        <v>311.04852561025683</v>
      </c>
      <c r="AM42" s="177">
        <f t="shared" si="58"/>
        <v>305.92999238532616</v>
      </c>
    </row>
    <row r="44" spans="23:42" x14ac:dyDescent="0.25">
      <c r="W44" s="12" t="s">
        <v>56</v>
      </c>
      <c r="X44" s="13">
        <v>415481.77600000001</v>
      </c>
      <c r="Y44" s="13">
        <v>415481.77600000001</v>
      </c>
      <c r="Z44" s="13">
        <v>415481.77600000001</v>
      </c>
      <c r="AA44" s="13">
        <v>415481.77600000001</v>
      </c>
      <c r="AB44" s="13">
        <v>415481.77600000001</v>
      </c>
      <c r="AC44" s="13">
        <v>415481.77600000001</v>
      </c>
      <c r="AD44" s="13">
        <v>415481.77600000001</v>
      </c>
      <c r="AE44" s="13">
        <v>415481.77600000001</v>
      </c>
      <c r="AF44" s="13">
        <v>415481.77600000001</v>
      </c>
      <c r="AG44" s="13">
        <v>415481.77600000001</v>
      </c>
      <c r="AH44" s="13">
        <v>415481.77600000001</v>
      </c>
      <c r="AI44" s="172">
        <v>415481.77600000001</v>
      </c>
      <c r="AJ44" s="13">
        <v>415481.77600000001</v>
      </c>
      <c r="AK44" s="13">
        <v>415481.77600000001</v>
      </c>
      <c r="AL44" s="13">
        <v>415481.77600000001</v>
      </c>
      <c r="AM44" s="172">
        <v>415481.77600000001</v>
      </c>
    </row>
    <row r="46" spans="23:42" x14ac:dyDescent="0.25">
      <c r="W46" s="12" t="s">
        <v>57</v>
      </c>
      <c r="X46" s="16">
        <f t="shared" ref="X46:AF46" si="59">+X38/X44</f>
        <v>8.9133319772850879</v>
      </c>
      <c r="Y46" s="16">
        <f t="shared" si="59"/>
        <v>9.4433913269880687</v>
      </c>
      <c r="Z46" s="16">
        <f t="shared" si="59"/>
        <v>10.17027278712701</v>
      </c>
      <c r="AA46" s="16">
        <f t="shared" si="59"/>
        <v>10.889382546588518</v>
      </c>
      <c r="AB46" s="16">
        <f t="shared" si="59"/>
        <v>11.33067747356505</v>
      </c>
      <c r="AC46" s="16">
        <f t="shared" si="59"/>
        <v>11.886444328667739</v>
      </c>
      <c r="AD46" s="16">
        <f t="shared" si="59"/>
        <v>21.91822006652826</v>
      </c>
      <c r="AE46" s="16">
        <f t="shared" si="59"/>
        <v>29.505619038270403</v>
      </c>
      <c r="AF46" s="16">
        <f t="shared" si="59"/>
        <v>29.925553220895061</v>
      </c>
      <c r="AG46" s="16">
        <f t="shared" ref="AG46:AJ46" si="60">+AG38/AG44</f>
        <v>25.481632676952838</v>
      </c>
      <c r="AH46" s="16">
        <f t="shared" si="60"/>
        <v>22.844949040556713</v>
      </c>
      <c r="AI46" s="177">
        <f t="shared" si="60"/>
        <v>23.640038065111188</v>
      </c>
      <c r="AJ46" s="16">
        <f t="shared" si="60"/>
        <v>25.02466678586644</v>
      </c>
      <c r="AK46" s="16">
        <f t="shared" ref="AK46:AM46" si="61">+AK38/AK44</f>
        <v>25.816203308036307</v>
      </c>
      <c r="AL46" s="16">
        <f t="shared" si="61"/>
        <v>24.110886634892982</v>
      </c>
      <c r="AM46" s="177">
        <f t="shared" si="61"/>
        <v>26.03326457331789</v>
      </c>
    </row>
    <row r="48" spans="23:42" x14ac:dyDescent="0.25">
      <c r="W48" s="12" t="s">
        <v>58</v>
      </c>
      <c r="Y48" s="13">
        <f>+Y52-X52</f>
        <v>8266883</v>
      </c>
      <c r="Z48" s="13">
        <f>+Z52-Y52</f>
        <v>-599282</v>
      </c>
      <c r="AA48" s="13">
        <f>+AA52</f>
        <v>-2082902</v>
      </c>
      <c r="AB48" s="13">
        <f t="shared" ref="AB48:AD49" si="62">+AB52-AA52</f>
        <v>-639658</v>
      </c>
      <c r="AC48" s="13">
        <f t="shared" si="62"/>
        <v>2935745</v>
      </c>
      <c r="AD48" s="13">
        <f t="shared" si="62"/>
        <v>6978985</v>
      </c>
      <c r="AE48" s="13">
        <f>+AE52</f>
        <v>-1748438</v>
      </c>
      <c r="AF48" s="13">
        <f>+AF52-AE52</f>
        <v>5876196</v>
      </c>
      <c r="AG48" s="13">
        <f>+AG52-AF52</f>
        <v>-4033069</v>
      </c>
      <c r="AH48" s="13">
        <f t="shared" ref="AH48:AH49" si="63">+AH52-AG52</f>
        <v>1241217</v>
      </c>
      <c r="AI48" s="172">
        <f>+AI52</f>
        <v>9026075</v>
      </c>
      <c r="AJ48" s="13">
        <f>+AJ52-AI52</f>
        <v>8257139</v>
      </c>
      <c r="AK48" s="13">
        <f>+AK52-AJ52</f>
        <v>2183018</v>
      </c>
      <c r="AL48" s="13">
        <f t="shared" ref="AL48:AL49" si="64">+AL52-AK52</f>
        <v>-475189</v>
      </c>
      <c r="AM48" s="172">
        <f>+AM52</f>
        <v>2025071</v>
      </c>
    </row>
    <row r="49" spans="23:39" x14ac:dyDescent="0.25">
      <c r="W49" s="12" t="s">
        <v>60</v>
      </c>
      <c r="Y49" s="13">
        <f>+Y53-X53</f>
        <v>-2560827</v>
      </c>
      <c r="Z49" s="13">
        <f>+Z53-Y53</f>
        <v>-1531468</v>
      </c>
      <c r="AA49" s="13">
        <f>+AA53</f>
        <v>-1857616</v>
      </c>
      <c r="AB49" s="13">
        <f t="shared" si="62"/>
        <v>-813693</v>
      </c>
      <c r="AC49" s="13">
        <f t="shared" si="62"/>
        <v>-1413703</v>
      </c>
      <c r="AD49" s="13">
        <f t="shared" si="62"/>
        <v>-4460304</v>
      </c>
      <c r="AE49" s="13">
        <f>+AE53</f>
        <v>-2672343</v>
      </c>
      <c r="AF49" s="13">
        <f>+AF53-AE53</f>
        <v>-1197691</v>
      </c>
      <c r="AG49" s="13">
        <f>+AG53-AF53</f>
        <v>-35019</v>
      </c>
      <c r="AH49" s="13">
        <f t="shared" si="63"/>
        <v>-789080</v>
      </c>
      <c r="AI49" s="172">
        <f>+AI53</f>
        <v>-634019</v>
      </c>
      <c r="AJ49" s="13">
        <f>+AJ53-AI53</f>
        <v>-975801</v>
      </c>
      <c r="AK49" s="13">
        <f>+AK53-AJ53</f>
        <v>-1106004</v>
      </c>
      <c r="AL49" s="13">
        <f t="shared" si="64"/>
        <v>-1109299</v>
      </c>
      <c r="AM49" s="172">
        <f>+AM53</f>
        <v>-1694448</v>
      </c>
    </row>
    <row r="50" spans="23:39" x14ac:dyDescent="0.25">
      <c r="W50" s="12" t="s">
        <v>59</v>
      </c>
      <c r="Y50" s="13">
        <f t="shared" ref="Y50:AG50" si="65">+Y48+Y49</f>
        <v>5706056</v>
      </c>
      <c r="Z50" s="13">
        <f t="shared" si="65"/>
        <v>-2130750</v>
      </c>
      <c r="AA50" s="13">
        <f t="shared" si="65"/>
        <v>-3940518</v>
      </c>
      <c r="AB50" s="13">
        <f t="shared" si="65"/>
        <v>-1453351</v>
      </c>
      <c r="AC50" s="13">
        <f t="shared" si="65"/>
        <v>1522042</v>
      </c>
      <c r="AD50" s="13">
        <f t="shared" si="65"/>
        <v>2518681</v>
      </c>
      <c r="AE50" s="13">
        <f t="shared" si="65"/>
        <v>-4420781</v>
      </c>
      <c r="AF50" s="13">
        <f t="shared" si="65"/>
        <v>4678505</v>
      </c>
      <c r="AG50" s="13">
        <f t="shared" si="65"/>
        <v>-4068088</v>
      </c>
      <c r="AH50" s="13">
        <f t="shared" ref="AH50:AK50" si="66">+AH48+AH49</f>
        <v>452137</v>
      </c>
      <c r="AI50" s="172">
        <f t="shared" si="66"/>
        <v>8392056</v>
      </c>
      <c r="AJ50" s="13">
        <f t="shared" si="66"/>
        <v>7281338</v>
      </c>
      <c r="AK50" s="13">
        <f t="shared" si="66"/>
        <v>1077014</v>
      </c>
      <c r="AL50" s="13">
        <f t="shared" ref="AL50:AM50" si="67">+AL48+AL49</f>
        <v>-1584488</v>
      </c>
      <c r="AM50" s="172">
        <f t="shared" si="67"/>
        <v>330623</v>
      </c>
    </row>
    <row r="52" spans="23:39" x14ac:dyDescent="0.25">
      <c r="W52" s="12" t="s">
        <v>58</v>
      </c>
      <c r="X52" s="13">
        <v>1498416</v>
      </c>
      <c r="Y52" s="13">
        <v>9765299</v>
      </c>
      <c r="Z52" s="13">
        <v>9166017</v>
      </c>
      <c r="AA52" s="13">
        <v>-2082902</v>
      </c>
      <c r="AB52" s="13">
        <v>-2722560</v>
      </c>
      <c r="AC52" s="13">
        <v>213185</v>
      </c>
      <c r="AD52" s="13">
        <v>7192170</v>
      </c>
      <c r="AE52" s="13">
        <v>-1748438</v>
      </c>
      <c r="AF52" s="13">
        <v>4127758</v>
      </c>
      <c r="AG52" s="13">
        <v>94689</v>
      </c>
      <c r="AH52" s="13">
        <v>1335906</v>
      </c>
      <c r="AI52" s="172">
        <v>9026075</v>
      </c>
      <c r="AJ52" s="13">
        <v>17283214</v>
      </c>
      <c r="AK52" s="13">
        <v>19466232</v>
      </c>
      <c r="AL52" s="13">
        <v>18991043</v>
      </c>
      <c r="AM52" s="172">
        <v>2025071</v>
      </c>
    </row>
    <row r="53" spans="23:39" x14ac:dyDescent="0.25">
      <c r="W53" s="12" t="s">
        <v>60</v>
      </c>
      <c r="X53" s="13">
        <v>-830578</v>
      </c>
      <c r="Y53" s="13">
        <v>-3391405</v>
      </c>
      <c r="Z53" s="13">
        <v>-4922873</v>
      </c>
      <c r="AA53" s="13">
        <v>-1857616</v>
      </c>
      <c r="AB53" s="13">
        <v>-2671309</v>
      </c>
      <c r="AC53" s="13">
        <v>-4085012</v>
      </c>
      <c r="AD53" s="13">
        <v>-8545316</v>
      </c>
      <c r="AE53" s="13">
        <v>-2672343</v>
      </c>
      <c r="AF53" s="13">
        <v>-3870034</v>
      </c>
      <c r="AG53" s="13">
        <v>-3905053</v>
      </c>
      <c r="AH53" s="13">
        <v>-4694133</v>
      </c>
      <c r="AI53" s="172">
        <v>-634019</v>
      </c>
      <c r="AJ53" s="13">
        <v>-1609820</v>
      </c>
      <c r="AK53" s="13">
        <v>-2715824</v>
      </c>
      <c r="AL53" s="13">
        <v>-3825123</v>
      </c>
      <c r="AM53" s="172">
        <v>-1694448</v>
      </c>
    </row>
    <row r="54" spans="23:39" x14ac:dyDescent="0.25">
      <c r="W54" s="12" t="s">
        <v>59</v>
      </c>
      <c r="X54" s="13">
        <f t="shared" ref="X54:AG54" si="68">+X52+X53</f>
        <v>667838</v>
      </c>
      <c r="Y54" s="13">
        <f t="shared" si="68"/>
        <v>6373894</v>
      </c>
      <c r="Z54" s="13">
        <f t="shared" si="68"/>
        <v>4243144</v>
      </c>
      <c r="AA54" s="13">
        <f t="shared" si="68"/>
        <v>-3940518</v>
      </c>
      <c r="AB54" s="13">
        <f t="shared" si="68"/>
        <v>-5393869</v>
      </c>
      <c r="AC54" s="13">
        <f t="shared" si="68"/>
        <v>-3871827</v>
      </c>
      <c r="AD54" s="13">
        <f t="shared" si="68"/>
        <v>-1353146</v>
      </c>
      <c r="AE54" s="13">
        <f t="shared" si="68"/>
        <v>-4420781</v>
      </c>
      <c r="AF54" s="13">
        <f t="shared" si="68"/>
        <v>257724</v>
      </c>
      <c r="AG54" s="13">
        <f t="shared" si="68"/>
        <v>-3810364</v>
      </c>
      <c r="AH54" s="13">
        <f t="shared" ref="AH54:AK54" si="69">+AH52+AH53</f>
        <v>-3358227</v>
      </c>
      <c r="AI54" s="172">
        <f t="shared" si="69"/>
        <v>8392056</v>
      </c>
      <c r="AJ54" s="13">
        <f t="shared" si="69"/>
        <v>15673394</v>
      </c>
      <c r="AK54" s="13">
        <f t="shared" si="69"/>
        <v>16750408</v>
      </c>
      <c r="AL54" s="13">
        <f t="shared" ref="AL54:AM54" si="70">+AL52+AL53</f>
        <v>15165920</v>
      </c>
      <c r="AM54" s="172">
        <f t="shared" si="70"/>
        <v>330623</v>
      </c>
    </row>
  </sheetData>
  <mergeCells count="4">
    <mergeCell ref="B13:H13"/>
    <mergeCell ref="AQ2:AU2"/>
    <mergeCell ref="AV2:AZ2"/>
    <mergeCell ref="BA2:BE2"/>
  </mergeCells>
  <pageMargins left="0.7" right="0.7" top="0.75" bottom="0.75" header="0.3" footer="0.3"/>
  <pageSetup paperSize="9" orientation="portrait" r:id="rId1"/>
  <ignoredErrors>
    <ignoredError sqref="C7:I7 AA48:AE50 F12" formula="1"/>
    <ignoredError sqref="AJ42:AK42" evalError="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9CE14-0F7B-4E9B-B144-7D12C8B8947F}">
  <sheetPr codeName="Sheet2">
    <tabColor rgb="FF92D050"/>
  </sheetPr>
  <dimension ref="A1:N53"/>
  <sheetViews>
    <sheetView zoomScale="85" zoomScaleNormal="85" workbookViewId="0">
      <pane ySplit="1" topLeftCell="A2" activePane="bottomLeft" state="frozen"/>
      <selection pane="bottomLeft" activeCell="J15" sqref="J15"/>
    </sheetView>
  </sheetViews>
  <sheetFormatPr defaultColWidth="8.85546875" defaultRowHeight="15" x14ac:dyDescent="0.25"/>
  <cols>
    <col min="1" max="1" width="34.7109375" style="12" customWidth="1"/>
    <col min="2" max="2" width="12" style="12" hidden="1" customWidth="1"/>
    <col min="3" max="3" width="15.140625" style="12" bestFit="1" customWidth="1"/>
    <col min="4" max="7" width="12" style="12" customWidth="1"/>
    <col min="8" max="8" width="10.28515625" style="12" bestFit="1" customWidth="1"/>
    <col min="9" max="13" width="8.85546875" style="50"/>
    <col min="14" max="14" width="7.42578125" style="50" bestFit="1" customWidth="1"/>
    <col min="15" max="16384" width="8.85546875" style="50"/>
  </cols>
  <sheetData>
    <row r="1" spans="1:14" x14ac:dyDescent="0.25">
      <c r="A1" s="199" t="s">
        <v>69</v>
      </c>
      <c r="B1" s="200" t="s">
        <v>83</v>
      </c>
      <c r="C1" s="200" t="s">
        <v>84</v>
      </c>
      <c r="D1" s="200" t="s">
        <v>365</v>
      </c>
      <c r="E1" s="200" t="s">
        <v>948</v>
      </c>
      <c r="F1" s="200" t="s">
        <v>1018</v>
      </c>
      <c r="G1" s="200" t="s">
        <v>1074</v>
      </c>
      <c r="H1" s="201" t="s">
        <v>1085</v>
      </c>
    </row>
    <row r="2" spans="1:14" x14ac:dyDescent="0.25">
      <c r="A2" s="202" t="s">
        <v>62</v>
      </c>
      <c r="B2" s="203">
        <v>17301185</v>
      </c>
      <c r="C2" s="203">
        <v>13997150</v>
      </c>
      <c r="D2" s="203">
        <v>15549880</v>
      </c>
      <c r="E2" s="203">
        <v>15897519</v>
      </c>
      <c r="F2" s="203">
        <v>15254331</v>
      </c>
      <c r="G2" s="203">
        <v>15392521</v>
      </c>
      <c r="H2" s="204">
        <v>17280011</v>
      </c>
    </row>
    <row r="3" spans="1:14" x14ac:dyDescent="0.25">
      <c r="A3" s="205" t="s">
        <v>40</v>
      </c>
      <c r="B3" s="206"/>
      <c r="C3" s="206"/>
      <c r="D3" s="206"/>
      <c r="E3" s="206"/>
      <c r="F3" s="206">
        <f>(F2-B2)/B2</f>
        <v>-0.11830715641732055</v>
      </c>
      <c r="G3" s="206">
        <f t="shared" ref="G3:H3" si="0">(G2-C2)/C2</f>
        <v>9.9689651107546892E-2</v>
      </c>
      <c r="H3" s="206">
        <f t="shared" si="0"/>
        <v>0.11126330235345867</v>
      </c>
      <c r="N3" s="182"/>
    </row>
    <row r="4" spans="1:14" x14ac:dyDescent="0.25">
      <c r="A4" s="205" t="s">
        <v>41</v>
      </c>
      <c r="B4" s="206"/>
      <c r="C4" s="206">
        <f t="shared" ref="C4:F4" si="1">+C2/B2-1</f>
        <v>-0.190971601078192</v>
      </c>
      <c r="D4" s="206">
        <f t="shared" si="1"/>
        <v>0.11093186827318413</v>
      </c>
      <c r="E4" s="206">
        <f t="shared" si="1"/>
        <v>2.2356378312887282E-2</v>
      </c>
      <c r="F4" s="206">
        <f t="shared" si="1"/>
        <v>-4.0458388507036869E-2</v>
      </c>
      <c r="G4" s="206">
        <f>+G2/F2-1</f>
        <v>9.0590665693566219E-3</v>
      </c>
      <c r="H4" s="207">
        <f>+H2/G2-1</f>
        <v>0.12262383790153675</v>
      </c>
    </row>
    <row r="5" spans="1:14" x14ac:dyDescent="0.25">
      <c r="A5" s="202"/>
      <c r="B5" s="206"/>
      <c r="C5" s="206"/>
      <c r="D5" s="206"/>
      <c r="E5" s="206"/>
      <c r="F5" s="206"/>
      <c r="G5" s="206"/>
      <c r="H5" s="208"/>
    </row>
    <row r="6" spans="1:14" x14ac:dyDescent="0.25">
      <c r="A6" s="202" t="s">
        <v>1083</v>
      </c>
      <c r="B6" s="206"/>
      <c r="C6" s="209">
        <f>C2-C9</f>
        <v>13714016</v>
      </c>
      <c r="D6" s="209">
        <f t="shared" ref="D6:G6" si="2">D2-D9</f>
        <v>13658699</v>
      </c>
      <c r="E6" s="209">
        <f t="shared" si="2"/>
        <v>14615257</v>
      </c>
      <c r="F6" s="209">
        <f t="shared" si="2"/>
        <v>13752961</v>
      </c>
      <c r="G6" s="209">
        <f t="shared" si="2"/>
        <v>14098757</v>
      </c>
      <c r="H6" s="204">
        <f>H2-H9</f>
        <v>15371064</v>
      </c>
    </row>
    <row r="7" spans="1:14" x14ac:dyDescent="0.25">
      <c r="A7" s="205" t="s">
        <v>1084</v>
      </c>
      <c r="B7" s="206"/>
      <c r="C7" s="206">
        <f>C6/C$2</f>
        <v>0.97977202501937899</v>
      </c>
      <c r="D7" s="206">
        <f t="shared" ref="D7:G7" si="3">D6/D$2</f>
        <v>0.87837970453791281</v>
      </c>
      <c r="E7" s="206">
        <f t="shared" si="3"/>
        <v>0.91934200550412926</v>
      </c>
      <c r="F7" s="206">
        <f>F6/F$2</f>
        <v>0.90157746019802509</v>
      </c>
      <c r="G7" s="206">
        <f t="shared" si="3"/>
        <v>0.91594853110806218</v>
      </c>
      <c r="H7" s="207">
        <f>H6/H$2</f>
        <v>0.88952860041582149</v>
      </c>
    </row>
    <row r="8" spans="1:14" x14ac:dyDescent="0.25">
      <c r="A8" s="210"/>
      <c r="B8" s="211"/>
      <c r="C8" s="211"/>
      <c r="D8" s="211"/>
      <c r="E8" s="211"/>
      <c r="F8" s="211"/>
      <c r="G8" s="211"/>
      <c r="H8" s="208"/>
    </row>
    <row r="9" spans="1:14" x14ac:dyDescent="0.25">
      <c r="A9" s="202" t="s">
        <v>42</v>
      </c>
      <c r="B9" s="203">
        <v>1185626</v>
      </c>
      <c r="C9" s="203">
        <v>283134</v>
      </c>
      <c r="D9" s="203">
        <v>1891181</v>
      </c>
      <c r="E9" s="203">
        <v>1282262</v>
      </c>
      <c r="F9" s="203">
        <v>1501370</v>
      </c>
      <c r="G9" s="203">
        <v>1293764</v>
      </c>
      <c r="H9" s="204">
        <v>1908947</v>
      </c>
    </row>
    <row r="10" spans="1:14" x14ac:dyDescent="0.25">
      <c r="A10" s="205" t="s">
        <v>43</v>
      </c>
      <c r="B10" s="212">
        <f>+B9/B2</f>
        <v>6.8528600786593521E-2</v>
      </c>
      <c r="C10" s="206">
        <f>C9/C$2</f>
        <v>2.0227974980621056E-2</v>
      </c>
      <c r="D10" s="206">
        <f>D9/D$2</f>
        <v>0.12162029546208716</v>
      </c>
      <c r="E10" s="206">
        <f t="shared" ref="E10" si="4">E9/E$2</f>
        <v>8.0657994495870702E-2</v>
      </c>
      <c r="F10" s="206">
        <f>F9/F$2</f>
        <v>9.8422539801974934E-2</v>
      </c>
      <c r="G10" s="206">
        <f t="shared" ref="G10:H10" si="5">G9/G$2</f>
        <v>8.4051468891937847E-2</v>
      </c>
      <c r="H10" s="207">
        <f t="shared" si="5"/>
        <v>0.11047139958417851</v>
      </c>
    </row>
    <row r="11" spans="1:14" x14ac:dyDescent="0.25">
      <c r="A11" s="205"/>
      <c r="B11" s="212"/>
      <c r="C11" s="206"/>
      <c r="D11" s="206"/>
      <c r="E11" s="206"/>
      <c r="F11" s="206"/>
      <c r="G11" s="206"/>
      <c r="H11" s="213"/>
    </row>
    <row r="12" spans="1:14" x14ac:dyDescent="0.25">
      <c r="A12" s="202" t="s">
        <v>17</v>
      </c>
      <c r="B12" s="203">
        <v>772864</v>
      </c>
      <c r="C12" s="203">
        <v>-582128</v>
      </c>
      <c r="D12" s="203">
        <f t="shared" ref="D12" si="6">+D18-D15</f>
        <v>1217053</v>
      </c>
      <c r="E12" s="203">
        <v>859610</v>
      </c>
      <c r="F12" s="203">
        <v>647884</v>
      </c>
      <c r="G12" s="203">
        <f>+G18-G15</f>
        <v>381975</v>
      </c>
      <c r="H12" s="204">
        <v>1908947</v>
      </c>
    </row>
    <row r="13" spans="1:14" x14ac:dyDescent="0.25">
      <c r="A13" s="205" t="s">
        <v>55</v>
      </c>
      <c r="B13" s="212">
        <f>+B12/B2</f>
        <v>4.4671159807839755E-2</v>
      </c>
      <c r="C13" s="206">
        <f>C12/C$2</f>
        <v>-4.1589037768402851E-2</v>
      </c>
      <c r="D13" s="206">
        <f>D12/D$2</f>
        <v>7.8267677949926298E-2</v>
      </c>
      <c r="E13" s="206">
        <f t="shared" ref="E13" si="7">E12/E$2</f>
        <v>5.4071959278677383E-2</v>
      </c>
      <c r="F13" s="206">
        <f>F12/F$2</f>
        <v>4.2472134635075112E-2</v>
      </c>
      <c r="G13" s="206">
        <f t="shared" ref="G13:H13" si="8">G12/G$2</f>
        <v>2.481562311982553E-2</v>
      </c>
      <c r="H13" s="207">
        <f t="shared" si="8"/>
        <v>0.11047139958417851</v>
      </c>
    </row>
    <row r="14" spans="1:14" x14ac:dyDescent="0.25">
      <c r="A14" s="202"/>
      <c r="B14" s="211"/>
      <c r="C14" s="211"/>
      <c r="D14" s="211"/>
      <c r="E14" s="211"/>
      <c r="F14" s="211"/>
      <c r="G14" s="211"/>
      <c r="H14" s="208"/>
    </row>
    <row r="15" spans="1:14" x14ac:dyDescent="0.25">
      <c r="A15" s="202" t="s">
        <v>44</v>
      </c>
      <c r="B15" s="203">
        <v>-363780</v>
      </c>
      <c r="C15" s="203">
        <v>-118995</v>
      </c>
      <c r="D15" s="203">
        <v>6968</v>
      </c>
      <c r="E15" s="203">
        <v>-181936</v>
      </c>
      <c r="F15" s="203">
        <v>-260940</v>
      </c>
      <c r="G15" s="203">
        <v>-108269</v>
      </c>
      <c r="H15" s="204">
        <v>-180545</v>
      </c>
    </row>
    <row r="16" spans="1:14" x14ac:dyDescent="0.25">
      <c r="A16" s="205" t="s">
        <v>45</v>
      </c>
      <c r="B16" s="214">
        <f t="shared" ref="B16:E16" si="9">+B15/B12</f>
        <v>-0.47069083305730375</v>
      </c>
      <c r="C16" s="214">
        <f t="shared" si="9"/>
        <v>0.20441380589835911</v>
      </c>
      <c r="D16" s="214">
        <f t="shared" si="9"/>
        <v>5.7253053071641084E-3</v>
      </c>
      <c r="E16" s="214">
        <f t="shared" si="9"/>
        <v>-0.21164946894521935</v>
      </c>
      <c r="F16" s="214">
        <f>+F15/F12</f>
        <v>-0.40275728371128167</v>
      </c>
      <c r="G16" s="214">
        <f>+G15/G12</f>
        <v>-0.28344525165259504</v>
      </c>
      <c r="H16" s="215">
        <f>+H15/H12</f>
        <v>-9.4578319880017622E-2</v>
      </c>
    </row>
    <row r="17" spans="1:8" x14ac:dyDescent="0.25">
      <c r="A17" s="202"/>
      <c r="B17" s="211"/>
      <c r="C17" s="211"/>
      <c r="D17" s="211"/>
      <c r="E17" s="211"/>
      <c r="F17" s="211"/>
      <c r="G17" s="211"/>
      <c r="H17" s="208"/>
    </row>
    <row r="18" spans="1:8" x14ac:dyDescent="0.25">
      <c r="A18" s="202" t="s">
        <v>21</v>
      </c>
      <c r="B18" s="203">
        <v>409084</v>
      </c>
      <c r="C18" s="203">
        <v>-701123</v>
      </c>
      <c r="D18" s="203">
        <v>1224021</v>
      </c>
      <c r="E18" s="203">
        <v>677674</v>
      </c>
      <c r="F18" s="203">
        <v>386944</v>
      </c>
      <c r="G18" s="203">
        <v>273706</v>
      </c>
      <c r="H18" s="204">
        <v>1004447</v>
      </c>
    </row>
    <row r="19" spans="1:8" x14ac:dyDescent="0.25">
      <c r="A19" s="205" t="s">
        <v>46</v>
      </c>
      <c r="B19" s="212">
        <f t="shared" ref="B19:H19" si="10">+B18/B2</f>
        <v>2.3644854384251714E-2</v>
      </c>
      <c r="C19" s="212">
        <f t="shared" si="10"/>
        <v>-5.0090411262292682E-2</v>
      </c>
      <c r="D19" s="212">
        <f t="shared" si="10"/>
        <v>7.8715784301872427E-2</v>
      </c>
      <c r="E19" s="212">
        <f t="shared" si="10"/>
        <v>4.2627657812517789E-2</v>
      </c>
      <c r="F19" s="212">
        <f t="shared" si="10"/>
        <v>2.5366173056032414E-2</v>
      </c>
      <c r="G19" s="212">
        <f t="shared" si="10"/>
        <v>1.7781752579710628E-2</v>
      </c>
      <c r="H19" s="213">
        <f t="shared" si="10"/>
        <v>5.8127682904831487E-2</v>
      </c>
    </row>
    <row r="20" spans="1:8" x14ac:dyDescent="0.25">
      <c r="A20" s="202"/>
      <c r="B20" s="211"/>
      <c r="C20" s="211"/>
      <c r="D20" s="211"/>
      <c r="E20" s="211"/>
      <c r="F20" s="211"/>
      <c r="G20" s="211"/>
      <c r="H20" s="208"/>
    </row>
    <row r="21" spans="1:8" x14ac:dyDescent="0.25">
      <c r="A21" s="202" t="s">
        <v>47</v>
      </c>
      <c r="B21" s="203">
        <v>-256694</v>
      </c>
      <c r="C21" s="203">
        <v>-151893</v>
      </c>
      <c r="D21" s="203">
        <v>-281019</v>
      </c>
      <c r="E21" s="203">
        <v>-200314</v>
      </c>
      <c r="F21" s="203">
        <v>162189</v>
      </c>
      <c r="G21" s="203">
        <v>-115405</v>
      </c>
      <c r="H21" s="204">
        <v>-248365</v>
      </c>
    </row>
    <row r="22" spans="1:8" x14ac:dyDescent="0.25">
      <c r="A22" s="205" t="s">
        <v>48</v>
      </c>
      <c r="B22" s="216">
        <f t="shared" ref="B22:E22" si="11">+B21/B18</f>
        <v>-0.62748481974362236</v>
      </c>
      <c r="C22" s="216">
        <f t="shared" si="11"/>
        <v>0.21664244362258833</v>
      </c>
      <c r="D22" s="216">
        <f t="shared" si="11"/>
        <v>-0.22958674728619852</v>
      </c>
      <c r="E22" s="216">
        <f t="shared" si="11"/>
        <v>-0.29559050516915214</v>
      </c>
      <c r="F22" s="216">
        <f t="shared" ref="F22" si="12">+F21/F18</f>
        <v>0.41915367598412173</v>
      </c>
      <c r="G22" s="216">
        <f>+G21/G18</f>
        <v>-0.42163854646956955</v>
      </c>
      <c r="H22" s="217">
        <f>+H21/H18</f>
        <v>-0.24726541071853467</v>
      </c>
    </row>
    <row r="23" spans="1:8" x14ac:dyDescent="0.25">
      <c r="A23" s="202"/>
      <c r="B23" s="211"/>
      <c r="C23" s="211"/>
      <c r="D23" s="211"/>
      <c r="E23" s="211"/>
      <c r="F23" s="211"/>
      <c r="G23" s="211"/>
      <c r="H23" s="208"/>
    </row>
    <row r="24" spans="1:8" x14ac:dyDescent="0.25">
      <c r="A24" s="202" t="s">
        <v>49</v>
      </c>
      <c r="B24" s="203">
        <f t="shared" ref="B24" si="13">+B18+B21</f>
        <v>152390</v>
      </c>
      <c r="C24" s="203">
        <f t="shared" ref="C24:F24" si="14">+C18+C21</f>
        <v>-853016</v>
      </c>
      <c r="D24" s="203">
        <f t="shared" si="14"/>
        <v>943002</v>
      </c>
      <c r="E24" s="203">
        <f t="shared" si="14"/>
        <v>477360</v>
      </c>
      <c r="F24" s="203">
        <f t="shared" si="14"/>
        <v>549133</v>
      </c>
      <c r="G24" s="203">
        <f t="shared" ref="G24" si="15">+G18+G21</f>
        <v>158301</v>
      </c>
      <c r="H24" s="204">
        <v>756082</v>
      </c>
    </row>
    <row r="25" spans="1:8" ht="15.75" thickBot="1" x14ac:dyDescent="0.3">
      <c r="A25" s="220" t="s">
        <v>25</v>
      </c>
      <c r="B25" s="218">
        <f t="shared" ref="B25:G25" si="16">+B24/B2</f>
        <v>8.8080671930853283E-3</v>
      </c>
      <c r="C25" s="218">
        <f t="shared" si="16"/>
        <v>-6.0942120360216186E-2</v>
      </c>
      <c r="D25" s="218">
        <f t="shared" si="16"/>
        <v>6.0643683423923532E-2</v>
      </c>
      <c r="E25" s="218">
        <f t="shared" si="16"/>
        <v>3.0027326905537902E-2</v>
      </c>
      <c r="F25" s="218">
        <f t="shared" si="16"/>
        <v>3.5998497738117786E-2</v>
      </c>
      <c r="G25" s="218">
        <f t="shared" si="16"/>
        <v>1.028428026831992E-2</v>
      </c>
      <c r="H25" s="219">
        <f>+H24/H2</f>
        <v>4.375471751725158E-2</v>
      </c>
    </row>
    <row r="27" spans="1:8" x14ac:dyDescent="0.25">
      <c r="A27" s="12" t="s">
        <v>29</v>
      </c>
      <c r="B27" s="16">
        <f t="shared" ref="B27:C27" si="17">+B24/B43</f>
        <v>0.21261546071851231</v>
      </c>
      <c r="C27" s="16">
        <f t="shared" si="17"/>
        <v>-1.1901331441712875</v>
      </c>
      <c r="D27" s="16">
        <f t="shared" ref="D27:G27" si="18">+D24/D43</f>
        <v>1.3156821621397634</v>
      </c>
      <c r="E27" s="16">
        <f t="shared" si="18"/>
        <v>0.6660155937304878</v>
      </c>
      <c r="F27" s="16">
        <f t="shared" si="18"/>
        <v>0.7661537226244427</v>
      </c>
      <c r="G27" s="16">
        <f t="shared" si="18"/>
        <v>0.22086252409738971</v>
      </c>
      <c r="H27" s="12">
        <v>1.05</v>
      </c>
    </row>
    <row r="28" spans="1:8" x14ac:dyDescent="0.25">
      <c r="A28" s="12" t="s">
        <v>40</v>
      </c>
      <c r="B28" s="18" t="e">
        <f>+B27/#REF!-1</f>
        <v>#REF!</v>
      </c>
      <c r="C28" s="18"/>
      <c r="D28" s="18"/>
      <c r="E28" s="18"/>
      <c r="F28" s="18"/>
      <c r="G28" s="18">
        <f>+G27/C27-1</f>
        <v>-1.1855779961923341</v>
      </c>
      <c r="H28" s="18">
        <f>+H27/D27-1</f>
        <v>-0.20193491238618788</v>
      </c>
    </row>
    <row r="29" spans="1:8" x14ac:dyDescent="0.25">
      <c r="A29" s="12" t="s">
        <v>41</v>
      </c>
      <c r="B29" s="18" t="e">
        <f>+B27/#REF!-1</f>
        <v>#REF!</v>
      </c>
      <c r="C29" s="18">
        <f t="shared" ref="C29:H29" si="19">+C27/B27-1</f>
        <v>-6.597585143382112</v>
      </c>
      <c r="D29" s="18">
        <f t="shared" si="19"/>
        <v>-2.1054915734288686</v>
      </c>
      <c r="E29" s="18">
        <f t="shared" si="19"/>
        <v>-0.49378686365458402</v>
      </c>
      <c r="F29" s="18">
        <f t="shared" si="19"/>
        <v>0.15035403050108931</v>
      </c>
      <c r="G29" s="18">
        <f t="shared" si="19"/>
        <v>-0.71172557467862974</v>
      </c>
      <c r="H29" s="18">
        <f t="shared" si="19"/>
        <v>3.7540885638751496</v>
      </c>
    </row>
    <row r="30" spans="1:8" x14ac:dyDescent="0.25">
      <c r="D30" s="18"/>
      <c r="E30" s="18"/>
    </row>
    <row r="31" spans="1:8" x14ac:dyDescent="0.25">
      <c r="A31" s="12" t="s">
        <v>88</v>
      </c>
      <c r="B31" s="18">
        <f t="shared" ref="B31:E31" si="20">+B24*4/B36</f>
        <v>1.9022974464069139E-2</v>
      </c>
      <c r="C31" s="18">
        <f>+C24*4/C37</f>
        <v>-0.11573328157769318</v>
      </c>
      <c r="D31" s="18">
        <f>+D24*4/D37</f>
        <v>0.11934431889341854</v>
      </c>
      <c r="E31" s="18">
        <f>+E24*4/E37</f>
        <v>5.9332498208782752E-2</v>
      </c>
      <c r="F31" s="18">
        <f>+F24*4/F37</f>
        <v>7.2946743475994363E-2</v>
      </c>
      <c r="G31" s="18">
        <f>+G24*4/G37</f>
        <v>2.0795666331372056E-2</v>
      </c>
    </row>
    <row r="33" spans="1:8" x14ac:dyDescent="0.25">
      <c r="A33" s="12" t="s">
        <v>1086</v>
      </c>
      <c r="B33" s="13">
        <f>6238676+1329873+125243+6347896</f>
        <v>14041688</v>
      </c>
      <c r="C33" s="13"/>
      <c r="D33" s="13"/>
      <c r="E33" s="13"/>
      <c r="F33" s="13"/>
      <c r="G33" s="13"/>
    </row>
    <row r="34" spans="1:8" x14ac:dyDescent="0.25">
      <c r="A34" s="12" t="s">
        <v>1087</v>
      </c>
      <c r="B34" s="13">
        <f>3281426+7907029</f>
        <v>11188455</v>
      </c>
      <c r="C34" s="13"/>
      <c r="D34" s="13"/>
      <c r="E34" s="13"/>
      <c r="F34" s="13"/>
      <c r="G34" s="13"/>
      <c r="H34" s="13"/>
    </row>
    <row r="35" spans="1:8" x14ac:dyDescent="0.25">
      <c r="A35" s="12" t="s">
        <v>1088</v>
      </c>
      <c r="B35" s="13">
        <f t="shared" ref="B35:E35" si="21">+B33-B34</f>
        <v>2853233</v>
      </c>
      <c r="C35" s="13"/>
      <c r="D35" s="13"/>
      <c r="E35" s="13"/>
      <c r="F35" s="13"/>
      <c r="G35" s="13"/>
    </row>
    <row r="36" spans="1:8" x14ac:dyDescent="0.25">
      <c r="A36" s="12" t="s">
        <v>1089</v>
      </c>
      <c r="B36" s="13">
        <v>32043359</v>
      </c>
      <c r="C36" s="50"/>
      <c r="D36" s="50"/>
      <c r="E36" s="50"/>
      <c r="F36" s="50"/>
      <c r="G36" s="50"/>
    </row>
    <row r="37" spans="1:8" x14ac:dyDescent="0.25">
      <c r="A37" s="12" t="s">
        <v>54</v>
      </c>
      <c r="B37" s="13"/>
      <c r="C37" s="13">
        <v>29482133</v>
      </c>
      <c r="D37" s="13">
        <v>31606096</v>
      </c>
      <c r="E37" s="13">
        <v>32182026</v>
      </c>
      <c r="F37" s="13">
        <v>30111447</v>
      </c>
      <c r="G37" s="13">
        <v>30448844</v>
      </c>
    </row>
    <row r="38" spans="1:8" x14ac:dyDescent="0.25">
      <c r="H38" s="46" t="e">
        <f>+C41/#REF!-1</f>
        <v>#REF!</v>
      </c>
    </row>
    <row r="39" spans="1:8" x14ac:dyDescent="0.25">
      <c r="A39" s="12" t="s">
        <v>51</v>
      </c>
      <c r="B39" s="14">
        <f t="shared" ref="B39:C39" si="22">+B33/B36</f>
        <v>0.43820899051188733</v>
      </c>
      <c r="C39" s="14">
        <f>+C33/C37</f>
        <v>0</v>
      </c>
      <c r="D39" s="14">
        <f>+D33/D37</f>
        <v>0</v>
      </c>
      <c r="E39" s="14">
        <f>+E33/E37</f>
        <v>0</v>
      </c>
      <c r="F39" s="14">
        <f>+F33/F37</f>
        <v>0</v>
      </c>
      <c r="G39" s="14">
        <f>+G33/G37</f>
        <v>0</v>
      </c>
    </row>
    <row r="41" spans="1:8" x14ac:dyDescent="0.25">
      <c r="A41" s="12" t="s">
        <v>63</v>
      </c>
      <c r="B41" s="16" t="e">
        <f>+(B2*1000)/#REF!</f>
        <v>#REF!</v>
      </c>
      <c r="C41" s="16" t="e">
        <f>+(C2*1000)/#REF!</f>
        <v>#REF!</v>
      </c>
      <c r="D41" s="16" t="e">
        <f>+(D2*1000)/#REF!</f>
        <v>#REF!</v>
      </c>
      <c r="E41" s="16" t="e">
        <f>+(E2*1000)/#REF!</f>
        <v>#REF!</v>
      </c>
      <c r="F41" s="16" t="e">
        <f>+(F2*1000)/#REF!</f>
        <v>#REF!</v>
      </c>
      <c r="G41" s="16" t="e">
        <f>+(G2*1000)/#REF!</f>
        <v>#REF!</v>
      </c>
    </row>
    <row r="43" spans="1:8" x14ac:dyDescent="0.25">
      <c r="A43" s="12" t="s">
        <v>56</v>
      </c>
      <c r="B43" s="13">
        <v>716739.97499999998</v>
      </c>
      <c r="C43" s="13">
        <v>716739.97499999998</v>
      </c>
      <c r="D43" s="13">
        <v>716739.97499999998</v>
      </c>
      <c r="E43" s="13">
        <v>716739.97499999998</v>
      </c>
      <c r="F43" s="13">
        <v>716739.97499999998</v>
      </c>
      <c r="G43" s="13">
        <v>716739.97499999998</v>
      </c>
    </row>
    <row r="45" spans="1:8" x14ac:dyDescent="0.25">
      <c r="A45" s="12" t="s">
        <v>57</v>
      </c>
      <c r="B45" s="16">
        <f t="shared" ref="B45" si="23">+B36/B43</f>
        <v>44.707090601441621</v>
      </c>
      <c r="C45" s="16">
        <f>+C37/C43</f>
        <v>41.133652409997083</v>
      </c>
      <c r="D45" s="16">
        <f>+D37/D43</f>
        <v>44.0970185875289</v>
      </c>
      <c r="E45" s="16">
        <f>+E37/E43</f>
        <v>44.900559648567111</v>
      </c>
      <c r="F45" s="16">
        <f>+F37/F43</f>
        <v>42.011675154577503</v>
      </c>
      <c r="G45" s="16">
        <f>+G37/G43</f>
        <v>42.482413514050201</v>
      </c>
    </row>
    <row r="47" spans="1:8" x14ac:dyDescent="0.25">
      <c r="A47" s="12" t="s">
        <v>67</v>
      </c>
      <c r="B47" s="13" t="e">
        <f>+B51-#REF!</f>
        <v>#REF!</v>
      </c>
      <c r="C47" s="13">
        <f>+C51</f>
        <v>708033</v>
      </c>
      <c r="D47" s="13">
        <f t="shared" ref="D47:F48" si="24">+D51-C51</f>
        <v>3097710</v>
      </c>
      <c r="E47" s="13">
        <f>+E51-D51</f>
        <v>1005237</v>
      </c>
      <c r="F47" s="13">
        <f>+F51-E51</f>
        <v>-1400791</v>
      </c>
      <c r="G47" s="13">
        <f>+G51-F51</f>
        <v>-2449397</v>
      </c>
    </row>
    <row r="48" spans="1:8" x14ac:dyDescent="0.25">
      <c r="A48" s="12" t="s">
        <v>60</v>
      </c>
      <c r="B48" s="13" t="e">
        <f>+B52-#REF!</f>
        <v>#REF!</v>
      </c>
      <c r="C48" s="13">
        <f>+C52</f>
        <v>-305304</v>
      </c>
      <c r="D48" s="13">
        <f t="shared" si="24"/>
        <v>-504882</v>
      </c>
      <c r="E48" s="13">
        <f t="shared" si="24"/>
        <v>-719042</v>
      </c>
      <c r="F48" s="13">
        <f t="shared" si="24"/>
        <v>-410914</v>
      </c>
      <c r="G48" s="13">
        <f>+G52</f>
        <v>-173765</v>
      </c>
    </row>
    <row r="49" spans="1:7" x14ac:dyDescent="0.25">
      <c r="A49" s="12" t="s">
        <v>68</v>
      </c>
      <c r="B49" s="13" t="e">
        <f t="shared" ref="B49:E49" si="25">+B47+B48</f>
        <v>#REF!</v>
      </c>
      <c r="C49" s="13">
        <f t="shared" si="25"/>
        <v>402729</v>
      </c>
      <c r="D49" s="13">
        <f t="shared" si="25"/>
        <v>2592828</v>
      </c>
      <c r="E49" s="13">
        <f t="shared" si="25"/>
        <v>286195</v>
      </c>
      <c r="F49" s="13">
        <f t="shared" ref="F49:G49" si="26">+F47+F48</f>
        <v>-1811705</v>
      </c>
      <c r="G49" s="13">
        <f t="shared" si="26"/>
        <v>-2623162</v>
      </c>
    </row>
    <row r="51" spans="1:7" x14ac:dyDescent="0.25">
      <c r="A51" s="12" t="s">
        <v>67</v>
      </c>
      <c r="B51" s="13">
        <v>7904112</v>
      </c>
      <c r="C51" s="13">
        <v>708033</v>
      </c>
      <c r="D51" s="13">
        <v>3805743</v>
      </c>
      <c r="E51" s="13">
        <v>4810980</v>
      </c>
      <c r="F51" s="13">
        <v>3410189</v>
      </c>
      <c r="G51" s="13">
        <v>960792</v>
      </c>
    </row>
    <row r="52" spans="1:7" x14ac:dyDescent="0.25">
      <c r="A52" s="12" t="s">
        <v>60</v>
      </c>
      <c r="B52" s="13">
        <v>-3634954</v>
      </c>
      <c r="C52" s="13">
        <v>-305304</v>
      </c>
      <c r="D52" s="13">
        <v>-810186</v>
      </c>
      <c r="E52" s="13">
        <v>-1529228</v>
      </c>
      <c r="F52" s="13">
        <v>-1940142</v>
      </c>
      <c r="G52" s="13">
        <v>-173765</v>
      </c>
    </row>
    <row r="53" spans="1:7" x14ac:dyDescent="0.25">
      <c r="A53" s="12" t="s">
        <v>68</v>
      </c>
      <c r="B53" s="13">
        <f t="shared" ref="B53:E53" si="27">+B51+B52</f>
        <v>4269158</v>
      </c>
      <c r="C53" s="13">
        <f t="shared" si="27"/>
        <v>402729</v>
      </c>
      <c r="D53" s="13">
        <f t="shared" si="27"/>
        <v>2995557</v>
      </c>
      <c r="E53" s="13">
        <f t="shared" si="27"/>
        <v>3281752</v>
      </c>
      <c r="F53" s="13">
        <f t="shared" ref="F53:G53" si="28">+F51+F52</f>
        <v>1470047</v>
      </c>
      <c r="G53" s="13">
        <f t="shared" si="28"/>
        <v>787027</v>
      </c>
    </row>
  </sheetData>
  <conditionalFormatting sqref="B4:G5 H4 B6 B7:H7 B3:H3">
    <cfRule type="cellIs" dxfId="30" priority="15" operator="lessThan">
      <formula>0</formula>
    </cfRule>
    <cfRule type="cellIs" dxfId="29" priority="16" operator="greaterThan">
      <formula>0</formula>
    </cfRule>
  </conditionalFormatting>
  <conditionalFormatting sqref="C13:H13">
    <cfRule type="cellIs" dxfId="28" priority="11" operator="lessThan">
      <formula>0</formula>
    </cfRule>
    <cfRule type="cellIs" dxfId="27" priority="12" operator="greaterThan">
      <formula>0</formula>
    </cfRule>
  </conditionalFormatting>
  <conditionalFormatting sqref="H10 C10:G11">
    <cfRule type="cellIs" dxfId="26" priority="13" operator="lessThan">
      <formula>0</formula>
    </cfRule>
    <cfRule type="cellIs" dxfId="25" priority="14" operator="greaterThan">
      <formula>0</formula>
    </cfRule>
  </conditionalFormatting>
  <conditionalFormatting sqref="C16:H16">
    <cfRule type="cellIs" dxfId="24" priority="9" operator="lessThan">
      <formula>0</formula>
    </cfRule>
    <cfRule type="cellIs" dxfId="23" priority="10" operator="greaterThan">
      <formula>0</formula>
    </cfRule>
  </conditionalFormatting>
  <conditionalFormatting sqref="C19:H19">
    <cfRule type="cellIs" dxfId="22" priority="8" operator="greaterThan">
      <formula>0</formula>
    </cfRule>
    <cfRule type="cellIs" dxfId="21" priority="7" operator="lessThan">
      <formula>0</formula>
    </cfRule>
  </conditionalFormatting>
  <conditionalFormatting sqref="C22:H22">
    <cfRule type="cellIs" dxfId="20" priority="6" operator="greaterThan">
      <formula>0</formula>
    </cfRule>
    <cfRule type="cellIs" dxfId="19" priority="5" operator="lessThan">
      <formula>0</formula>
    </cfRule>
  </conditionalFormatting>
  <conditionalFormatting sqref="C28:H29">
    <cfRule type="cellIs" dxfId="18" priority="4" operator="greaterThan">
      <formula>0</formula>
    </cfRule>
    <cfRule type="cellIs" dxfId="17" priority="3" operator="lessThan">
      <formula>0</formula>
    </cfRule>
  </conditionalFormatting>
  <conditionalFormatting sqref="C25:H25">
    <cfRule type="cellIs" dxfId="0" priority="2" operator="greaterThan">
      <formula>0</formula>
    </cfRule>
    <cfRule type="cellIs" dxfId="1" priority="1" operator="lessThan">
      <formula>0</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13C71-CE59-4A8E-8417-900B5EFDA463}">
  <sheetPr codeName="Sheet3">
    <tabColor rgb="FF92D050"/>
  </sheetPr>
  <dimension ref="A1:BI85"/>
  <sheetViews>
    <sheetView tabSelected="1" topLeftCell="U1" zoomScale="76" zoomScaleNormal="76" workbookViewId="0">
      <pane xSplit="5" ySplit="15" topLeftCell="AI16" activePane="bottomRight" state="frozen"/>
      <selection activeCell="U1" sqref="U1"/>
      <selection pane="topRight" activeCell="Z1" sqref="Z1"/>
      <selection pane="bottomLeft" activeCell="U16" sqref="U16"/>
      <selection pane="bottomRight" activeCell="U26" sqref="A26:XFD26"/>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4" width="12" style="12" customWidth="1"/>
    <col min="35" max="35" width="12" style="170" customWidth="1"/>
    <col min="36" max="38" width="12" style="12" customWidth="1"/>
    <col min="39" max="39" width="12" style="170" customWidth="1"/>
    <col min="40" max="41" width="8.85546875" style="12"/>
    <col min="42" max="42" width="14.28515625" style="50" bestFit="1" customWidth="1"/>
    <col min="43" max="56" width="8.85546875" style="50"/>
    <col min="57" max="60" width="9.28515625" style="50" bestFit="1" customWidth="1"/>
    <col min="61" max="16384" width="8.85546875" style="50"/>
  </cols>
  <sheetData>
    <row r="1" spans="1:61" ht="15.75" thickBot="1" x14ac:dyDescent="0.3">
      <c r="W1" s="20" t="s">
        <v>194</v>
      </c>
      <c r="X1" s="59">
        <f>+'Valuation Sheet'!C5</f>
        <v>18.399999999999999</v>
      </c>
    </row>
    <row r="2" spans="1:61"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72</v>
      </c>
      <c r="X2" s="11" t="s">
        <v>14</v>
      </c>
      <c r="Y2" s="11" t="s">
        <v>16</v>
      </c>
      <c r="Z2" s="11" t="s">
        <v>18</v>
      </c>
      <c r="AA2" s="11" t="s">
        <v>20</v>
      </c>
      <c r="AB2" s="11" t="s">
        <v>22</v>
      </c>
      <c r="AC2" s="11" t="s">
        <v>24</v>
      </c>
      <c r="AD2" s="11" t="s">
        <v>26</v>
      </c>
      <c r="AE2" s="11" t="s">
        <v>39</v>
      </c>
      <c r="AF2" s="11" t="s">
        <v>38</v>
      </c>
      <c r="AG2" s="11" t="s">
        <v>71</v>
      </c>
      <c r="AH2" s="11" t="s">
        <v>83</v>
      </c>
      <c r="AI2" s="171" t="s">
        <v>84</v>
      </c>
      <c r="AJ2" s="11" t="s">
        <v>365</v>
      </c>
      <c r="AK2" s="11" t="s">
        <v>948</v>
      </c>
      <c r="AL2" s="11" t="s">
        <v>1018</v>
      </c>
      <c r="AM2" s="171" t="s">
        <v>1074</v>
      </c>
      <c r="AP2" s="71" t="str">
        <f>+W2</f>
        <v>BPPL</v>
      </c>
      <c r="AQ2" s="189" t="s">
        <v>190</v>
      </c>
      <c r="AR2" s="190"/>
      <c r="AS2" s="190"/>
      <c r="AT2" s="190"/>
      <c r="AU2" s="191"/>
      <c r="AV2" s="192" t="s">
        <v>191</v>
      </c>
      <c r="AW2" s="192"/>
      <c r="AX2" s="192"/>
      <c r="AY2" s="192"/>
      <c r="AZ2" s="192"/>
      <c r="BE2" s="97" t="s">
        <v>1035</v>
      </c>
      <c r="BF2" s="97" t="s">
        <v>1036</v>
      </c>
      <c r="BG2" s="97" t="s">
        <v>1037</v>
      </c>
      <c r="BH2" s="97" t="s">
        <v>1038</v>
      </c>
    </row>
    <row r="3" spans="1:61" ht="18" thickTop="1" thickBot="1" x14ac:dyDescent="0.4">
      <c r="B3" s="25" t="s">
        <v>10</v>
      </c>
      <c r="C3" s="26">
        <v>17820.179</v>
      </c>
      <c r="D3" s="26"/>
      <c r="E3" s="26"/>
      <c r="F3" s="26"/>
      <c r="G3" s="26"/>
      <c r="H3" s="26"/>
      <c r="I3" s="27"/>
      <c r="J3" s="21"/>
      <c r="M3" s="1" t="s">
        <v>11</v>
      </c>
      <c r="N3" s="2">
        <f>'[1]LT Portfolio'!W294</f>
        <v>0</v>
      </c>
      <c r="W3" s="12" t="s">
        <v>62</v>
      </c>
      <c r="X3" s="13">
        <v>892337.88199999998</v>
      </c>
      <c r="Y3" s="13">
        <v>896770.80700000003</v>
      </c>
      <c r="Z3" s="13">
        <v>1055051.608</v>
      </c>
      <c r="AA3" s="13">
        <v>1005142.443</v>
      </c>
      <c r="AB3" s="13">
        <v>1152804.1140000001</v>
      </c>
      <c r="AC3" s="13">
        <v>1253127</v>
      </c>
      <c r="AD3" s="13">
        <v>1397553.199</v>
      </c>
      <c r="AE3" s="13">
        <v>1585565.155</v>
      </c>
      <c r="AF3" s="13">
        <v>1713112.1159999999</v>
      </c>
      <c r="AG3" s="13">
        <v>1445926</v>
      </c>
      <c r="AH3" s="13">
        <v>1506287</v>
      </c>
      <c r="AI3" s="172">
        <v>1158914</v>
      </c>
      <c r="AJ3" s="13">
        <v>1531197</v>
      </c>
      <c r="AK3" s="13">
        <v>1520706</v>
      </c>
      <c r="AL3" s="13">
        <v>1488408</v>
      </c>
      <c r="AM3" s="172">
        <v>1393105</v>
      </c>
      <c r="AP3" s="69"/>
      <c r="AQ3" s="66" t="s">
        <v>78</v>
      </c>
      <c r="AR3" s="67" t="s">
        <v>17</v>
      </c>
      <c r="AS3" s="67" t="s">
        <v>184</v>
      </c>
      <c r="AT3" s="67" t="s">
        <v>29</v>
      </c>
      <c r="AU3" s="68" t="s">
        <v>30</v>
      </c>
      <c r="AV3" s="66" t="s">
        <v>78</v>
      </c>
      <c r="AW3" s="67" t="s">
        <v>17</v>
      </c>
      <c r="AX3" s="67" t="s">
        <v>184</v>
      </c>
      <c r="AY3" s="67" t="s">
        <v>29</v>
      </c>
      <c r="AZ3" s="68" t="s">
        <v>30</v>
      </c>
      <c r="BD3" s="50" t="s">
        <v>1031</v>
      </c>
      <c r="BE3" s="53">
        <f>+AI3</f>
        <v>1158914</v>
      </c>
      <c r="BF3" s="53">
        <f>+AJ3</f>
        <v>1531197</v>
      </c>
      <c r="BG3" s="53">
        <f>+AK3</f>
        <v>1520706</v>
      </c>
      <c r="BH3" s="53">
        <f>+AL3</f>
        <v>1488408</v>
      </c>
    </row>
    <row r="4" spans="1:61"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f t="shared" ref="AB4:AM4" si="1">+AB3/X3-1</f>
        <v>0.29189193606374331</v>
      </c>
      <c r="AC4" s="18">
        <f t="shared" si="1"/>
        <v>0.39737711154105404</v>
      </c>
      <c r="AD4" s="18">
        <f t="shared" si="1"/>
        <v>0.32463017771164804</v>
      </c>
      <c r="AE4" s="18">
        <f t="shared" si="1"/>
        <v>0.57745319187561162</v>
      </c>
      <c r="AF4" s="18">
        <f t="shared" si="1"/>
        <v>0.48603921099469627</v>
      </c>
      <c r="AG4" s="18">
        <f t="shared" si="1"/>
        <v>0.1538543180379961</v>
      </c>
      <c r="AH4" s="18">
        <f t="shared" si="1"/>
        <v>7.7802978146236601E-2</v>
      </c>
      <c r="AI4" s="173">
        <f t="shared" si="1"/>
        <v>-0.26908459337326951</v>
      </c>
      <c r="AJ4" s="18">
        <f t="shared" si="1"/>
        <v>-0.10618984846406865</v>
      </c>
      <c r="AK4" s="18">
        <f t="shared" si="1"/>
        <v>5.1717722760362461E-2</v>
      </c>
      <c r="AL4" s="18">
        <f t="shared" si="1"/>
        <v>-1.1869583950468887E-2</v>
      </c>
      <c r="AM4" s="173">
        <f t="shared" si="1"/>
        <v>0.20207797990187371</v>
      </c>
      <c r="AN4" s="46"/>
      <c r="AP4" s="69" t="s">
        <v>185</v>
      </c>
      <c r="AQ4" s="60"/>
      <c r="AR4" s="61"/>
      <c r="AS4" s="61"/>
      <c r="AT4" s="74"/>
      <c r="AU4" s="64"/>
      <c r="AV4" s="60"/>
      <c r="AW4" s="61"/>
      <c r="AX4" s="61"/>
      <c r="AY4" s="58"/>
      <c r="AZ4" s="64"/>
      <c r="BD4" s="50" t="s">
        <v>1033</v>
      </c>
      <c r="BE4" s="53">
        <f>+AI11</f>
        <v>208405</v>
      </c>
      <c r="BF4" s="53">
        <f>+AJ11</f>
        <v>450930</v>
      </c>
      <c r="BG4" s="53">
        <f>+AK11</f>
        <v>350186</v>
      </c>
      <c r="BH4" s="53">
        <f>+AL11</f>
        <v>351383</v>
      </c>
    </row>
    <row r="5" spans="1:61" ht="18" thickTop="1" thickBot="1" x14ac:dyDescent="0.4">
      <c r="B5" s="32" t="s">
        <v>13</v>
      </c>
      <c r="C5" s="29">
        <v>2994.8620000000001</v>
      </c>
      <c r="D5" s="26"/>
      <c r="E5" s="26"/>
      <c r="F5" s="26"/>
      <c r="G5" s="26"/>
      <c r="H5" s="26"/>
      <c r="I5" s="27"/>
      <c r="J5" s="21"/>
      <c r="M5" s="1" t="s">
        <v>14</v>
      </c>
      <c r="N5" s="3">
        <f>202.575/415.481776</f>
        <v>0.48756651122045841</v>
      </c>
      <c r="W5" s="12" t="s">
        <v>41</v>
      </c>
      <c r="Y5" s="18">
        <f t="shared" ref="Y5:AC5" si="2">+Y3/X3-1</f>
        <v>4.9677651138877454E-3</v>
      </c>
      <c r="Z5" s="18">
        <f t="shared" si="2"/>
        <v>0.17650084030891078</v>
      </c>
      <c r="AA5" s="18">
        <f t="shared" si="2"/>
        <v>-4.730495136120394E-2</v>
      </c>
      <c r="AB5" s="18">
        <f t="shared" si="2"/>
        <v>0.14690621416729899</v>
      </c>
      <c r="AC5" s="18">
        <f t="shared" si="2"/>
        <v>8.7025093666520226E-2</v>
      </c>
      <c r="AD5" s="18">
        <f t="shared" ref="AD5:AM5" si="3">+AD3/AC3-1</f>
        <v>0.11525264318780137</v>
      </c>
      <c r="AE5" s="18">
        <f t="shared" si="3"/>
        <v>0.13452937328935266</v>
      </c>
      <c r="AF5" s="18">
        <f t="shared" si="3"/>
        <v>8.0442585785760246E-2</v>
      </c>
      <c r="AG5" s="18">
        <f t="shared" si="3"/>
        <v>-0.15596534138341234</v>
      </c>
      <c r="AH5" s="18">
        <f t="shared" si="3"/>
        <v>4.1745566508936127E-2</v>
      </c>
      <c r="AI5" s="173">
        <f t="shared" si="3"/>
        <v>-0.23061541392842133</v>
      </c>
      <c r="AJ5" s="18">
        <f t="shared" si="3"/>
        <v>0.32123436251525139</v>
      </c>
      <c r="AK5" s="18">
        <f t="shared" si="3"/>
        <v>-6.8515024520032775E-3</v>
      </c>
      <c r="AL5" s="18">
        <f t="shared" si="3"/>
        <v>-2.1238819337860204E-2</v>
      </c>
      <c r="AM5" s="173">
        <f t="shared" si="3"/>
        <v>-6.4030158397428649E-2</v>
      </c>
      <c r="AP5" s="69" t="s">
        <v>186</v>
      </c>
      <c r="AQ5" s="60"/>
      <c r="AR5" s="61"/>
      <c r="AS5" s="61"/>
      <c r="AT5" s="58"/>
      <c r="AU5" s="64"/>
      <c r="AV5" s="60"/>
      <c r="AW5" s="61"/>
      <c r="AX5" s="61"/>
      <c r="AY5" s="58"/>
      <c r="AZ5" s="64"/>
      <c r="BD5" s="50" t="s">
        <v>1034</v>
      </c>
      <c r="BE5" s="53">
        <f>+AI14</f>
        <v>145690</v>
      </c>
      <c r="BF5" s="53">
        <f>+AJ14</f>
        <v>161492</v>
      </c>
      <c r="BG5" s="53">
        <f>+AK14</f>
        <v>220228</v>
      </c>
      <c r="BH5" s="53">
        <f>+AL14</f>
        <v>256133.88099999999</v>
      </c>
      <c r="BI5" s="53"/>
    </row>
    <row r="6" spans="1:61" ht="18" thickTop="1" thickBot="1" x14ac:dyDescent="0.4">
      <c r="B6" s="28" t="s">
        <v>15</v>
      </c>
      <c r="C6" s="30">
        <f t="shared" ref="C6:G6" si="4">C5/C$3*100</f>
        <v>16.806015248219449</v>
      </c>
      <c r="D6" s="30" t="e">
        <f t="shared" si="4"/>
        <v>#DIV/0!</v>
      </c>
      <c r="E6" s="30" t="e">
        <f t="shared" si="4"/>
        <v>#DIV/0!</v>
      </c>
      <c r="F6" s="30" t="e">
        <f t="shared" si="4"/>
        <v>#DIV/0!</v>
      </c>
      <c r="G6" s="30" t="e">
        <f t="shared" si="4"/>
        <v>#DIV/0!</v>
      </c>
      <c r="H6" s="30" t="e">
        <f>H5/H$3*100</f>
        <v>#DIV/0!</v>
      </c>
      <c r="I6" s="31" t="e">
        <f>I5/I$3*100</f>
        <v>#DIV/0!</v>
      </c>
      <c r="J6" s="23" t="e">
        <f>AVERAGE(D6:I6)</f>
        <v>#DIV/0!</v>
      </c>
      <c r="M6" s="1" t="s">
        <v>16</v>
      </c>
      <c r="N6" s="3">
        <f>261.001/415.481776</f>
        <v>0.62818880412218114</v>
      </c>
      <c r="AP6" s="69" t="s">
        <v>187</v>
      </c>
      <c r="AQ6" s="60"/>
      <c r="AR6" s="61"/>
      <c r="AS6" s="61"/>
      <c r="AT6" s="58"/>
      <c r="AU6" s="64"/>
      <c r="AV6" s="60"/>
      <c r="AW6" s="61"/>
      <c r="AX6" s="61"/>
      <c r="AY6" s="58"/>
      <c r="AZ6" s="64"/>
      <c r="BD6" s="50" t="s">
        <v>184</v>
      </c>
      <c r="BE6" s="53">
        <f>+AI26</f>
        <v>61355</v>
      </c>
      <c r="BF6" s="53">
        <f>+AJ26</f>
        <v>98923</v>
      </c>
      <c r="BG6" s="53">
        <f>+AK26</f>
        <v>88445</v>
      </c>
      <c r="BH6" s="53">
        <f>+AL26</f>
        <v>253509.35800000001</v>
      </c>
    </row>
    <row r="7" spans="1:61" ht="18" thickTop="1" thickBot="1" x14ac:dyDescent="0.4">
      <c r="B7" s="32" t="s">
        <v>17</v>
      </c>
      <c r="C7" s="26">
        <v>2167.6080000000002</v>
      </c>
      <c r="D7" s="26"/>
      <c r="E7" s="26"/>
      <c r="F7" s="26"/>
      <c r="G7" s="26"/>
      <c r="H7" s="26"/>
      <c r="I7" s="27"/>
      <c r="J7" s="24"/>
      <c r="M7" s="1" t="s">
        <v>18</v>
      </c>
      <c r="N7" s="3">
        <f>'[1]LT Portfolio'!P294</f>
        <v>0</v>
      </c>
      <c r="W7" s="12" t="s">
        <v>61</v>
      </c>
      <c r="X7" s="13">
        <f t="shared" ref="X7:AH7" si="5">+X3/X42</f>
        <v>4749.5945038576347</v>
      </c>
      <c r="Y7" s="13">
        <f t="shared" si="5"/>
        <v>4772.5108817542432</v>
      </c>
      <c r="Z7" s="13">
        <f t="shared" si="5"/>
        <v>5331.2758587991484</v>
      </c>
      <c r="AA7" s="13">
        <f t="shared" si="5"/>
        <v>4978.7459926136726</v>
      </c>
      <c r="AB7" s="13">
        <f t="shared" si="5"/>
        <v>5680.7037624084423</v>
      </c>
      <c r="AC7" s="13">
        <f t="shared" si="5"/>
        <v>6173.0392009345305</v>
      </c>
      <c r="AD7" s="13">
        <f t="shared" si="5"/>
        <v>5985.7965179913335</v>
      </c>
      <c r="AE7" s="13">
        <f t="shared" si="5"/>
        <v>4352.6798764452133</v>
      </c>
      <c r="AF7" s="13">
        <f t="shared" si="5"/>
        <v>4644.4777896855776</v>
      </c>
      <c r="AG7" s="13">
        <f t="shared" si="5"/>
        <v>3889.2456143269255</v>
      </c>
      <c r="AH7" s="13">
        <f t="shared" si="5"/>
        <v>4211.207399291573</v>
      </c>
      <c r="AI7" s="172">
        <f>+AI3/AI42</f>
        <v>3662.1570897516654</v>
      </c>
      <c r="AJ7" s="13">
        <f t="shared" ref="AJ7:AL7" si="6">+AJ3/AJ42</f>
        <v>4627.11441033763</v>
      </c>
      <c r="AK7" s="13">
        <f t="shared" si="6"/>
        <v>4549.7884990167095</v>
      </c>
      <c r="AL7" s="13">
        <f t="shared" si="6"/>
        <v>4785.1311851738919</v>
      </c>
      <c r="AM7" s="172" t="e">
        <f>+AM3/AM42</f>
        <v>#DIV/0!</v>
      </c>
      <c r="AP7" s="69" t="s">
        <v>188</v>
      </c>
      <c r="AQ7" s="60"/>
      <c r="AR7" s="61"/>
      <c r="AS7" s="61"/>
      <c r="AT7" s="74"/>
      <c r="AU7" s="64"/>
      <c r="AV7" s="60"/>
      <c r="AW7" s="61"/>
      <c r="AX7" s="61"/>
      <c r="AY7" s="58"/>
      <c r="AZ7" s="64"/>
      <c r="BD7" s="50" t="s">
        <v>29</v>
      </c>
      <c r="BE7" s="90">
        <f>+AI29</f>
        <v>0.19995544501880808</v>
      </c>
      <c r="BF7" s="90">
        <f>+AJ29</f>
        <v>0.32238925087760656</v>
      </c>
      <c r="BG7" s="90">
        <f>+AK29</f>
        <v>0.28824153426270849</v>
      </c>
      <c r="BH7" s="90">
        <f>+AL29</f>
        <v>0.8261849318771467</v>
      </c>
    </row>
    <row r="8" spans="1:61" ht="18" thickTop="1" thickBot="1" x14ac:dyDescent="0.4">
      <c r="B8" s="28" t="s">
        <v>19</v>
      </c>
      <c r="C8" s="30">
        <f t="shared" ref="C8:I8" si="7">C7/C$3*100</f>
        <v>12.16378353999699</v>
      </c>
      <c r="D8" s="30" t="e">
        <f t="shared" si="7"/>
        <v>#DIV/0!</v>
      </c>
      <c r="E8" s="30" t="e">
        <f t="shared" si="7"/>
        <v>#DIV/0!</v>
      </c>
      <c r="F8" s="30" t="e">
        <f t="shared" si="7"/>
        <v>#DIV/0!</v>
      </c>
      <c r="G8" s="30" t="e">
        <f t="shared" si="7"/>
        <v>#DIV/0!</v>
      </c>
      <c r="H8" s="30" t="e">
        <f t="shared" si="7"/>
        <v>#DIV/0!</v>
      </c>
      <c r="I8" s="31" t="e">
        <f t="shared" si="7"/>
        <v>#DIV/0!</v>
      </c>
      <c r="J8" s="23" t="e">
        <f>AVERAGE(D8:I8)</f>
        <v>#DIV/0!</v>
      </c>
      <c r="M8" s="1" t="s">
        <v>20</v>
      </c>
      <c r="N8" s="3">
        <f>'[1]LT Portfolio'!Q294</f>
        <v>0</v>
      </c>
      <c r="W8" s="12" t="s">
        <v>40</v>
      </c>
      <c r="AB8" s="18">
        <f t="shared" ref="AB8:AM8" si="8">+AB7/X7-1</f>
        <v>0.19603973724379165</v>
      </c>
      <c r="AC8" s="18">
        <f t="shared" si="8"/>
        <v>0.29345733386059702</v>
      </c>
      <c r="AD8" s="18">
        <f t="shared" si="8"/>
        <v>0.12276998537074646</v>
      </c>
      <c r="AE8" s="18">
        <f t="shared" si="8"/>
        <v>-0.12574775196350108</v>
      </c>
      <c r="AF8" s="18">
        <f t="shared" si="8"/>
        <v>-0.18241154900207945</v>
      </c>
      <c r="AG8" s="18">
        <f t="shared" si="8"/>
        <v>-0.36996259253656827</v>
      </c>
      <c r="AH8" s="18">
        <f t="shared" si="8"/>
        <v>-0.29646666293548907</v>
      </c>
      <c r="AI8" s="173">
        <f t="shared" si="8"/>
        <v>-0.15864313625046333</v>
      </c>
      <c r="AJ8" s="18">
        <f t="shared" si="8"/>
        <v>-3.738499812940832E-3</v>
      </c>
      <c r="AK8" s="18">
        <f t="shared" si="8"/>
        <v>0.16983830546893808</v>
      </c>
      <c r="AL8" s="18">
        <f t="shared" si="8"/>
        <v>0.13628485407269819</v>
      </c>
      <c r="AM8" s="173" t="e">
        <f t="shared" si="8"/>
        <v>#DIV/0!</v>
      </c>
      <c r="AP8" s="69" t="s">
        <v>197</v>
      </c>
      <c r="AQ8" s="60"/>
      <c r="AR8" s="61"/>
      <c r="AS8" s="61"/>
      <c r="AT8" s="58"/>
      <c r="AU8" s="64"/>
      <c r="AV8" s="60"/>
      <c r="AW8" s="61"/>
      <c r="AX8" s="61"/>
      <c r="AY8" s="58"/>
      <c r="AZ8" s="64"/>
    </row>
    <row r="9" spans="1:61" ht="18" thickTop="1" thickBot="1" x14ac:dyDescent="0.4">
      <c r="B9" s="32" t="s">
        <v>21</v>
      </c>
      <c r="C9" s="26">
        <v>2228.9470000000001</v>
      </c>
      <c r="D9" s="26"/>
      <c r="E9" s="26"/>
      <c r="F9" s="26"/>
      <c r="G9" s="26"/>
      <c r="H9" s="26"/>
      <c r="I9" s="27"/>
      <c r="J9" s="21"/>
      <c r="M9" s="1" t="s">
        <v>22</v>
      </c>
      <c r="N9" s="3">
        <f>'[1]LT Portfolio'!R294</f>
        <v>0</v>
      </c>
      <c r="O9" s="4">
        <f>N9/N5-1</f>
        <v>-1</v>
      </c>
      <c r="W9" s="12" t="s">
        <v>41</v>
      </c>
      <c r="Y9" s="18">
        <f t="shared" ref="Y9:AC9" si="9">+Y7/X7-1</f>
        <v>4.824912501055767E-3</v>
      </c>
      <c r="Z9" s="18">
        <f t="shared" si="9"/>
        <v>0.11707987491052485</v>
      </c>
      <c r="AA9" s="18">
        <f t="shared" si="9"/>
        <v>-6.612485932492751E-2</v>
      </c>
      <c r="AB9" s="18">
        <f t="shared" si="9"/>
        <v>0.14099087819225464</v>
      </c>
      <c r="AC9" s="18">
        <f t="shared" si="9"/>
        <v>8.6668036059911246E-2</v>
      </c>
      <c r="AD9" s="18">
        <f t="shared" ref="AD9:AM9" si="10">+AD7/AC7-1</f>
        <v>-3.033233336908836E-2</v>
      </c>
      <c r="AE9" s="18">
        <f t="shared" si="10"/>
        <v>-0.27283196758150885</v>
      </c>
      <c r="AF9" s="18">
        <f t="shared" si="10"/>
        <v>6.7038679968046022E-2</v>
      </c>
      <c r="AG9" s="18">
        <f t="shared" si="10"/>
        <v>-0.16260863105769741</v>
      </c>
      <c r="AH9" s="18">
        <f t="shared" si="10"/>
        <v>8.2782579680395596E-2</v>
      </c>
      <c r="AI9" s="173">
        <f t="shared" si="10"/>
        <v>-0.13037835886028104</v>
      </c>
      <c r="AJ9" s="18">
        <f t="shared" si="10"/>
        <v>0.26349424586027226</v>
      </c>
      <c r="AK9" s="18">
        <f t="shared" si="10"/>
        <v>-1.6711475979103385E-2</v>
      </c>
      <c r="AL9" s="18">
        <f t="shared" si="10"/>
        <v>5.1726071708178223E-2</v>
      </c>
      <c r="AM9" s="173" t="e">
        <f t="shared" si="10"/>
        <v>#DIV/0!</v>
      </c>
      <c r="AP9" s="69" t="s">
        <v>378</v>
      </c>
      <c r="AQ9" s="60">
        <v>8454</v>
      </c>
      <c r="AR9" s="61">
        <v>1726</v>
      </c>
      <c r="AS9" s="61">
        <v>1031</v>
      </c>
      <c r="AT9" s="74">
        <v>3.36</v>
      </c>
      <c r="AU9" s="64">
        <v>0.42</v>
      </c>
      <c r="AV9" s="60">
        <v>11369</v>
      </c>
      <c r="AW9" s="61">
        <v>2644</v>
      </c>
      <c r="AX9" s="61">
        <v>1760</v>
      </c>
      <c r="AY9" s="58">
        <v>5.73</v>
      </c>
      <c r="AZ9" s="64">
        <v>0.42</v>
      </c>
      <c r="BD9" s="50" t="s">
        <v>15</v>
      </c>
      <c r="BE9" s="91">
        <f t="shared" ref="BE9:BH11" si="11">+BE4/BE$3*100</f>
        <v>17.98278388215174</v>
      </c>
      <c r="BF9" s="91">
        <f t="shared" si="11"/>
        <v>29.44950910953979</v>
      </c>
      <c r="BG9" s="91">
        <f t="shared" si="11"/>
        <v>23.027856798092465</v>
      </c>
      <c r="BH9" s="91">
        <f t="shared" si="11"/>
        <v>23.607975770084547</v>
      </c>
    </row>
    <row r="10" spans="1:61"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P10" s="69" t="s">
        <v>196</v>
      </c>
      <c r="AQ10" s="60"/>
      <c r="AR10" s="61"/>
      <c r="AS10" s="61"/>
      <c r="AT10" s="58"/>
      <c r="AU10" s="64"/>
      <c r="AV10" s="60"/>
      <c r="AW10" s="61"/>
      <c r="AX10" s="61"/>
      <c r="AY10" s="58"/>
      <c r="AZ10" s="64"/>
      <c r="BD10" s="50" t="s">
        <v>1032</v>
      </c>
      <c r="BE10" s="91">
        <f t="shared" si="11"/>
        <v>12.571252051489584</v>
      </c>
      <c r="BF10" s="91">
        <f t="shared" si="11"/>
        <v>10.546781374310426</v>
      </c>
      <c r="BG10" s="91">
        <f t="shared" si="11"/>
        <v>14.481957722268474</v>
      </c>
      <c r="BH10" s="91">
        <f t="shared" si="11"/>
        <v>17.208579972695659</v>
      </c>
    </row>
    <row r="11" spans="1:61" ht="18" thickTop="1" thickBot="1" x14ac:dyDescent="0.4">
      <c r="B11" s="28" t="s">
        <v>25</v>
      </c>
      <c r="C11" s="30">
        <f t="shared" ref="C11:G11" si="12">C10/C$3*100</f>
        <v>12.180949473066461</v>
      </c>
      <c r="D11" s="30" t="e">
        <f t="shared" si="12"/>
        <v>#DIV/0!</v>
      </c>
      <c r="E11" s="30" t="e">
        <f t="shared" si="12"/>
        <v>#DIV/0!</v>
      </c>
      <c r="F11" s="30" t="e">
        <f t="shared" si="12"/>
        <v>#DIV/0!</v>
      </c>
      <c r="G11" s="30" t="e">
        <f t="shared" si="12"/>
        <v>#DIV/0!</v>
      </c>
      <c r="H11" s="30" t="e">
        <f>H10/H$3*100</f>
        <v>#DIV/0!</v>
      </c>
      <c r="I11" s="31" t="e">
        <f>I10/I$3*100</f>
        <v>#DIV/0!</v>
      </c>
      <c r="J11" s="23" t="e">
        <f>AVERAGE(D11:I11)</f>
        <v>#DIV/0!</v>
      </c>
      <c r="M11" s="1" t="s">
        <v>26</v>
      </c>
      <c r="N11" s="3">
        <f>'[1]LT Portfolio'!T294</f>
        <v>0</v>
      </c>
      <c r="O11" s="4" t="e">
        <f>N11/N7-1</f>
        <v>#DIV/0!</v>
      </c>
      <c r="W11" s="12" t="s">
        <v>42</v>
      </c>
      <c r="X11" s="13">
        <v>311138.52899999998</v>
      </c>
      <c r="Y11" s="13">
        <v>311186.90999999997</v>
      </c>
      <c r="Z11" s="13">
        <v>375132.07699999999</v>
      </c>
      <c r="AA11" s="13">
        <v>307416.64600000001</v>
      </c>
      <c r="AB11" s="13">
        <v>338985.05099999998</v>
      </c>
      <c r="AC11" s="13">
        <v>342614</v>
      </c>
      <c r="AD11" s="13">
        <v>416715.14500000002</v>
      </c>
      <c r="AE11" s="13">
        <v>619340.25899999996</v>
      </c>
      <c r="AF11" s="13">
        <v>547987.63699999999</v>
      </c>
      <c r="AG11" s="13">
        <v>412787</v>
      </c>
      <c r="AH11" s="13">
        <v>281414</v>
      </c>
      <c r="AI11" s="172">
        <v>208405</v>
      </c>
      <c r="AJ11" s="13">
        <v>450930</v>
      </c>
      <c r="AK11" s="13">
        <v>350186</v>
      </c>
      <c r="AL11" s="13">
        <v>351383</v>
      </c>
      <c r="AM11" s="172">
        <v>326232</v>
      </c>
      <c r="AP11" s="70" t="s">
        <v>192</v>
      </c>
      <c r="AQ11" s="62">
        <f>+AVERAGE(AQ4:AQ10)</f>
        <v>8454</v>
      </c>
      <c r="AR11" s="63">
        <f t="shared" ref="AR11:AZ11" si="13">+AVERAGE(AR4:AR10)</f>
        <v>1726</v>
      </c>
      <c r="AS11" s="63">
        <f t="shared" si="13"/>
        <v>1031</v>
      </c>
      <c r="AT11" s="72">
        <f t="shared" si="13"/>
        <v>3.36</v>
      </c>
      <c r="AU11" s="65">
        <f t="shared" si="13"/>
        <v>0.42</v>
      </c>
      <c r="AV11" s="62">
        <f t="shared" si="13"/>
        <v>11369</v>
      </c>
      <c r="AW11" s="63">
        <f t="shared" si="13"/>
        <v>2644</v>
      </c>
      <c r="AX11" s="63">
        <f t="shared" si="13"/>
        <v>1760</v>
      </c>
      <c r="AY11" s="72">
        <f t="shared" si="13"/>
        <v>5.73</v>
      </c>
      <c r="AZ11" s="65">
        <f t="shared" si="13"/>
        <v>0.42</v>
      </c>
      <c r="BD11" s="50" t="s">
        <v>1039</v>
      </c>
      <c r="BE11" s="91">
        <f t="shared" si="11"/>
        <v>5.294180586307526</v>
      </c>
      <c r="BF11" s="91">
        <f t="shared" si="11"/>
        <v>6.4605011634688418</v>
      </c>
      <c r="BG11" s="91">
        <f t="shared" si="11"/>
        <v>5.8160485984799166</v>
      </c>
      <c r="BH11" s="91">
        <f t="shared" si="11"/>
        <v>17.03224908761576</v>
      </c>
    </row>
    <row r="12" spans="1:61" ht="18" thickTop="1" thickBot="1" x14ac:dyDescent="0.4">
      <c r="B12" s="28" t="s">
        <v>27</v>
      </c>
      <c r="C12" s="29"/>
      <c r="D12" s="30">
        <f t="shared" ref="D12:I12" si="14">(D10/C10-1)*100</f>
        <v>-100</v>
      </c>
      <c r="E12" s="30" t="e">
        <f t="shared" si="14"/>
        <v>#DIV/0!</v>
      </c>
      <c r="F12" s="30" t="e">
        <f t="shared" si="14"/>
        <v>#DIV/0!</v>
      </c>
      <c r="G12" s="30" t="e">
        <f t="shared" si="14"/>
        <v>#DIV/0!</v>
      </c>
      <c r="H12" s="30" t="e">
        <f t="shared" si="14"/>
        <v>#DIV/0!</v>
      </c>
      <c r="I12" s="31" t="e">
        <f t="shared" si="14"/>
        <v>#DIV/0!</v>
      </c>
      <c r="J12" s="23" t="e">
        <f>AVERAGE(D12:I12)</f>
        <v>#DIV/0!</v>
      </c>
      <c r="S12" t="s">
        <v>20</v>
      </c>
      <c r="T12" t="s">
        <v>22</v>
      </c>
      <c r="W12" s="12" t="s">
        <v>43</v>
      </c>
      <c r="X12" s="19">
        <f t="shared" ref="X12:AG12" si="15">+X11/X3</f>
        <v>0.34867793385913876</v>
      </c>
      <c r="Y12" s="19">
        <f t="shared" si="15"/>
        <v>0.34700829640186981</v>
      </c>
      <c r="Z12" s="19">
        <f t="shared" si="15"/>
        <v>0.35555803541318332</v>
      </c>
      <c r="AA12" s="19">
        <f t="shared" si="15"/>
        <v>0.30584386137597419</v>
      </c>
      <c r="AB12" s="19">
        <f t="shared" si="15"/>
        <v>0.29405260345904694</v>
      </c>
      <c r="AC12" s="19">
        <f t="shared" si="15"/>
        <v>0.27340724443731562</v>
      </c>
      <c r="AD12" s="19">
        <f t="shared" si="15"/>
        <v>0.29817479956983017</v>
      </c>
      <c r="AE12" s="19">
        <f t="shared" si="15"/>
        <v>0.3906116737284126</v>
      </c>
      <c r="AF12" s="19">
        <f t="shared" si="15"/>
        <v>0.31987844337912558</v>
      </c>
      <c r="AG12" s="19">
        <f t="shared" si="15"/>
        <v>0.28548279787485664</v>
      </c>
      <c r="AH12" s="19">
        <f t="shared" ref="AH12:AK12" si="16">+AH11/AH3</f>
        <v>0.18682628210958468</v>
      </c>
      <c r="AI12" s="174">
        <f t="shared" si="16"/>
        <v>0.1798278388215174</v>
      </c>
      <c r="AJ12" s="19">
        <f t="shared" si="16"/>
        <v>0.2944950910953979</v>
      </c>
      <c r="AK12" s="19">
        <f t="shared" si="16"/>
        <v>0.23027856798092464</v>
      </c>
      <c r="AL12" s="19">
        <f t="shared" ref="AL12:AM12" si="17">+AL11/AL3</f>
        <v>0.23607975770084547</v>
      </c>
      <c r="AM12" s="174">
        <f t="shared" si="17"/>
        <v>0.23417617480376568</v>
      </c>
      <c r="AP12" s="12"/>
      <c r="AQ12" s="12"/>
      <c r="AR12" s="12"/>
      <c r="AS12" s="12"/>
      <c r="AT12" s="12"/>
      <c r="AU12" s="99" t="s">
        <v>34</v>
      </c>
      <c r="AV12" s="12"/>
      <c r="AW12" s="12"/>
      <c r="AX12" s="12"/>
      <c r="AY12" s="12"/>
      <c r="AZ12" s="99" t="s">
        <v>34</v>
      </c>
    </row>
    <row r="13" spans="1:61"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70"/>
      <c r="AJ13" s="12"/>
      <c r="AK13" s="12"/>
      <c r="AL13" s="12"/>
      <c r="AM13" s="170"/>
      <c r="AN13" s="12"/>
      <c r="AO13" s="12"/>
      <c r="AP13" s="12" t="s">
        <v>193</v>
      </c>
      <c r="AQ13" s="12"/>
      <c r="AR13" s="12"/>
      <c r="AS13" s="12"/>
      <c r="AT13" s="58">
        <f>+$X$1/AT11</f>
        <v>5.4761904761904763</v>
      </c>
      <c r="AU13" s="75">
        <f>+AU11/$X$1</f>
        <v>2.2826086956521739E-2</v>
      </c>
      <c r="AV13" s="12"/>
      <c r="AW13" s="12"/>
      <c r="AX13" s="12"/>
      <c r="AY13" s="58">
        <f>+$X$1/AY11</f>
        <v>3.2111692844677133</v>
      </c>
      <c r="AZ13" s="75">
        <f>+AZ11/$X$1</f>
        <v>2.2826086956521739E-2</v>
      </c>
    </row>
    <row r="14" spans="1:61"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f t="shared" ref="X14:AG14" si="18">+X20-X17</f>
        <v>175971.50099999999</v>
      </c>
      <c r="Y14" s="13">
        <f t="shared" si="18"/>
        <v>157600.40599999999</v>
      </c>
      <c r="Z14" s="13">
        <f t="shared" si="18"/>
        <v>213998.57</v>
      </c>
      <c r="AA14" s="13">
        <f t="shared" si="18"/>
        <v>141542.459</v>
      </c>
      <c r="AB14" s="13">
        <f t="shared" si="18"/>
        <v>170023.22099999999</v>
      </c>
      <c r="AC14" s="13">
        <f t="shared" si="18"/>
        <v>131202</v>
      </c>
      <c r="AD14" s="13">
        <f t="shared" si="18"/>
        <v>327672.049</v>
      </c>
      <c r="AE14" s="13">
        <f t="shared" si="18"/>
        <v>434847.96399999998</v>
      </c>
      <c r="AF14" s="13">
        <f t="shared" si="18"/>
        <v>315452.76400000002</v>
      </c>
      <c r="AG14" s="13">
        <f t="shared" si="18"/>
        <v>220042</v>
      </c>
      <c r="AH14" s="13">
        <f t="shared" ref="AH14:AK14" si="19">+AH20-AH17</f>
        <v>41960</v>
      </c>
      <c r="AI14" s="172">
        <f t="shared" si="19"/>
        <v>145690</v>
      </c>
      <c r="AJ14" s="13">
        <f t="shared" si="19"/>
        <v>161492</v>
      </c>
      <c r="AK14" s="13">
        <f t="shared" si="19"/>
        <v>220228</v>
      </c>
      <c r="AL14" s="13">
        <f t="shared" ref="AL14:AM14" si="20">+AL20-AL17</f>
        <v>256133.88099999999</v>
      </c>
      <c r="AM14" s="172">
        <f t="shared" si="20"/>
        <v>88129</v>
      </c>
    </row>
    <row r="15" spans="1:61" ht="18" thickTop="1" thickBot="1" x14ac:dyDescent="0.4">
      <c r="B15" s="32" t="s">
        <v>30</v>
      </c>
      <c r="C15" s="34">
        <f>1+0.6</f>
        <v>1.6</v>
      </c>
      <c r="D15" s="34"/>
      <c r="E15" s="34"/>
      <c r="F15" s="34"/>
      <c r="G15" s="34"/>
      <c r="H15" s="34"/>
      <c r="I15" s="35"/>
      <c r="J15" s="24"/>
      <c r="R15" s="6"/>
      <c r="S15" s="6"/>
      <c r="W15" s="12" t="s">
        <v>55</v>
      </c>
      <c r="X15" s="19">
        <f t="shared" ref="X15:AG15" si="21">+X14/X3</f>
        <v>0.19720276876018583</v>
      </c>
      <c r="Y15" s="19">
        <f t="shared" si="21"/>
        <v>0.17574212359479716</v>
      </c>
      <c r="Z15" s="19">
        <f t="shared" si="21"/>
        <v>0.2028323243880597</v>
      </c>
      <c r="AA15" s="19">
        <f t="shared" si="21"/>
        <v>0.14081830887326285</v>
      </c>
      <c r="AB15" s="19">
        <f t="shared" si="21"/>
        <v>0.14748665357382648</v>
      </c>
      <c r="AC15" s="19">
        <f t="shared" si="21"/>
        <v>0.10469968327232596</v>
      </c>
      <c r="AD15" s="19">
        <f t="shared" si="21"/>
        <v>0.23446123498873692</v>
      </c>
      <c r="AE15" s="19">
        <f t="shared" si="21"/>
        <v>0.27425423838858265</v>
      </c>
      <c r="AF15" s="19">
        <f t="shared" si="21"/>
        <v>0.18414017451266454</v>
      </c>
      <c r="AG15" s="19">
        <f t="shared" si="21"/>
        <v>0.15218067867926852</v>
      </c>
      <c r="AH15" s="19">
        <f t="shared" ref="AH15:AK15" si="22">+AH14/AH3</f>
        <v>2.7856577133043039E-2</v>
      </c>
      <c r="AI15" s="174">
        <f t="shared" si="22"/>
        <v>0.12571252051489584</v>
      </c>
      <c r="AJ15" s="19">
        <f t="shared" si="22"/>
        <v>0.10546781374310425</v>
      </c>
      <c r="AK15" s="19">
        <f t="shared" si="22"/>
        <v>0.14481957722268474</v>
      </c>
      <c r="AL15" s="19">
        <f t="shared" ref="AL15:AM15" si="23">+AL14/AL3</f>
        <v>0.17208579972695659</v>
      </c>
      <c r="AM15" s="174">
        <f t="shared" si="23"/>
        <v>6.3260845377771241E-2</v>
      </c>
    </row>
    <row r="16" spans="1:61" ht="18" thickTop="1" thickBot="1" x14ac:dyDescent="0.4">
      <c r="B16" s="32" t="s">
        <v>8</v>
      </c>
      <c r="C16" s="34">
        <v>31.7</v>
      </c>
      <c r="D16" s="34"/>
      <c r="E16" s="34"/>
      <c r="F16" s="34"/>
      <c r="G16" s="34"/>
      <c r="H16" s="34"/>
      <c r="I16" s="35"/>
      <c r="J16" s="22" t="e">
        <f>((I16/D16)^(1/5)-1)*100</f>
        <v>#DIV/0!</v>
      </c>
    </row>
    <row r="17" spans="2:39" ht="18" thickTop="1" thickBot="1" x14ac:dyDescent="0.4">
      <c r="B17" s="32" t="s">
        <v>31</v>
      </c>
      <c r="C17" s="34">
        <v>14.6</v>
      </c>
      <c r="D17" s="34"/>
      <c r="E17" s="34"/>
      <c r="F17" s="34"/>
      <c r="G17" s="34"/>
      <c r="H17" s="34"/>
      <c r="I17" s="35"/>
      <c r="J17" s="22" t="e">
        <f>((I17/D17)^(1/6)-1)*100</f>
        <v>#DIV/0!</v>
      </c>
      <c r="W17" s="12" t="s">
        <v>44</v>
      </c>
      <c r="X17" s="13">
        <v>-10365.329</v>
      </c>
      <c r="Y17" s="13">
        <v>-7177.808</v>
      </c>
      <c r="Z17" s="13">
        <v>-6734.9650000000001</v>
      </c>
      <c r="AA17" s="13">
        <f>-15701.342+7239.066</f>
        <v>-8462.2760000000017</v>
      </c>
      <c r="AB17" s="13">
        <v>-9462.69</v>
      </c>
      <c r="AC17" s="13">
        <v>-12318</v>
      </c>
      <c r="AD17" s="13">
        <v>-22313.5</v>
      </c>
      <c r="AE17" s="13">
        <f>-64237.103+3416.424</f>
        <v>-60820.679000000004</v>
      </c>
      <c r="AF17" s="13">
        <v>-78636.354000000007</v>
      </c>
      <c r="AG17" s="13">
        <v>-83080</v>
      </c>
      <c r="AH17" s="13">
        <v>-83330</v>
      </c>
      <c r="AI17" s="172">
        <v>-69832</v>
      </c>
      <c r="AJ17" s="13">
        <v>-79158</v>
      </c>
      <c r="AK17" s="13">
        <v>-72523</v>
      </c>
      <c r="AL17" s="13">
        <v>-59600</v>
      </c>
      <c r="AM17" s="172">
        <v>-73298</v>
      </c>
    </row>
    <row r="18" spans="2:39" ht="18" thickTop="1" thickBot="1" x14ac:dyDescent="0.4">
      <c r="B18" s="32" t="s">
        <v>32</v>
      </c>
      <c r="C18" s="36">
        <f t="shared" ref="C18:G18" si="24">C14/AVERAGE(B17:C17)*100</f>
        <v>22.19178082191781</v>
      </c>
      <c r="D18" s="36">
        <f t="shared" si="24"/>
        <v>0</v>
      </c>
      <c r="E18" s="36" t="e">
        <f t="shared" si="24"/>
        <v>#DIV/0!</v>
      </c>
      <c r="F18" s="36" t="e">
        <f t="shared" si="24"/>
        <v>#DIV/0!</v>
      </c>
      <c r="G18" s="36" t="e">
        <f t="shared" si="24"/>
        <v>#DIV/0!</v>
      </c>
      <c r="H18" s="36" t="e">
        <f>H14/AVERAGE(G17:H17)*100</f>
        <v>#DIV/0!</v>
      </c>
      <c r="I18" s="37" t="e">
        <f>I14/AVERAGE(H17:I17)*100</f>
        <v>#DIV/0!</v>
      </c>
      <c r="J18" s="23" t="e">
        <f>AVERAGE(D18:I18)</f>
        <v>#DIV/0!</v>
      </c>
      <c r="M18" s="9" t="s">
        <v>33</v>
      </c>
      <c r="N18" s="6"/>
      <c r="O18" s="6"/>
      <c r="P18" s="6"/>
      <c r="Q18" s="6"/>
      <c r="W18" s="12" t="s">
        <v>45</v>
      </c>
      <c r="X18" s="15">
        <f t="shared" ref="X18:AG18" si="25">+X17/X14</f>
        <v>-5.8903452781254619E-2</v>
      </c>
      <c r="Y18" s="15">
        <f t="shared" si="25"/>
        <v>-4.5544349676358072E-2</v>
      </c>
      <c r="Z18" s="15">
        <f t="shared" si="25"/>
        <v>-3.1472009369034569E-2</v>
      </c>
      <c r="AA18" s="15">
        <f t="shared" si="25"/>
        <v>-5.9786131029417836E-2</v>
      </c>
      <c r="AB18" s="15">
        <f t="shared" si="25"/>
        <v>-5.5655280169054092E-2</v>
      </c>
      <c r="AC18" s="15">
        <f t="shared" si="25"/>
        <v>-9.3885763936525354E-2</v>
      </c>
      <c r="AD18" s="15">
        <f t="shared" si="25"/>
        <v>-6.8097050291891087E-2</v>
      </c>
      <c r="AE18" s="15">
        <f t="shared" si="25"/>
        <v>-0.13986653735373131</v>
      </c>
      <c r="AF18" s="15">
        <f t="shared" si="25"/>
        <v>-0.24928091611205538</v>
      </c>
      <c r="AG18" s="15">
        <f t="shared" si="25"/>
        <v>-0.37756428318230156</v>
      </c>
      <c r="AH18" s="15">
        <f t="shared" ref="AH18:AK18" si="26">+AH17/AH14</f>
        <v>-1.9859389895138226</v>
      </c>
      <c r="AI18" s="175">
        <f t="shared" si="26"/>
        <v>-0.47931910220330837</v>
      </c>
      <c r="AJ18" s="15">
        <f t="shared" si="26"/>
        <v>-0.49016669556386694</v>
      </c>
      <c r="AK18" s="15">
        <f t="shared" si="26"/>
        <v>-0.32930871642116349</v>
      </c>
      <c r="AL18" s="15">
        <f t="shared" ref="AL18:AM18" si="27">+AL17/AL14</f>
        <v>-0.23269080906949596</v>
      </c>
      <c r="AM18" s="175">
        <f t="shared" si="27"/>
        <v>-0.83171260311588691</v>
      </c>
    </row>
    <row r="19" spans="2:39" ht="18" thickTop="1" thickBot="1" x14ac:dyDescent="0.4">
      <c r="B19" s="32" t="s">
        <v>34</v>
      </c>
      <c r="C19" s="30">
        <f t="shared" ref="C19:G19" si="28">C15/C16*100</f>
        <v>5.0473186119873823</v>
      </c>
      <c r="D19" s="30" t="e">
        <f t="shared" si="28"/>
        <v>#DIV/0!</v>
      </c>
      <c r="E19" s="30" t="e">
        <f t="shared" si="28"/>
        <v>#DIV/0!</v>
      </c>
      <c r="F19" s="30" t="e">
        <f t="shared" si="28"/>
        <v>#DIV/0!</v>
      </c>
      <c r="G19" s="30" t="e">
        <f t="shared" si="28"/>
        <v>#DIV/0!</v>
      </c>
      <c r="H19" s="30" t="e">
        <f>H15/H16*100</f>
        <v>#DIV/0!</v>
      </c>
      <c r="I19" s="31" t="e">
        <f>I15/I16*100</f>
        <v>#DIV/0!</v>
      </c>
      <c r="J19" s="23" t="e">
        <f>AVERAGE(D19:I19)</f>
        <v>#DIV/0!</v>
      </c>
    </row>
    <row r="20" spans="2:39" ht="18" thickTop="1" thickBot="1" x14ac:dyDescent="0.4">
      <c r="B20" s="32" t="s">
        <v>35</v>
      </c>
      <c r="C20" s="30">
        <f t="shared" ref="C20:G20" si="29">C15/C14*100</f>
        <v>49.382716049382715</v>
      </c>
      <c r="D20" s="30" t="e">
        <f t="shared" si="29"/>
        <v>#DIV/0!</v>
      </c>
      <c r="E20" s="30" t="e">
        <f t="shared" si="29"/>
        <v>#DIV/0!</v>
      </c>
      <c r="F20" s="30" t="e">
        <f t="shared" si="29"/>
        <v>#DIV/0!</v>
      </c>
      <c r="G20" s="30" t="e">
        <f t="shared" si="29"/>
        <v>#DIV/0!</v>
      </c>
      <c r="H20" s="30" t="e">
        <f>H15/H14*100</f>
        <v>#DIV/0!</v>
      </c>
      <c r="I20" s="31" t="e">
        <f>I15/I14*100</f>
        <v>#DIV/0!</v>
      </c>
      <c r="J20" s="23" t="e">
        <f>AVERAGE(D20:I20)</f>
        <v>#DIV/0!</v>
      </c>
      <c r="M20" t="s">
        <v>36</v>
      </c>
      <c r="N20" s="4" t="e">
        <f>N13/H14-1</f>
        <v>#DIV/0!</v>
      </c>
      <c r="W20" s="12" t="s">
        <v>21</v>
      </c>
      <c r="X20" s="13">
        <v>165606.17199999999</v>
      </c>
      <c r="Y20" s="13">
        <v>150422.598</v>
      </c>
      <c r="Z20" s="13">
        <v>207263.60500000001</v>
      </c>
      <c r="AA20" s="13">
        <v>133080.18299999999</v>
      </c>
      <c r="AB20" s="13">
        <v>160560.53099999999</v>
      </c>
      <c r="AC20" s="13">
        <v>118884</v>
      </c>
      <c r="AD20" s="13">
        <v>305358.549</v>
      </c>
      <c r="AE20" s="13">
        <v>374027.28499999997</v>
      </c>
      <c r="AF20" s="13">
        <v>236816.41</v>
      </c>
      <c r="AG20" s="13">
        <v>136962</v>
      </c>
      <c r="AH20" s="13">
        <v>-41370</v>
      </c>
      <c r="AI20" s="172">
        <v>75858</v>
      </c>
      <c r="AJ20" s="13">
        <v>82334</v>
      </c>
      <c r="AK20" s="13">
        <v>147705</v>
      </c>
      <c r="AL20" s="13">
        <f>+AL84-AK20-AJ20-AI20</f>
        <v>196533.88099999999</v>
      </c>
      <c r="AM20" s="172">
        <v>14831</v>
      </c>
    </row>
    <row r="21" spans="2:39" ht="18" thickTop="1" thickBot="1" x14ac:dyDescent="0.4">
      <c r="B21" s="32" t="s">
        <v>11</v>
      </c>
      <c r="C21" s="38">
        <f t="shared" ref="C21:G21" si="30">C16/C14</f>
        <v>9.7839506172839492</v>
      </c>
      <c r="D21" s="38" t="e">
        <f t="shared" si="30"/>
        <v>#DIV/0!</v>
      </c>
      <c r="E21" s="38" t="e">
        <f t="shared" si="30"/>
        <v>#DIV/0!</v>
      </c>
      <c r="F21" s="38" t="e">
        <f t="shared" si="30"/>
        <v>#DIV/0!</v>
      </c>
      <c r="G21" s="38" t="e">
        <f t="shared" si="30"/>
        <v>#DIV/0!</v>
      </c>
      <c r="H21" s="38" t="e">
        <f>H16/H14</f>
        <v>#DIV/0!</v>
      </c>
      <c r="I21" s="39" t="e">
        <f>I16/I14</f>
        <v>#DIV/0!</v>
      </c>
      <c r="J21" s="23" t="e">
        <f>AVERAGE(D21:I21)</f>
        <v>#DIV/0!</v>
      </c>
      <c r="W21" s="12" t="s">
        <v>46</v>
      </c>
      <c r="X21" s="19">
        <f t="shared" ref="X21:AG21" si="31">+X20/X3</f>
        <v>0.18558684478218757</v>
      </c>
      <c r="Y21" s="19">
        <f t="shared" si="31"/>
        <v>0.16773806286492998</v>
      </c>
      <c r="Z21" s="19">
        <f t="shared" si="31"/>
        <v>0.19644878357457563</v>
      </c>
      <c r="AA21" s="19">
        <f t="shared" si="31"/>
        <v>0.13239932700762491</v>
      </c>
      <c r="AB21" s="19">
        <f t="shared" si="31"/>
        <v>0.13927824254797896</v>
      </c>
      <c r="AC21" s="19">
        <f t="shared" si="31"/>
        <v>9.4869873524391385E-2</v>
      </c>
      <c r="AD21" s="19">
        <f t="shared" si="31"/>
        <v>0.21849511647820999</v>
      </c>
      <c r="AE21" s="19">
        <f t="shared" si="31"/>
        <v>0.23589524771058681</v>
      </c>
      <c r="AF21" s="19">
        <f t="shared" si="31"/>
        <v>0.13823754311711378</v>
      </c>
      <c r="AG21" s="19">
        <f t="shared" si="31"/>
        <v>9.4722689819534328E-2</v>
      </c>
      <c r="AH21" s="19">
        <f t="shared" ref="AH21:AK21" si="32">+AH20/AH3</f>
        <v>-2.7464885509866314E-2</v>
      </c>
      <c r="AI21" s="174">
        <f t="shared" si="32"/>
        <v>6.5456108045980982E-2</v>
      </c>
      <c r="AJ21" s="19">
        <f t="shared" si="32"/>
        <v>5.3771003992301447E-2</v>
      </c>
      <c r="AK21" s="19">
        <f t="shared" si="32"/>
        <v>9.7129228134826856E-2</v>
      </c>
      <c r="AL21" s="19">
        <f t="shared" ref="AL21:AM21" si="33">+AL20/AL3</f>
        <v>0.13204301575911981</v>
      </c>
      <c r="AM21" s="174">
        <f t="shared" si="33"/>
        <v>1.0646002993313497E-2</v>
      </c>
    </row>
    <row r="22" spans="2:39" ht="18" thickTop="1" thickBot="1" x14ac:dyDescent="0.4">
      <c r="B22" s="32" t="s">
        <v>37</v>
      </c>
      <c r="C22" s="38">
        <f t="shared" ref="C22:G22" si="34">C16/C17</f>
        <v>2.1712328767123288</v>
      </c>
      <c r="D22" s="38" t="e">
        <f t="shared" si="34"/>
        <v>#DIV/0!</v>
      </c>
      <c r="E22" s="38" t="e">
        <f t="shared" si="34"/>
        <v>#DIV/0!</v>
      </c>
      <c r="F22" s="38" t="e">
        <f t="shared" si="34"/>
        <v>#DIV/0!</v>
      </c>
      <c r="G22" s="38" t="e">
        <f t="shared" si="34"/>
        <v>#DIV/0!</v>
      </c>
      <c r="H22" s="38" t="e">
        <f>H16/H17</f>
        <v>#DIV/0!</v>
      </c>
      <c r="I22" s="39" t="e">
        <f>I16/I17</f>
        <v>#DIV/0!</v>
      </c>
      <c r="J22" s="23" t="e">
        <f>AVERAGE(D22:I22)</f>
        <v>#DIV/0!</v>
      </c>
    </row>
    <row r="23" spans="2:39" ht="15.75" thickTop="1" x14ac:dyDescent="0.25">
      <c r="W23" s="12" t="s">
        <v>47</v>
      </c>
      <c r="X23" s="13">
        <v>-30822.280999999999</v>
      </c>
      <c r="Y23" s="13">
        <v>-21391.238000000001</v>
      </c>
      <c r="Z23" s="13">
        <v>-33928.703999999998</v>
      </c>
      <c r="AA23" s="13">
        <v>-28780.983</v>
      </c>
      <c r="AB23" s="13">
        <v>-33158.298000000003</v>
      </c>
      <c r="AC23" s="13">
        <f>-14900-6485</f>
        <v>-21385</v>
      </c>
      <c r="AD23" s="13">
        <v>-46580.095000000001</v>
      </c>
      <c r="AE23" s="13">
        <v>-73659.357999999993</v>
      </c>
      <c r="AF23" s="13">
        <v>-14322.784</v>
      </c>
      <c r="AG23" s="13">
        <f>-39933-139450</f>
        <v>-179383</v>
      </c>
      <c r="AH23" s="13">
        <f>2038+70050</f>
        <v>72088</v>
      </c>
      <c r="AI23" s="172">
        <f>-18452+3949</f>
        <v>-14503</v>
      </c>
      <c r="AJ23" s="13">
        <v>16589</v>
      </c>
      <c r="AK23" s="13">
        <v>-59260</v>
      </c>
      <c r="AL23" s="13">
        <f>+AL85-AI23-AJ23-AK23</f>
        <v>56975.476999999999</v>
      </c>
      <c r="AM23" s="172">
        <f>-28944-4761</f>
        <v>-33705</v>
      </c>
    </row>
    <row r="24" spans="2:39" x14ac:dyDescent="0.25">
      <c r="G24" s="10">
        <v>701.95658000000003</v>
      </c>
      <c r="H24" s="10">
        <v>709.32254499999999</v>
      </c>
      <c r="I24" s="10">
        <v>716.73997499999996</v>
      </c>
      <c r="W24" s="12" t="s">
        <v>48</v>
      </c>
      <c r="X24" s="14">
        <f t="shared" ref="X24:AG24" si="35">+X23/X20</f>
        <v>-0.18611794855085473</v>
      </c>
      <c r="Y24" s="14">
        <f t="shared" si="35"/>
        <v>-0.14220760899236698</v>
      </c>
      <c r="Z24" s="14">
        <f t="shared" si="35"/>
        <v>-0.16369832031050505</v>
      </c>
      <c r="AA24" s="14">
        <f t="shared" si="35"/>
        <v>-0.21626798484339327</v>
      </c>
      <c r="AB24" s="14">
        <f t="shared" si="35"/>
        <v>-0.20651587157493895</v>
      </c>
      <c r="AC24" s="14">
        <f t="shared" si="35"/>
        <v>-0.17988122876080886</v>
      </c>
      <c r="AD24" s="14">
        <f t="shared" si="35"/>
        <v>-0.15254229872568592</v>
      </c>
      <c r="AE24" s="14">
        <f t="shared" si="35"/>
        <v>-0.19693578771933709</v>
      </c>
      <c r="AF24" s="14">
        <f t="shared" si="35"/>
        <v>-6.0480538489710231E-2</v>
      </c>
      <c r="AG24" s="14">
        <f t="shared" si="35"/>
        <v>-1.3097282457908033</v>
      </c>
      <c r="AH24" s="14">
        <f t="shared" ref="AH24:AK24" si="36">+AH23/AH20</f>
        <v>-1.7425187333816776</v>
      </c>
      <c r="AI24" s="176">
        <f t="shared" si="36"/>
        <v>-0.19118616362150334</v>
      </c>
      <c r="AJ24" s="14">
        <f t="shared" si="36"/>
        <v>0.2014841985085141</v>
      </c>
      <c r="AK24" s="14">
        <f t="shared" si="36"/>
        <v>-0.40120510476964222</v>
      </c>
      <c r="AL24" s="14">
        <f t="shared" ref="AL24:AM24" si="37">+AL23/AL20</f>
        <v>0.2899015513767827</v>
      </c>
      <c r="AM24" s="176">
        <f t="shared" si="37"/>
        <v>-2.272604679387769</v>
      </c>
    </row>
    <row r="25" spans="2:39" x14ac:dyDescent="0.25">
      <c r="G25">
        <f>+G10/G24</f>
        <v>0</v>
      </c>
      <c r="H25">
        <f>+H10/H24</f>
        <v>0</v>
      </c>
      <c r="I25">
        <f>+I10/I24</f>
        <v>0</v>
      </c>
      <c r="M25" s="10"/>
    </row>
    <row r="26" spans="2:39" x14ac:dyDescent="0.25">
      <c r="M26" s="10"/>
      <c r="W26" s="12" t="s">
        <v>49</v>
      </c>
      <c r="X26" s="13">
        <f t="shared" ref="X26:AG26" si="38">+X20+X23</f>
        <v>134783.891</v>
      </c>
      <c r="Y26" s="13">
        <f t="shared" si="38"/>
        <v>129031.36</v>
      </c>
      <c r="Z26" s="13">
        <f t="shared" si="38"/>
        <v>173334.90100000001</v>
      </c>
      <c r="AA26" s="13">
        <f t="shared" si="38"/>
        <v>104299.19999999998</v>
      </c>
      <c r="AB26" s="13">
        <f t="shared" si="38"/>
        <v>127402.23299999998</v>
      </c>
      <c r="AC26" s="13">
        <f t="shared" si="38"/>
        <v>97499</v>
      </c>
      <c r="AD26" s="13">
        <f t="shared" si="38"/>
        <v>258778.454</v>
      </c>
      <c r="AE26" s="13">
        <f t="shared" si="38"/>
        <v>300367.92699999997</v>
      </c>
      <c r="AF26" s="13">
        <f t="shared" si="38"/>
        <v>222493.62599999999</v>
      </c>
      <c r="AG26" s="13">
        <f t="shared" si="38"/>
        <v>-42421</v>
      </c>
      <c r="AH26" s="13">
        <f t="shared" ref="AH26:AK26" si="39">+AH20+AH23</f>
        <v>30718</v>
      </c>
      <c r="AI26" s="172">
        <f t="shared" si="39"/>
        <v>61355</v>
      </c>
      <c r="AJ26" s="13">
        <f t="shared" si="39"/>
        <v>98923</v>
      </c>
      <c r="AK26" s="13">
        <f t="shared" si="39"/>
        <v>88445</v>
      </c>
      <c r="AL26" s="13">
        <f t="shared" ref="AL26:AM26" si="40">+AL20+AL23</f>
        <v>253509.35800000001</v>
      </c>
      <c r="AM26" s="172">
        <f t="shared" si="40"/>
        <v>-18874</v>
      </c>
    </row>
    <row r="27" spans="2:39" x14ac:dyDescent="0.25">
      <c r="W27" s="12" t="s">
        <v>25</v>
      </c>
      <c r="X27" s="19">
        <f t="shared" ref="X27:AG27" si="41">+X26/X3</f>
        <v>0.15104580195330092</v>
      </c>
      <c r="Y27" s="19">
        <f t="shared" si="41"/>
        <v>0.14388443400789697</v>
      </c>
      <c r="Z27" s="19">
        <f t="shared" si="41"/>
        <v>0.16429044767637566</v>
      </c>
      <c r="AA27" s="19">
        <f t="shared" si="41"/>
        <v>0.10376559136106442</v>
      </c>
      <c r="AB27" s="19">
        <f t="shared" si="41"/>
        <v>0.11051507489675733</v>
      </c>
      <c r="AC27" s="19">
        <f t="shared" si="41"/>
        <v>7.7804564102441326E-2</v>
      </c>
      <c r="AD27" s="19">
        <f t="shared" si="41"/>
        <v>0.18516536915028733</v>
      </c>
      <c r="AE27" s="19">
        <f t="shared" si="41"/>
        <v>0.18943903128345424</v>
      </c>
      <c r="AF27" s="19">
        <f t="shared" si="41"/>
        <v>0.12987686206989618</v>
      </c>
      <c r="AG27" s="19">
        <f t="shared" si="41"/>
        <v>-2.9338292554390751E-2</v>
      </c>
      <c r="AH27" s="19">
        <f t="shared" ref="AH27:AK27" si="42">+AH26/AH3</f>
        <v>2.0393192001258723E-2</v>
      </c>
      <c r="AI27" s="174">
        <f t="shared" si="42"/>
        <v>5.2941805863075259E-2</v>
      </c>
      <c r="AJ27" s="19">
        <f t="shared" si="42"/>
        <v>6.4605011634688417E-2</v>
      </c>
      <c r="AK27" s="19">
        <f t="shared" si="42"/>
        <v>5.8160485984799164E-2</v>
      </c>
      <c r="AL27" s="19">
        <f t="shared" ref="AL27:AM27" si="43">+AL26/AL3</f>
        <v>0.17032249087615761</v>
      </c>
      <c r="AM27" s="174">
        <f t="shared" si="43"/>
        <v>-1.3548153226066952E-2</v>
      </c>
    </row>
    <row r="29" spans="2:39" x14ac:dyDescent="0.25">
      <c r="M29" s="10"/>
      <c r="W29" s="12" t="s">
        <v>29</v>
      </c>
      <c r="X29" s="16">
        <f t="shared" ref="X29:AI29" si="44">+X26/X44</f>
        <v>0.43925960241661677</v>
      </c>
      <c r="Y29" s="16">
        <f t="shared" si="44"/>
        <v>0.42051215076492593</v>
      </c>
      <c r="Z29" s="16">
        <f t="shared" si="44"/>
        <v>0.564897029854878</v>
      </c>
      <c r="AA29" s="16">
        <f t="shared" si="44"/>
        <v>0.33991024286701432</v>
      </c>
      <c r="AB29" s="16">
        <f t="shared" si="44"/>
        <v>0.41520283914766309</v>
      </c>
      <c r="AC29" s="16">
        <f t="shared" si="44"/>
        <v>0.31774844648176626</v>
      </c>
      <c r="AD29" s="16">
        <f t="shared" si="44"/>
        <v>0.8433568728033437</v>
      </c>
      <c r="AE29" s="16">
        <f t="shared" si="44"/>
        <v>0.97889662639820474</v>
      </c>
      <c r="AF29" s="16">
        <f t="shared" si="44"/>
        <v>0.72510491403599131</v>
      </c>
      <c r="AG29" s="16">
        <f t="shared" si="44"/>
        <v>-0.1382496933117571</v>
      </c>
      <c r="AH29" s="16">
        <f t="shared" si="44"/>
        <v>0.10010971167936999</v>
      </c>
      <c r="AI29" s="177">
        <f t="shared" si="44"/>
        <v>0.19995544501880808</v>
      </c>
      <c r="AJ29" s="16">
        <f t="shared" ref="AJ29:AM29" si="45">+AJ26/AJ44</f>
        <v>0.32238925087760656</v>
      </c>
      <c r="AK29" s="16">
        <f t="shared" si="45"/>
        <v>0.28824153426270849</v>
      </c>
      <c r="AL29" s="16">
        <f t="shared" si="45"/>
        <v>0.8261849318771467</v>
      </c>
      <c r="AM29" s="177">
        <f t="shared" si="45"/>
        <v>-6.1510212195990281E-2</v>
      </c>
    </row>
    <row r="30" spans="2:39" x14ac:dyDescent="0.25">
      <c r="M30" s="10"/>
      <c r="W30" s="12" t="s">
        <v>40</v>
      </c>
      <c r="AA30" s="17"/>
      <c r="AB30" s="18">
        <f t="shared" ref="AB30:AM30" si="46">+AB29/X29-1</f>
        <v>-5.4766618957454161E-2</v>
      </c>
      <c r="AC30" s="18">
        <f t="shared" si="46"/>
        <v>-0.2443774908673364</v>
      </c>
      <c r="AD30" s="18">
        <f t="shared" si="46"/>
        <v>0.4929391167448729</v>
      </c>
      <c r="AE30" s="18">
        <f t="shared" si="46"/>
        <v>1.8798679855646068</v>
      </c>
      <c r="AF30" s="18">
        <f t="shared" si="46"/>
        <v>0.74638717674595267</v>
      </c>
      <c r="AG30" s="18">
        <f t="shared" si="46"/>
        <v>-1.4350916419655586</v>
      </c>
      <c r="AH30" s="18">
        <f t="shared" si="46"/>
        <v>-0.88129614531200495</v>
      </c>
      <c r="AI30" s="173">
        <f t="shared" si="46"/>
        <v>-0.7957338501057738</v>
      </c>
      <c r="AJ30" s="18">
        <f t="shared" si="46"/>
        <v>-0.55538951034938866</v>
      </c>
      <c r="AK30" s="18">
        <f t="shared" si="46"/>
        <v>-3.0849343485537823</v>
      </c>
      <c r="AL30" s="18">
        <f t="shared" si="46"/>
        <v>7.252795038739503</v>
      </c>
      <c r="AM30" s="173">
        <f t="shared" si="46"/>
        <v>-1.3076195909053867</v>
      </c>
    </row>
    <row r="31" spans="2:39" x14ac:dyDescent="0.25">
      <c r="W31" s="12" t="s">
        <v>41</v>
      </c>
      <c r="Y31" s="18">
        <f t="shared" ref="Y31:AD31" si="47">+Y29/X29-1</f>
        <v>-4.2679662660873974E-2</v>
      </c>
      <c r="Z31" s="18">
        <f t="shared" si="47"/>
        <v>0.34335483249963428</v>
      </c>
      <c r="AA31" s="18">
        <f t="shared" si="47"/>
        <v>-0.39827928825482184</v>
      </c>
      <c r="AB31" s="18">
        <f t="shared" si="47"/>
        <v>0.22150728864650926</v>
      </c>
      <c r="AC31" s="18">
        <f t="shared" si="47"/>
        <v>-0.23471514035393692</v>
      </c>
      <c r="AD31" s="18">
        <f t="shared" si="47"/>
        <v>1.6541652119508918</v>
      </c>
      <c r="AE31" s="18">
        <f>+AE29/AD29-1</f>
        <v>0.16071458947660289</v>
      </c>
      <c r="AF31" s="18">
        <f>+AF29/AE29-1</f>
        <v>-0.25926303709516885</v>
      </c>
      <c r="AG31" s="18">
        <f>+AG29/AF29-1</f>
        <v>-1.190661641695749</v>
      </c>
      <c r="AH31" s="18">
        <f t="shared" ref="AH31" si="48">+AH29/AG29-1</f>
        <v>-1.7241224865043256</v>
      </c>
      <c r="AI31" s="173">
        <f>+AI29/AH29-1</f>
        <v>0.99736310957744667</v>
      </c>
      <c r="AJ31" s="18">
        <f>+AJ29/AI29-1</f>
        <v>0.61230543557982231</v>
      </c>
      <c r="AK31" s="18">
        <f>+AK29/AJ29-1</f>
        <v>-0.10592076665689476</v>
      </c>
      <c r="AL31" s="18">
        <f t="shared" ref="AL31" si="49">+AL29/AK29-1</f>
        <v>1.8662938323251743</v>
      </c>
      <c r="AM31" s="173">
        <f>+AM29/AL29-1</f>
        <v>-1.0744509005462433</v>
      </c>
    </row>
    <row r="32" spans="2:39" x14ac:dyDescent="0.25">
      <c r="Y32" s="18"/>
      <c r="Z32" s="18"/>
      <c r="AA32" s="18"/>
      <c r="AB32" s="18"/>
      <c r="AC32" s="18"/>
      <c r="AD32" s="18"/>
      <c r="AE32" s="18"/>
      <c r="AF32" s="18"/>
      <c r="AG32" s="18"/>
      <c r="AH32" s="18"/>
      <c r="AI32" s="173"/>
      <c r="AJ32" s="18"/>
      <c r="AK32" s="18"/>
      <c r="AL32" s="18"/>
      <c r="AM32" s="173"/>
    </row>
    <row r="33" spans="23:42" x14ac:dyDescent="0.25">
      <c r="W33" s="12" t="s">
        <v>88</v>
      </c>
      <c r="X33" s="18">
        <f t="shared" ref="X33:AI33" si="50">+X26*4/X38</f>
        <v>0.17512428591367488</v>
      </c>
      <c r="Y33" s="18">
        <f t="shared" si="50"/>
        <v>0.16125517853360971</v>
      </c>
      <c r="Z33" s="18">
        <f t="shared" si="50"/>
        <v>0.21392050972499951</v>
      </c>
      <c r="AA33" s="18">
        <f t="shared" si="50"/>
        <v>0.12444602220991589</v>
      </c>
      <c r="AB33" s="18">
        <f t="shared" si="50"/>
        <v>0.16604009334984471</v>
      </c>
      <c r="AC33" s="18">
        <f t="shared" si="50"/>
        <v>0.110451416738036</v>
      </c>
      <c r="AD33" s="18">
        <f t="shared" si="50"/>
        <v>0.34377440215408006</v>
      </c>
      <c r="AE33" s="18">
        <f t="shared" si="50"/>
        <v>0.41273896391171511</v>
      </c>
      <c r="AF33" s="18">
        <f t="shared" si="50"/>
        <v>0.27726294392949924</v>
      </c>
      <c r="AG33" s="18">
        <f t="shared" si="50"/>
        <v>-5.2308447331493577E-2</v>
      </c>
      <c r="AH33" s="18">
        <f t="shared" si="50"/>
        <v>3.3985878125255851E-2</v>
      </c>
      <c r="AI33" s="173">
        <f t="shared" si="50"/>
        <v>6.6749366762231421E-2</v>
      </c>
      <c r="AJ33" s="18">
        <f t="shared" ref="AJ33:AM33" si="51">+AJ26*4/AJ38</f>
        <v>0.10480072231060998</v>
      </c>
      <c r="AK33" s="18">
        <f t="shared" si="51"/>
        <v>9.1555459399923295E-2</v>
      </c>
      <c r="AL33" s="18">
        <f t="shared" si="51"/>
        <v>0.2501436748548283</v>
      </c>
      <c r="AM33" s="173">
        <f t="shared" si="51"/>
        <v>-1.8800494765590234E-2</v>
      </c>
      <c r="AN33" s="18"/>
      <c r="AO33" s="14">
        <f>+AVERAGE(X33:AM33)</f>
        <v>0.15382124848882126</v>
      </c>
      <c r="AP33" s="50" t="s">
        <v>88</v>
      </c>
    </row>
    <row r="34" spans="23:42" x14ac:dyDescent="0.25">
      <c r="AO34" s="56">
        <f>AVERAGE(X33:AM33)*AM46</f>
        <v>2.0130486463827917</v>
      </c>
      <c r="AP34" s="50" t="s">
        <v>183</v>
      </c>
    </row>
    <row r="35" spans="23:42" x14ac:dyDescent="0.25">
      <c r="W35" s="12" t="s">
        <v>52</v>
      </c>
      <c r="X35" s="13">
        <f>426032.725+43189.375+947386.696</f>
        <v>1416608.7960000001</v>
      </c>
      <c r="Y35" s="13">
        <f>1056608.135+40504.796+419040.114</f>
        <v>1516153.0450000002</v>
      </c>
      <c r="Z35" s="13">
        <f>825943.002+36009.829+1737.629+1037079.851</f>
        <v>1900770.311</v>
      </c>
      <c r="AA35" s="13">
        <f>999991.123+36982.83-1999.5+1251100.352</f>
        <v>2286074.8049999997</v>
      </c>
      <c r="AB35" s="13">
        <f>1910009.447+228766.544+2091814.003+870.389</f>
        <v>4231460.3830000004</v>
      </c>
      <c r="AC35" s="13">
        <f>1930726+36236+1117388</f>
        <v>3084350</v>
      </c>
      <c r="AD35" s="13">
        <f>2030315.505+35135.746+872.487+1971507.945</f>
        <v>4037831.6830000002</v>
      </c>
      <c r="AE35" s="13">
        <f>1783721.111+34900.99+872.487+2876409.838</f>
        <v>4695904.426</v>
      </c>
      <c r="AF35" s="13">
        <f>1760634.388+34659.12+22100.72+2760257.49</f>
        <v>4577651.7180000003</v>
      </c>
      <c r="AG35" s="13">
        <f>2069054+47698+1740380+6176</f>
        <v>3863308</v>
      </c>
      <c r="AH35" s="13">
        <f>1231028+36086+1936017+10996</f>
        <v>3214127</v>
      </c>
      <c r="AI35" s="172">
        <f>1481395+36843+1418958+10996</f>
        <v>2948192</v>
      </c>
      <c r="AJ35" s="13">
        <f>974946+36539+8144+2106053</f>
        <v>3125682</v>
      </c>
      <c r="AK35" s="13">
        <f>974946+33333+8099+1883544</f>
        <v>2899922</v>
      </c>
      <c r="AL35" s="13">
        <f>705541+32781+2179+2037051</f>
        <v>2777552</v>
      </c>
      <c r="AM35" s="172">
        <f>840036+98556+76581+2072056</f>
        <v>3087229</v>
      </c>
      <c r="AO35" s="56">
        <f>X1/AO34</f>
        <v>9.1403653026779086</v>
      </c>
      <c r="AP35" s="50" t="s">
        <v>11</v>
      </c>
    </row>
    <row r="36" spans="23:42" x14ac:dyDescent="0.25">
      <c r="W36" s="12" t="s">
        <v>53</v>
      </c>
      <c r="X36" s="13">
        <v>328900.05499999999</v>
      </c>
      <c r="Y36" s="13">
        <v>335189.22600000002</v>
      </c>
      <c r="Z36" s="13">
        <f>275808.326+55498.469</f>
        <v>331306.79499999998</v>
      </c>
      <c r="AA36" s="13">
        <f>232498.822+282848.236</f>
        <v>515347.05799999996</v>
      </c>
      <c r="AB36" s="13">
        <f>115561.187+59077.6</f>
        <v>174638.78700000001</v>
      </c>
      <c r="AC36" s="13">
        <f>687380+180483</f>
        <v>867863</v>
      </c>
      <c r="AD36" s="13">
        <f>115561.187+59077.6</f>
        <v>174638.78700000001</v>
      </c>
      <c r="AE36" s="13">
        <f>281309.783+62346.154</f>
        <v>343655.93699999998</v>
      </c>
      <c r="AF36" s="13">
        <f>192217.469+66379.769</f>
        <v>258597.23800000001</v>
      </c>
      <c r="AG36" s="13">
        <v>150104</v>
      </c>
      <c r="AH36" s="13">
        <v>185416</v>
      </c>
      <c r="AI36" s="172">
        <v>65982</v>
      </c>
      <c r="AJ36" s="13">
        <v>111761</v>
      </c>
      <c r="AK36" s="13">
        <v>124546</v>
      </c>
      <c r="AL36" s="13">
        <v>35446</v>
      </c>
      <c r="AM36" s="172">
        <f>95485+30240</f>
        <v>125725</v>
      </c>
    </row>
    <row r="37" spans="23:42" x14ac:dyDescent="0.25">
      <c r="W37" s="12" t="s">
        <v>50</v>
      </c>
      <c r="X37" s="13">
        <f t="shared" ref="X37:AG37" si="52">+X35-X36</f>
        <v>1087708.7410000002</v>
      </c>
      <c r="Y37" s="13">
        <f t="shared" si="52"/>
        <v>1180963.8190000001</v>
      </c>
      <c r="Z37" s="13">
        <f t="shared" si="52"/>
        <v>1569463.5160000001</v>
      </c>
      <c r="AA37" s="13">
        <f t="shared" si="52"/>
        <v>1770727.7469999997</v>
      </c>
      <c r="AB37" s="13">
        <f t="shared" si="52"/>
        <v>4056821.5960000004</v>
      </c>
      <c r="AC37" s="13">
        <f t="shared" si="52"/>
        <v>2216487</v>
      </c>
      <c r="AD37" s="13">
        <f t="shared" si="52"/>
        <v>3863192.8960000002</v>
      </c>
      <c r="AE37" s="13">
        <f t="shared" si="52"/>
        <v>4352248.4890000001</v>
      </c>
      <c r="AF37" s="13">
        <f t="shared" si="52"/>
        <v>4319054.4800000004</v>
      </c>
      <c r="AG37" s="13">
        <f t="shared" si="52"/>
        <v>3713204</v>
      </c>
      <c r="AH37" s="13">
        <f t="shared" ref="AH37:AK37" si="53">+AH35-AH36</f>
        <v>3028711</v>
      </c>
      <c r="AI37" s="172">
        <f t="shared" si="53"/>
        <v>2882210</v>
      </c>
      <c r="AJ37" s="13">
        <f t="shared" si="53"/>
        <v>3013921</v>
      </c>
      <c r="AK37" s="13">
        <f t="shared" si="53"/>
        <v>2775376</v>
      </c>
      <c r="AL37" s="13">
        <f t="shared" ref="AL37:AM37" si="54">+AL35-AL36</f>
        <v>2742106</v>
      </c>
      <c r="AM37" s="172">
        <f t="shared" si="54"/>
        <v>2961504</v>
      </c>
    </row>
    <row r="38" spans="23:42" x14ac:dyDescent="0.25">
      <c r="W38" s="12" t="s">
        <v>54</v>
      </c>
      <c r="X38" s="13">
        <v>3078588.2220000001</v>
      </c>
      <c r="Y38" s="13">
        <v>3200675.1329999999</v>
      </c>
      <c r="Z38" s="13">
        <v>3241108.6009999998</v>
      </c>
      <c r="AA38" s="13">
        <v>3352431.7820000001</v>
      </c>
      <c r="AB38" s="13">
        <v>3069192.0350000001</v>
      </c>
      <c r="AC38" s="13">
        <v>3530928</v>
      </c>
      <c r="AD38" s="13">
        <v>3011026.4449999998</v>
      </c>
      <c r="AE38" s="13">
        <v>2910972.341</v>
      </c>
      <c r="AF38" s="13">
        <v>3209857.37</v>
      </c>
      <c r="AG38" s="13">
        <v>3243912</v>
      </c>
      <c r="AH38" s="13">
        <v>3615384</v>
      </c>
      <c r="AI38" s="172">
        <v>3676739</v>
      </c>
      <c r="AJ38" s="13">
        <v>3775661</v>
      </c>
      <c r="AK38" s="13">
        <v>3864106</v>
      </c>
      <c r="AL38" s="13">
        <v>4053820</v>
      </c>
      <c r="AM38" s="172">
        <v>4015639</v>
      </c>
    </row>
    <row r="40" spans="23:42" x14ac:dyDescent="0.25">
      <c r="W40" s="12" t="s">
        <v>51</v>
      </c>
      <c r="X40" s="14">
        <f t="shared" ref="X40:AC40" si="55">+X35/X38</f>
        <v>0.46014883896349812</v>
      </c>
      <c r="Y40" s="14">
        <f t="shared" si="55"/>
        <v>0.47369788622655573</v>
      </c>
      <c r="Z40" s="14">
        <f t="shared" si="55"/>
        <v>0.5864568408517824</v>
      </c>
      <c r="AA40" s="14">
        <f t="shared" si="55"/>
        <v>0.68191538371473404</v>
      </c>
      <c r="AB40" s="14">
        <f t="shared" si="55"/>
        <v>1.3786887020251244</v>
      </c>
      <c r="AC40" s="14">
        <f t="shared" si="55"/>
        <v>0.87352390079888342</v>
      </c>
      <c r="AD40" s="14">
        <f t="shared" ref="AD40:AI40" si="56">+AD35/AD38</f>
        <v>1.3410150182191443</v>
      </c>
      <c r="AE40" s="14">
        <f t="shared" si="56"/>
        <v>1.6131738388097587</v>
      </c>
      <c r="AF40" s="14">
        <f t="shared" si="56"/>
        <v>1.4261230921920995</v>
      </c>
      <c r="AG40" s="14">
        <f t="shared" si="56"/>
        <v>1.1909410612864961</v>
      </c>
      <c r="AH40" s="14">
        <f t="shared" si="56"/>
        <v>0.8890140023853621</v>
      </c>
      <c r="AI40" s="176">
        <f t="shared" si="56"/>
        <v>0.80184968255837574</v>
      </c>
      <c r="AJ40" s="14">
        <f t="shared" ref="AJ40:AM40" si="57">+AJ35/AJ38</f>
        <v>0.82785027575304038</v>
      </c>
      <c r="AK40" s="14">
        <f t="shared" si="57"/>
        <v>0.75047682439353369</v>
      </c>
      <c r="AL40" s="14">
        <f t="shared" si="57"/>
        <v>0.68516905042651133</v>
      </c>
      <c r="AM40" s="176">
        <f t="shared" si="57"/>
        <v>0.76880142861447454</v>
      </c>
    </row>
    <row r="42" spans="23:42" x14ac:dyDescent="0.25">
      <c r="W42" s="12" t="s">
        <v>63</v>
      </c>
      <c r="X42" s="16">
        <f>+MGT!X42</f>
        <v>187.87664531682452</v>
      </c>
      <c r="Y42" s="16">
        <f>+MGT!Y42</f>
        <v>187.90335511406354</v>
      </c>
      <c r="Z42" s="16">
        <f>+MGT!Z42</f>
        <v>197.89852109390694</v>
      </c>
      <c r="AA42" s="16">
        <f>+MGT!AA42</f>
        <v>201.8866687497617</v>
      </c>
      <c r="AB42" s="16">
        <f>+MGT!AB42</f>
        <v>202.93332696356742</v>
      </c>
      <c r="AC42" s="16">
        <f>+MGT!AC42</f>
        <v>203.00000683784583</v>
      </c>
      <c r="AD42" s="16">
        <f>+MGT!AD42</f>
        <v>233.47823381556913</v>
      </c>
      <c r="AE42" s="16">
        <f>+MGT!AE42</f>
        <v>364.27332126591261</v>
      </c>
      <c r="AF42" s="16">
        <f>+MGT!AF42</f>
        <v>368.84924281572984</v>
      </c>
      <c r="AG42" s="16">
        <f>+MGT!AG42</f>
        <v>371.77544011969854</v>
      </c>
      <c r="AH42" s="16">
        <f>+MGT!AH42</f>
        <v>357.68530427957404</v>
      </c>
      <c r="AI42" s="177">
        <f>+MGT!AI42</f>
        <v>316.45665972198566</v>
      </c>
      <c r="AJ42" s="16">
        <f>+MGT!AJ42</f>
        <v>330.91833575134615</v>
      </c>
      <c r="AK42" s="16">
        <f>+MGT!AK42</f>
        <v>334.23663546748418</v>
      </c>
      <c r="AL42" s="16">
        <f>+MGT!AL42</f>
        <v>311.04852561025683</v>
      </c>
      <c r="AM42" s="177">
        <f>+MGT!AN42</f>
        <v>0</v>
      </c>
      <c r="AN42" s="46"/>
    </row>
    <row r="44" spans="23:42" x14ac:dyDescent="0.25">
      <c r="W44" s="12" t="s">
        <v>56</v>
      </c>
      <c r="X44" s="13">
        <v>306843.35700000002</v>
      </c>
      <c r="Y44" s="13">
        <v>306843.35700000002</v>
      </c>
      <c r="Z44" s="13">
        <v>306843.35700000002</v>
      </c>
      <c r="AA44" s="13">
        <v>306843.35700000002</v>
      </c>
      <c r="AB44" s="13">
        <v>306843.35700000002</v>
      </c>
      <c r="AC44" s="13">
        <v>306843.35700000002</v>
      </c>
      <c r="AD44" s="13">
        <v>306843.35700000002</v>
      </c>
      <c r="AE44" s="13">
        <v>306843.35700000002</v>
      </c>
      <c r="AF44" s="13">
        <v>306843.35700000002</v>
      </c>
      <c r="AG44" s="13">
        <v>306843.35700000002</v>
      </c>
      <c r="AH44" s="13">
        <v>306843.35700000002</v>
      </c>
      <c r="AI44" s="172">
        <v>306843.35700000002</v>
      </c>
      <c r="AJ44" s="13">
        <v>306843.35700000002</v>
      </c>
      <c r="AK44" s="13">
        <v>306843.35700000002</v>
      </c>
      <c r="AL44" s="13">
        <v>306843.35700000002</v>
      </c>
      <c r="AM44" s="172">
        <v>306843.35700000002</v>
      </c>
    </row>
    <row r="46" spans="23:42" x14ac:dyDescent="0.25">
      <c r="W46" s="12" t="s">
        <v>57</v>
      </c>
      <c r="X46" s="16">
        <f t="shared" ref="X46:AG46" si="58">+X38/X44</f>
        <v>10.033093928117857</v>
      </c>
      <c r="Y46" s="16">
        <f t="shared" si="58"/>
        <v>10.430974176182017</v>
      </c>
      <c r="Z46" s="16">
        <f t="shared" si="58"/>
        <v>10.56274651890215</v>
      </c>
      <c r="AA46" s="16">
        <f t="shared" si="58"/>
        <v>10.925547858609825</v>
      </c>
      <c r="AB46" s="16">
        <f t="shared" si="58"/>
        <v>10.002471831254278</v>
      </c>
      <c r="AC46" s="16">
        <f t="shared" si="58"/>
        <v>11.507265578508189</v>
      </c>
      <c r="AD46" s="16">
        <f t="shared" si="58"/>
        <v>9.8129106474350021</v>
      </c>
      <c r="AE46" s="16">
        <f t="shared" si="58"/>
        <v>9.4868351378387494</v>
      </c>
      <c r="AF46" s="16">
        <f t="shared" si="58"/>
        <v>10.460899011739075</v>
      </c>
      <c r="AG46" s="16">
        <f t="shared" si="58"/>
        <v>10.571882773398285</v>
      </c>
      <c r="AH46" s="16">
        <f t="shared" ref="AH46:AK46" si="59">+AH38/AH44</f>
        <v>11.782506994277213</v>
      </c>
      <c r="AI46" s="177">
        <f t="shared" si="59"/>
        <v>11.982462439296022</v>
      </c>
      <c r="AJ46" s="16">
        <f t="shared" si="59"/>
        <v>12.304848431181776</v>
      </c>
      <c r="AK46" s="16">
        <f t="shared" si="59"/>
        <v>12.593089965444484</v>
      </c>
      <c r="AL46" s="16">
        <f t="shared" ref="AL46:AM46" si="60">+AL38/AL44</f>
        <v>13.211366345467273</v>
      </c>
      <c r="AM46" s="177">
        <f t="shared" si="60"/>
        <v>13.086934777603805</v>
      </c>
    </row>
    <row r="48" spans="23:42" x14ac:dyDescent="0.25">
      <c r="W48" s="12" t="s">
        <v>67</v>
      </c>
      <c r="X48" s="13"/>
      <c r="Y48" s="13">
        <f>+Y52-X52</f>
        <v>221883.46799999999</v>
      </c>
      <c r="Z48" s="13">
        <f>+Z52-Y52</f>
        <v>-24632.445000000007</v>
      </c>
      <c r="AA48" s="13">
        <f>+AA52</f>
        <v>-100495.693</v>
      </c>
      <c r="AB48" s="13">
        <f t="shared" ref="AB48:AD49" si="61">+AB52-AA52</f>
        <v>-29331.656000000003</v>
      </c>
      <c r="AC48" s="13">
        <f t="shared" si="61"/>
        <v>44024.349000000002</v>
      </c>
      <c r="AD48" s="13">
        <f t="shared" si="61"/>
        <v>-847286.42599999998</v>
      </c>
      <c r="AE48" s="13">
        <f>+AE52</f>
        <v>-460861.77600000001</v>
      </c>
      <c r="AF48" s="13">
        <f>+AF52-AE52</f>
        <v>120048.065</v>
      </c>
      <c r="AG48" s="13">
        <f>+AG52-AF52</f>
        <v>645641.71100000001</v>
      </c>
      <c r="AH48" s="13">
        <f t="shared" ref="AH48:AH49" si="62">+AH52-AG52</f>
        <v>740250</v>
      </c>
      <c r="AI48" s="172">
        <f>+AI52</f>
        <v>188651</v>
      </c>
      <c r="AJ48" s="13">
        <f>+AJ52-AI52</f>
        <v>-71470</v>
      </c>
      <c r="AK48" s="13">
        <f>+AK52-AJ52</f>
        <v>383425</v>
      </c>
      <c r="AL48" s="13">
        <f t="shared" ref="AL48:AL49" si="63">+AL52-AK52</f>
        <v>-153996</v>
      </c>
      <c r="AM48" s="172">
        <f>+AM52</f>
        <v>-52089</v>
      </c>
    </row>
    <row r="49" spans="23:39" x14ac:dyDescent="0.25">
      <c r="W49" s="12" t="s">
        <v>60</v>
      </c>
      <c r="Y49" s="13">
        <f>+Y53-X53</f>
        <v>-165776.011</v>
      </c>
      <c r="Z49" s="13">
        <f>+Z53-Y53</f>
        <v>-58181.23199999996</v>
      </c>
      <c r="AA49" s="13">
        <f>+AA53</f>
        <v>-110771.734</v>
      </c>
      <c r="AB49" s="13">
        <f t="shared" si="61"/>
        <v>-176982.17700000003</v>
      </c>
      <c r="AC49" s="13">
        <f t="shared" si="61"/>
        <v>-237399.08899999998</v>
      </c>
      <c r="AD49" s="13">
        <f t="shared" si="61"/>
        <v>-729932.46200000006</v>
      </c>
      <c r="AE49" s="13">
        <f>+AE53</f>
        <v>-31844.989000000001</v>
      </c>
      <c r="AF49" s="13">
        <f>+AF53-AE53</f>
        <v>-70011.790999999997</v>
      </c>
      <c r="AG49" s="13">
        <f>+AG53-AF53</f>
        <v>-43347.22</v>
      </c>
      <c r="AH49" s="13">
        <f t="shared" si="62"/>
        <v>-62825</v>
      </c>
      <c r="AI49" s="172">
        <f>+AI53</f>
        <v>-41486</v>
      </c>
      <c r="AJ49" s="13">
        <f>+AJ53-AI53</f>
        <v>-63470</v>
      </c>
      <c r="AK49" s="13">
        <f>+AK53-AJ53</f>
        <v>-389492</v>
      </c>
      <c r="AL49" s="13">
        <f t="shared" si="63"/>
        <v>83146</v>
      </c>
      <c r="AM49" s="172">
        <f>+AM53</f>
        <v>-28693</v>
      </c>
    </row>
    <row r="50" spans="23:39" x14ac:dyDescent="0.25">
      <c r="W50" s="12" t="s">
        <v>68</v>
      </c>
      <c r="Y50" s="13">
        <f t="shared" ref="Y50:AG50" si="64">+Y48+Y49</f>
        <v>56107.456999999995</v>
      </c>
      <c r="Z50" s="13">
        <f t="shared" si="64"/>
        <v>-82813.676999999967</v>
      </c>
      <c r="AA50" s="13">
        <f t="shared" si="64"/>
        <v>-211267.427</v>
      </c>
      <c r="AB50" s="13">
        <f t="shared" si="64"/>
        <v>-206313.83300000004</v>
      </c>
      <c r="AC50" s="13">
        <f t="shared" si="64"/>
        <v>-193374.74</v>
      </c>
      <c r="AD50" s="13">
        <f t="shared" si="64"/>
        <v>-1577218.888</v>
      </c>
      <c r="AE50" s="13">
        <f t="shared" si="64"/>
        <v>-492706.76500000001</v>
      </c>
      <c r="AF50" s="13">
        <f t="shared" si="64"/>
        <v>50036.274000000005</v>
      </c>
      <c r="AG50" s="13">
        <f t="shared" si="64"/>
        <v>602294.49100000004</v>
      </c>
      <c r="AH50" s="13">
        <f t="shared" ref="AH50:AK50" si="65">+AH48+AH49</f>
        <v>677425</v>
      </c>
      <c r="AI50" s="172">
        <f t="shared" si="65"/>
        <v>147165</v>
      </c>
      <c r="AJ50" s="13">
        <f t="shared" si="65"/>
        <v>-134940</v>
      </c>
      <c r="AK50" s="13">
        <f t="shared" si="65"/>
        <v>-6067</v>
      </c>
      <c r="AL50" s="13">
        <f t="shared" ref="AL50:AM50" si="66">+AL48+AL49</f>
        <v>-70850</v>
      </c>
      <c r="AM50" s="172">
        <f t="shared" si="66"/>
        <v>-80782</v>
      </c>
    </row>
    <row r="52" spans="23:39" x14ac:dyDescent="0.25">
      <c r="W52" s="12" t="s">
        <v>67</v>
      </c>
      <c r="X52" s="13">
        <v>-129827.349</v>
      </c>
      <c r="Y52" s="13">
        <v>92056.119000000006</v>
      </c>
      <c r="Z52" s="13">
        <v>67423.673999999999</v>
      </c>
      <c r="AA52" s="13">
        <v>-100495.693</v>
      </c>
      <c r="AB52" s="13">
        <v>-129827.349</v>
      </c>
      <c r="AC52" s="13">
        <v>-85803</v>
      </c>
      <c r="AD52" s="13">
        <v>-933089.42599999998</v>
      </c>
      <c r="AE52" s="13">
        <v>-460861.77600000001</v>
      </c>
      <c r="AF52" s="13">
        <v>-340813.71100000001</v>
      </c>
      <c r="AG52" s="13">
        <v>304828</v>
      </c>
      <c r="AH52" s="13">
        <v>1045078</v>
      </c>
      <c r="AI52" s="172">
        <v>188651</v>
      </c>
      <c r="AJ52" s="13">
        <v>117181</v>
      </c>
      <c r="AK52" s="13">
        <v>500606</v>
      </c>
      <c r="AL52" s="13">
        <v>346610</v>
      </c>
      <c r="AM52" s="172">
        <v>-52089</v>
      </c>
    </row>
    <row r="53" spans="23:39" x14ac:dyDescent="0.25">
      <c r="W53" s="12" t="s">
        <v>60</v>
      </c>
      <c r="X53" s="13">
        <v>-287753.91100000002</v>
      </c>
      <c r="Y53" s="13">
        <v>-453529.92200000002</v>
      </c>
      <c r="Z53" s="13">
        <v>-511711.15399999998</v>
      </c>
      <c r="AA53" s="13">
        <v>-110771.734</v>
      </c>
      <c r="AB53" s="13">
        <v>-287753.91100000002</v>
      </c>
      <c r="AC53" s="13">
        <v>-525153</v>
      </c>
      <c r="AD53" s="13">
        <v>-1255085.4620000001</v>
      </c>
      <c r="AE53" s="13">
        <v>-31844.989000000001</v>
      </c>
      <c r="AF53" s="13">
        <v>-101856.78</v>
      </c>
      <c r="AG53" s="13">
        <v>-145204</v>
      </c>
      <c r="AH53" s="13">
        <v>-208029</v>
      </c>
      <c r="AI53" s="172">
        <v>-41486</v>
      </c>
      <c r="AJ53" s="13">
        <v>-104956</v>
      </c>
      <c r="AK53" s="13">
        <v>-494448</v>
      </c>
      <c r="AL53" s="13">
        <v>-411302</v>
      </c>
      <c r="AM53" s="172">
        <v>-28693</v>
      </c>
    </row>
    <row r="54" spans="23:39" x14ac:dyDescent="0.25">
      <c r="W54" s="12" t="s">
        <v>68</v>
      </c>
      <c r="X54" s="13">
        <f t="shared" ref="X54:AF54" si="67">+X52+X53</f>
        <v>-417581.26</v>
      </c>
      <c r="Y54" s="13">
        <f t="shared" si="67"/>
        <v>-361473.80300000001</v>
      </c>
      <c r="Z54" s="13">
        <f t="shared" si="67"/>
        <v>-444287.48</v>
      </c>
      <c r="AA54" s="13">
        <f t="shared" si="67"/>
        <v>-211267.427</v>
      </c>
      <c r="AB54" s="13">
        <f t="shared" si="67"/>
        <v>-417581.26</v>
      </c>
      <c r="AC54" s="13">
        <f t="shared" si="67"/>
        <v>-610956</v>
      </c>
      <c r="AD54" s="13">
        <f t="shared" si="67"/>
        <v>-2188174.8880000003</v>
      </c>
      <c r="AE54" s="13">
        <f t="shared" si="67"/>
        <v>-492706.76500000001</v>
      </c>
      <c r="AF54" s="13">
        <f t="shared" si="67"/>
        <v>-442670.49100000004</v>
      </c>
      <c r="AG54" s="13">
        <f>+AG52+AG53</f>
        <v>159624</v>
      </c>
      <c r="AH54" s="13">
        <f t="shared" ref="AH54:AJ54" si="68">+AH52+AH53</f>
        <v>837049</v>
      </c>
      <c r="AI54" s="172">
        <f t="shared" si="68"/>
        <v>147165</v>
      </c>
      <c r="AJ54" s="13">
        <f t="shared" si="68"/>
        <v>12225</v>
      </c>
      <c r="AK54" s="13">
        <f>+AK52+AK53</f>
        <v>6158</v>
      </c>
      <c r="AL54" s="13">
        <f t="shared" ref="AL54:AM54" si="69">+AL52+AL53</f>
        <v>-64692</v>
      </c>
      <c r="AM54" s="172">
        <f t="shared" si="69"/>
        <v>-80782</v>
      </c>
    </row>
    <row r="56" spans="23:39" x14ac:dyDescent="0.25">
      <c r="W56" s="47" t="s">
        <v>76</v>
      </c>
    </row>
    <row r="57" spans="23:39" x14ac:dyDescent="0.25">
      <c r="W57" s="47" t="s">
        <v>90</v>
      </c>
      <c r="AC57" s="13"/>
      <c r="AG57" s="13"/>
      <c r="AK57" s="13"/>
    </row>
    <row r="58" spans="23:39" x14ac:dyDescent="0.25">
      <c r="W58" s="12" t="s">
        <v>78</v>
      </c>
      <c r="Z58" s="13"/>
      <c r="AA58" s="13"/>
      <c r="AB58" s="13">
        <v>1129958.0889999999</v>
      </c>
      <c r="AC58" s="13">
        <v>1146005</v>
      </c>
      <c r="AD58" s="13">
        <v>1305105</v>
      </c>
      <c r="AE58" s="13">
        <v>1332532</v>
      </c>
      <c r="AF58" s="13">
        <v>1561554.648</v>
      </c>
      <c r="AG58" s="13">
        <v>1294267</v>
      </c>
      <c r="AH58" s="13">
        <v>1249081</v>
      </c>
      <c r="AI58" s="172">
        <v>957383</v>
      </c>
      <c r="AJ58" s="13">
        <v>1334700</v>
      </c>
      <c r="AK58" s="13">
        <v>1348664</v>
      </c>
      <c r="AL58" s="13">
        <v>1085850</v>
      </c>
      <c r="AM58" s="172">
        <v>974029</v>
      </c>
    </row>
    <row r="59" spans="23:39" x14ac:dyDescent="0.25">
      <c r="W59" s="12" t="s">
        <v>40</v>
      </c>
      <c r="X59" s="17"/>
      <c r="Y59" s="17"/>
      <c r="Z59" s="17"/>
      <c r="AA59" s="17"/>
      <c r="AB59" s="18"/>
      <c r="AC59" s="18"/>
      <c r="AD59" s="18" t="e">
        <f t="shared" ref="AD59:AG59" si="70">+AD58/Z58-1</f>
        <v>#DIV/0!</v>
      </c>
      <c r="AE59" s="18" t="e">
        <f t="shared" si="70"/>
        <v>#DIV/0!</v>
      </c>
      <c r="AF59" s="18">
        <f t="shared" si="70"/>
        <v>0.38195802410862711</v>
      </c>
      <c r="AG59" s="18">
        <f t="shared" si="70"/>
        <v>0.12937290849516359</v>
      </c>
      <c r="AH59" s="18">
        <f t="shared" ref="AH59" si="71">+AH58/AD58-1</f>
        <v>-4.2926814317621909E-2</v>
      </c>
      <c r="AI59" s="173">
        <f t="shared" ref="AI59:AM59" si="72">+AI58/AE58-1</f>
        <v>-0.2815309501010107</v>
      </c>
      <c r="AJ59" s="18">
        <f t="shared" si="72"/>
        <v>-0.1452748696887104</v>
      </c>
      <c r="AK59" s="18">
        <f t="shared" si="72"/>
        <v>4.2029194903369982E-2</v>
      </c>
      <c r="AL59" s="18">
        <f t="shared" si="72"/>
        <v>-0.1306808765804619</v>
      </c>
      <c r="AM59" s="173">
        <f t="shared" si="72"/>
        <v>1.7386980967909471E-2</v>
      </c>
    </row>
    <row r="60" spans="23:39" x14ac:dyDescent="0.25">
      <c r="W60" s="12" t="s">
        <v>41</v>
      </c>
      <c r="Y60" s="18"/>
      <c r="Z60" s="18"/>
      <c r="AA60" s="18" t="e">
        <f t="shared" ref="AA60:AC60" si="73">+AA58/Z58-1</f>
        <v>#DIV/0!</v>
      </c>
      <c r="AB60" s="18" t="e">
        <f t="shared" si="73"/>
        <v>#DIV/0!</v>
      </c>
      <c r="AC60" s="18">
        <f t="shared" si="73"/>
        <v>1.4201332913330811E-2</v>
      </c>
      <c r="AD60" s="18">
        <f>+AD58/AC58-1</f>
        <v>0.13883010981627475</v>
      </c>
      <c r="AE60" s="18">
        <f>+AE58/AD58-1</f>
        <v>2.1015167362012921E-2</v>
      </c>
      <c r="AF60" s="18">
        <f>+AF58/AE58-1</f>
        <v>0.17187028003830296</v>
      </c>
      <c r="AG60" s="18">
        <f>+AG58/AF58-1</f>
        <v>-0.17116765547868296</v>
      </c>
      <c r="AH60" s="18">
        <f t="shared" ref="AH60:AI60" si="74">+AH58/AG58-1</f>
        <v>-3.491242533418526E-2</v>
      </c>
      <c r="AI60" s="173">
        <f t="shared" si="74"/>
        <v>-0.23353009132314073</v>
      </c>
      <c r="AJ60" s="18">
        <f>+AJ58/AI58-1</f>
        <v>0.39411290988037173</v>
      </c>
      <c r="AK60" s="18">
        <f>+AK58/AJ58-1</f>
        <v>1.0462276166928852E-2</v>
      </c>
      <c r="AL60" s="18">
        <f t="shared" ref="AL60:AM60" si="75">+AL58/AK58-1</f>
        <v>-0.19486988605019484</v>
      </c>
      <c r="AM60" s="173">
        <f t="shared" si="75"/>
        <v>-0.10298015379656489</v>
      </c>
    </row>
    <row r="61" spans="23:39" x14ac:dyDescent="0.25">
      <c r="W61" s="12" t="s">
        <v>89</v>
      </c>
      <c r="Z61" s="13"/>
      <c r="AA61" s="13"/>
      <c r="AB61" s="13">
        <v>289771.87400000001</v>
      </c>
      <c r="AC61" s="13">
        <v>276445</v>
      </c>
      <c r="AD61" s="13">
        <v>319426</v>
      </c>
      <c r="AE61" s="13">
        <v>496953</v>
      </c>
      <c r="AF61" s="13">
        <v>439278.58899999998</v>
      </c>
      <c r="AG61" s="13">
        <v>348866</v>
      </c>
      <c r="AH61" s="13">
        <v>322265</v>
      </c>
      <c r="AI61" s="172">
        <v>194090</v>
      </c>
      <c r="AJ61" s="13">
        <v>299043</v>
      </c>
      <c r="AK61" s="13">
        <v>276004</v>
      </c>
      <c r="AL61" s="13">
        <v>283390</v>
      </c>
      <c r="AM61" s="172">
        <v>261468</v>
      </c>
    </row>
    <row r="62" spans="23:39" x14ac:dyDescent="0.25">
      <c r="W62" s="12" t="s">
        <v>82</v>
      </c>
      <c r="X62" s="19"/>
      <c r="Y62" s="19"/>
      <c r="Z62" s="19" t="e">
        <f t="shared" ref="Z62:AF62" si="76">+Z61/Z58</f>
        <v>#DIV/0!</v>
      </c>
      <c r="AA62" s="19" t="e">
        <f t="shared" si="76"/>
        <v>#DIV/0!</v>
      </c>
      <c r="AB62" s="19">
        <f t="shared" si="76"/>
        <v>0.25644479810436582</v>
      </c>
      <c r="AC62" s="19">
        <f t="shared" si="76"/>
        <v>0.24122495102551908</v>
      </c>
      <c r="AD62" s="19">
        <f t="shared" si="76"/>
        <v>0.24475118860168338</v>
      </c>
      <c r="AE62" s="19">
        <f t="shared" si="76"/>
        <v>0.37293888627064864</v>
      </c>
      <c r="AF62" s="19">
        <f t="shared" si="76"/>
        <v>0.28130849571138411</v>
      </c>
      <c r="AG62" s="19">
        <f>+AG61/AG58</f>
        <v>0.26954716453405675</v>
      </c>
      <c r="AH62" s="19">
        <f t="shared" ref="AH62:AJ62" si="77">+AH61/AH58</f>
        <v>0.25800168283722191</v>
      </c>
      <c r="AI62" s="174">
        <f t="shared" si="77"/>
        <v>0.20272973303265254</v>
      </c>
      <c r="AJ62" s="19">
        <f t="shared" si="77"/>
        <v>0.22405259608900877</v>
      </c>
      <c r="AK62" s="19">
        <f>+AK61/AK58</f>
        <v>0.20464993504683154</v>
      </c>
      <c r="AL62" s="19">
        <f t="shared" ref="AL62:AM62" si="78">+AL61/AL58</f>
        <v>0.26098448220288256</v>
      </c>
      <c r="AM62" s="174">
        <f t="shared" si="78"/>
        <v>0.26843964604749959</v>
      </c>
    </row>
    <row r="63" spans="23:39" x14ac:dyDescent="0.25">
      <c r="W63" s="12" t="s">
        <v>21</v>
      </c>
      <c r="Z63" s="13"/>
      <c r="AA63" s="13"/>
      <c r="AB63" s="13">
        <f>171470.825+24219.854</f>
        <v>195690.679</v>
      </c>
      <c r="AC63" s="13">
        <v>86405</v>
      </c>
      <c r="AD63" s="13">
        <v>111150</v>
      </c>
      <c r="AE63" s="13">
        <v>226938</v>
      </c>
      <c r="AF63" s="13">
        <f>204486.055+9226.466</f>
        <v>213712.52100000001</v>
      </c>
      <c r="AG63" s="13">
        <v>155159</v>
      </c>
      <c r="AH63" s="13">
        <v>119270</v>
      </c>
      <c r="AI63" s="172">
        <v>57284</v>
      </c>
      <c r="AJ63" s="13">
        <v>81215</v>
      </c>
      <c r="AK63" s="13">
        <v>157540</v>
      </c>
      <c r="AL63" s="13">
        <f>61551+68500-52038</f>
        <v>78013</v>
      </c>
      <c r="AM63" s="172">
        <v>50681</v>
      </c>
    </row>
    <row r="64" spans="23:39" x14ac:dyDescent="0.25">
      <c r="W64" s="12" t="s">
        <v>82</v>
      </c>
      <c r="Z64" s="19" t="e">
        <f t="shared" ref="Z64:AF64" si="79">+Z63/Z58</f>
        <v>#DIV/0!</v>
      </c>
      <c r="AA64" s="19" t="e">
        <f t="shared" si="79"/>
        <v>#DIV/0!</v>
      </c>
      <c r="AB64" s="19">
        <f t="shared" si="79"/>
        <v>0.17318401532324446</v>
      </c>
      <c r="AC64" s="19">
        <f t="shared" si="79"/>
        <v>7.5396704202861251E-2</v>
      </c>
      <c r="AD64" s="19">
        <f t="shared" si="79"/>
        <v>8.5165561391612174E-2</v>
      </c>
      <c r="AE64" s="19">
        <f t="shared" si="79"/>
        <v>0.1703058538181447</v>
      </c>
      <c r="AF64" s="19">
        <f t="shared" si="79"/>
        <v>0.13685881648376355</v>
      </c>
      <c r="AG64" s="19">
        <f>+AG63/AG58</f>
        <v>0.11988175546467615</v>
      </c>
      <c r="AH64" s="19">
        <f t="shared" ref="AH64:AJ64" si="80">+AH63/AH58</f>
        <v>9.5486201455309949E-2</v>
      </c>
      <c r="AI64" s="174">
        <f t="shared" si="80"/>
        <v>5.9833943155456072E-2</v>
      </c>
      <c r="AJ64" s="19">
        <f t="shared" si="80"/>
        <v>6.084887989810444E-2</v>
      </c>
      <c r="AK64" s="19">
        <f>+AK63/AK58</f>
        <v>0.11681189681047317</v>
      </c>
      <c r="AL64" s="19">
        <f t="shared" ref="AL64:AM64" si="81">+AL63/AL58</f>
        <v>7.1845098310079666E-2</v>
      </c>
      <c r="AM64" s="174">
        <f t="shared" si="81"/>
        <v>5.2032331686222892E-2</v>
      </c>
    </row>
    <row r="66" spans="23:41" x14ac:dyDescent="0.25">
      <c r="W66" s="47" t="s">
        <v>91</v>
      </c>
      <c r="AC66" s="13"/>
      <c r="AG66" s="13"/>
      <c r="AK66" s="13"/>
    </row>
    <row r="67" spans="23:41" x14ac:dyDescent="0.25">
      <c r="W67" s="12" t="s">
        <v>78</v>
      </c>
      <c r="Z67" s="13"/>
      <c r="AA67" s="13"/>
      <c r="AB67" s="13">
        <v>385768.64899999998</v>
      </c>
      <c r="AC67" s="13">
        <v>431896</v>
      </c>
      <c r="AD67" s="13">
        <v>561384</v>
      </c>
      <c r="AE67" s="13">
        <v>581267</v>
      </c>
      <c r="AF67" s="13">
        <v>618207.91299999994</v>
      </c>
      <c r="AG67" s="13">
        <v>471203</v>
      </c>
      <c r="AH67" s="13">
        <v>349153</v>
      </c>
      <c r="AI67" s="172">
        <v>449271</v>
      </c>
      <c r="AJ67" s="13">
        <v>556537</v>
      </c>
      <c r="AK67" s="13">
        <v>648170</v>
      </c>
      <c r="AL67" s="13">
        <v>536498</v>
      </c>
      <c r="AM67" s="172">
        <v>556426</v>
      </c>
    </row>
    <row r="68" spans="23:41" x14ac:dyDescent="0.25">
      <c r="W68" s="12" t="s">
        <v>40</v>
      </c>
      <c r="X68" s="17"/>
      <c r="Y68" s="17"/>
      <c r="Z68" s="17"/>
      <c r="AA68" s="17"/>
      <c r="AB68" s="18"/>
      <c r="AC68" s="18"/>
      <c r="AD68" s="18" t="e">
        <f t="shared" ref="AD68" si="82">+AD67/Z67-1</f>
        <v>#DIV/0!</v>
      </c>
      <c r="AE68" s="18" t="e">
        <f t="shared" ref="AE68" si="83">+AE67/AA67-1</f>
        <v>#DIV/0!</v>
      </c>
      <c r="AF68" s="18">
        <f t="shared" ref="AF68" si="84">+AF67/AB67-1</f>
        <v>0.60253539162017278</v>
      </c>
      <c r="AG68" s="18">
        <f t="shared" ref="AG68" si="85">+AG67/AC67-1</f>
        <v>9.1010335821586574E-2</v>
      </c>
      <c r="AH68" s="18">
        <f t="shared" ref="AH68" si="86">+AH67/AD67-1</f>
        <v>-0.37804960597380755</v>
      </c>
      <c r="AI68" s="173">
        <f t="shared" ref="AI68:AM68" si="87">+AI67/AE67-1</f>
        <v>-0.22708325089846837</v>
      </c>
      <c r="AJ68" s="18">
        <f t="shared" si="87"/>
        <v>-9.9757560042748827E-2</v>
      </c>
      <c r="AK68" s="18">
        <f t="shared" si="87"/>
        <v>0.3755642472564904</v>
      </c>
      <c r="AL68" s="18">
        <f t="shared" si="87"/>
        <v>0.53656992779669666</v>
      </c>
      <c r="AM68" s="173">
        <f t="shared" si="87"/>
        <v>0.23850860616420833</v>
      </c>
    </row>
    <row r="69" spans="23:41" x14ac:dyDescent="0.25">
      <c r="W69" s="12" t="s">
        <v>41</v>
      </c>
      <c r="Y69" s="18"/>
      <c r="Z69" s="18"/>
      <c r="AA69" s="18" t="e">
        <f t="shared" ref="AA69" si="88">+AA67/Z67-1</f>
        <v>#DIV/0!</v>
      </c>
      <c r="AB69" s="18" t="e">
        <f t="shared" ref="AB69" si="89">+AB67/AA67-1</f>
        <v>#DIV/0!</v>
      </c>
      <c r="AC69" s="18">
        <f t="shared" ref="AC69" si="90">+AC67/AB67-1</f>
        <v>0.1195725757382633</v>
      </c>
      <c r="AD69" s="18">
        <f>+AD67/AC67-1</f>
        <v>0.29981291792468556</v>
      </c>
      <c r="AE69" s="18">
        <f>+AE67/AD67-1</f>
        <v>3.5417824519402119E-2</v>
      </c>
      <c r="AF69" s="18">
        <f>+AF67/AE67-1</f>
        <v>6.3552400187865343E-2</v>
      </c>
      <c r="AG69" s="18">
        <f>+AG67/AF67-1</f>
        <v>-0.23779202742104011</v>
      </c>
      <c r="AH69" s="18">
        <f t="shared" ref="AH69:AI69" si="91">+AH67/AG67-1</f>
        <v>-0.25901787552286382</v>
      </c>
      <c r="AI69" s="173">
        <f t="shared" si="91"/>
        <v>0.28674535232405285</v>
      </c>
      <c r="AJ69" s="18">
        <f>+AJ67/AI67-1</f>
        <v>0.23875567307927725</v>
      </c>
      <c r="AK69" s="18">
        <f>+AK67/AJ67-1</f>
        <v>0.16464853190353912</v>
      </c>
      <c r="AL69" s="18">
        <f t="shared" ref="AL69:AM69" si="92">+AL67/AK67-1</f>
        <v>-0.1722881342857584</v>
      </c>
      <c r="AM69" s="173">
        <f t="shared" si="92"/>
        <v>3.714459326968611E-2</v>
      </c>
    </row>
    <row r="70" spans="23:41" x14ac:dyDescent="0.25">
      <c r="W70" s="12" t="s">
        <v>89</v>
      </c>
      <c r="Z70" s="13"/>
      <c r="AA70" s="13"/>
      <c r="AB70" s="13">
        <v>47149.065999999999</v>
      </c>
      <c r="AC70" s="13">
        <v>70942</v>
      </c>
      <c r="AD70" s="13">
        <v>116213</v>
      </c>
      <c r="AE70" s="13">
        <v>132247</v>
      </c>
      <c r="AF70" s="13">
        <v>110830.749</v>
      </c>
      <c r="AG70" s="13">
        <v>58393</v>
      </c>
      <c r="AH70" s="13">
        <v>-43776</v>
      </c>
      <c r="AI70" s="172">
        <v>8159</v>
      </c>
      <c r="AJ70" s="13">
        <v>105172</v>
      </c>
      <c r="AK70" s="13">
        <v>46906</v>
      </c>
      <c r="AL70" s="13">
        <v>33955</v>
      </c>
      <c r="AM70" s="172">
        <v>37947</v>
      </c>
    </row>
    <row r="71" spans="23:41" x14ac:dyDescent="0.25">
      <c r="W71" s="12" t="s">
        <v>82</v>
      </c>
      <c r="X71" s="19"/>
      <c r="Y71" s="19"/>
      <c r="Z71" s="19" t="e">
        <f t="shared" ref="Z71:AF71" si="93">+Z70/Z67</f>
        <v>#DIV/0!</v>
      </c>
      <c r="AA71" s="19" t="e">
        <f t="shared" si="93"/>
        <v>#DIV/0!</v>
      </c>
      <c r="AB71" s="19">
        <f t="shared" si="93"/>
        <v>0.12222109319204942</v>
      </c>
      <c r="AC71" s="19">
        <f t="shared" si="93"/>
        <v>0.1642571359771797</v>
      </c>
      <c r="AD71" s="19">
        <f t="shared" si="93"/>
        <v>0.20701159990309664</v>
      </c>
      <c r="AE71" s="19">
        <f t="shared" si="93"/>
        <v>0.22751506622602005</v>
      </c>
      <c r="AF71" s="19">
        <f t="shared" si="93"/>
        <v>0.17927746744969278</v>
      </c>
      <c r="AG71" s="19">
        <f>+AG70/AG67</f>
        <v>0.12392323478415884</v>
      </c>
      <c r="AH71" s="19">
        <f t="shared" ref="AH71" si="94">+AH70/AH67</f>
        <v>-0.1253776997476751</v>
      </c>
      <c r="AI71" s="174">
        <f t="shared" ref="AI71:AJ71" si="95">+AI70/AI67</f>
        <v>1.8160531171609116E-2</v>
      </c>
      <c r="AJ71" s="19">
        <f t="shared" si="95"/>
        <v>0.18897575543045655</v>
      </c>
      <c r="AK71" s="19">
        <f>+AK70/AK67</f>
        <v>7.2366817347300869E-2</v>
      </c>
      <c r="AL71" s="19">
        <f t="shared" ref="AL71:AM71" si="96">+AL70/AL67</f>
        <v>6.3290077502618836E-2</v>
      </c>
      <c r="AM71" s="174">
        <f t="shared" si="96"/>
        <v>6.8197747768795849E-2</v>
      </c>
    </row>
    <row r="72" spans="23:41" x14ac:dyDescent="0.25">
      <c r="W72" s="12" t="s">
        <v>21</v>
      </c>
      <c r="Z72" s="13"/>
      <c r="AA72" s="13"/>
      <c r="AB72" s="13">
        <f>13493.486+8938.444</f>
        <v>22431.93</v>
      </c>
      <c r="AC72" s="13">
        <v>38270</v>
      </c>
      <c r="AD72" s="13">
        <v>223485</v>
      </c>
      <c r="AE72" s="13">
        <v>157971</v>
      </c>
      <c r="AF72" s="13">
        <f>21161.872+5096.318</f>
        <v>26258.19</v>
      </c>
      <c r="AG72" s="13">
        <v>-23938</v>
      </c>
      <c r="AH72" s="13">
        <v>-162551</v>
      </c>
      <c r="AI72" s="172">
        <v>13436</v>
      </c>
      <c r="AJ72" s="13">
        <v>13290</v>
      </c>
      <c r="AK72" s="13">
        <v>-6449</v>
      </c>
      <c r="AL72" s="13">
        <f>-405152+466000-354.01</f>
        <v>60493.99</v>
      </c>
      <c r="AM72" s="172">
        <v>-38440</v>
      </c>
    </row>
    <row r="73" spans="23:41" x14ac:dyDescent="0.25">
      <c r="W73" s="12" t="s">
        <v>82</v>
      </c>
      <c r="Z73" s="19" t="e">
        <f t="shared" ref="Z73:AF73" si="97">+Z72/Z67</f>
        <v>#DIV/0!</v>
      </c>
      <c r="AA73" s="19" t="e">
        <f t="shared" si="97"/>
        <v>#DIV/0!</v>
      </c>
      <c r="AB73" s="19">
        <f t="shared" si="97"/>
        <v>5.8148659975735879E-2</v>
      </c>
      <c r="AC73" s="19">
        <f t="shared" si="97"/>
        <v>8.8609294830236912E-2</v>
      </c>
      <c r="AD73" s="19">
        <f t="shared" si="97"/>
        <v>0.39809649010303105</v>
      </c>
      <c r="AE73" s="19">
        <f t="shared" si="97"/>
        <v>0.2717701159708017</v>
      </c>
      <c r="AF73" s="19">
        <f t="shared" si="97"/>
        <v>4.2474690873133485E-2</v>
      </c>
      <c r="AG73" s="19">
        <f>+AG72/AG67</f>
        <v>-5.0801883689195526E-2</v>
      </c>
      <c r="AH73" s="19">
        <f t="shared" ref="AH73" si="98">+AH72/AH67</f>
        <v>-0.46555807912290598</v>
      </c>
      <c r="AI73" s="174">
        <f t="shared" ref="AI73:AJ73" si="99">+AI72/AI67</f>
        <v>2.9906225863676934E-2</v>
      </c>
      <c r="AJ73" s="19">
        <f t="shared" si="99"/>
        <v>2.3879813920727643E-2</v>
      </c>
      <c r="AK73" s="19">
        <f>+AK72/AK67</f>
        <v>-9.9495502723051053E-3</v>
      </c>
      <c r="AL73" s="19">
        <f t="shared" ref="AL73:AM73" si="100">+AL72/AL67</f>
        <v>0.11275715846098214</v>
      </c>
      <c r="AM73" s="174">
        <f t="shared" si="100"/>
        <v>-6.9083759565512756E-2</v>
      </c>
    </row>
    <row r="74" spans="23:41" x14ac:dyDescent="0.25">
      <c r="Z74" s="19"/>
      <c r="AA74" s="19"/>
      <c r="AB74" s="19"/>
      <c r="AC74" s="19"/>
      <c r="AD74" s="19"/>
      <c r="AE74" s="19"/>
      <c r="AF74" s="19"/>
      <c r="AG74" s="19"/>
      <c r="AH74" s="19"/>
      <c r="AI74" s="174"/>
      <c r="AJ74" s="19"/>
      <c r="AK74" s="19"/>
      <c r="AL74" s="19"/>
      <c r="AM74" s="174"/>
    </row>
    <row r="75" spans="23:41" x14ac:dyDescent="0.25">
      <c r="W75" s="12" t="s">
        <v>1075</v>
      </c>
      <c r="Z75" s="13"/>
      <c r="AA75" s="13"/>
      <c r="AB75" s="13"/>
      <c r="AC75" s="13"/>
      <c r="AD75" s="13"/>
      <c r="AE75" s="13"/>
      <c r="AF75" s="13">
        <v>-4936</v>
      </c>
      <c r="AG75" s="13">
        <v>5789</v>
      </c>
      <c r="AH75" s="13">
        <v>-31356</v>
      </c>
      <c r="AI75" s="172">
        <v>107231</v>
      </c>
      <c r="AJ75" s="13">
        <v>-98901</v>
      </c>
      <c r="AK75" s="13">
        <v>-2252</v>
      </c>
      <c r="AL75" s="13">
        <v>118741</v>
      </c>
      <c r="AM75" s="172">
        <v>-33169</v>
      </c>
    </row>
    <row r="76" spans="23:41" x14ac:dyDescent="0.25">
      <c r="W76" s="12" t="s">
        <v>1077</v>
      </c>
      <c r="Z76" s="13"/>
      <c r="AA76" s="13"/>
      <c r="AB76" s="13"/>
      <c r="AC76" s="13"/>
      <c r="AD76" s="13"/>
      <c r="AE76" s="13"/>
      <c r="AF76" s="168">
        <v>363.36</v>
      </c>
      <c r="AG76" s="48">
        <v>366.01</v>
      </c>
      <c r="AH76" s="48">
        <v>352.66</v>
      </c>
      <c r="AI76" s="180">
        <v>310.25</v>
      </c>
      <c r="AJ76" s="168">
        <v>321.2</v>
      </c>
      <c r="AK76" s="168">
        <v>326.52</v>
      </c>
      <c r="AL76" s="168">
        <v>313.23</v>
      </c>
      <c r="AM76" s="180">
        <v>300.91000000000003</v>
      </c>
    </row>
    <row r="77" spans="23:41" x14ac:dyDescent="0.25">
      <c r="W77" s="12" t="s">
        <v>1076</v>
      </c>
      <c r="Z77" s="13"/>
      <c r="AA77" s="13"/>
      <c r="AB77" s="13"/>
      <c r="AC77" s="13"/>
      <c r="AD77" s="13"/>
      <c r="AE77" s="48">
        <v>361.44</v>
      </c>
      <c r="AF77" s="168">
        <v>364.54</v>
      </c>
      <c r="AG77" s="48">
        <v>366.01</v>
      </c>
      <c r="AH77" s="48">
        <v>327.14</v>
      </c>
      <c r="AI77" s="180">
        <v>308.92</v>
      </c>
      <c r="AJ77" s="168">
        <v>323.58</v>
      </c>
      <c r="AK77" s="48">
        <v>323.98</v>
      </c>
      <c r="AL77" s="48">
        <v>300.44</v>
      </c>
      <c r="AM77" s="180">
        <v>305.69</v>
      </c>
    </row>
    <row r="78" spans="23:41" x14ac:dyDescent="0.25">
      <c r="AH78" s="48"/>
      <c r="AI78" s="180"/>
      <c r="AJ78" s="48"/>
      <c r="AK78" s="169"/>
      <c r="AL78" s="48"/>
      <c r="AM78" s="180"/>
    </row>
    <row r="79" spans="23:41" x14ac:dyDescent="0.25">
      <c r="AL79" s="12" t="s">
        <v>1026</v>
      </c>
    </row>
    <row r="80" spans="23:41" x14ac:dyDescent="0.25">
      <c r="AL80" s="12" t="s">
        <v>1027</v>
      </c>
      <c r="AN80" s="12">
        <v>68.5</v>
      </c>
      <c r="AO80" s="12">
        <f>+AN80/AN82*AO82</f>
        <v>52.037956969130029</v>
      </c>
    </row>
    <row r="81" spans="37:41" x14ac:dyDescent="0.25">
      <c r="AL81" s="12" t="s">
        <v>1028</v>
      </c>
      <c r="AN81" s="12">
        <v>466</v>
      </c>
      <c r="AO81" s="12">
        <f>+AN81/AN82*AO82</f>
        <v>354.01004303086995</v>
      </c>
    </row>
    <row r="82" spans="37:41" x14ac:dyDescent="0.25">
      <c r="AN82" s="12">
        <f>+SUM(AN80:AN81)</f>
        <v>534.5</v>
      </c>
      <c r="AO82" s="12">
        <v>406.048</v>
      </c>
    </row>
    <row r="84" spans="37:41" x14ac:dyDescent="0.25">
      <c r="AK84" s="12" t="s">
        <v>1029</v>
      </c>
      <c r="AL84" s="13">
        <f>96382.868+406048.013</f>
        <v>502430.88099999999</v>
      </c>
    </row>
    <row r="85" spans="37:41" x14ac:dyDescent="0.25">
      <c r="AK85" s="12" t="s">
        <v>1030</v>
      </c>
      <c r="AL85" s="12">
        <v>-198.523</v>
      </c>
    </row>
  </sheetData>
  <mergeCells count="3">
    <mergeCell ref="B13:H13"/>
    <mergeCell ref="AQ2:AU2"/>
    <mergeCell ref="AV2:AZ2"/>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11BE1-D405-4BB7-8548-E0798F1395A9}">
  <sheetPr codeName="Sheet4">
    <tabColor rgb="FF92D050"/>
  </sheetPr>
  <dimension ref="A1:AY75"/>
  <sheetViews>
    <sheetView topLeftCell="W1" zoomScale="85" zoomScaleNormal="85" workbookViewId="0">
      <selection activeCell="AM27" sqref="AM27"/>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4" width="12" style="12" customWidth="1"/>
    <col min="35" max="35" width="12" style="170" customWidth="1"/>
    <col min="36" max="38" width="12" style="12" customWidth="1"/>
    <col min="39" max="39" width="12" style="170" customWidth="1"/>
    <col min="40" max="40" width="8.85546875" style="12"/>
    <col min="41" max="41" width="14.28515625" style="50" bestFit="1" customWidth="1"/>
    <col min="42" max="16384" width="8.85546875" style="50"/>
  </cols>
  <sheetData>
    <row r="1" spans="1:51" ht="15.75" thickBot="1" x14ac:dyDescent="0.3">
      <c r="W1" s="20" t="s">
        <v>194</v>
      </c>
      <c r="X1" s="59">
        <f>+'Valuation Sheet'!C6</f>
        <v>95.6</v>
      </c>
    </row>
    <row r="2" spans="1:51"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110</v>
      </c>
      <c r="X2" s="11" t="s">
        <v>14</v>
      </c>
      <c r="Y2" s="11" t="s">
        <v>16</v>
      </c>
      <c r="Z2" s="11" t="s">
        <v>18</v>
      </c>
      <c r="AA2" s="11" t="s">
        <v>20</v>
      </c>
      <c r="AB2" s="11" t="s">
        <v>22</v>
      </c>
      <c r="AC2" s="11" t="s">
        <v>24</v>
      </c>
      <c r="AD2" s="11" t="s">
        <v>26</v>
      </c>
      <c r="AE2" s="11" t="s">
        <v>39</v>
      </c>
      <c r="AF2" s="11" t="s">
        <v>38</v>
      </c>
      <c r="AG2" s="11" t="s">
        <v>71</v>
      </c>
      <c r="AH2" s="11" t="s">
        <v>83</v>
      </c>
      <c r="AI2" s="171" t="s">
        <v>84</v>
      </c>
      <c r="AJ2" s="11" t="s">
        <v>365</v>
      </c>
      <c r="AK2" s="11" t="s">
        <v>948</v>
      </c>
      <c r="AL2" s="11" t="s">
        <v>1018</v>
      </c>
      <c r="AM2" s="171" t="s">
        <v>1074</v>
      </c>
      <c r="AO2" s="71" t="str">
        <f>+W2</f>
        <v>HAYL</v>
      </c>
      <c r="AP2" s="189" t="s">
        <v>190</v>
      </c>
      <c r="AQ2" s="190"/>
      <c r="AR2" s="190"/>
      <c r="AS2" s="190"/>
      <c r="AT2" s="191"/>
      <c r="AU2" s="192" t="s">
        <v>191</v>
      </c>
      <c r="AV2" s="192"/>
      <c r="AW2" s="192"/>
      <c r="AX2" s="192"/>
      <c r="AY2" s="192"/>
    </row>
    <row r="3" spans="1:51" ht="18" thickTop="1" thickBot="1" x14ac:dyDescent="0.4">
      <c r="B3" s="25" t="s">
        <v>10</v>
      </c>
      <c r="C3" s="26">
        <v>17820.179</v>
      </c>
      <c r="D3" s="26"/>
      <c r="E3" s="26"/>
      <c r="F3" s="26"/>
      <c r="G3" s="26"/>
      <c r="H3" s="26"/>
      <c r="I3" s="27"/>
      <c r="J3" s="21"/>
      <c r="M3" s="1" t="s">
        <v>11</v>
      </c>
      <c r="N3" s="2">
        <f>'[1]LT Portfolio'!W294</f>
        <v>0</v>
      </c>
      <c r="W3" s="12" t="s">
        <v>62</v>
      </c>
      <c r="X3" s="13"/>
      <c r="Y3" s="13"/>
      <c r="Z3" s="13"/>
      <c r="AA3" s="13"/>
      <c r="AB3" s="13">
        <v>79438158</v>
      </c>
      <c r="AC3" s="13">
        <v>92217650</v>
      </c>
      <c r="AD3" s="13">
        <v>95743008</v>
      </c>
      <c r="AE3" s="13">
        <v>123641304</v>
      </c>
      <c r="AF3" s="13">
        <v>129931777</v>
      </c>
      <c r="AG3" s="13">
        <v>116350572</v>
      </c>
      <c r="AH3" s="13">
        <v>117507228</v>
      </c>
      <c r="AI3" s="172">
        <v>96938050</v>
      </c>
      <c r="AJ3" s="13">
        <v>105256047</v>
      </c>
      <c r="AK3" s="13">
        <v>122302403</v>
      </c>
      <c r="AL3" s="13">
        <v>112336770</v>
      </c>
      <c r="AM3" s="172">
        <v>113607627</v>
      </c>
      <c r="AO3" s="69"/>
      <c r="AP3" s="66" t="s">
        <v>78</v>
      </c>
      <c r="AQ3" s="67" t="s">
        <v>17</v>
      </c>
      <c r="AR3" s="67" t="s">
        <v>184</v>
      </c>
      <c r="AS3" s="67" t="s">
        <v>29</v>
      </c>
      <c r="AT3" s="68" t="s">
        <v>30</v>
      </c>
      <c r="AU3" s="66" t="s">
        <v>78</v>
      </c>
      <c r="AV3" s="67" t="s">
        <v>17</v>
      </c>
      <c r="AW3" s="67" t="s">
        <v>184</v>
      </c>
      <c r="AX3" s="67" t="s">
        <v>29</v>
      </c>
      <c r="AY3" s="68" t="s">
        <v>30</v>
      </c>
    </row>
    <row r="4" spans="1:51"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M4" si="1">+AB3/X3-1</f>
        <v>#DIV/0!</v>
      </c>
      <c r="AC4" s="18" t="e">
        <f t="shared" si="1"/>
        <v>#DIV/0!</v>
      </c>
      <c r="AD4" s="18" t="e">
        <f t="shared" si="1"/>
        <v>#DIV/0!</v>
      </c>
      <c r="AE4" s="18" t="e">
        <f t="shared" si="1"/>
        <v>#DIV/0!</v>
      </c>
      <c r="AF4" s="18">
        <f t="shared" si="1"/>
        <v>0.6356343131722666</v>
      </c>
      <c r="AG4" s="18">
        <f t="shared" si="1"/>
        <v>0.26169526115662234</v>
      </c>
      <c r="AH4" s="18">
        <f t="shared" si="1"/>
        <v>0.22731915838700201</v>
      </c>
      <c r="AI4" s="173">
        <f t="shared" si="1"/>
        <v>-0.21597357142076079</v>
      </c>
      <c r="AJ4" s="18">
        <f t="shared" si="1"/>
        <v>-0.18991297255943784</v>
      </c>
      <c r="AK4" s="18">
        <f t="shared" si="1"/>
        <v>5.1154290844397377E-2</v>
      </c>
      <c r="AL4" s="18">
        <f t="shared" si="1"/>
        <v>-4.4001191143748231E-2</v>
      </c>
      <c r="AM4" s="173">
        <f t="shared" si="1"/>
        <v>0.17196113394069723</v>
      </c>
      <c r="AO4" s="69" t="s">
        <v>252</v>
      </c>
      <c r="AP4" s="60">
        <v>416563</v>
      </c>
      <c r="AQ4" s="61">
        <v>36452</v>
      </c>
      <c r="AR4" s="61">
        <v>6892</v>
      </c>
      <c r="AS4" s="74">
        <v>9.19</v>
      </c>
      <c r="AT4" s="64"/>
      <c r="AU4" s="60">
        <v>448372</v>
      </c>
      <c r="AV4" s="61">
        <v>42475</v>
      </c>
      <c r="AW4" s="61">
        <v>13460</v>
      </c>
      <c r="AX4" s="58">
        <v>17.95</v>
      </c>
      <c r="AY4" s="64"/>
    </row>
    <row r="5" spans="1:51"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M5" si="2">+Y3/X3-1</f>
        <v>#DIV/0!</v>
      </c>
      <c r="Z5" s="18" t="e">
        <f t="shared" si="2"/>
        <v>#DIV/0!</v>
      </c>
      <c r="AA5" s="18" t="e">
        <f t="shared" si="2"/>
        <v>#DIV/0!</v>
      </c>
      <c r="AB5" s="18" t="e">
        <f t="shared" si="2"/>
        <v>#DIV/0!</v>
      </c>
      <c r="AC5" s="18">
        <f t="shared" si="2"/>
        <v>0.16087346839034211</v>
      </c>
      <c r="AD5" s="18">
        <f t="shared" si="2"/>
        <v>3.8228668806893351E-2</v>
      </c>
      <c r="AE5" s="18">
        <f t="shared" si="2"/>
        <v>0.2913872937854638</v>
      </c>
      <c r="AF5" s="18">
        <f t="shared" si="2"/>
        <v>5.0876792758510536E-2</v>
      </c>
      <c r="AG5" s="18">
        <f t="shared" si="2"/>
        <v>-0.10452566195565849</v>
      </c>
      <c r="AH5" s="18">
        <f t="shared" si="2"/>
        <v>9.9411286091486417E-3</v>
      </c>
      <c r="AI5" s="173">
        <f t="shared" si="2"/>
        <v>-0.1750460661024188</v>
      </c>
      <c r="AJ5" s="18">
        <f t="shared" si="2"/>
        <v>8.5807348094994795E-2</v>
      </c>
      <c r="AK5" s="18">
        <f t="shared" si="2"/>
        <v>0.16195132237865639</v>
      </c>
      <c r="AL5" s="18">
        <f>+AL3/AK3-1</f>
        <v>-8.1483542069079373E-2</v>
      </c>
      <c r="AM5" s="173">
        <f t="shared" si="2"/>
        <v>1.1312920960786066E-2</v>
      </c>
      <c r="AO5" s="69"/>
      <c r="AP5" s="60"/>
      <c r="AQ5" s="61"/>
      <c r="AR5" s="61"/>
      <c r="AS5" s="58"/>
      <c r="AT5" s="64"/>
      <c r="AU5" s="60"/>
      <c r="AV5" s="61"/>
      <c r="AW5" s="61"/>
      <c r="AX5" s="58"/>
      <c r="AY5" s="64"/>
    </row>
    <row r="6" spans="1:51"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O6" s="69"/>
      <c r="AP6" s="60"/>
      <c r="AQ6" s="61"/>
      <c r="AR6" s="61"/>
      <c r="AS6" s="58"/>
      <c r="AT6" s="64"/>
      <c r="AU6" s="60"/>
      <c r="AV6" s="61"/>
      <c r="AW6" s="61"/>
      <c r="AX6" s="58"/>
      <c r="AY6" s="64"/>
    </row>
    <row r="7" spans="1:51"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f t="shared" ref="AB7:AH7" si="4">+AB3/AB44</f>
        <v>391449.54251039069</v>
      </c>
      <c r="AC7" s="13">
        <f t="shared" si="4"/>
        <v>454274.12262927875</v>
      </c>
      <c r="AD7" s="13">
        <f t="shared" si="4"/>
        <v>410072.52125964785</v>
      </c>
      <c r="AE7" s="13">
        <f t="shared" si="4"/>
        <v>339419.04823094141</v>
      </c>
      <c r="AF7" s="13">
        <f t="shared" si="4"/>
        <v>352262.55585648981</v>
      </c>
      <c r="AG7" s="13">
        <f t="shared" si="4"/>
        <v>312959.27445486776</v>
      </c>
      <c r="AH7" s="13">
        <f t="shared" si="4"/>
        <v>328521.26322795189</v>
      </c>
      <c r="AI7" s="172">
        <f>+AI3/AI44</f>
        <v>306323.30533085408</v>
      </c>
      <c r="AJ7" s="13">
        <f t="shared" ref="AJ7:AL7" si="5">+AJ3/AJ44</f>
        <v>318072.5744949049</v>
      </c>
      <c r="AK7" s="13">
        <f t="shared" si="5"/>
        <v>365915.61194044526</v>
      </c>
      <c r="AL7" s="13">
        <f t="shared" si="5"/>
        <v>361155.12773964327</v>
      </c>
      <c r="AM7" s="172">
        <f t="shared" ref="AM7" si="6">+AM3/AM44</f>
        <v>371351.71388135251</v>
      </c>
      <c r="AO7" s="69"/>
      <c r="AP7" s="60"/>
      <c r="AQ7" s="61"/>
      <c r="AR7" s="61"/>
      <c r="AS7" s="74"/>
      <c r="AT7" s="64"/>
      <c r="AU7" s="60"/>
      <c r="AV7" s="61"/>
      <c r="AW7" s="61"/>
      <c r="AX7" s="58"/>
      <c r="AY7" s="64"/>
    </row>
    <row r="8" spans="1:51" ht="18" thickTop="1" thickBot="1" x14ac:dyDescent="0.4">
      <c r="B8" s="28" t="s">
        <v>19</v>
      </c>
      <c r="C8" s="30">
        <f t="shared" ref="C8:I8" si="7">C7/C$3*100</f>
        <v>12.16378353999699</v>
      </c>
      <c r="D8" s="30" t="e">
        <f t="shared" si="7"/>
        <v>#DIV/0!</v>
      </c>
      <c r="E8" s="30" t="e">
        <f t="shared" si="7"/>
        <v>#DIV/0!</v>
      </c>
      <c r="F8" s="30" t="e">
        <f t="shared" si="7"/>
        <v>#DIV/0!</v>
      </c>
      <c r="G8" s="30" t="e">
        <f t="shared" si="7"/>
        <v>#DIV/0!</v>
      </c>
      <c r="H8" s="30" t="e">
        <f t="shared" si="7"/>
        <v>#DIV/0!</v>
      </c>
      <c r="I8" s="31" t="e">
        <f t="shared" si="7"/>
        <v>#DIV/0!</v>
      </c>
      <c r="J8" s="23" t="e">
        <f>AVERAGE(D8:I8)</f>
        <v>#DIV/0!</v>
      </c>
      <c r="M8" s="1" t="s">
        <v>20</v>
      </c>
      <c r="N8" s="3">
        <f>'[1]LT Portfolio'!Q294</f>
        <v>0</v>
      </c>
      <c r="W8" s="12" t="s">
        <v>40</v>
      </c>
      <c r="AB8" s="18" t="e">
        <f t="shared" ref="AB8:AM8" si="8">+AB7/X7-1</f>
        <v>#DIV/0!</v>
      </c>
      <c r="AC8" s="18" t="e">
        <f t="shared" si="8"/>
        <v>#DIV/0!</v>
      </c>
      <c r="AD8" s="18" t="e">
        <f t="shared" si="8"/>
        <v>#DIV/0!</v>
      </c>
      <c r="AE8" s="18" t="e">
        <f t="shared" si="8"/>
        <v>#DIV/0!</v>
      </c>
      <c r="AF8" s="18">
        <f t="shared" si="8"/>
        <v>-0.10010737629834043</v>
      </c>
      <c r="AG8" s="18">
        <f t="shared" si="8"/>
        <v>-0.31107835805504236</v>
      </c>
      <c r="AH8" s="18">
        <f t="shared" si="8"/>
        <v>-0.19887033098728335</v>
      </c>
      <c r="AI8" s="173">
        <f t="shared" si="8"/>
        <v>-9.7507028767486625E-2</v>
      </c>
      <c r="AJ8" s="18">
        <f t="shared" si="8"/>
        <v>-9.7058233392009363E-2</v>
      </c>
      <c r="AK8" s="18">
        <f t="shared" si="8"/>
        <v>0.16921159335450331</v>
      </c>
      <c r="AL8" s="18">
        <f t="shared" si="8"/>
        <v>9.9335623487626812E-2</v>
      </c>
      <c r="AM8" s="173">
        <f t="shared" si="8"/>
        <v>0.21228684667091335</v>
      </c>
      <c r="AO8" s="69"/>
      <c r="AP8" s="60"/>
      <c r="AQ8" s="61"/>
      <c r="AR8" s="61"/>
      <c r="AS8" s="58"/>
      <c r="AT8" s="64"/>
      <c r="AU8" s="60"/>
      <c r="AV8" s="61"/>
      <c r="AW8" s="61"/>
      <c r="AX8" s="58"/>
      <c r="AY8" s="64"/>
    </row>
    <row r="9" spans="1:51"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M9" si="9">+Y7/X7-1</f>
        <v>#DIV/0!</v>
      </c>
      <c r="Z9" s="18" t="e">
        <f t="shared" si="9"/>
        <v>#DIV/0!</v>
      </c>
      <c r="AA9" s="18" t="e">
        <f t="shared" si="9"/>
        <v>#DIV/0!</v>
      </c>
      <c r="AB9" s="18" t="e">
        <f t="shared" si="9"/>
        <v>#DIV/0!</v>
      </c>
      <c r="AC9" s="18">
        <f t="shared" si="9"/>
        <v>0.16049215364000702</v>
      </c>
      <c r="AD9" s="18">
        <f t="shared" si="9"/>
        <v>-9.7301605281405523E-2</v>
      </c>
      <c r="AE9" s="18">
        <f t="shared" si="9"/>
        <v>-0.17229506822762797</v>
      </c>
      <c r="AF9" s="18">
        <f t="shared" si="9"/>
        <v>3.7839678393092546E-2</v>
      </c>
      <c r="AG9" s="18">
        <f t="shared" si="9"/>
        <v>-0.11157382681806816</v>
      </c>
      <c r="AH9" s="18">
        <f t="shared" si="9"/>
        <v>4.9725283905361017E-2</v>
      </c>
      <c r="AI9" s="173">
        <f t="shared" si="9"/>
        <v>-6.7569318585309457E-2</v>
      </c>
      <c r="AJ9" s="18">
        <f t="shared" si="9"/>
        <v>3.8355779529607226E-2</v>
      </c>
      <c r="AK9" s="18">
        <f t="shared" si="9"/>
        <v>0.15041547521509679</v>
      </c>
      <c r="AL9" s="18">
        <f t="shared" si="9"/>
        <v>-1.3009787080570878E-2</v>
      </c>
      <c r="AM9" s="173">
        <f t="shared" si="9"/>
        <v>2.8233258670661732E-2</v>
      </c>
      <c r="AO9" s="69"/>
      <c r="AP9" s="60"/>
      <c r="AQ9" s="61"/>
      <c r="AR9" s="61"/>
      <c r="AS9" s="74"/>
      <c r="AT9" s="64"/>
      <c r="AU9" s="60"/>
      <c r="AV9" s="61"/>
      <c r="AW9" s="61"/>
      <c r="AX9" s="58"/>
      <c r="AY9" s="64"/>
    </row>
    <row r="10" spans="1:51"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O10" s="69"/>
      <c r="AP10" s="60"/>
      <c r="AQ10" s="61"/>
      <c r="AR10" s="61"/>
      <c r="AS10" s="58"/>
      <c r="AT10" s="64"/>
      <c r="AU10" s="60"/>
      <c r="AV10" s="61"/>
      <c r="AW10" s="61"/>
      <c r="AX10" s="58"/>
      <c r="AY10" s="64"/>
    </row>
    <row r="11" spans="1:51" ht="18" thickTop="1" thickBot="1" x14ac:dyDescent="0.4">
      <c r="B11" s="28" t="s">
        <v>25</v>
      </c>
      <c r="C11" s="30">
        <f t="shared" ref="C11:G11" si="10">C10/C$3*100</f>
        <v>12.180949473066461</v>
      </c>
      <c r="D11" s="30" t="e">
        <f t="shared" si="10"/>
        <v>#DIV/0!</v>
      </c>
      <c r="E11" s="30" t="e">
        <f t="shared" si="10"/>
        <v>#DIV/0!</v>
      </c>
      <c r="F11" s="30" t="e">
        <f t="shared" si="10"/>
        <v>#DIV/0!</v>
      </c>
      <c r="G11" s="30" t="e">
        <f t="shared" si="10"/>
        <v>#DIV/0!</v>
      </c>
      <c r="H11" s="30" t="e">
        <f>H10/H$3*100</f>
        <v>#DIV/0!</v>
      </c>
      <c r="I11" s="31" t="e">
        <f>I10/I$3*100</f>
        <v>#DIV/0!</v>
      </c>
      <c r="J11" s="23" t="e">
        <f>AVERAGE(D11:I11)</f>
        <v>#DIV/0!</v>
      </c>
      <c r="M11" s="1" t="s">
        <v>26</v>
      </c>
      <c r="N11" s="3">
        <f>'[1]LT Portfolio'!T294</f>
        <v>0</v>
      </c>
      <c r="O11" s="4" t="e">
        <f>N11/N7-1</f>
        <v>#DIV/0!</v>
      </c>
      <c r="W11" s="12" t="s">
        <v>42</v>
      </c>
      <c r="X11" s="13"/>
      <c r="Y11" s="13"/>
      <c r="Z11" s="13"/>
      <c r="AA11" s="13"/>
      <c r="AB11" s="13">
        <v>17634178</v>
      </c>
      <c r="AC11" s="13">
        <v>21646404</v>
      </c>
      <c r="AD11" s="13">
        <v>21788356</v>
      </c>
      <c r="AE11" s="13">
        <v>32477265</v>
      </c>
      <c r="AF11" s="13">
        <v>29685645</v>
      </c>
      <c r="AG11" s="13">
        <v>28693187</v>
      </c>
      <c r="AH11" s="13">
        <v>28377936</v>
      </c>
      <c r="AI11" s="172">
        <v>22642278</v>
      </c>
      <c r="AJ11" s="13">
        <v>25208153</v>
      </c>
      <c r="AK11" s="13">
        <v>29935583</v>
      </c>
      <c r="AL11" s="13">
        <v>31639764</v>
      </c>
      <c r="AM11" s="172">
        <v>25961963</v>
      </c>
      <c r="AO11" s="70" t="s">
        <v>192</v>
      </c>
      <c r="AP11" s="62">
        <f>+AVERAGE(AP4:AP10)</f>
        <v>416563</v>
      </c>
      <c r="AQ11" s="63">
        <f t="shared" ref="AQ11:AY11" si="11">+AVERAGE(AQ4:AQ10)</f>
        <v>36452</v>
      </c>
      <c r="AR11" s="63">
        <f t="shared" si="11"/>
        <v>6892</v>
      </c>
      <c r="AS11" s="72">
        <f t="shared" si="11"/>
        <v>9.19</v>
      </c>
      <c r="AT11" s="65" t="e">
        <f t="shared" si="11"/>
        <v>#DIV/0!</v>
      </c>
      <c r="AU11" s="62">
        <f t="shared" si="11"/>
        <v>448372</v>
      </c>
      <c r="AV11" s="63">
        <f t="shared" si="11"/>
        <v>42475</v>
      </c>
      <c r="AW11" s="63">
        <f t="shared" si="11"/>
        <v>13460</v>
      </c>
      <c r="AX11" s="72">
        <f t="shared" si="11"/>
        <v>17.95</v>
      </c>
      <c r="AY11" s="65" t="e">
        <f t="shared" si="11"/>
        <v>#DIV/0!</v>
      </c>
    </row>
    <row r="12" spans="1:51" ht="18" thickTop="1" thickBot="1" x14ac:dyDescent="0.4">
      <c r="B12" s="28" t="s">
        <v>27</v>
      </c>
      <c r="C12" s="29"/>
      <c r="D12" s="30">
        <f t="shared" ref="D12:I12" si="12">(D10/C10-1)*100</f>
        <v>-100</v>
      </c>
      <c r="E12" s="30" t="e">
        <f t="shared" si="12"/>
        <v>#DIV/0!</v>
      </c>
      <c r="F12" s="30" t="e">
        <f t="shared" si="12"/>
        <v>#DIV/0!</v>
      </c>
      <c r="G12" s="30" t="e">
        <f t="shared" si="12"/>
        <v>#DIV/0!</v>
      </c>
      <c r="H12" s="30" t="e">
        <f t="shared" si="12"/>
        <v>#DIV/0!</v>
      </c>
      <c r="I12" s="31" t="e">
        <f t="shared" si="12"/>
        <v>#DIV/0!</v>
      </c>
      <c r="J12" s="23" t="e">
        <f>AVERAGE(D12:I12)</f>
        <v>#DIV/0!</v>
      </c>
      <c r="S12" t="s">
        <v>20</v>
      </c>
      <c r="T12" t="s">
        <v>22</v>
      </c>
      <c r="W12" s="12" t="s">
        <v>43</v>
      </c>
      <c r="X12" s="19" t="e">
        <f t="shared" ref="X12:AI12" si="13">+X11/X3</f>
        <v>#DIV/0!</v>
      </c>
      <c r="Y12" s="19" t="e">
        <f t="shared" si="13"/>
        <v>#DIV/0!</v>
      </c>
      <c r="Z12" s="19" t="e">
        <f t="shared" si="13"/>
        <v>#DIV/0!</v>
      </c>
      <c r="AA12" s="19" t="e">
        <f t="shared" si="13"/>
        <v>#DIV/0!</v>
      </c>
      <c r="AB12" s="19">
        <f t="shared" si="13"/>
        <v>0.22198623991256192</v>
      </c>
      <c r="AC12" s="19">
        <f t="shared" si="13"/>
        <v>0.23473168097430372</v>
      </c>
      <c r="AD12" s="19">
        <f t="shared" si="13"/>
        <v>0.22757124990265606</v>
      </c>
      <c r="AE12" s="19">
        <f t="shared" si="13"/>
        <v>0.26267326491477316</v>
      </c>
      <c r="AF12" s="19">
        <f t="shared" si="13"/>
        <v>0.22847101521593136</v>
      </c>
      <c r="AG12" s="19">
        <f t="shared" si="13"/>
        <v>0.24660976312174898</v>
      </c>
      <c r="AH12" s="19">
        <f t="shared" si="13"/>
        <v>0.24149949312054234</v>
      </c>
      <c r="AI12" s="174">
        <f t="shared" si="13"/>
        <v>0.23357472117501848</v>
      </c>
      <c r="AJ12" s="19">
        <f t="shared" ref="AJ12:AL12" si="14">+AJ11/AJ3</f>
        <v>0.23949363213307831</v>
      </c>
      <c r="AK12" s="19">
        <f t="shared" si="14"/>
        <v>0.24476692416256121</v>
      </c>
      <c r="AL12" s="19">
        <f t="shared" si="14"/>
        <v>0.2816510034960058</v>
      </c>
      <c r="AM12" s="174">
        <f t="shared" ref="AM12" si="15">+AM11/AM3</f>
        <v>0.22852306386084448</v>
      </c>
      <c r="AO12" s="12"/>
      <c r="AP12" s="12"/>
      <c r="AQ12" s="12"/>
      <c r="AR12" s="12"/>
      <c r="AS12" s="12"/>
      <c r="AT12" s="99" t="s">
        <v>34</v>
      </c>
      <c r="AU12" s="12"/>
      <c r="AV12" s="12"/>
      <c r="AW12" s="12"/>
      <c r="AX12" s="12"/>
      <c r="AY12" s="99" t="s">
        <v>34</v>
      </c>
    </row>
    <row r="13" spans="1:51"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70"/>
      <c r="AJ13" s="12"/>
      <c r="AK13" s="12"/>
      <c r="AL13" s="12"/>
      <c r="AM13" s="170"/>
      <c r="AN13" s="12"/>
      <c r="AO13" s="12" t="s">
        <v>193</v>
      </c>
      <c r="AP13" s="12"/>
      <c r="AQ13" s="12"/>
      <c r="AR13" s="12"/>
      <c r="AS13" s="58">
        <f>+$X$1/AS11</f>
        <v>10.402611534276387</v>
      </c>
      <c r="AT13" s="75" t="e">
        <f>+AT11/$X$1</f>
        <v>#DIV/0!</v>
      </c>
      <c r="AU13" s="12"/>
      <c r="AV13" s="12"/>
      <c r="AW13" s="12"/>
      <c r="AX13" s="58">
        <f>+$X$1/AX11</f>
        <v>5.3259052924791082</v>
      </c>
      <c r="AY13" s="75" t="e">
        <f>+AY11/$X$1</f>
        <v>#DIV/0!</v>
      </c>
    </row>
    <row r="14" spans="1:51"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c r="Y14" s="13"/>
      <c r="Z14" s="13"/>
      <c r="AA14" s="13"/>
      <c r="AB14" s="13">
        <v>7377111</v>
      </c>
      <c r="AC14" s="13">
        <v>10546997</v>
      </c>
      <c r="AD14" s="13">
        <v>9133256</v>
      </c>
      <c r="AE14" s="13">
        <v>18154352</v>
      </c>
      <c r="AF14" s="13">
        <v>15898975</v>
      </c>
      <c r="AG14" s="13">
        <v>13571888</v>
      </c>
      <c r="AH14" s="13">
        <v>13447532</v>
      </c>
      <c r="AI14" s="172">
        <v>8326846</v>
      </c>
      <c r="AJ14" s="13">
        <v>8537727</v>
      </c>
      <c r="AK14" s="13">
        <v>11204613</v>
      </c>
      <c r="AL14" s="13">
        <v>14653674</v>
      </c>
      <c r="AM14" s="172">
        <v>8492527</v>
      </c>
    </row>
    <row r="15" spans="1:51" ht="18" thickTop="1" thickBot="1" x14ac:dyDescent="0.4">
      <c r="B15" s="32" t="s">
        <v>30</v>
      </c>
      <c r="C15" s="34">
        <f>1+0.6</f>
        <v>1.6</v>
      </c>
      <c r="D15" s="34"/>
      <c r="E15" s="34"/>
      <c r="F15" s="34"/>
      <c r="G15" s="34"/>
      <c r="H15" s="34"/>
      <c r="I15" s="35"/>
      <c r="J15" s="24"/>
      <c r="R15" s="6"/>
      <c r="S15" s="6"/>
      <c r="W15" s="12" t="s">
        <v>55</v>
      </c>
      <c r="X15" s="19" t="e">
        <f t="shared" ref="X15:AI15" si="16">+X14/X3</f>
        <v>#DIV/0!</v>
      </c>
      <c r="Y15" s="19" t="e">
        <f t="shared" si="16"/>
        <v>#DIV/0!</v>
      </c>
      <c r="Z15" s="19" t="e">
        <f t="shared" si="16"/>
        <v>#DIV/0!</v>
      </c>
      <c r="AA15" s="19" t="e">
        <f t="shared" si="16"/>
        <v>#DIV/0!</v>
      </c>
      <c r="AB15" s="19">
        <f t="shared" si="16"/>
        <v>9.2866088360205934E-2</v>
      </c>
      <c r="AC15" s="19">
        <f t="shared" si="16"/>
        <v>0.11437069801713663</v>
      </c>
      <c r="AD15" s="19">
        <f t="shared" si="16"/>
        <v>9.5393451603275295E-2</v>
      </c>
      <c r="AE15" s="19">
        <f t="shared" si="16"/>
        <v>0.14683080340207347</v>
      </c>
      <c r="AF15" s="19">
        <f t="shared" si="16"/>
        <v>0.12236402339052133</v>
      </c>
      <c r="AG15" s="19">
        <f t="shared" si="16"/>
        <v>0.11664650862223522</v>
      </c>
      <c r="AH15" s="19">
        <f t="shared" si="16"/>
        <v>0.11444004108411102</v>
      </c>
      <c r="AI15" s="174">
        <f t="shared" si="16"/>
        <v>8.5898633199244262E-2</v>
      </c>
      <c r="AJ15" s="19">
        <f t="shared" ref="AJ15:AL15" si="17">+AJ14/AJ3</f>
        <v>8.1113886026899715E-2</v>
      </c>
      <c r="AK15" s="19">
        <f t="shared" si="17"/>
        <v>9.1614005327434161E-2</v>
      </c>
      <c r="AL15" s="19">
        <f t="shared" si="17"/>
        <v>0.13044414575922025</v>
      </c>
      <c r="AM15" s="174">
        <f t="shared" ref="AM15" si="18">+AM14/AM3</f>
        <v>7.4753141353793087E-2</v>
      </c>
    </row>
    <row r="16" spans="1:51" ht="18" thickTop="1" thickBot="1" x14ac:dyDescent="0.4">
      <c r="B16" s="32" t="s">
        <v>8</v>
      </c>
      <c r="C16" s="34">
        <v>31.7</v>
      </c>
      <c r="D16" s="34"/>
      <c r="E16" s="34"/>
      <c r="F16" s="34"/>
      <c r="G16" s="34"/>
      <c r="H16" s="34"/>
      <c r="I16" s="35"/>
      <c r="J16" s="22" t="e">
        <f>((I16/D16)^(1/5)-1)*100</f>
        <v>#DIV/0!</v>
      </c>
    </row>
    <row r="17" spans="2:39" ht="18" thickTop="1" thickBot="1" x14ac:dyDescent="0.4">
      <c r="B17" s="32" t="s">
        <v>31</v>
      </c>
      <c r="C17" s="34">
        <v>14.6</v>
      </c>
      <c r="D17" s="34"/>
      <c r="E17" s="34"/>
      <c r="F17" s="34"/>
      <c r="G17" s="34"/>
      <c r="H17" s="34"/>
      <c r="I17" s="35"/>
      <c r="J17" s="22" t="e">
        <f>((I17/D17)^(1/6)-1)*100</f>
        <v>#DIV/0!</v>
      </c>
      <c r="W17" s="12" t="s">
        <v>44</v>
      </c>
      <c r="X17" s="13"/>
      <c r="Y17" s="13"/>
      <c r="Z17" s="13"/>
      <c r="AA17" s="13"/>
      <c r="AB17" s="13">
        <v>-1543700</v>
      </c>
      <c r="AC17" s="13">
        <v>-1743743</v>
      </c>
      <c r="AD17" s="13">
        <v>6942999</v>
      </c>
      <c r="AE17" s="13">
        <v>1779517</v>
      </c>
      <c r="AF17" s="13">
        <v>-6090674</v>
      </c>
      <c r="AG17" s="13">
        <v>-6935352</v>
      </c>
      <c r="AH17" s="13">
        <v>-7570892</v>
      </c>
      <c r="AI17" s="172">
        <v>-6015556</v>
      </c>
      <c r="AJ17" s="13">
        <f>2209881-5867753</f>
        <v>-3657872</v>
      </c>
      <c r="AK17" s="13">
        <f>-6244033+2727978</f>
        <v>-3516055</v>
      </c>
      <c r="AL17" s="13">
        <v>-4052833</v>
      </c>
      <c r="AM17" s="172">
        <v>-2744974</v>
      </c>
    </row>
    <row r="18" spans="2:39" ht="18" thickTop="1" thickBot="1" x14ac:dyDescent="0.4">
      <c r="B18" s="32" t="s">
        <v>32</v>
      </c>
      <c r="C18" s="36">
        <f t="shared" ref="C18:G18" si="19">C14/AVERAGE(B17:C17)*100</f>
        <v>22.19178082191781</v>
      </c>
      <c r="D18" s="36">
        <f t="shared" si="19"/>
        <v>0</v>
      </c>
      <c r="E18" s="36" t="e">
        <f t="shared" si="19"/>
        <v>#DIV/0!</v>
      </c>
      <c r="F18" s="36" t="e">
        <f t="shared" si="19"/>
        <v>#DIV/0!</v>
      </c>
      <c r="G18" s="36" t="e">
        <f t="shared" si="19"/>
        <v>#DIV/0!</v>
      </c>
      <c r="H18" s="36" t="e">
        <f>H14/AVERAGE(G17:H17)*100</f>
        <v>#DIV/0!</v>
      </c>
      <c r="I18" s="37" t="e">
        <f>I14/AVERAGE(H17:I17)*100</f>
        <v>#DIV/0!</v>
      </c>
      <c r="J18" s="23" t="e">
        <f>AVERAGE(D18:I18)</f>
        <v>#DIV/0!</v>
      </c>
      <c r="M18" s="9" t="s">
        <v>33</v>
      </c>
      <c r="N18" s="6"/>
      <c r="O18" s="6"/>
      <c r="P18" s="6"/>
      <c r="Q18" s="6"/>
      <c r="W18" s="12" t="s">
        <v>45</v>
      </c>
      <c r="X18" s="15" t="e">
        <f t="shared" ref="X18:AI18" si="20">+X17/X14</f>
        <v>#DIV/0!</v>
      </c>
      <c r="Y18" s="15" t="e">
        <f t="shared" si="20"/>
        <v>#DIV/0!</v>
      </c>
      <c r="Z18" s="15" t="e">
        <f t="shared" si="20"/>
        <v>#DIV/0!</v>
      </c>
      <c r="AA18" s="15" t="e">
        <f t="shared" si="20"/>
        <v>#DIV/0!</v>
      </c>
      <c r="AB18" s="15">
        <f t="shared" si="20"/>
        <v>-0.20925535755121483</v>
      </c>
      <c r="AC18" s="15">
        <f t="shared" si="20"/>
        <v>-0.16533075718140433</v>
      </c>
      <c r="AD18" s="15">
        <f t="shared" si="20"/>
        <v>0.76018880889794394</v>
      </c>
      <c r="AE18" s="15">
        <f t="shared" si="20"/>
        <v>9.8021510214189964E-2</v>
      </c>
      <c r="AF18" s="15">
        <f t="shared" si="20"/>
        <v>-0.38308595365424503</v>
      </c>
      <c r="AG18" s="15">
        <f t="shared" si="20"/>
        <v>-0.51100863785495432</v>
      </c>
      <c r="AH18" s="15">
        <f t="shared" si="20"/>
        <v>-0.56299490493869064</v>
      </c>
      <c r="AI18" s="175">
        <f t="shared" si="20"/>
        <v>-0.72242911661870535</v>
      </c>
      <c r="AJ18" s="15">
        <f t="shared" ref="AJ18:AL18" si="21">+AJ17/AJ14</f>
        <v>-0.42843628052290733</v>
      </c>
      <c r="AK18" s="15">
        <f t="shared" si="21"/>
        <v>-0.31380423402396851</v>
      </c>
      <c r="AL18" s="15">
        <f t="shared" si="21"/>
        <v>-0.27657453004618499</v>
      </c>
      <c r="AM18" s="175">
        <f t="shared" ref="AM18" si="22">+AM17/AM14</f>
        <v>-0.32322228707662631</v>
      </c>
    </row>
    <row r="19" spans="2:39" ht="18" thickTop="1" thickBot="1" x14ac:dyDescent="0.4">
      <c r="B19" s="32" t="s">
        <v>34</v>
      </c>
      <c r="C19" s="30">
        <f t="shared" ref="C19:G19" si="23">C15/C16*100</f>
        <v>5.0473186119873823</v>
      </c>
      <c r="D19" s="30" t="e">
        <f t="shared" si="23"/>
        <v>#DIV/0!</v>
      </c>
      <c r="E19" s="30" t="e">
        <f t="shared" si="23"/>
        <v>#DIV/0!</v>
      </c>
      <c r="F19" s="30" t="e">
        <f t="shared" si="23"/>
        <v>#DIV/0!</v>
      </c>
      <c r="G19" s="30" t="e">
        <f t="shared" si="23"/>
        <v>#DIV/0!</v>
      </c>
      <c r="H19" s="30" t="e">
        <f>H15/H16*100</f>
        <v>#DIV/0!</v>
      </c>
      <c r="I19" s="31" t="e">
        <f>I15/I16*100</f>
        <v>#DIV/0!</v>
      </c>
      <c r="J19" s="23" t="e">
        <f>AVERAGE(D19:I19)</f>
        <v>#DIV/0!</v>
      </c>
    </row>
    <row r="20" spans="2:39" ht="18" thickTop="1" thickBot="1" x14ac:dyDescent="0.4">
      <c r="B20" s="32" t="s">
        <v>35</v>
      </c>
      <c r="C20" s="30">
        <f t="shared" ref="C20:G20" si="24">C15/C14*100</f>
        <v>49.382716049382715</v>
      </c>
      <c r="D20" s="30" t="e">
        <f t="shared" si="24"/>
        <v>#DIV/0!</v>
      </c>
      <c r="E20" s="30" t="e">
        <f t="shared" si="24"/>
        <v>#DIV/0!</v>
      </c>
      <c r="F20" s="30" t="e">
        <f t="shared" si="24"/>
        <v>#DIV/0!</v>
      </c>
      <c r="G20" s="30" t="e">
        <f t="shared" si="24"/>
        <v>#DIV/0!</v>
      </c>
      <c r="H20" s="30" t="e">
        <f>H15/H14*100</f>
        <v>#DIV/0!</v>
      </c>
      <c r="I20" s="31" t="e">
        <f>I15/I14*100</f>
        <v>#DIV/0!</v>
      </c>
      <c r="J20" s="23" t="e">
        <f>AVERAGE(D20:I20)</f>
        <v>#DIV/0!</v>
      </c>
      <c r="M20" t="s">
        <v>36</v>
      </c>
      <c r="N20" s="4" t="e">
        <f>N13/H14-1</f>
        <v>#DIV/0!</v>
      </c>
      <c r="W20" s="12" t="s">
        <v>21</v>
      </c>
      <c r="X20" s="13"/>
      <c r="Y20" s="13"/>
      <c r="Z20" s="13"/>
      <c r="AA20" s="13"/>
      <c r="AB20" s="13">
        <v>5889250</v>
      </c>
      <c r="AC20" s="13">
        <v>8731640</v>
      </c>
      <c r="AD20" s="13">
        <v>16255437</v>
      </c>
      <c r="AE20" s="13">
        <v>20007560</v>
      </c>
      <c r="AF20" s="13">
        <v>10009854</v>
      </c>
      <c r="AG20" s="13">
        <v>6534672</v>
      </c>
      <c r="AH20" s="13">
        <v>6196982</v>
      </c>
      <c r="AI20" s="172">
        <v>2295396</v>
      </c>
      <c r="AJ20" s="13">
        <v>4843074</v>
      </c>
      <c r="AK20" s="13">
        <v>7614809</v>
      </c>
      <c r="AL20" s="13">
        <v>10582428</v>
      </c>
      <c r="AM20" s="172">
        <v>5734473</v>
      </c>
    </row>
    <row r="21" spans="2:39" ht="18" thickTop="1" thickBot="1" x14ac:dyDescent="0.4">
      <c r="B21" s="32" t="s">
        <v>11</v>
      </c>
      <c r="C21" s="38">
        <f t="shared" ref="C21:G21" si="25">C16/C14</f>
        <v>9.7839506172839492</v>
      </c>
      <c r="D21" s="38" t="e">
        <f t="shared" si="25"/>
        <v>#DIV/0!</v>
      </c>
      <c r="E21" s="38" t="e">
        <f t="shared" si="25"/>
        <v>#DIV/0!</v>
      </c>
      <c r="F21" s="38" t="e">
        <f t="shared" si="25"/>
        <v>#DIV/0!</v>
      </c>
      <c r="G21" s="38" t="e">
        <f t="shared" si="25"/>
        <v>#DIV/0!</v>
      </c>
      <c r="H21" s="38" t="e">
        <f>H16/H14</f>
        <v>#DIV/0!</v>
      </c>
      <c r="I21" s="39" t="e">
        <f>I16/I14</f>
        <v>#DIV/0!</v>
      </c>
      <c r="J21" s="23" t="e">
        <f>AVERAGE(D21:I21)</f>
        <v>#DIV/0!</v>
      </c>
      <c r="W21" s="12" t="s">
        <v>46</v>
      </c>
      <c r="X21" s="19" t="e">
        <f t="shared" ref="X21:AI21" si="26">+X20/X3</f>
        <v>#DIV/0!</v>
      </c>
      <c r="Y21" s="19" t="e">
        <f t="shared" si="26"/>
        <v>#DIV/0!</v>
      </c>
      <c r="Z21" s="19" t="e">
        <f t="shared" si="26"/>
        <v>#DIV/0!</v>
      </c>
      <c r="AA21" s="19" t="e">
        <f t="shared" si="26"/>
        <v>#DIV/0!</v>
      </c>
      <c r="AB21" s="19">
        <f t="shared" si="26"/>
        <v>7.4136285989914313E-2</v>
      </c>
      <c r="AC21" s="19">
        <f t="shared" si="26"/>
        <v>9.4685128063879312E-2</v>
      </c>
      <c r="AD21" s="19">
        <f t="shared" si="26"/>
        <v>0.16978197509733556</v>
      </c>
      <c r="AE21" s="19">
        <f t="shared" si="26"/>
        <v>0.16181938682885455</v>
      </c>
      <c r="AF21" s="19">
        <f t="shared" si="26"/>
        <v>7.7039306558548792E-2</v>
      </c>
      <c r="AG21" s="19">
        <f t="shared" si="26"/>
        <v>5.6163643097517389E-2</v>
      </c>
      <c r="AH21" s="19">
        <f t="shared" si="26"/>
        <v>5.2737028227744426E-2</v>
      </c>
      <c r="AI21" s="174">
        <f t="shared" si="26"/>
        <v>2.3678999113351258E-2</v>
      </c>
      <c r="AJ21" s="19">
        <f t="shared" ref="AJ21:AL21" si="27">+AJ20/AJ3</f>
        <v>4.6012311292670909E-2</v>
      </c>
      <c r="AK21" s="19">
        <f t="shared" si="27"/>
        <v>6.2262137236992803E-2</v>
      </c>
      <c r="AL21" s="19">
        <f t="shared" si="27"/>
        <v>9.420270851654361E-2</v>
      </c>
      <c r="AM21" s="174">
        <f t="shared" ref="AM21" si="28">+AM20/AM3</f>
        <v>5.0476126924119277E-2</v>
      </c>
    </row>
    <row r="22" spans="2:39" ht="18" thickTop="1" thickBot="1" x14ac:dyDescent="0.4">
      <c r="B22" s="32" t="s">
        <v>37</v>
      </c>
      <c r="C22" s="38">
        <f t="shared" ref="C22:G22" si="29">C16/C17</f>
        <v>2.1712328767123288</v>
      </c>
      <c r="D22" s="38" t="e">
        <f t="shared" si="29"/>
        <v>#DIV/0!</v>
      </c>
      <c r="E22" s="38" t="e">
        <f t="shared" si="29"/>
        <v>#DIV/0!</v>
      </c>
      <c r="F22" s="38" t="e">
        <f t="shared" si="29"/>
        <v>#DIV/0!</v>
      </c>
      <c r="G22" s="38" t="e">
        <f t="shared" si="29"/>
        <v>#DIV/0!</v>
      </c>
      <c r="H22" s="38" t="e">
        <f>H16/H17</f>
        <v>#DIV/0!</v>
      </c>
      <c r="I22" s="39" t="e">
        <f>I16/I17</f>
        <v>#DIV/0!</v>
      </c>
      <c r="J22" s="23" t="e">
        <f>AVERAGE(D22:I22)</f>
        <v>#DIV/0!</v>
      </c>
    </row>
    <row r="23" spans="2:39" ht="15.75" thickTop="1" x14ac:dyDescent="0.25">
      <c r="W23" s="12" t="s">
        <v>47</v>
      </c>
      <c r="X23" s="13"/>
      <c r="Y23" s="13"/>
      <c r="Z23" s="13"/>
      <c r="AA23" s="13"/>
      <c r="AB23" s="13">
        <v>-1461068</v>
      </c>
      <c r="AC23" s="13">
        <v>-2104970</v>
      </c>
      <c r="AD23" s="13">
        <v>-2801798</v>
      </c>
      <c r="AE23" s="13">
        <v>-3711611</v>
      </c>
      <c r="AF23" s="13">
        <v>-2852657</v>
      </c>
      <c r="AG23" s="13">
        <v>-5709782</v>
      </c>
      <c r="AH23" s="13">
        <v>-2802718</v>
      </c>
      <c r="AI23" s="172">
        <v>-974629</v>
      </c>
      <c r="AJ23" s="13">
        <v>-3007890</v>
      </c>
      <c r="AK23" s="13">
        <v>-3620587</v>
      </c>
      <c r="AL23" s="13">
        <v>-2885878</v>
      </c>
      <c r="AM23" s="172">
        <v>-2615823</v>
      </c>
    </row>
    <row r="24" spans="2:39" x14ac:dyDescent="0.25">
      <c r="G24" s="10">
        <v>701.95658000000003</v>
      </c>
      <c r="H24" s="10">
        <v>709.32254499999999</v>
      </c>
      <c r="I24" s="10">
        <v>716.73997499999996</v>
      </c>
      <c r="W24" s="12" t="s">
        <v>48</v>
      </c>
      <c r="X24" s="14" t="e">
        <f t="shared" ref="X24:AI24" si="30">+X23/X20</f>
        <v>#DIV/0!</v>
      </c>
      <c r="Y24" s="14" t="e">
        <f t="shared" si="30"/>
        <v>#DIV/0!</v>
      </c>
      <c r="Z24" s="14" t="e">
        <f t="shared" si="30"/>
        <v>#DIV/0!</v>
      </c>
      <c r="AA24" s="14" t="e">
        <f t="shared" si="30"/>
        <v>#DIV/0!</v>
      </c>
      <c r="AB24" s="14">
        <f t="shared" si="30"/>
        <v>-0.24809067368510421</v>
      </c>
      <c r="AC24" s="14">
        <f t="shared" si="30"/>
        <v>-0.24107384179833341</v>
      </c>
      <c r="AD24" s="14">
        <f t="shared" si="30"/>
        <v>-0.17236066923331561</v>
      </c>
      <c r="AE24" s="14">
        <f t="shared" si="30"/>
        <v>-0.18551042705857185</v>
      </c>
      <c r="AF24" s="14">
        <f t="shared" si="30"/>
        <v>-0.28498487590328492</v>
      </c>
      <c r="AG24" s="14">
        <f t="shared" si="30"/>
        <v>-0.87376719137548142</v>
      </c>
      <c r="AH24" s="14">
        <f t="shared" si="30"/>
        <v>-0.45227144439018863</v>
      </c>
      <c r="AI24" s="176">
        <f t="shared" si="30"/>
        <v>-0.42460168093000072</v>
      </c>
      <c r="AJ24" s="14">
        <f t="shared" ref="AJ24:AL24" si="31">+AJ23/AJ20</f>
        <v>-0.62107041932458595</v>
      </c>
      <c r="AK24" s="14">
        <f t="shared" si="31"/>
        <v>-0.4754665547093827</v>
      </c>
      <c r="AL24" s="14">
        <f t="shared" si="31"/>
        <v>-0.2727047138898559</v>
      </c>
      <c r="AM24" s="176">
        <f t="shared" ref="AM24" si="32">+AM23/AM20</f>
        <v>-0.45615752310630814</v>
      </c>
    </row>
    <row r="25" spans="2:39" x14ac:dyDescent="0.25">
      <c r="G25">
        <f>+G10/G24</f>
        <v>0</v>
      </c>
      <c r="H25">
        <f>+H10/H24</f>
        <v>0</v>
      </c>
      <c r="I25">
        <f>+I10/I24</f>
        <v>0</v>
      </c>
      <c r="M25" s="10"/>
    </row>
    <row r="26" spans="2:39" x14ac:dyDescent="0.25">
      <c r="M26" s="10"/>
      <c r="W26" s="12" t="s">
        <v>74</v>
      </c>
      <c r="AB26" s="13">
        <v>1640478</v>
      </c>
      <c r="AC26" s="13">
        <v>2093012</v>
      </c>
      <c r="AD26" s="13">
        <v>4689963</v>
      </c>
      <c r="AE26" s="13">
        <v>5807124</v>
      </c>
      <c r="AF26" s="13">
        <v>3110888</v>
      </c>
      <c r="AG26" s="13">
        <v>806100</v>
      </c>
      <c r="AH26" s="13">
        <v>1596343</v>
      </c>
      <c r="AI26" s="172">
        <v>1291457</v>
      </c>
      <c r="AJ26" s="13">
        <v>1795617</v>
      </c>
      <c r="AK26" s="13">
        <v>1882762</v>
      </c>
      <c r="AL26" s="13">
        <v>2988117</v>
      </c>
      <c r="AM26" s="172">
        <v>1717380</v>
      </c>
    </row>
    <row r="28" spans="2:39" x14ac:dyDescent="0.25">
      <c r="W28" s="12" t="s">
        <v>49</v>
      </c>
      <c r="X28" s="13">
        <f t="shared" ref="X28:AH28" si="33">+X20+X23-X26</f>
        <v>0</v>
      </c>
      <c r="Y28" s="13">
        <f t="shared" si="33"/>
        <v>0</v>
      </c>
      <c r="Z28" s="13">
        <f t="shared" si="33"/>
        <v>0</v>
      </c>
      <c r="AA28" s="13">
        <f t="shared" si="33"/>
        <v>0</v>
      </c>
      <c r="AB28" s="13">
        <f t="shared" si="33"/>
        <v>2787704</v>
      </c>
      <c r="AC28" s="13">
        <f t="shared" si="33"/>
        <v>4533658</v>
      </c>
      <c r="AD28" s="13">
        <f t="shared" si="33"/>
        <v>8763676</v>
      </c>
      <c r="AE28" s="13">
        <f t="shared" si="33"/>
        <v>10488825</v>
      </c>
      <c r="AF28" s="13">
        <f t="shared" si="33"/>
        <v>4046309</v>
      </c>
      <c r="AG28" s="13">
        <f t="shared" si="33"/>
        <v>18790</v>
      </c>
      <c r="AH28" s="13">
        <f t="shared" si="33"/>
        <v>1797921</v>
      </c>
      <c r="AI28" s="172">
        <f>+AI20+AI23-AI26</f>
        <v>29310</v>
      </c>
      <c r="AJ28" s="13">
        <f t="shared" ref="AJ28:AL28" si="34">+AJ20+AJ23-AJ26</f>
        <v>39567</v>
      </c>
      <c r="AK28" s="13">
        <f t="shared" si="34"/>
        <v>2111460</v>
      </c>
      <c r="AL28" s="13">
        <f t="shared" si="34"/>
        <v>4708433</v>
      </c>
      <c r="AM28" s="172">
        <f>+AM20+AM23-AM26</f>
        <v>1401270</v>
      </c>
    </row>
    <row r="29" spans="2:39" x14ac:dyDescent="0.25">
      <c r="M29" s="10"/>
      <c r="W29" s="12" t="s">
        <v>25</v>
      </c>
      <c r="X29" s="19" t="e">
        <f t="shared" ref="X29:AH29" si="35">+X28/X3</f>
        <v>#DIV/0!</v>
      </c>
      <c r="Y29" s="19" t="e">
        <f t="shared" si="35"/>
        <v>#DIV/0!</v>
      </c>
      <c r="Z29" s="19" t="e">
        <f t="shared" si="35"/>
        <v>#DIV/0!</v>
      </c>
      <c r="AA29" s="19" t="e">
        <f t="shared" si="35"/>
        <v>#DIV/0!</v>
      </c>
      <c r="AB29" s="19">
        <f t="shared" si="35"/>
        <v>3.5092757311920554E-2</v>
      </c>
      <c r="AC29" s="19">
        <f t="shared" si="35"/>
        <v>4.9162584385960821E-2</v>
      </c>
      <c r="AD29" s="19">
        <f t="shared" si="35"/>
        <v>9.153332638138964E-2</v>
      </c>
      <c r="AE29" s="19">
        <f t="shared" si="35"/>
        <v>8.4832694744144718E-2</v>
      </c>
      <c r="AF29" s="19">
        <f t="shared" si="35"/>
        <v>3.1141796821573524E-2</v>
      </c>
      <c r="AG29" s="19">
        <f t="shared" si="35"/>
        <v>1.6149469381207684E-4</v>
      </c>
      <c r="AH29" s="19">
        <f t="shared" si="35"/>
        <v>1.5300514109651196E-2</v>
      </c>
      <c r="AI29" s="178">
        <f>+AI28/AI3</f>
        <v>3.0235805238500261E-4</v>
      </c>
      <c r="AJ29" s="179">
        <f t="shared" ref="AJ29:AL29" si="36">+AJ28/AJ3</f>
        <v>3.759118941641424E-4</v>
      </c>
      <c r="AK29" s="19">
        <f t="shared" si="36"/>
        <v>1.7264256042458952E-2</v>
      </c>
      <c r="AL29" s="19">
        <f t="shared" si="36"/>
        <v>4.1913551546835466E-2</v>
      </c>
      <c r="AM29" s="174">
        <f t="shared" ref="AM29" si="37">+AM28/AM3</f>
        <v>1.233429512615381E-2</v>
      </c>
    </row>
    <row r="30" spans="2:39" x14ac:dyDescent="0.25">
      <c r="M30" s="10"/>
    </row>
    <row r="31" spans="2:39" x14ac:dyDescent="0.25">
      <c r="W31" s="12" t="s">
        <v>29</v>
      </c>
      <c r="X31" s="16">
        <f t="shared" ref="X31:AI31" si="38">+X28/X46</f>
        <v>0</v>
      </c>
      <c r="Y31" s="16">
        <f t="shared" si="38"/>
        <v>0</v>
      </c>
      <c r="Z31" s="16">
        <f t="shared" si="38"/>
        <v>0</v>
      </c>
      <c r="AA31" s="16">
        <f t="shared" si="38"/>
        <v>0</v>
      </c>
      <c r="AB31" s="16">
        <f t="shared" si="38"/>
        <v>3.7169386666666666</v>
      </c>
      <c r="AC31" s="16">
        <f t="shared" si="38"/>
        <v>6.044877333333333</v>
      </c>
      <c r="AD31" s="16">
        <f t="shared" si="38"/>
        <v>11.684901333333332</v>
      </c>
      <c r="AE31" s="16">
        <f t="shared" si="38"/>
        <v>13.985099999999999</v>
      </c>
      <c r="AF31" s="16">
        <f t="shared" si="38"/>
        <v>5.3950786666666666</v>
      </c>
      <c r="AG31" s="16">
        <f t="shared" si="38"/>
        <v>2.5053333333333334E-2</v>
      </c>
      <c r="AH31" s="16">
        <f t="shared" si="38"/>
        <v>2.3972280000000001</v>
      </c>
      <c r="AI31" s="177">
        <f t="shared" si="38"/>
        <v>3.9079999999999997E-2</v>
      </c>
      <c r="AJ31" s="16">
        <f t="shared" ref="AJ31:AL31" si="39">+AJ28/AJ46</f>
        <v>5.2755999999999997E-2</v>
      </c>
      <c r="AK31" s="16">
        <f t="shared" si="39"/>
        <v>2.81528</v>
      </c>
      <c r="AL31" s="16">
        <f t="shared" si="39"/>
        <v>6.2779106666666671</v>
      </c>
      <c r="AM31" s="177">
        <f t="shared" ref="AM31" si="40">+AM28/AM46</f>
        <v>1.86836</v>
      </c>
    </row>
    <row r="32" spans="2:39" x14ac:dyDescent="0.25">
      <c r="W32" s="12" t="s">
        <v>40</v>
      </c>
      <c r="AA32" s="17"/>
      <c r="AB32" s="18" t="e">
        <f t="shared" ref="AB32:AM32" si="41">+AB31/X31-1</f>
        <v>#DIV/0!</v>
      </c>
      <c r="AC32" s="18" t="e">
        <f t="shared" si="41"/>
        <v>#DIV/0!</v>
      </c>
      <c r="AD32" s="18" t="e">
        <f t="shared" si="41"/>
        <v>#DIV/0!</v>
      </c>
      <c r="AE32" s="18" t="e">
        <f t="shared" si="41"/>
        <v>#DIV/0!</v>
      </c>
      <c r="AF32" s="18">
        <f t="shared" si="41"/>
        <v>0.45148444741622495</v>
      </c>
      <c r="AG32" s="18">
        <f t="shared" si="41"/>
        <v>-0.99585544388218084</v>
      </c>
      <c r="AH32" s="18">
        <f t="shared" si="41"/>
        <v>-0.79484396730321838</v>
      </c>
      <c r="AI32" s="173">
        <f t="shared" si="41"/>
        <v>-0.99720559738578918</v>
      </c>
      <c r="AJ32" s="18">
        <f t="shared" si="41"/>
        <v>-0.99022145861821231</v>
      </c>
      <c r="AK32" s="18">
        <f t="shared" si="41"/>
        <v>111.37147418839808</v>
      </c>
      <c r="AL32" s="18">
        <f t="shared" si="41"/>
        <v>1.6188208491919278</v>
      </c>
      <c r="AM32" s="173">
        <f t="shared" si="41"/>
        <v>46.808597748208804</v>
      </c>
    </row>
    <row r="33" spans="23:41" x14ac:dyDescent="0.25">
      <c r="W33" s="12" t="s">
        <v>41</v>
      </c>
      <c r="Y33" s="18" t="e">
        <f t="shared" ref="Y33:AD33" si="42">+Y31/X31-1</f>
        <v>#DIV/0!</v>
      </c>
      <c r="Z33" s="18" t="e">
        <f t="shared" si="42"/>
        <v>#DIV/0!</v>
      </c>
      <c r="AA33" s="18" t="e">
        <f t="shared" si="42"/>
        <v>#DIV/0!</v>
      </c>
      <c r="AB33" s="18" t="e">
        <f t="shared" si="42"/>
        <v>#DIV/0!</v>
      </c>
      <c r="AC33" s="18">
        <f t="shared" si="42"/>
        <v>0.62630537531961772</v>
      </c>
      <c r="AD33" s="18">
        <f t="shared" si="42"/>
        <v>0.93302538479964747</v>
      </c>
      <c r="AE33" s="18">
        <f>+AE31/AD31-1</f>
        <v>0.19685221133232211</v>
      </c>
      <c r="AF33" s="18">
        <f>+AF31/AE31-1</f>
        <v>-0.61422666504589407</v>
      </c>
      <c r="AG33" s="18">
        <f>+AG31/AF31-1</f>
        <v>-0.99535626171901359</v>
      </c>
      <c r="AH33" s="18">
        <f t="shared" ref="AH33" si="43">+AH31/AG31-1</f>
        <v>94.684992017030339</v>
      </c>
      <c r="AI33" s="173">
        <f>+AI31/AH31-1</f>
        <v>-0.98369783766917451</v>
      </c>
      <c r="AJ33" s="18">
        <f>+AJ31/AI31-1</f>
        <v>0.34994882292732865</v>
      </c>
      <c r="AK33" s="18">
        <f>+AK31/AJ31-1</f>
        <v>52.364167108954433</v>
      </c>
      <c r="AL33" s="18">
        <f t="shared" ref="AL33:AM33" si="44">+AL31/AK31-1</f>
        <v>1.2299418411904561</v>
      </c>
      <c r="AM33" s="173">
        <f t="shared" si="44"/>
        <v>-0.70239143256365755</v>
      </c>
      <c r="AN33" s="18"/>
    </row>
    <row r="34" spans="23:41" x14ac:dyDescent="0.25">
      <c r="Y34" s="18"/>
      <c r="Z34" s="18"/>
      <c r="AA34" s="18"/>
      <c r="AB34" s="18"/>
      <c r="AC34" s="18"/>
      <c r="AD34" s="18"/>
      <c r="AE34" s="18"/>
      <c r="AF34" s="18"/>
      <c r="AG34" s="18"/>
      <c r="AH34" s="18"/>
      <c r="AI34" s="173"/>
      <c r="AJ34" s="18"/>
      <c r="AK34" s="18"/>
      <c r="AL34" s="18"/>
      <c r="AM34" s="173"/>
    </row>
    <row r="35" spans="23:41" x14ac:dyDescent="0.25">
      <c r="W35" s="12" t="s">
        <v>88</v>
      </c>
      <c r="X35" s="18" t="e">
        <f t="shared" ref="X35:AI35" si="45">+X28*4/X40</f>
        <v>#DIV/0!</v>
      </c>
      <c r="Y35" s="18" t="e">
        <f t="shared" si="45"/>
        <v>#DIV/0!</v>
      </c>
      <c r="Z35" s="18" t="e">
        <f t="shared" si="45"/>
        <v>#DIV/0!</v>
      </c>
      <c r="AA35" s="18" t="e">
        <f t="shared" si="45"/>
        <v>#DIV/0!</v>
      </c>
      <c r="AB35" s="18">
        <f t="shared" si="45"/>
        <v>0.21425453093556185</v>
      </c>
      <c r="AC35" s="18">
        <f t="shared" si="45"/>
        <v>0.32121879064082476</v>
      </c>
      <c r="AD35" s="18">
        <f t="shared" si="45"/>
        <v>0.52017779353748683</v>
      </c>
      <c r="AE35" s="18">
        <f t="shared" si="45"/>
        <v>0.52936605489901223</v>
      </c>
      <c r="AF35" s="18">
        <f t="shared" si="45"/>
        <v>0.19570169175690619</v>
      </c>
      <c r="AG35" s="18">
        <f t="shared" si="45"/>
        <v>9.0251569646029167E-4</v>
      </c>
      <c r="AH35" s="18">
        <f t="shared" si="45"/>
        <v>9.1114358307805329E-2</v>
      </c>
      <c r="AI35" s="173">
        <f t="shared" si="45"/>
        <v>1.503381068631577E-3</v>
      </c>
      <c r="AJ35" s="18">
        <f t="shared" ref="AJ35:AL35" si="46">+AJ28*4/AJ40</f>
        <v>2.0220000266758667E-3</v>
      </c>
      <c r="AK35" s="18">
        <f t="shared" si="46"/>
        <v>0.10411640370345834</v>
      </c>
      <c r="AL35" s="18">
        <f t="shared" si="46"/>
        <v>0.23494297424748101</v>
      </c>
      <c r="AM35" s="173">
        <f t="shared" ref="AM35" si="47">+AM28*4/AM40</f>
        <v>6.8676866001621067E-2</v>
      </c>
      <c r="AN35" s="14">
        <f>+AVERAGE(AB35:AL35)</f>
        <v>0.20139277225639132</v>
      </c>
      <c r="AO35" s="50" t="s">
        <v>88</v>
      </c>
    </row>
    <row r="36" spans="23:41" x14ac:dyDescent="0.25">
      <c r="AN36" s="56">
        <f>AVERAGE(AB35:AL35)*AL48</f>
        <v>21.525663190186254</v>
      </c>
      <c r="AO36" s="50" t="s">
        <v>183</v>
      </c>
    </row>
    <row r="37" spans="23:41" x14ac:dyDescent="0.25">
      <c r="W37" s="12" t="s">
        <v>52</v>
      </c>
      <c r="X37" s="13"/>
      <c r="Y37" s="13"/>
      <c r="Z37" s="13"/>
      <c r="AA37" s="13"/>
      <c r="AB37" s="13">
        <f>60934208+21429845+62967305</f>
        <v>145331358</v>
      </c>
      <c r="AC37" s="13">
        <f>60413662+65027148+23431134</f>
        <v>148871944</v>
      </c>
      <c r="AD37" s="13">
        <f>63540193+27568587+80825555</f>
        <v>171934335</v>
      </c>
      <c r="AE37" s="13">
        <f>63846265+31674899+97954786</f>
        <v>193475950</v>
      </c>
      <c r="AF37" s="13">
        <f>56843387+32805837+92681015</f>
        <v>182330239</v>
      </c>
      <c r="AG37" s="13">
        <f>57233464+32388188+81829452</f>
        <v>171451104</v>
      </c>
      <c r="AH37" s="13">
        <f>59158207+31573389+68964025</f>
        <v>159695621</v>
      </c>
      <c r="AI37" s="172">
        <f>62164305+29207430+68554899</f>
        <v>159926634</v>
      </c>
      <c r="AJ37" s="13">
        <f>57457192+28899860+80679267</f>
        <v>167036319</v>
      </c>
      <c r="AK37" s="13">
        <f>61487609+28962540+79151448</f>
        <v>169601597</v>
      </c>
      <c r="AL37" s="13">
        <f>56654168+27160079+88068606</f>
        <v>171882853</v>
      </c>
      <c r="AM37" s="172">
        <f>55828604+27717809+88502223</f>
        <v>172048636</v>
      </c>
      <c r="AN37" s="56">
        <f>X1/AN36</f>
        <v>4.4412104359035451</v>
      </c>
      <c r="AO37" s="50" t="s">
        <v>11</v>
      </c>
    </row>
    <row r="38" spans="23:41" x14ac:dyDescent="0.25">
      <c r="W38" s="12" t="s">
        <v>53</v>
      </c>
      <c r="X38" s="13"/>
      <c r="Y38" s="13"/>
      <c r="Z38" s="13"/>
      <c r="AA38" s="13"/>
      <c r="AB38" s="13">
        <f>21886229+13358415+943388</f>
        <v>36188032</v>
      </c>
      <c r="AC38" s="13">
        <f>23740389+14596135+1754310</f>
        <v>40090834</v>
      </c>
      <c r="AD38" s="13">
        <f>27409656+19927939+1400423</f>
        <v>48738018</v>
      </c>
      <c r="AE38" s="13">
        <f>35634271+26973362+652085</f>
        <v>63259718</v>
      </c>
      <c r="AF38" s="13">
        <f>28932413+17836260+178766</f>
        <v>46947439</v>
      </c>
      <c r="AG38" s="13">
        <f>30688439+17193746+762280</f>
        <v>48644465</v>
      </c>
      <c r="AH38" s="13">
        <f>24177336+19780454+855239</f>
        <v>44813029</v>
      </c>
      <c r="AI38" s="172">
        <f>18384511+957877+29822112</f>
        <v>49164500</v>
      </c>
      <c r="AJ38" s="13">
        <f>26367731+24351233+888280</f>
        <v>51607244</v>
      </c>
      <c r="AK38" s="13">
        <f>30140311+27105430+2518057</f>
        <v>59763798</v>
      </c>
      <c r="AL38" s="13">
        <f>28175378+21356037+2176135</f>
        <v>51707550</v>
      </c>
      <c r="AM38" s="172">
        <f>2565859+19392228+27151110</f>
        <v>49109197</v>
      </c>
    </row>
    <row r="39" spans="23:41" x14ac:dyDescent="0.25">
      <c r="W39" s="12" t="s">
        <v>50</v>
      </c>
      <c r="X39" s="13">
        <f t="shared" ref="X39:AI39" si="48">+X37-X38</f>
        <v>0</v>
      </c>
      <c r="Y39" s="13">
        <f t="shared" si="48"/>
        <v>0</v>
      </c>
      <c r="Z39" s="13">
        <f t="shared" si="48"/>
        <v>0</v>
      </c>
      <c r="AA39" s="13">
        <f t="shared" si="48"/>
        <v>0</v>
      </c>
      <c r="AB39" s="13">
        <f t="shared" si="48"/>
        <v>109143326</v>
      </c>
      <c r="AC39" s="13">
        <f t="shared" si="48"/>
        <v>108781110</v>
      </c>
      <c r="AD39" s="13">
        <f t="shared" si="48"/>
        <v>123196317</v>
      </c>
      <c r="AE39" s="13">
        <f t="shared" si="48"/>
        <v>130216232</v>
      </c>
      <c r="AF39" s="13">
        <f t="shared" si="48"/>
        <v>135382800</v>
      </c>
      <c r="AG39" s="13">
        <f t="shared" si="48"/>
        <v>122806639</v>
      </c>
      <c r="AH39" s="13">
        <f t="shared" si="48"/>
        <v>114882592</v>
      </c>
      <c r="AI39" s="172">
        <f t="shared" si="48"/>
        <v>110762134</v>
      </c>
      <c r="AJ39" s="13">
        <f t="shared" ref="AJ39:AL39" si="49">+AJ37-AJ38</f>
        <v>115429075</v>
      </c>
      <c r="AK39" s="13">
        <f t="shared" si="49"/>
        <v>109837799</v>
      </c>
      <c r="AL39" s="13">
        <f t="shared" si="49"/>
        <v>120175303</v>
      </c>
      <c r="AM39" s="172">
        <f>+AM37-AM38</f>
        <v>122939439</v>
      </c>
    </row>
    <row r="40" spans="23:41" x14ac:dyDescent="0.25">
      <c r="W40" s="12" t="s">
        <v>54</v>
      </c>
      <c r="X40" s="13"/>
      <c r="Y40" s="13"/>
      <c r="Z40" s="13"/>
      <c r="AA40" s="13"/>
      <c r="AB40" s="13">
        <v>52044715</v>
      </c>
      <c r="AC40" s="13">
        <v>56455701</v>
      </c>
      <c r="AD40" s="13">
        <v>67389851</v>
      </c>
      <c r="AE40" s="13">
        <v>79255743</v>
      </c>
      <c r="AF40" s="13">
        <v>82703608</v>
      </c>
      <c r="AG40" s="13">
        <v>83278330</v>
      </c>
      <c r="AH40" s="13">
        <v>78930304</v>
      </c>
      <c r="AI40" s="172">
        <v>77984220</v>
      </c>
      <c r="AJ40" s="13">
        <v>78272996</v>
      </c>
      <c r="AK40" s="13">
        <v>81119206</v>
      </c>
      <c r="AL40" s="13">
        <v>80162993</v>
      </c>
      <c r="AM40" s="172">
        <v>81615256</v>
      </c>
    </row>
    <row r="42" spans="23:41" x14ac:dyDescent="0.25">
      <c r="W42" s="12" t="s">
        <v>51</v>
      </c>
      <c r="X42" s="14" t="e">
        <f t="shared" ref="X42:AI42" si="50">+X37/X40</f>
        <v>#DIV/0!</v>
      </c>
      <c r="Y42" s="14" t="e">
        <f t="shared" si="50"/>
        <v>#DIV/0!</v>
      </c>
      <c r="Z42" s="14" t="e">
        <f t="shared" si="50"/>
        <v>#DIV/0!</v>
      </c>
      <c r="AA42" s="14" t="e">
        <f t="shared" si="50"/>
        <v>#DIV/0!</v>
      </c>
      <c r="AB42" s="14">
        <f t="shared" si="50"/>
        <v>2.792432584173052</v>
      </c>
      <c r="AC42" s="14">
        <f t="shared" si="50"/>
        <v>2.6369691875759367</v>
      </c>
      <c r="AD42" s="14">
        <f t="shared" si="50"/>
        <v>2.5513387023218081</v>
      </c>
      <c r="AE42" s="14">
        <f t="shared" si="50"/>
        <v>2.44116000527558</v>
      </c>
      <c r="AF42" s="14">
        <f t="shared" si="50"/>
        <v>2.2046225480271673</v>
      </c>
      <c r="AG42" s="14">
        <f t="shared" si="50"/>
        <v>2.0587721199500519</v>
      </c>
      <c r="AH42" s="14">
        <f t="shared" si="50"/>
        <v>2.0232485231527804</v>
      </c>
      <c r="AI42" s="176">
        <f t="shared" si="50"/>
        <v>2.0507563453221689</v>
      </c>
      <c r="AJ42" s="14">
        <f t="shared" ref="AJ42:AL42" si="51">+AJ37/AJ40</f>
        <v>2.1340223006156553</v>
      </c>
      <c r="AK42" s="14">
        <f t="shared" si="51"/>
        <v>2.0907699343112407</v>
      </c>
      <c r="AL42" s="14">
        <f t="shared" si="51"/>
        <v>2.1441671096287536</v>
      </c>
      <c r="AM42" s="176">
        <f t="shared" ref="AM42" si="52">+AM37/AM40</f>
        <v>2.1080450449117012</v>
      </c>
    </row>
    <row r="44" spans="23:41" x14ac:dyDescent="0.25">
      <c r="W44" s="12" t="s">
        <v>63</v>
      </c>
      <c r="X44" s="16">
        <f>+MGT!X42</f>
        <v>187.87664531682452</v>
      </c>
      <c r="Y44" s="16">
        <f>+MGT!Y42</f>
        <v>187.90335511406354</v>
      </c>
      <c r="Z44" s="16">
        <f>+MGT!Z42</f>
        <v>197.89852109390694</v>
      </c>
      <c r="AA44" s="16">
        <f>+MGT!AA42</f>
        <v>201.8866687497617</v>
      </c>
      <c r="AB44" s="16">
        <f>+MGT!AB42</f>
        <v>202.93332696356742</v>
      </c>
      <c r="AC44" s="16">
        <f>+MGT!AC42</f>
        <v>203.00000683784583</v>
      </c>
      <c r="AD44" s="16">
        <f>+MGT!AD42</f>
        <v>233.47823381556913</v>
      </c>
      <c r="AE44" s="16">
        <f>+MGT!AE42</f>
        <v>364.27332126591261</v>
      </c>
      <c r="AF44" s="16">
        <f>+MGT!AF42</f>
        <v>368.84924281572984</v>
      </c>
      <c r="AG44" s="16">
        <f>+MGT!AG42</f>
        <v>371.77544011969854</v>
      </c>
      <c r="AH44" s="16">
        <f>+MGT!AH42</f>
        <v>357.68530427957404</v>
      </c>
      <c r="AI44" s="177">
        <f>+MGT!AI42</f>
        <v>316.45665972198566</v>
      </c>
      <c r="AJ44" s="16">
        <f>+MGT!AJ42</f>
        <v>330.91833575134615</v>
      </c>
      <c r="AK44" s="16">
        <f>+MGT!AK42</f>
        <v>334.23663546748418</v>
      </c>
      <c r="AL44" s="16">
        <f>+MGT!AL42</f>
        <v>311.04852561025683</v>
      </c>
      <c r="AM44" s="177">
        <f>+MGT!AM42</f>
        <v>305.92999238532616</v>
      </c>
    </row>
    <row r="46" spans="23:41" x14ac:dyDescent="0.25">
      <c r="W46" s="12" t="s">
        <v>56</v>
      </c>
      <c r="X46" s="13">
        <v>750000</v>
      </c>
      <c r="Y46" s="13">
        <v>750000</v>
      </c>
      <c r="Z46" s="13">
        <v>750000</v>
      </c>
      <c r="AA46" s="13">
        <v>750000</v>
      </c>
      <c r="AB46" s="13">
        <v>750000</v>
      </c>
      <c r="AC46" s="13">
        <v>750000</v>
      </c>
      <c r="AD46" s="13">
        <v>750000</v>
      </c>
      <c r="AE46" s="13">
        <v>750000</v>
      </c>
      <c r="AF46" s="13">
        <v>750000</v>
      </c>
      <c r="AG46" s="13">
        <v>750000</v>
      </c>
      <c r="AH46" s="13">
        <v>750000</v>
      </c>
      <c r="AI46" s="172">
        <v>750000</v>
      </c>
      <c r="AJ46" s="13">
        <v>750000</v>
      </c>
      <c r="AK46" s="13">
        <v>750000</v>
      </c>
      <c r="AL46" s="13">
        <v>750000</v>
      </c>
      <c r="AM46" s="172">
        <v>750000</v>
      </c>
    </row>
    <row r="48" spans="23:41" x14ac:dyDescent="0.25">
      <c r="W48" s="12" t="s">
        <v>57</v>
      </c>
      <c r="X48" s="16">
        <f t="shared" ref="X48:AI48" si="53">+X40/X46</f>
        <v>0</v>
      </c>
      <c r="Y48" s="16">
        <f t="shared" si="53"/>
        <v>0</v>
      </c>
      <c r="Z48" s="16">
        <f t="shared" si="53"/>
        <v>0</v>
      </c>
      <c r="AA48" s="16">
        <f t="shared" si="53"/>
        <v>0</v>
      </c>
      <c r="AB48" s="16">
        <f t="shared" si="53"/>
        <v>69.392953333333338</v>
      </c>
      <c r="AC48" s="16">
        <f t="shared" si="53"/>
        <v>75.274268000000006</v>
      </c>
      <c r="AD48" s="16">
        <f t="shared" si="53"/>
        <v>89.853134666666662</v>
      </c>
      <c r="AE48" s="16">
        <f t="shared" si="53"/>
        <v>105.674324</v>
      </c>
      <c r="AF48" s="16">
        <f t="shared" si="53"/>
        <v>110.27147733333334</v>
      </c>
      <c r="AG48" s="16">
        <f t="shared" si="53"/>
        <v>111.03777333333333</v>
      </c>
      <c r="AH48" s="16">
        <f t="shared" si="53"/>
        <v>105.24040533333333</v>
      </c>
      <c r="AI48" s="177">
        <f t="shared" si="53"/>
        <v>103.97896</v>
      </c>
      <c r="AJ48" s="16">
        <f t="shared" ref="AJ48:AL48" si="54">+AJ40/AJ46</f>
        <v>104.36399466666667</v>
      </c>
      <c r="AK48" s="16">
        <f t="shared" si="54"/>
        <v>108.15894133333333</v>
      </c>
      <c r="AL48" s="16">
        <f t="shared" si="54"/>
        <v>106.88399066666666</v>
      </c>
      <c r="AM48" s="177">
        <f t="shared" ref="AM48" si="55">+AM40/AM46</f>
        <v>108.82034133333333</v>
      </c>
    </row>
    <row r="50" spans="23:39" x14ac:dyDescent="0.25">
      <c r="W50" s="12" t="s">
        <v>67</v>
      </c>
      <c r="X50" s="13"/>
      <c r="Y50" s="13">
        <f>+Y54-X54</f>
        <v>0</v>
      </c>
      <c r="Z50" s="13">
        <f>+Z54-Y54</f>
        <v>0</v>
      </c>
      <c r="AA50" s="13">
        <f>+AA54</f>
        <v>0</v>
      </c>
      <c r="AB50" s="13">
        <f t="shared" ref="AB50:AD51" si="56">+AB54-AA54</f>
        <v>0</v>
      </c>
      <c r="AC50" s="13">
        <f t="shared" si="56"/>
        <v>0</v>
      </c>
      <c r="AD50" s="13">
        <f t="shared" si="56"/>
        <v>0</v>
      </c>
      <c r="AE50" s="13">
        <f>+AE54</f>
        <v>0</v>
      </c>
      <c r="AF50" s="13">
        <f>+AF54-AE54</f>
        <v>0</v>
      </c>
      <c r="AG50" s="13">
        <f>+AG54-AF54</f>
        <v>36652990</v>
      </c>
      <c r="AH50" s="13">
        <f t="shared" ref="AH50:AH51" si="57">+AH54-AG54</f>
        <v>-36652990</v>
      </c>
      <c r="AI50" s="172">
        <f>+AI54</f>
        <v>0</v>
      </c>
      <c r="AJ50" s="13">
        <f>+AJ54-AI54</f>
        <v>0</v>
      </c>
      <c r="AK50" s="13">
        <f>+AK54-AJ54</f>
        <v>25143939</v>
      </c>
      <c r="AL50" s="13">
        <f t="shared" ref="AL50:AM51" si="58">+AL54-AK54</f>
        <v>5266482</v>
      </c>
      <c r="AM50" s="172">
        <f>+AM54-AL54</f>
        <v>-22300173</v>
      </c>
    </row>
    <row r="51" spans="23:39" x14ac:dyDescent="0.25">
      <c r="W51" s="12" t="s">
        <v>60</v>
      </c>
      <c r="Y51" s="13">
        <f>+Y55-X55</f>
        <v>0</v>
      </c>
      <c r="Z51" s="13">
        <f>+Z55-Y55</f>
        <v>0</v>
      </c>
      <c r="AA51" s="13">
        <f>+AA55</f>
        <v>0</v>
      </c>
      <c r="AB51" s="13">
        <f t="shared" si="56"/>
        <v>0</v>
      </c>
      <c r="AC51" s="13">
        <f t="shared" si="56"/>
        <v>0</v>
      </c>
      <c r="AD51" s="13">
        <f t="shared" si="56"/>
        <v>0</v>
      </c>
      <c r="AE51" s="13">
        <f>+AE55</f>
        <v>0</v>
      </c>
      <c r="AF51" s="13">
        <f>+AF55-AE55</f>
        <v>0</v>
      </c>
      <c r="AG51" s="13">
        <f>+AG55-AF55</f>
        <v>-11331392</v>
      </c>
      <c r="AH51" s="13">
        <f t="shared" si="57"/>
        <v>11331392</v>
      </c>
      <c r="AI51" s="172">
        <f>+AI55</f>
        <v>0</v>
      </c>
      <c r="AJ51" s="13">
        <f>+AJ55-AI55</f>
        <v>0</v>
      </c>
      <c r="AK51" s="13">
        <f>+AK55-AJ55</f>
        <v>-13729920</v>
      </c>
      <c r="AL51" s="13">
        <f t="shared" si="58"/>
        <v>-6189549</v>
      </c>
      <c r="AM51" s="172">
        <f t="shared" si="58"/>
        <v>17030378</v>
      </c>
    </row>
    <row r="52" spans="23:39" x14ac:dyDescent="0.25">
      <c r="W52" s="12" t="s">
        <v>68</v>
      </c>
      <c r="Y52" s="13">
        <f t="shared" ref="Y52:AI52" si="59">+Y50+Y51</f>
        <v>0</v>
      </c>
      <c r="Z52" s="13">
        <f t="shared" si="59"/>
        <v>0</v>
      </c>
      <c r="AA52" s="13">
        <f t="shared" si="59"/>
        <v>0</v>
      </c>
      <c r="AB52" s="13">
        <f t="shared" si="59"/>
        <v>0</v>
      </c>
      <c r="AC52" s="13">
        <f t="shared" si="59"/>
        <v>0</v>
      </c>
      <c r="AD52" s="13">
        <f t="shared" si="59"/>
        <v>0</v>
      </c>
      <c r="AE52" s="13">
        <f t="shared" si="59"/>
        <v>0</v>
      </c>
      <c r="AF52" s="13">
        <f t="shared" si="59"/>
        <v>0</v>
      </c>
      <c r="AG52" s="13">
        <f t="shared" si="59"/>
        <v>25321598</v>
      </c>
      <c r="AH52" s="13">
        <f t="shared" si="59"/>
        <v>-25321598</v>
      </c>
      <c r="AI52" s="172">
        <f t="shared" si="59"/>
        <v>0</v>
      </c>
      <c r="AJ52" s="13">
        <f t="shared" ref="AJ52:AL52" si="60">+AJ50+AJ51</f>
        <v>0</v>
      </c>
      <c r="AK52" s="13">
        <f t="shared" si="60"/>
        <v>11414019</v>
      </c>
      <c r="AL52" s="13">
        <f t="shared" si="60"/>
        <v>-923067</v>
      </c>
      <c r="AM52" s="172">
        <f t="shared" ref="AM52" si="61">+AM50+AM51</f>
        <v>-5269795</v>
      </c>
    </row>
    <row r="54" spans="23:39" x14ac:dyDescent="0.25">
      <c r="W54" s="12" t="s">
        <v>67</v>
      </c>
      <c r="X54" s="13"/>
      <c r="Y54" s="13"/>
      <c r="Z54" s="13"/>
      <c r="AA54" s="13"/>
      <c r="AB54" s="13"/>
      <c r="AC54" s="13"/>
      <c r="AD54" s="13"/>
      <c r="AE54" s="13"/>
      <c r="AF54" s="13"/>
      <c r="AG54" s="13">
        <v>36652990</v>
      </c>
      <c r="AH54" s="13"/>
      <c r="AI54" s="172"/>
      <c r="AJ54" s="13"/>
      <c r="AK54" s="13">
        <v>25143939</v>
      </c>
      <c r="AL54" s="13">
        <v>30410421</v>
      </c>
      <c r="AM54" s="172">
        <v>8110248</v>
      </c>
    </row>
    <row r="55" spans="23:39" x14ac:dyDescent="0.25">
      <c r="W55" s="12" t="s">
        <v>60</v>
      </c>
      <c r="X55" s="13"/>
      <c r="Y55" s="13"/>
      <c r="Z55" s="13"/>
      <c r="AA55" s="13"/>
      <c r="AB55" s="13"/>
      <c r="AC55" s="13"/>
      <c r="AD55" s="13"/>
      <c r="AE55" s="13"/>
      <c r="AF55" s="13"/>
      <c r="AG55" s="13">
        <v>-11331392</v>
      </c>
      <c r="AH55" s="13"/>
      <c r="AI55" s="172"/>
      <c r="AJ55" s="13"/>
      <c r="AK55" s="13">
        <v>-13729920</v>
      </c>
      <c r="AL55" s="13">
        <v>-19919469</v>
      </c>
      <c r="AM55" s="172">
        <v>-2889091</v>
      </c>
    </row>
    <row r="56" spans="23:39" x14ac:dyDescent="0.25">
      <c r="W56" s="12" t="s">
        <v>68</v>
      </c>
      <c r="X56" s="13">
        <f t="shared" ref="X56:AF56" si="62">+X54+X55</f>
        <v>0</v>
      </c>
      <c r="Y56" s="13">
        <f t="shared" si="62"/>
        <v>0</v>
      </c>
      <c r="Z56" s="13">
        <f t="shared" si="62"/>
        <v>0</v>
      </c>
      <c r="AA56" s="13">
        <f t="shared" si="62"/>
        <v>0</v>
      </c>
      <c r="AB56" s="13">
        <f t="shared" si="62"/>
        <v>0</v>
      </c>
      <c r="AC56" s="13">
        <f t="shared" si="62"/>
        <v>0</v>
      </c>
      <c r="AD56" s="13">
        <f t="shared" si="62"/>
        <v>0</v>
      </c>
      <c r="AE56" s="13">
        <f t="shared" si="62"/>
        <v>0</v>
      </c>
      <c r="AF56" s="13">
        <f t="shared" si="62"/>
        <v>0</v>
      </c>
      <c r="AG56" s="13">
        <f>+AG54+AG55</f>
        <v>25321598</v>
      </c>
      <c r="AH56" s="13">
        <f t="shared" ref="AH56:AJ56" si="63">+AH54+AH55</f>
        <v>0</v>
      </c>
      <c r="AI56" s="172">
        <f t="shared" si="63"/>
        <v>0</v>
      </c>
      <c r="AJ56" s="13">
        <f t="shared" si="63"/>
        <v>0</v>
      </c>
      <c r="AK56" s="13">
        <f>+AK54+AK55</f>
        <v>11414019</v>
      </c>
      <c r="AL56" s="13">
        <f t="shared" ref="AL56" si="64">+AL54+AL55</f>
        <v>10490952</v>
      </c>
      <c r="AM56" s="172">
        <f>+AM54+AM55</f>
        <v>5221157</v>
      </c>
    </row>
    <row r="58" spans="23:39" x14ac:dyDescent="0.25">
      <c r="W58" s="47" t="s">
        <v>76</v>
      </c>
    </row>
    <row r="59" spans="23:39" x14ac:dyDescent="0.25">
      <c r="W59" s="47" t="s">
        <v>90</v>
      </c>
      <c r="AC59" s="13"/>
      <c r="AG59" s="13"/>
      <c r="AK59" s="13"/>
    </row>
    <row r="60" spans="23:39" x14ac:dyDescent="0.25">
      <c r="W60" s="12" t="s">
        <v>78</v>
      </c>
      <c r="Z60" s="13"/>
      <c r="AA60" s="13"/>
      <c r="AB60" s="13"/>
      <c r="AC60" s="13"/>
      <c r="AD60" s="13"/>
      <c r="AE60" s="13"/>
      <c r="AF60" s="13"/>
      <c r="AG60" s="13"/>
      <c r="AH60" s="13"/>
      <c r="AI60" s="172"/>
      <c r="AJ60" s="13"/>
      <c r="AK60" s="13"/>
      <c r="AL60" s="13"/>
      <c r="AM60" s="172"/>
    </row>
    <row r="61" spans="23:39" x14ac:dyDescent="0.25">
      <c r="W61" s="12" t="s">
        <v>40</v>
      </c>
      <c r="X61" s="17"/>
      <c r="Y61" s="17"/>
      <c r="Z61" s="17"/>
      <c r="AA61" s="17"/>
      <c r="AB61" s="18"/>
      <c r="AC61" s="18"/>
      <c r="AD61" s="18" t="e">
        <f t="shared" ref="AD61:AM61" si="65">+AD60/Z60-1</f>
        <v>#DIV/0!</v>
      </c>
      <c r="AE61" s="18" t="e">
        <f t="shared" si="65"/>
        <v>#DIV/0!</v>
      </c>
      <c r="AF61" s="18" t="e">
        <f t="shared" si="65"/>
        <v>#DIV/0!</v>
      </c>
      <c r="AG61" s="18" t="e">
        <f t="shared" si="65"/>
        <v>#DIV/0!</v>
      </c>
      <c r="AH61" s="18" t="e">
        <f t="shared" si="65"/>
        <v>#DIV/0!</v>
      </c>
      <c r="AI61" s="173" t="e">
        <f t="shared" si="65"/>
        <v>#DIV/0!</v>
      </c>
      <c r="AJ61" s="18" t="e">
        <f t="shared" si="65"/>
        <v>#DIV/0!</v>
      </c>
      <c r="AK61" s="18" t="e">
        <f t="shared" si="65"/>
        <v>#DIV/0!</v>
      </c>
      <c r="AL61" s="18" t="e">
        <f t="shared" si="65"/>
        <v>#DIV/0!</v>
      </c>
      <c r="AM61" s="173" t="e">
        <f t="shared" si="65"/>
        <v>#DIV/0!</v>
      </c>
    </row>
    <row r="62" spans="23:39" x14ac:dyDescent="0.25">
      <c r="W62" s="12" t="s">
        <v>41</v>
      </c>
      <c r="Y62" s="18"/>
      <c r="Z62" s="18"/>
      <c r="AA62" s="18" t="e">
        <f t="shared" ref="AA62:AC62" si="66">+AA60/Z60-1</f>
        <v>#DIV/0!</v>
      </c>
      <c r="AB62" s="18" t="e">
        <f t="shared" si="66"/>
        <v>#DIV/0!</v>
      </c>
      <c r="AC62" s="18" t="e">
        <f t="shared" si="66"/>
        <v>#DIV/0!</v>
      </c>
      <c r="AD62" s="18" t="e">
        <f>+AD60/AC60-1</f>
        <v>#DIV/0!</v>
      </c>
      <c r="AE62" s="18" t="e">
        <f>+AE60/AD60-1</f>
        <v>#DIV/0!</v>
      </c>
      <c r="AF62" s="18" t="e">
        <f>+AF60/AE60-1</f>
        <v>#DIV/0!</v>
      </c>
      <c r="AG62" s="18" t="e">
        <f>+AG60/AF60-1</f>
        <v>#DIV/0!</v>
      </c>
      <c r="AH62" s="18" t="e">
        <f t="shared" ref="AH62:AI62" si="67">+AH60/AG60-1</f>
        <v>#DIV/0!</v>
      </c>
      <c r="AI62" s="173" t="e">
        <f t="shared" si="67"/>
        <v>#DIV/0!</v>
      </c>
      <c r="AJ62" s="18" t="e">
        <f>+AJ60/AI60-1</f>
        <v>#DIV/0!</v>
      </c>
      <c r="AK62" s="18" t="e">
        <f>+AK60/AJ60-1</f>
        <v>#DIV/0!</v>
      </c>
      <c r="AL62" s="18" t="e">
        <f t="shared" ref="AL62:AM62" si="68">+AL60/AK60-1</f>
        <v>#DIV/0!</v>
      </c>
      <c r="AM62" s="173" t="e">
        <f t="shared" si="68"/>
        <v>#DIV/0!</v>
      </c>
    </row>
    <row r="63" spans="23:39" x14ac:dyDescent="0.25">
      <c r="W63" s="12" t="s">
        <v>89</v>
      </c>
      <c r="Z63" s="13"/>
      <c r="AA63" s="13"/>
      <c r="AB63" s="13"/>
      <c r="AC63" s="13"/>
      <c r="AD63" s="13"/>
      <c r="AE63" s="13"/>
      <c r="AF63" s="13"/>
      <c r="AG63" s="13"/>
      <c r="AH63" s="13"/>
      <c r="AI63" s="172"/>
      <c r="AJ63" s="13"/>
      <c r="AK63" s="13"/>
      <c r="AL63" s="13"/>
      <c r="AM63" s="172"/>
    </row>
    <row r="64" spans="23:39" x14ac:dyDescent="0.25">
      <c r="W64" s="12" t="s">
        <v>82</v>
      </c>
      <c r="X64" s="19"/>
      <c r="Y64" s="19"/>
      <c r="Z64" s="19" t="e">
        <f t="shared" ref="Z64:AF64" si="69">+Z63/Z60</f>
        <v>#DIV/0!</v>
      </c>
      <c r="AA64" s="19" t="e">
        <f t="shared" si="69"/>
        <v>#DIV/0!</v>
      </c>
      <c r="AB64" s="19" t="e">
        <f t="shared" si="69"/>
        <v>#DIV/0!</v>
      </c>
      <c r="AC64" s="19" t="e">
        <f t="shared" si="69"/>
        <v>#DIV/0!</v>
      </c>
      <c r="AD64" s="19" t="e">
        <f t="shared" si="69"/>
        <v>#DIV/0!</v>
      </c>
      <c r="AE64" s="19" t="e">
        <f t="shared" si="69"/>
        <v>#DIV/0!</v>
      </c>
      <c r="AF64" s="19" t="e">
        <f t="shared" si="69"/>
        <v>#DIV/0!</v>
      </c>
      <c r="AG64" s="19" t="e">
        <f>+AG63/AG60</f>
        <v>#DIV/0!</v>
      </c>
      <c r="AH64" s="19" t="e">
        <f t="shared" ref="AH64:AJ64" si="70">+AH63/AH60</f>
        <v>#DIV/0!</v>
      </c>
      <c r="AI64" s="174" t="e">
        <f t="shared" si="70"/>
        <v>#DIV/0!</v>
      </c>
      <c r="AJ64" s="19" t="e">
        <f t="shared" si="70"/>
        <v>#DIV/0!</v>
      </c>
      <c r="AK64" s="19" t="e">
        <f>+AK63/AK60</f>
        <v>#DIV/0!</v>
      </c>
      <c r="AL64" s="19" t="e">
        <f t="shared" ref="AL64:AM64" si="71">+AL63/AL60</f>
        <v>#DIV/0!</v>
      </c>
      <c r="AM64" s="174" t="e">
        <f t="shared" si="71"/>
        <v>#DIV/0!</v>
      </c>
    </row>
    <row r="65" spans="23:39" x14ac:dyDescent="0.25">
      <c r="W65" s="12" t="s">
        <v>21</v>
      </c>
      <c r="Z65" s="13"/>
      <c r="AA65" s="13"/>
      <c r="AB65" s="13"/>
      <c r="AC65" s="13"/>
      <c r="AD65" s="13"/>
      <c r="AE65" s="13"/>
      <c r="AF65" s="13"/>
      <c r="AG65" s="13"/>
      <c r="AH65" s="13"/>
      <c r="AI65" s="172"/>
      <c r="AJ65" s="13"/>
      <c r="AK65" s="13"/>
      <c r="AL65" s="13"/>
      <c r="AM65" s="172"/>
    </row>
    <row r="66" spans="23:39" x14ac:dyDescent="0.25">
      <c r="W66" s="12" t="s">
        <v>82</v>
      </c>
      <c r="Z66" s="19" t="e">
        <f t="shared" ref="Z66:AF66" si="72">+Z65/Z60</f>
        <v>#DIV/0!</v>
      </c>
      <c r="AA66" s="19" t="e">
        <f t="shared" si="72"/>
        <v>#DIV/0!</v>
      </c>
      <c r="AB66" s="19" t="e">
        <f t="shared" si="72"/>
        <v>#DIV/0!</v>
      </c>
      <c r="AC66" s="19" t="e">
        <f t="shared" si="72"/>
        <v>#DIV/0!</v>
      </c>
      <c r="AD66" s="19" t="e">
        <f t="shared" si="72"/>
        <v>#DIV/0!</v>
      </c>
      <c r="AE66" s="19" t="e">
        <f t="shared" si="72"/>
        <v>#DIV/0!</v>
      </c>
      <c r="AF66" s="19" t="e">
        <f t="shared" si="72"/>
        <v>#DIV/0!</v>
      </c>
      <c r="AG66" s="19" t="e">
        <f>+AG65/AG60</f>
        <v>#DIV/0!</v>
      </c>
      <c r="AH66" s="19" t="e">
        <f t="shared" ref="AH66:AJ66" si="73">+AH65/AH60</f>
        <v>#DIV/0!</v>
      </c>
      <c r="AI66" s="174" t="e">
        <f t="shared" si="73"/>
        <v>#DIV/0!</v>
      </c>
      <c r="AJ66" s="19" t="e">
        <f t="shared" si="73"/>
        <v>#DIV/0!</v>
      </c>
      <c r="AK66" s="19" t="e">
        <f>+AK65/AK60</f>
        <v>#DIV/0!</v>
      </c>
      <c r="AL66" s="19" t="e">
        <f t="shared" ref="AL66:AM66" si="74">+AL65/AL60</f>
        <v>#DIV/0!</v>
      </c>
      <c r="AM66" s="174" t="e">
        <f t="shared" si="74"/>
        <v>#DIV/0!</v>
      </c>
    </row>
    <row r="68" spans="23:39" x14ac:dyDescent="0.25">
      <c r="W68" s="47" t="s">
        <v>91</v>
      </c>
      <c r="AC68" s="13"/>
      <c r="AG68" s="13"/>
      <c r="AK68" s="13"/>
    </row>
    <row r="69" spans="23:39" x14ac:dyDescent="0.25">
      <c r="W69" s="12" t="s">
        <v>78</v>
      </c>
      <c r="Z69" s="13"/>
      <c r="AA69" s="13"/>
      <c r="AB69" s="13"/>
      <c r="AC69" s="13"/>
      <c r="AD69" s="13"/>
      <c r="AE69" s="13"/>
      <c r="AF69" s="13"/>
      <c r="AG69" s="13"/>
      <c r="AH69" s="13"/>
      <c r="AI69" s="172"/>
      <c r="AJ69" s="13"/>
      <c r="AK69" s="13"/>
      <c r="AL69" s="13"/>
      <c r="AM69" s="172"/>
    </row>
    <row r="70" spans="23:39" x14ac:dyDescent="0.25">
      <c r="W70" s="12" t="s">
        <v>40</v>
      </c>
      <c r="X70" s="17"/>
      <c r="Y70" s="17"/>
      <c r="Z70" s="17"/>
      <c r="AA70" s="17"/>
      <c r="AB70" s="18"/>
      <c r="AC70" s="18"/>
      <c r="AD70" s="18" t="e">
        <f t="shared" ref="AD70:AM70" si="75">+AD69/Z69-1</f>
        <v>#DIV/0!</v>
      </c>
      <c r="AE70" s="18" t="e">
        <f t="shared" si="75"/>
        <v>#DIV/0!</v>
      </c>
      <c r="AF70" s="18" t="e">
        <f t="shared" si="75"/>
        <v>#DIV/0!</v>
      </c>
      <c r="AG70" s="18" t="e">
        <f t="shared" si="75"/>
        <v>#DIV/0!</v>
      </c>
      <c r="AH70" s="18" t="e">
        <f t="shared" si="75"/>
        <v>#DIV/0!</v>
      </c>
      <c r="AI70" s="173" t="e">
        <f t="shared" si="75"/>
        <v>#DIV/0!</v>
      </c>
      <c r="AJ70" s="18" t="e">
        <f t="shared" si="75"/>
        <v>#DIV/0!</v>
      </c>
      <c r="AK70" s="18" t="e">
        <f t="shared" si="75"/>
        <v>#DIV/0!</v>
      </c>
      <c r="AL70" s="18" t="e">
        <f t="shared" si="75"/>
        <v>#DIV/0!</v>
      </c>
      <c r="AM70" s="173" t="e">
        <f t="shared" si="75"/>
        <v>#DIV/0!</v>
      </c>
    </row>
    <row r="71" spans="23:39" x14ac:dyDescent="0.25">
      <c r="W71" s="12" t="s">
        <v>41</v>
      </c>
      <c r="Y71" s="18"/>
      <c r="Z71" s="18"/>
      <c r="AA71" s="18" t="e">
        <f t="shared" ref="AA71:AC71" si="76">+AA69/Z69-1</f>
        <v>#DIV/0!</v>
      </c>
      <c r="AB71" s="18" t="e">
        <f t="shared" si="76"/>
        <v>#DIV/0!</v>
      </c>
      <c r="AC71" s="18" t="e">
        <f t="shared" si="76"/>
        <v>#DIV/0!</v>
      </c>
      <c r="AD71" s="18" t="e">
        <f>+AD69/AC69-1</f>
        <v>#DIV/0!</v>
      </c>
      <c r="AE71" s="18" t="e">
        <f>+AE69/AD69-1</f>
        <v>#DIV/0!</v>
      </c>
      <c r="AF71" s="18" t="e">
        <f>+AF69/AE69-1</f>
        <v>#DIV/0!</v>
      </c>
      <c r="AG71" s="18" t="e">
        <f>+AG69/AF69-1</f>
        <v>#DIV/0!</v>
      </c>
      <c r="AH71" s="18" t="e">
        <f t="shared" ref="AH71:AI71" si="77">+AH69/AG69-1</f>
        <v>#DIV/0!</v>
      </c>
      <c r="AI71" s="173" t="e">
        <f t="shared" si="77"/>
        <v>#DIV/0!</v>
      </c>
      <c r="AJ71" s="18" t="e">
        <f>+AJ69/AI69-1</f>
        <v>#DIV/0!</v>
      </c>
      <c r="AK71" s="18" t="e">
        <f>+AK69/AJ69-1</f>
        <v>#DIV/0!</v>
      </c>
      <c r="AL71" s="18" t="e">
        <f t="shared" ref="AL71:AM71" si="78">+AL69/AK69-1</f>
        <v>#DIV/0!</v>
      </c>
      <c r="AM71" s="173" t="e">
        <f t="shared" si="78"/>
        <v>#DIV/0!</v>
      </c>
    </row>
    <row r="72" spans="23:39" x14ac:dyDescent="0.25">
      <c r="W72" s="12" t="s">
        <v>89</v>
      </c>
      <c r="Z72" s="13"/>
      <c r="AA72" s="13"/>
      <c r="AB72" s="13"/>
      <c r="AC72" s="13"/>
      <c r="AD72" s="13"/>
      <c r="AE72" s="13"/>
      <c r="AF72" s="13"/>
      <c r="AG72" s="13"/>
      <c r="AH72" s="13"/>
      <c r="AI72" s="172"/>
      <c r="AJ72" s="13"/>
      <c r="AK72" s="13"/>
      <c r="AL72" s="13"/>
      <c r="AM72" s="172"/>
    </row>
    <row r="73" spans="23:39" x14ac:dyDescent="0.25">
      <c r="W73" s="12" t="s">
        <v>82</v>
      </c>
      <c r="X73" s="19"/>
      <c r="Y73" s="19"/>
      <c r="Z73" s="19" t="e">
        <f t="shared" ref="Z73:AF73" si="79">+Z72/Z69</f>
        <v>#DIV/0!</v>
      </c>
      <c r="AA73" s="19" t="e">
        <f t="shared" si="79"/>
        <v>#DIV/0!</v>
      </c>
      <c r="AB73" s="19" t="e">
        <f t="shared" si="79"/>
        <v>#DIV/0!</v>
      </c>
      <c r="AC73" s="19" t="e">
        <f t="shared" si="79"/>
        <v>#DIV/0!</v>
      </c>
      <c r="AD73" s="19" t="e">
        <f t="shared" si="79"/>
        <v>#DIV/0!</v>
      </c>
      <c r="AE73" s="19" t="e">
        <f t="shared" si="79"/>
        <v>#DIV/0!</v>
      </c>
      <c r="AF73" s="19" t="e">
        <f t="shared" si="79"/>
        <v>#DIV/0!</v>
      </c>
      <c r="AG73" s="19" t="e">
        <f>+AG72/AG69</f>
        <v>#DIV/0!</v>
      </c>
      <c r="AH73" s="19" t="e">
        <f t="shared" ref="AH73:AJ73" si="80">+AH72/AH69</f>
        <v>#DIV/0!</v>
      </c>
      <c r="AI73" s="174" t="e">
        <f t="shared" si="80"/>
        <v>#DIV/0!</v>
      </c>
      <c r="AJ73" s="19" t="e">
        <f t="shared" si="80"/>
        <v>#DIV/0!</v>
      </c>
      <c r="AK73" s="19" t="e">
        <f>+AK72/AK69</f>
        <v>#DIV/0!</v>
      </c>
      <c r="AL73" s="19" t="e">
        <f t="shared" ref="AL73:AM73" si="81">+AL72/AL69</f>
        <v>#DIV/0!</v>
      </c>
      <c r="AM73" s="174" t="e">
        <f t="shared" si="81"/>
        <v>#DIV/0!</v>
      </c>
    </row>
    <row r="74" spans="23:39" x14ac:dyDescent="0.25">
      <c r="W74" s="12" t="s">
        <v>21</v>
      </c>
      <c r="Z74" s="13"/>
      <c r="AA74" s="13"/>
      <c r="AB74" s="13"/>
      <c r="AC74" s="13"/>
      <c r="AD74" s="13"/>
      <c r="AE74" s="13"/>
      <c r="AF74" s="13"/>
      <c r="AG74" s="13"/>
      <c r="AH74" s="13"/>
      <c r="AI74" s="172"/>
      <c r="AJ74" s="13"/>
      <c r="AK74" s="13"/>
      <c r="AL74" s="13"/>
      <c r="AM74" s="172"/>
    </row>
    <row r="75" spans="23:39" x14ac:dyDescent="0.25">
      <c r="W75" s="12" t="s">
        <v>82</v>
      </c>
      <c r="Z75" s="19" t="e">
        <f t="shared" ref="Z75:AF75" si="82">+Z74/Z69</f>
        <v>#DIV/0!</v>
      </c>
      <c r="AA75" s="19" t="e">
        <f t="shared" si="82"/>
        <v>#DIV/0!</v>
      </c>
      <c r="AB75" s="19" t="e">
        <f t="shared" si="82"/>
        <v>#DIV/0!</v>
      </c>
      <c r="AC75" s="19" t="e">
        <f t="shared" si="82"/>
        <v>#DIV/0!</v>
      </c>
      <c r="AD75" s="19" t="e">
        <f t="shared" si="82"/>
        <v>#DIV/0!</v>
      </c>
      <c r="AE75" s="19" t="e">
        <f t="shared" si="82"/>
        <v>#DIV/0!</v>
      </c>
      <c r="AF75" s="19" t="e">
        <f t="shared" si="82"/>
        <v>#DIV/0!</v>
      </c>
      <c r="AG75" s="19" t="e">
        <f>+AG74/AG69</f>
        <v>#DIV/0!</v>
      </c>
      <c r="AH75" s="19" t="e">
        <f t="shared" ref="AH75:AJ75" si="83">+AH74/AH69</f>
        <v>#DIV/0!</v>
      </c>
      <c r="AI75" s="174" t="e">
        <f t="shared" si="83"/>
        <v>#DIV/0!</v>
      </c>
      <c r="AJ75" s="19" t="e">
        <f t="shared" si="83"/>
        <v>#DIV/0!</v>
      </c>
      <c r="AK75" s="19" t="e">
        <f>+AK74/AK69</f>
        <v>#DIV/0!</v>
      </c>
      <c r="AL75" s="19" t="e">
        <f t="shared" ref="AL75:AM75" si="84">+AL74/AL69</f>
        <v>#DIV/0!</v>
      </c>
      <c r="AM75" s="174" t="e">
        <f t="shared" si="84"/>
        <v>#DIV/0!</v>
      </c>
    </row>
  </sheetData>
  <mergeCells count="3">
    <mergeCell ref="B13:H13"/>
    <mergeCell ref="AP2:AT2"/>
    <mergeCell ref="AU2:AY2"/>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68B6A-6F5B-4BBA-AD69-EEB1E6474CA1}">
  <sheetPr codeName="Sheet5">
    <tabColor rgb="FF92D050"/>
  </sheetPr>
  <dimension ref="A1:BD72"/>
  <sheetViews>
    <sheetView topLeftCell="T1" zoomScale="85" zoomScaleNormal="85" workbookViewId="0">
      <selection activeCell="AI2" sqref="AI2:AM3"/>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4" width="12" style="12" customWidth="1"/>
    <col min="35" max="35" width="12" style="170" customWidth="1"/>
    <col min="36" max="38" width="12" style="12" customWidth="1"/>
    <col min="39" max="39" width="12" style="170" customWidth="1"/>
    <col min="40" max="40" width="8.85546875" style="12"/>
    <col min="41" max="41" width="14.28515625" style="50" bestFit="1" customWidth="1"/>
    <col min="42" max="42" width="10.28515625" style="50" bestFit="1" customWidth="1"/>
    <col min="43" max="16384" width="8.85546875" style="50"/>
  </cols>
  <sheetData>
    <row r="1" spans="1:56" ht="15.75" thickBot="1" x14ac:dyDescent="0.3">
      <c r="W1" s="20" t="s">
        <v>194</v>
      </c>
      <c r="X1" s="59">
        <f>+'Valuation Sheet'!C7</f>
        <v>79</v>
      </c>
    </row>
    <row r="2" spans="1:56"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f>J14*J21</f>
        <v>34.398437959079992</v>
      </c>
      <c r="W2" s="20" t="s">
        <v>85</v>
      </c>
      <c r="X2" s="11" t="s">
        <v>14</v>
      </c>
      <c r="Y2" s="11" t="s">
        <v>16</v>
      </c>
      <c r="Z2" s="11" t="s">
        <v>18</v>
      </c>
      <c r="AA2" s="11" t="s">
        <v>20</v>
      </c>
      <c r="AB2" s="11" t="s">
        <v>22</v>
      </c>
      <c r="AC2" s="11" t="s">
        <v>24</v>
      </c>
      <c r="AD2" s="11" t="s">
        <v>26</v>
      </c>
      <c r="AE2" s="11" t="s">
        <v>39</v>
      </c>
      <c r="AF2" s="11" t="s">
        <v>38</v>
      </c>
      <c r="AG2" s="11" t="s">
        <v>71</v>
      </c>
      <c r="AH2" s="11" t="s">
        <v>83</v>
      </c>
      <c r="AI2" s="171" t="s">
        <v>84</v>
      </c>
      <c r="AJ2" s="11" t="s">
        <v>365</v>
      </c>
      <c r="AK2" s="11" t="s">
        <v>948</v>
      </c>
      <c r="AL2" s="11" t="s">
        <v>1018</v>
      </c>
      <c r="AM2" s="171" t="s">
        <v>1074</v>
      </c>
      <c r="AO2" s="71" t="str">
        <f>+W2</f>
        <v>HAYC</v>
      </c>
      <c r="AP2" s="189" t="s">
        <v>190</v>
      </c>
      <c r="AQ2" s="190"/>
      <c r="AR2" s="190"/>
      <c r="AS2" s="190"/>
      <c r="AT2" s="191"/>
      <c r="AU2" s="192" t="s">
        <v>191</v>
      </c>
      <c r="AV2" s="192"/>
      <c r="AW2" s="192"/>
      <c r="AX2" s="192"/>
      <c r="AY2" s="192"/>
      <c r="AZ2" s="192" t="s">
        <v>991</v>
      </c>
      <c r="BA2" s="192"/>
      <c r="BB2" s="192"/>
      <c r="BC2" s="192"/>
      <c r="BD2" s="192"/>
    </row>
    <row r="3" spans="1:56" ht="18" thickTop="1" thickBot="1" x14ac:dyDescent="0.4">
      <c r="B3" s="25" t="s">
        <v>10</v>
      </c>
      <c r="C3" s="26">
        <v>17820.179</v>
      </c>
      <c r="D3" s="26">
        <v>22137.641</v>
      </c>
      <c r="E3" s="26">
        <v>24647.488000000001</v>
      </c>
      <c r="F3" s="26">
        <v>31746.592000000001</v>
      </c>
      <c r="G3" s="26">
        <v>33276.976999999999</v>
      </c>
      <c r="H3" s="26">
        <v>31780.287</v>
      </c>
      <c r="I3" s="27">
        <v>49587.964</v>
      </c>
      <c r="J3" s="21"/>
      <c r="M3" s="1" t="s">
        <v>11</v>
      </c>
      <c r="N3" s="2">
        <f>'[1]LT Portfolio'!W294</f>
        <v>0</v>
      </c>
      <c r="W3" s="12" t="s">
        <v>62</v>
      </c>
      <c r="X3" s="13"/>
      <c r="Y3" s="13"/>
      <c r="Z3" s="13"/>
      <c r="AA3" s="13"/>
      <c r="AB3" s="13">
        <v>7453002</v>
      </c>
      <c r="AC3" s="13">
        <v>8437660</v>
      </c>
      <c r="AD3" s="13">
        <v>9873278</v>
      </c>
      <c r="AE3" s="13">
        <v>15041682</v>
      </c>
      <c r="AF3" s="13">
        <v>18344396</v>
      </c>
      <c r="AG3" s="13">
        <v>14706816</v>
      </c>
      <c r="AH3" s="13">
        <v>12850362</v>
      </c>
      <c r="AI3" s="172">
        <v>10215398</v>
      </c>
      <c r="AJ3" s="13">
        <v>11391110</v>
      </c>
      <c r="AK3" s="13">
        <v>10700624</v>
      </c>
      <c r="AL3" s="13">
        <v>10872073</v>
      </c>
      <c r="AM3" s="172">
        <v>10059288</v>
      </c>
      <c r="AO3" s="69"/>
      <c r="AP3" s="66" t="s">
        <v>78</v>
      </c>
      <c r="AQ3" s="67" t="s">
        <v>17</v>
      </c>
      <c r="AR3" s="67" t="s">
        <v>184</v>
      </c>
      <c r="AS3" s="67" t="s">
        <v>29</v>
      </c>
      <c r="AT3" s="68" t="s">
        <v>30</v>
      </c>
      <c r="AU3" s="66" t="s">
        <v>78</v>
      </c>
      <c r="AV3" s="67" t="s">
        <v>17</v>
      </c>
      <c r="AW3" s="67" t="s">
        <v>184</v>
      </c>
      <c r="AX3" s="67" t="s">
        <v>29</v>
      </c>
      <c r="AY3" s="68" t="s">
        <v>30</v>
      </c>
      <c r="AZ3" s="66" t="s">
        <v>78</v>
      </c>
      <c r="BA3" s="67" t="s">
        <v>17</v>
      </c>
      <c r="BB3" s="67" t="s">
        <v>184</v>
      </c>
      <c r="BC3" s="67" t="s">
        <v>29</v>
      </c>
      <c r="BD3" s="68" t="s">
        <v>30</v>
      </c>
    </row>
    <row r="4" spans="1:56" ht="18" thickTop="1" thickBot="1" x14ac:dyDescent="0.4">
      <c r="B4" s="28" t="s">
        <v>12</v>
      </c>
      <c r="C4" s="29"/>
      <c r="D4" s="30">
        <f t="shared" ref="D4:G4" si="0">(D3/C3-1)*100</f>
        <v>24.2279384511233</v>
      </c>
      <c r="E4" s="30">
        <f t="shared" si="0"/>
        <v>11.337463643935685</v>
      </c>
      <c r="F4" s="30">
        <f t="shared" si="0"/>
        <v>28.802545719872128</v>
      </c>
      <c r="G4" s="30">
        <f t="shared" si="0"/>
        <v>4.8206276755627719</v>
      </c>
      <c r="H4" s="30">
        <f>(H3/G3-1)*100</f>
        <v>-4.4976741727471126</v>
      </c>
      <c r="I4" s="31">
        <f>(I3/H3-1)*100</f>
        <v>56.033719896865634</v>
      </c>
      <c r="J4" s="22">
        <f>((I3/D3)^(1/5)-1)*100</f>
        <v>17.503008805594654</v>
      </c>
      <c r="W4" s="12" t="s">
        <v>40</v>
      </c>
      <c r="X4" s="17"/>
      <c r="Y4" s="17"/>
      <c r="Z4" s="17"/>
      <c r="AA4" s="17"/>
      <c r="AB4" s="18" t="e">
        <f t="shared" ref="AB4:AG4" si="1">+AB3/X3-1</f>
        <v>#DIV/0!</v>
      </c>
      <c r="AC4" s="18" t="e">
        <f t="shared" si="1"/>
        <v>#DIV/0!</v>
      </c>
      <c r="AD4" s="18" t="e">
        <f t="shared" si="1"/>
        <v>#DIV/0!</v>
      </c>
      <c r="AE4" s="18" t="e">
        <f t="shared" si="1"/>
        <v>#DIV/0!</v>
      </c>
      <c r="AF4" s="18">
        <f t="shared" si="1"/>
        <v>1.46134322786979</v>
      </c>
      <c r="AG4" s="18">
        <f t="shared" si="1"/>
        <v>0.74299699205703962</v>
      </c>
      <c r="AH4" s="18">
        <f>+AH3/AD3-1</f>
        <v>0.3015294413871461</v>
      </c>
      <c r="AI4" s="173">
        <f>+AI3/AE3-1</f>
        <v>-0.32086065906725059</v>
      </c>
      <c r="AJ4" s="18">
        <f t="shared" ref="AJ4:AK4" si="2">+AJ3/AF3-1</f>
        <v>-0.37904142496705806</v>
      </c>
      <c r="AK4" s="18">
        <f t="shared" si="2"/>
        <v>-0.27240376162998159</v>
      </c>
      <c r="AL4" s="18">
        <f>+AL3/AH3-1</f>
        <v>-0.15394811445778722</v>
      </c>
      <c r="AM4" s="173">
        <f>+AM3/AI3-1</f>
        <v>-1.5281832386755734E-2</v>
      </c>
      <c r="AO4" s="69" t="s">
        <v>185</v>
      </c>
      <c r="AP4" s="60"/>
      <c r="AQ4" s="61"/>
      <c r="AR4" s="61"/>
      <c r="AS4" s="74"/>
      <c r="AT4" s="64"/>
      <c r="AU4" s="60"/>
      <c r="AV4" s="61"/>
      <c r="AW4" s="61"/>
      <c r="AX4" s="58"/>
      <c r="AY4" s="64"/>
      <c r="AZ4" s="60"/>
      <c r="BA4" s="61"/>
      <c r="BB4" s="61"/>
      <c r="BC4" s="58"/>
      <c r="BD4" s="64"/>
    </row>
    <row r="5" spans="1:56" ht="18" thickTop="1" thickBot="1" x14ac:dyDescent="0.4">
      <c r="B5" s="32" t="s">
        <v>13</v>
      </c>
      <c r="C5" s="29">
        <v>2994.8620000000001</v>
      </c>
      <c r="D5" s="26">
        <v>3075.7150000000001</v>
      </c>
      <c r="E5" s="26">
        <v>2911.1990000000001</v>
      </c>
      <c r="F5" s="26">
        <v>3686.058</v>
      </c>
      <c r="G5" s="26">
        <v>4229.0420000000004</v>
      </c>
      <c r="H5" s="26">
        <v>3789.9589999999998</v>
      </c>
      <c r="I5" s="27">
        <v>4577.6409999999996</v>
      </c>
      <c r="J5" s="21"/>
      <c r="M5" s="1" t="s">
        <v>14</v>
      </c>
      <c r="N5" s="3">
        <f>202.575/415.481776</f>
        <v>0.48756651122045841</v>
      </c>
      <c r="W5" s="12" t="s">
        <v>41</v>
      </c>
      <c r="Y5" s="18" t="e">
        <f t="shared" ref="Y5:AM5" si="3">+Y3/X3-1</f>
        <v>#DIV/0!</v>
      </c>
      <c r="Z5" s="18" t="e">
        <f t="shared" si="3"/>
        <v>#DIV/0!</v>
      </c>
      <c r="AA5" s="18" t="e">
        <f t="shared" si="3"/>
        <v>#DIV/0!</v>
      </c>
      <c r="AB5" s="18" t="e">
        <f t="shared" si="3"/>
        <v>#DIV/0!</v>
      </c>
      <c r="AC5" s="18">
        <f t="shared" si="3"/>
        <v>0.13211562267124033</v>
      </c>
      <c r="AD5" s="18">
        <f t="shared" si="3"/>
        <v>0.170144092082402</v>
      </c>
      <c r="AE5" s="18">
        <f t="shared" si="3"/>
        <v>0.52347396680210978</v>
      </c>
      <c r="AF5" s="18">
        <f t="shared" si="3"/>
        <v>0.21957079002202007</v>
      </c>
      <c r="AG5" s="18">
        <f t="shared" si="3"/>
        <v>-0.1982938004609146</v>
      </c>
      <c r="AH5" s="18">
        <f t="shared" si="3"/>
        <v>-0.12623085785529653</v>
      </c>
      <c r="AI5" s="173">
        <f t="shared" si="3"/>
        <v>-0.20504978770247873</v>
      </c>
      <c r="AJ5" s="18">
        <f t="shared" si="3"/>
        <v>0.11509213835819221</v>
      </c>
      <c r="AK5" s="18">
        <f t="shared" si="3"/>
        <v>-6.0616217383556159E-2</v>
      </c>
      <c r="AL5" s="18">
        <f t="shared" si="3"/>
        <v>1.602233664130237E-2</v>
      </c>
      <c r="AM5" s="173">
        <f t="shared" si="3"/>
        <v>-7.475897190903702E-2</v>
      </c>
      <c r="AO5" s="69" t="s">
        <v>186</v>
      </c>
      <c r="AP5" s="60"/>
      <c r="AQ5" s="61"/>
      <c r="AR5" s="61"/>
      <c r="AS5" s="58"/>
      <c r="AT5" s="64"/>
      <c r="AU5" s="60"/>
      <c r="AV5" s="61"/>
      <c r="AW5" s="61"/>
      <c r="AX5" s="58">
        <v>7.64</v>
      </c>
      <c r="AY5" s="64">
        <v>3.06</v>
      </c>
      <c r="AZ5" s="60"/>
      <c r="BA5" s="61"/>
      <c r="BB5" s="61"/>
      <c r="BC5" s="58">
        <v>8.41</v>
      </c>
      <c r="BD5" s="64">
        <v>3.36</v>
      </c>
    </row>
    <row r="6" spans="1:56" ht="18" thickTop="1" thickBot="1" x14ac:dyDescent="0.4">
      <c r="B6" s="28" t="s">
        <v>15</v>
      </c>
      <c r="C6" s="30">
        <f t="shared" ref="C6:G6" si="4">C5/C$3*100</f>
        <v>16.806015248219449</v>
      </c>
      <c r="D6" s="30">
        <f t="shared" si="4"/>
        <v>13.893598690122404</v>
      </c>
      <c r="E6" s="30">
        <f t="shared" si="4"/>
        <v>11.811341585803795</v>
      </c>
      <c r="F6" s="30">
        <f t="shared" si="4"/>
        <v>11.610877791228742</v>
      </c>
      <c r="G6" s="30">
        <f t="shared" si="4"/>
        <v>12.708612323769675</v>
      </c>
      <c r="H6" s="30">
        <f>H5/H$3*100</f>
        <v>11.925502749550374</v>
      </c>
      <c r="I6" s="31">
        <f>I5/I$3*100</f>
        <v>9.2313550118734451</v>
      </c>
      <c r="J6" s="23">
        <f>AVERAGE(D6:I6)</f>
        <v>11.863548025391404</v>
      </c>
      <c r="M6" s="1" t="s">
        <v>16</v>
      </c>
      <c r="N6" s="3">
        <f>261.001/415.481776</f>
        <v>0.62818880412218114</v>
      </c>
      <c r="AO6" s="69" t="s">
        <v>187</v>
      </c>
      <c r="AP6" s="60">
        <v>66126</v>
      </c>
      <c r="AQ6" s="61">
        <v>6855</v>
      </c>
      <c r="AR6" s="61">
        <v>3815</v>
      </c>
      <c r="AS6" s="58">
        <v>9.18</v>
      </c>
      <c r="AT6" s="64">
        <v>2.75</v>
      </c>
      <c r="AU6" s="60"/>
      <c r="AV6" s="61"/>
      <c r="AW6" s="61"/>
      <c r="AX6" s="58"/>
      <c r="AY6" s="64"/>
      <c r="AZ6" s="60"/>
      <c r="BA6" s="61"/>
      <c r="BB6" s="61"/>
      <c r="BC6" s="58"/>
      <c r="BD6" s="64"/>
    </row>
    <row r="7" spans="1:56" ht="18" thickTop="1" thickBot="1" x14ac:dyDescent="0.4">
      <c r="B7" s="32" t="s">
        <v>17</v>
      </c>
      <c r="C7" s="26">
        <v>2167.6080000000002</v>
      </c>
      <c r="D7" s="26">
        <v>1992.405</v>
      </c>
      <c r="E7" s="26">
        <v>1810.8420000000001</v>
      </c>
      <c r="F7" s="26">
        <v>2344.6489999999999</v>
      </c>
      <c r="G7" s="26">
        <v>2728.431</v>
      </c>
      <c r="H7" s="26">
        <v>2441.4009999999998</v>
      </c>
      <c r="I7" s="27">
        <v>2573.1030000000001</v>
      </c>
      <c r="J7" s="24"/>
      <c r="M7" s="1" t="s">
        <v>18</v>
      </c>
      <c r="N7" s="3">
        <f>'[1]LT Portfolio'!P294</f>
        <v>0</v>
      </c>
      <c r="W7" s="12" t="s">
        <v>61</v>
      </c>
      <c r="X7" s="13"/>
      <c r="Y7" s="13"/>
      <c r="Z7" s="13"/>
      <c r="AA7" s="13"/>
      <c r="AB7" s="13">
        <f t="shared" ref="AB7:AH7" si="5">+AB3/AB45</f>
        <v>36726.357920195318</v>
      </c>
      <c r="AC7" s="13">
        <f t="shared" si="5"/>
        <v>41564.826186138554</v>
      </c>
      <c r="AD7" s="13">
        <f t="shared" si="5"/>
        <v>42287.787767827533</v>
      </c>
      <c r="AE7" s="13">
        <f t="shared" si="5"/>
        <v>41292.296530878411</v>
      </c>
      <c r="AF7" s="13">
        <f t="shared" si="5"/>
        <v>49734.12947783796</v>
      </c>
      <c r="AG7" s="13">
        <f t="shared" si="5"/>
        <v>39558.331220763066</v>
      </c>
      <c r="AH7" s="13">
        <f t="shared" si="5"/>
        <v>35926.446645277596</v>
      </c>
      <c r="AI7" s="172">
        <f>+AI3/AI45</f>
        <v>32280.559394687596</v>
      </c>
      <c r="AJ7" s="13">
        <f t="shared" ref="AJ7:AL7" si="6">+AJ3/AJ45</f>
        <v>34422.722373895122</v>
      </c>
      <c r="AK7" s="13">
        <f t="shared" si="6"/>
        <v>32015.114037494546</v>
      </c>
      <c r="AL7" s="13">
        <f t="shared" si="6"/>
        <v>34952.98033858127</v>
      </c>
      <c r="AM7" s="172">
        <f t="shared" ref="AM7" si="7">+AM3/AM45</f>
        <v>32881.012814624875</v>
      </c>
      <c r="AO7" s="69" t="s">
        <v>188</v>
      </c>
      <c r="AP7" s="60">
        <v>65198</v>
      </c>
      <c r="AQ7" s="61">
        <v>5724</v>
      </c>
      <c r="AR7" s="61">
        <v>3356</v>
      </c>
      <c r="AS7" s="74">
        <v>8.1</v>
      </c>
      <c r="AT7" s="64">
        <v>2.4</v>
      </c>
      <c r="AU7" s="60">
        <v>57931</v>
      </c>
      <c r="AV7" s="61">
        <v>6428</v>
      </c>
      <c r="AW7" s="61">
        <v>4095</v>
      </c>
      <c r="AX7" s="58">
        <v>9.9</v>
      </c>
      <c r="AY7" s="64">
        <v>3</v>
      </c>
      <c r="AZ7" s="60">
        <v>66531</v>
      </c>
      <c r="BA7" s="61">
        <v>7036</v>
      </c>
      <c r="BB7" s="61">
        <v>4744</v>
      </c>
      <c r="BC7" s="58">
        <v>11.4</v>
      </c>
      <c r="BD7" s="64">
        <v>3.4</v>
      </c>
    </row>
    <row r="8" spans="1:56" ht="18" thickTop="1" thickBot="1" x14ac:dyDescent="0.4">
      <c r="B8" s="28" t="s">
        <v>19</v>
      </c>
      <c r="C8" s="30">
        <f t="shared" ref="C8:I8" si="8">C7/C$3*100</f>
        <v>12.16378353999699</v>
      </c>
      <c r="D8" s="30">
        <f t="shared" si="8"/>
        <v>9.0000781926132056</v>
      </c>
      <c r="E8" s="30">
        <f t="shared" si="8"/>
        <v>7.3469637149229978</v>
      </c>
      <c r="F8" s="30">
        <f t="shared" si="8"/>
        <v>7.3855140104487429</v>
      </c>
      <c r="G8" s="30">
        <f t="shared" si="8"/>
        <v>8.1991552297553945</v>
      </c>
      <c r="H8" s="30">
        <f t="shared" si="8"/>
        <v>7.6821238272643662</v>
      </c>
      <c r="I8" s="31">
        <f t="shared" si="8"/>
        <v>5.1889668226749546</v>
      </c>
      <c r="J8" s="23">
        <f>AVERAGE(D8:I8)</f>
        <v>7.4671336329466103</v>
      </c>
      <c r="M8" s="1" t="s">
        <v>20</v>
      </c>
      <c r="N8" s="3">
        <f>'[1]LT Portfolio'!Q294</f>
        <v>0</v>
      </c>
      <c r="W8" s="12" t="s">
        <v>40</v>
      </c>
      <c r="AB8" s="18" t="e">
        <f t="shared" ref="AB8:AG8" si="9">+AB7/X7-1</f>
        <v>#DIV/0!</v>
      </c>
      <c r="AC8" s="18" t="e">
        <f t="shared" si="9"/>
        <v>#DIV/0!</v>
      </c>
      <c r="AD8" s="18" t="e">
        <f t="shared" si="9"/>
        <v>#DIV/0!</v>
      </c>
      <c r="AE8" s="18" t="e">
        <f t="shared" si="9"/>
        <v>#DIV/0!</v>
      </c>
      <c r="AF8" s="18">
        <f t="shared" si="9"/>
        <v>0.35418081983266436</v>
      </c>
      <c r="AG8" s="18">
        <f t="shared" si="9"/>
        <v>-4.8273868784867724E-2</v>
      </c>
      <c r="AH8" s="18">
        <f>+AH7/AD7-1</f>
        <v>-0.15042974481132898</v>
      </c>
      <c r="AI8" s="173">
        <f>+AI7/AE7-1</f>
        <v>-0.21824257533004565</v>
      </c>
      <c r="AJ8" s="18">
        <f t="shared" ref="AJ8:AK8" si="10">+AJ7/AF7-1</f>
        <v>-0.30786518764273851</v>
      </c>
      <c r="AK8" s="18">
        <f t="shared" si="10"/>
        <v>-0.1906859301311804</v>
      </c>
      <c r="AL8" s="18">
        <f>+AL7/AH7-1</f>
        <v>-2.7096092088035206E-2</v>
      </c>
      <c r="AM8" s="173">
        <f>+AM7/AI7-1</f>
        <v>1.8601084714662486E-2</v>
      </c>
      <c r="AO8" s="69" t="s">
        <v>1078</v>
      </c>
      <c r="AP8" s="60"/>
      <c r="AQ8" s="61"/>
      <c r="AR8" s="61"/>
      <c r="AS8" s="74"/>
      <c r="AT8" s="64"/>
      <c r="AU8" s="60"/>
      <c r="AV8" s="61"/>
      <c r="AW8" s="61"/>
      <c r="AX8" s="58">
        <v>5.56</v>
      </c>
      <c r="AY8" s="64">
        <v>2</v>
      </c>
      <c r="AZ8" s="60"/>
      <c r="BA8" s="61"/>
      <c r="BB8" s="61"/>
      <c r="BC8" s="58">
        <v>6.15</v>
      </c>
      <c r="BD8" s="64">
        <v>2</v>
      </c>
    </row>
    <row r="9" spans="1:56" ht="18" thickTop="1" thickBot="1" x14ac:dyDescent="0.4">
      <c r="B9" s="32" t="s">
        <v>21</v>
      </c>
      <c r="C9" s="26">
        <v>2228.9470000000001</v>
      </c>
      <c r="D9" s="26">
        <v>2011.37</v>
      </c>
      <c r="E9" s="26">
        <v>1817.7159999999999</v>
      </c>
      <c r="F9" s="26">
        <v>2257.0619999999999</v>
      </c>
      <c r="G9" s="26">
        <v>2811.9639999999999</v>
      </c>
      <c r="H9" s="26">
        <v>2599.3359999999998</v>
      </c>
      <c r="I9" s="27">
        <v>2863.72</v>
      </c>
      <c r="J9" s="21"/>
      <c r="M9" s="1" t="s">
        <v>22</v>
      </c>
      <c r="N9" s="3">
        <f>'[1]LT Portfolio'!R294</f>
        <v>0</v>
      </c>
      <c r="O9" s="4">
        <f>N9/N5-1</f>
        <v>-1</v>
      </c>
      <c r="W9" s="12" t="s">
        <v>41</v>
      </c>
      <c r="Y9" s="18" t="e">
        <f t="shared" ref="Y9:AM9" si="11">+Y7/X7-1</f>
        <v>#DIV/0!</v>
      </c>
      <c r="Z9" s="18" t="e">
        <f t="shared" si="11"/>
        <v>#DIV/0!</v>
      </c>
      <c r="AA9" s="18" t="e">
        <f t="shared" si="11"/>
        <v>#DIV/0!</v>
      </c>
      <c r="AB9" s="18" t="e">
        <f t="shared" si="11"/>
        <v>#DIV/0!</v>
      </c>
      <c r="AC9" s="18">
        <f t="shared" si="11"/>
        <v>0.13174375407594208</v>
      </c>
      <c r="AD9" s="18">
        <f t="shared" si="11"/>
        <v>1.7393590880215859E-2</v>
      </c>
      <c r="AE9" s="18">
        <f t="shared" si="11"/>
        <v>-2.3540868167771345E-2</v>
      </c>
      <c r="AF9" s="18">
        <f t="shared" si="11"/>
        <v>0.20444086805989925</v>
      </c>
      <c r="AG9" s="18">
        <f t="shared" si="11"/>
        <v>-0.20460392820606887</v>
      </c>
      <c r="AH9" s="18">
        <f t="shared" si="11"/>
        <v>-9.1810864194877717E-2</v>
      </c>
      <c r="AI9" s="173">
        <f t="shared" si="11"/>
        <v>-0.10148198864719171</v>
      </c>
      <c r="AJ9" s="18">
        <f t="shared" si="11"/>
        <v>6.63607762497469E-2</v>
      </c>
      <c r="AK9" s="18">
        <f t="shared" si="11"/>
        <v>-6.9942415078315112E-2</v>
      </c>
      <c r="AL9" s="18">
        <f t="shared" si="11"/>
        <v>9.1764980054296785E-2</v>
      </c>
      <c r="AM9" s="173">
        <f t="shared" si="11"/>
        <v>-5.9278708249932754E-2</v>
      </c>
      <c r="AO9" s="69" t="s">
        <v>195</v>
      </c>
      <c r="AP9" s="60">
        <v>61649</v>
      </c>
      <c r="AQ9" s="61">
        <v>4200</v>
      </c>
      <c r="AR9" s="61">
        <v>2600</v>
      </c>
      <c r="AS9" s="74">
        <v>6.3</v>
      </c>
      <c r="AT9" s="64"/>
      <c r="AU9" s="60"/>
      <c r="AV9" s="61"/>
      <c r="AW9" s="61"/>
      <c r="AX9" s="58"/>
      <c r="AY9" s="64"/>
      <c r="AZ9" s="60"/>
      <c r="BA9" s="61"/>
      <c r="BB9" s="61"/>
      <c r="BC9" s="58"/>
      <c r="BD9" s="64"/>
    </row>
    <row r="10" spans="1:56" ht="18" thickTop="1" thickBot="1" x14ac:dyDescent="0.4">
      <c r="B10" s="32" t="s">
        <v>23</v>
      </c>
      <c r="C10" s="29">
        <v>2170.6669999999999</v>
      </c>
      <c r="D10" s="26">
        <v>1959.175</v>
      </c>
      <c r="E10" s="26">
        <v>1596.114</v>
      </c>
      <c r="F10" s="26">
        <v>1858.7170000000001</v>
      </c>
      <c r="G10" s="26">
        <v>2383.7840000000001</v>
      </c>
      <c r="H10" s="26">
        <v>2139.5970000000002</v>
      </c>
      <c r="I10" s="27">
        <v>2531.25</v>
      </c>
      <c r="J10" s="22">
        <f>((I10/D10)^(1/5)-1)*100</f>
        <v>5.2573330805531393</v>
      </c>
      <c r="M10" s="1" t="s">
        <v>24</v>
      </c>
      <c r="N10" s="3">
        <f>'[1]LT Portfolio'!S294</f>
        <v>0</v>
      </c>
      <c r="O10" s="4">
        <f>N10/N6-1</f>
        <v>-1</v>
      </c>
      <c r="AO10" s="69" t="s">
        <v>196</v>
      </c>
      <c r="AP10" s="60">
        <v>57649</v>
      </c>
      <c r="AQ10" s="61">
        <v>4507</v>
      </c>
      <c r="AR10" s="61">
        <v>2529</v>
      </c>
      <c r="AS10" s="58">
        <v>6.09</v>
      </c>
      <c r="AT10" s="64"/>
      <c r="AU10" s="60">
        <v>53877</v>
      </c>
      <c r="AV10" s="61">
        <v>5164</v>
      </c>
      <c r="AW10" s="61">
        <v>3005</v>
      </c>
      <c r="AX10" s="58">
        <v>7.23</v>
      </c>
      <c r="AY10" s="64">
        <v>2.5</v>
      </c>
      <c r="AZ10" s="60">
        <v>58741</v>
      </c>
      <c r="BA10" s="61">
        <v>5618</v>
      </c>
      <c r="BB10" s="61">
        <v>3061</v>
      </c>
      <c r="BC10" s="58">
        <v>7.37</v>
      </c>
      <c r="BD10" s="64">
        <v>2.6</v>
      </c>
    </row>
    <row r="11" spans="1:56" ht="18" thickTop="1" thickBot="1" x14ac:dyDescent="0.4">
      <c r="B11" s="28" t="s">
        <v>25</v>
      </c>
      <c r="C11" s="30">
        <f t="shared" ref="C11:G11" si="12">C10/C$3*100</f>
        <v>12.180949473066461</v>
      </c>
      <c r="D11" s="30">
        <f t="shared" si="12"/>
        <v>8.849971864662546</v>
      </c>
      <c r="E11" s="30">
        <f t="shared" si="12"/>
        <v>6.4757674291189433</v>
      </c>
      <c r="F11" s="30">
        <f t="shared" si="12"/>
        <v>5.8548552235150151</v>
      </c>
      <c r="G11" s="30">
        <f t="shared" si="12"/>
        <v>7.1634631955901531</v>
      </c>
      <c r="H11" s="30">
        <f>H10/H$3*100</f>
        <v>6.7324659465787713</v>
      </c>
      <c r="I11" s="31">
        <f>I10/I$3*100</f>
        <v>5.1045652933038346</v>
      </c>
      <c r="J11" s="23">
        <f>AVERAGE(D11:I11)</f>
        <v>6.6968481587948778</v>
      </c>
      <c r="M11" s="1" t="s">
        <v>26</v>
      </c>
      <c r="N11" s="3">
        <f>'[1]LT Portfolio'!T294</f>
        <v>0</v>
      </c>
      <c r="O11" s="4" t="e">
        <f>N11/N7-1</f>
        <v>#DIV/0!</v>
      </c>
      <c r="W11" s="12" t="s">
        <v>42</v>
      </c>
      <c r="X11" s="13"/>
      <c r="Y11" s="13"/>
      <c r="Z11" s="13"/>
      <c r="AA11" s="13"/>
      <c r="AB11" s="13">
        <v>1682537</v>
      </c>
      <c r="AC11" s="13">
        <v>2037774</v>
      </c>
      <c r="AD11" s="13">
        <v>1922278</v>
      </c>
      <c r="AE11" s="13">
        <v>4167624</v>
      </c>
      <c r="AF11" s="13">
        <v>3902906</v>
      </c>
      <c r="AG11" s="13">
        <v>3754056</v>
      </c>
      <c r="AH11" s="13">
        <v>3054311</v>
      </c>
      <c r="AI11" s="172">
        <v>2815072</v>
      </c>
      <c r="AJ11" s="13">
        <v>3167845</v>
      </c>
      <c r="AK11" s="13">
        <v>3542951</v>
      </c>
      <c r="AL11" s="13">
        <v>3742962</v>
      </c>
      <c r="AM11" s="172">
        <v>2751476</v>
      </c>
      <c r="AO11" s="70" t="s">
        <v>192</v>
      </c>
      <c r="AP11" s="62">
        <f>+AVERAGE(AP4:AP10)</f>
        <v>62655.5</v>
      </c>
      <c r="AQ11" s="63">
        <f t="shared" ref="AQ11:BD11" si="13">+AVERAGE(AQ4:AQ10)</f>
        <v>5321.5</v>
      </c>
      <c r="AR11" s="63">
        <f t="shared" si="13"/>
        <v>3075</v>
      </c>
      <c r="AS11" s="72">
        <f t="shared" si="13"/>
        <v>7.4175000000000004</v>
      </c>
      <c r="AT11" s="65">
        <f t="shared" si="13"/>
        <v>2.5750000000000002</v>
      </c>
      <c r="AU11" s="62">
        <f t="shared" si="13"/>
        <v>55904</v>
      </c>
      <c r="AV11" s="63">
        <f t="shared" si="13"/>
        <v>5796</v>
      </c>
      <c r="AW11" s="63">
        <f t="shared" si="13"/>
        <v>3550</v>
      </c>
      <c r="AX11" s="72">
        <f t="shared" si="13"/>
        <v>7.5824999999999996</v>
      </c>
      <c r="AY11" s="65">
        <f t="shared" si="13"/>
        <v>2.64</v>
      </c>
      <c r="AZ11" s="62">
        <f t="shared" si="13"/>
        <v>62636</v>
      </c>
      <c r="BA11" s="63">
        <f t="shared" si="13"/>
        <v>6327</v>
      </c>
      <c r="BB11" s="63">
        <f t="shared" si="13"/>
        <v>3902.5</v>
      </c>
      <c r="BC11" s="72">
        <f t="shared" si="13"/>
        <v>8.3324999999999996</v>
      </c>
      <c r="BD11" s="65">
        <f t="shared" si="13"/>
        <v>2.84</v>
      </c>
    </row>
    <row r="12" spans="1:56" ht="18" thickTop="1" thickBot="1" x14ac:dyDescent="0.4">
      <c r="B12" s="28" t="s">
        <v>27</v>
      </c>
      <c r="C12" s="29"/>
      <c r="D12" s="30">
        <f t="shared" ref="D12:I12" si="14">(D10/C10-1)*100</f>
        <v>-9.7431803219931936</v>
      </c>
      <c r="E12" s="30">
        <f t="shared" si="14"/>
        <v>-18.531320581367151</v>
      </c>
      <c r="F12" s="30">
        <f t="shared" si="14"/>
        <v>16.452646866075995</v>
      </c>
      <c r="G12" s="30">
        <f t="shared" si="14"/>
        <v>28.248894264161795</v>
      </c>
      <c r="H12" s="30">
        <f t="shared" si="14"/>
        <v>-10.243671406469712</v>
      </c>
      <c r="I12" s="31">
        <f t="shared" si="14"/>
        <v>18.304989210584964</v>
      </c>
      <c r="J12" s="23">
        <f>AVERAGE(D12:I12)</f>
        <v>4.0813930051654497</v>
      </c>
      <c r="S12" t="s">
        <v>20</v>
      </c>
      <c r="T12" t="s">
        <v>22</v>
      </c>
      <c r="W12" s="12" t="s">
        <v>43</v>
      </c>
      <c r="X12" s="19" t="e">
        <f t="shared" ref="X12:AI12" si="15">+X11/X3</f>
        <v>#DIV/0!</v>
      </c>
      <c r="Y12" s="19" t="e">
        <f t="shared" si="15"/>
        <v>#DIV/0!</v>
      </c>
      <c r="Z12" s="19" t="e">
        <f t="shared" si="15"/>
        <v>#DIV/0!</v>
      </c>
      <c r="AA12" s="19" t="e">
        <f t="shared" si="15"/>
        <v>#DIV/0!</v>
      </c>
      <c r="AB12" s="19">
        <f t="shared" si="15"/>
        <v>0.22575292479459955</v>
      </c>
      <c r="AC12" s="19">
        <f t="shared" si="15"/>
        <v>0.24150937582220663</v>
      </c>
      <c r="AD12" s="19">
        <f t="shared" si="15"/>
        <v>0.19469501415841831</v>
      </c>
      <c r="AE12" s="19">
        <f t="shared" si="15"/>
        <v>0.27707167323441623</v>
      </c>
      <c r="AF12" s="19">
        <f t="shared" si="15"/>
        <v>0.21275740013462421</v>
      </c>
      <c r="AG12" s="19">
        <f t="shared" si="15"/>
        <v>0.25525960207838327</v>
      </c>
      <c r="AH12" s="19">
        <f t="shared" si="15"/>
        <v>0.23768287617111486</v>
      </c>
      <c r="AI12" s="174">
        <f t="shared" si="15"/>
        <v>0.27557144616391843</v>
      </c>
      <c r="AJ12" s="19">
        <f t="shared" ref="AJ12:AL12" si="16">+AJ11/AJ3</f>
        <v>0.27809800800799922</v>
      </c>
      <c r="AK12" s="19">
        <f t="shared" si="16"/>
        <v>0.33109760701805802</v>
      </c>
      <c r="AL12" s="19">
        <f t="shared" si="16"/>
        <v>0.34427307469329904</v>
      </c>
      <c r="AM12" s="174">
        <f t="shared" ref="AM12" si="17">+AM11/AM3</f>
        <v>0.27352591952830063</v>
      </c>
      <c r="AO12" s="12"/>
      <c r="AP12" s="12"/>
      <c r="AQ12" s="12"/>
      <c r="AR12" s="12"/>
      <c r="AS12" s="12"/>
      <c r="AT12" s="99" t="s">
        <v>34</v>
      </c>
      <c r="AU12" s="12"/>
      <c r="AV12" s="12"/>
      <c r="AW12" s="12"/>
      <c r="AX12" s="12"/>
      <c r="AY12" s="99" t="s">
        <v>34</v>
      </c>
      <c r="AZ12" s="12"/>
      <c r="BA12" s="12"/>
      <c r="BB12" s="12"/>
      <c r="BC12" s="12"/>
      <c r="BD12" s="99" t="s">
        <v>34</v>
      </c>
    </row>
    <row r="13" spans="1:56" s="73" customFormat="1" ht="18" thickTop="1" thickBot="1" x14ac:dyDescent="0.3">
      <c r="A13" s="6"/>
      <c r="B13" s="187"/>
      <c r="C13" s="188"/>
      <c r="D13" s="188"/>
      <c r="E13" s="188"/>
      <c r="F13" s="188"/>
      <c r="G13" s="188"/>
      <c r="H13" s="188"/>
      <c r="I13" s="41"/>
      <c r="J13" s="5"/>
      <c r="K13" s="6"/>
      <c r="L13" s="6"/>
      <c r="M13" s="1" t="s">
        <v>28</v>
      </c>
      <c r="N13" s="3">
        <f>SUM(N8:N11)</f>
        <v>0</v>
      </c>
      <c r="O13"/>
      <c r="P13"/>
      <c r="Q13" s="7">
        <f>N13*J21</f>
        <v>0</v>
      </c>
      <c r="R13"/>
      <c r="S13" s="7">
        <v>19.109573515092499</v>
      </c>
      <c r="T13" s="7">
        <v>18.873652854412345</v>
      </c>
      <c r="U13" s="6"/>
      <c r="V13" s="6"/>
      <c r="W13" s="12"/>
      <c r="X13" s="12"/>
      <c r="Y13" s="12"/>
      <c r="Z13" s="12"/>
      <c r="AA13" s="12"/>
      <c r="AB13" s="12"/>
      <c r="AC13" s="12"/>
      <c r="AD13" s="12"/>
      <c r="AE13" s="12"/>
      <c r="AF13" s="12"/>
      <c r="AG13" s="12"/>
      <c r="AH13" s="12"/>
      <c r="AI13" s="170"/>
      <c r="AJ13" s="12"/>
      <c r="AK13" s="12"/>
      <c r="AL13" s="12"/>
      <c r="AM13" s="170"/>
      <c r="AN13" s="12"/>
      <c r="AO13" s="12" t="s">
        <v>193</v>
      </c>
      <c r="AP13" s="12"/>
      <c r="AQ13" s="12"/>
      <c r="AR13" s="12"/>
      <c r="AS13" s="58">
        <f>+$X$1/AS11</f>
        <v>10.650488709133805</v>
      </c>
      <c r="AT13" s="75">
        <f>+AT11/$X$1</f>
        <v>3.259493670886076E-2</v>
      </c>
      <c r="AU13" s="12"/>
      <c r="AV13" s="12"/>
      <c r="AW13" s="12"/>
      <c r="AX13" s="58">
        <f>+$X$1/AX11</f>
        <v>10.418727332673921</v>
      </c>
      <c r="AY13" s="75">
        <f>+AY11/$X$1</f>
        <v>3.3417721518987344E-2</v>
      </c>
      <c r="AZ13" s="12"/>
      <c r="BA13" s="12"/>
      <c r="BB13" s="12"/>
      <c r="BC13" s="58">
        <f>+$X$1/BC11</f>
        <v>9.4809480948094809</v>
      </c>
      <c r="BD13" s="75">
        <f>+BD11/$X$1</f>
        <v>3.5949367088607596E-2</v>
      </c>
    </row>
    <row r="14" spans="1:56" ht="18" thickTop="1" thickBot="1" x14ac:dyDescent="0.4">
      <c r="B14" s="32" t="s">
        <v>29</v>
      </c>
      <c r="C14" s="33">
        <v>3.24</v>
      </c>
      <c r="D14" s="34">
        <v>2.81</v>
      </c>
      <c r="E14" s="34">
        <v>2.2799999999999998</v>
      </c>
      <c r="F14" s="34">
        <v>2.65</v>
      </c>
      <c r="G14" s="34">
        <v>3.4</v>
      </c>
      <c r="H14" s="34">
        <v>3.04</v>
      </c>
      <c r="I14" s="35">
        <v>3.54</v>
      </c>
      <c r="J14" s="23">
        <f>AVERAGE(D14:I14)</f>
        <v>2.9533333333333331</v>
      </c>
      <c r="M14" s="1" t="s">
        <v>11</v>
      </c>
      <c r="N14" s="2" t="e">
        <f>N2/N13</f>
        <v>#VALUE!</v>
      </c>
      <c r="Q14" s="8" t="e">
        <f>Q13/N2-1</f>
        <v>#VALUE!</v>
      </c>
      <c r="S14" s="8" t="e">
        <f>S13/N2-1</f>
        <v>#VALUE!</v>
      </c>
      <c r="T14" s="8" t="e">
        <f>T13/N2-1</f>
        <v>#VALUE!</v>
      </c>
      <c r="W14" s="12" t="s">
        <v>17</v>
      </c>
      <c r="X14" s="13"/>
      <c r="Y14" s="13"/>
      <c r="Z14" s="13"/>
      <c r="AA14" s="13"/>
      <c r="AB14" s="13">
        <v>772424</v>
      </c>
      <c r="AC14" s="13">
        <v>1033948</v>
      </c>
      <c r="AD14" s="13">
        <v>560507</v>
      </c>
      <c r="AE14" s="13">
        <v>2578924</v>
      </c>
      <c r="AF14" s="13">
        <v>2418814</v>
      </c>
      <c r="AG14" s="13">
        <v>2035111</v>
      </c>
      <c r="AH14" s="13">
        <v>1241434</v>
      </c>
      <c r="AI14" s="172">
        <v>1287570</v>
      </c>
      <c r="AJ14" s="13">
        <v>1444821</v>
      </c>
      <c r="AK14" s="13">
        <v>1941904</v>
      </c>
      <c r="AL14" s="13">
        <v>1846802</v>
      </c>
      <c r="AM14" s="172">
        <v>1151716</v>
      </c>
    </row>
    <row r="15" spans="1:56" ht="18" thickTop="1" thickBot="1" x14ac:dyDescent="0.4">
      <c r="B15" s="32" t="s">
        <v>30</v>
      </c>
      <c r="C15" s="34">
        <f>1+0.6</f>
        <v>1.6</v>
      </c>
      <c r="D15" s="34">
        <f>1+1.25</f>
        <v>2.25</v>
      </c>
      <c r="E15" s="34">
        <f>0.9+0.7</f>
        <v>1.6</v>
      </c>
      <c r="F15" s="34">
        <f>1.1+0.85</f>
        <v>1.9500000000000002</v>
      </c>
      <c r="G15" s="34">
        <v>1.3</v>
      </c>
      <c r="H15" s="34">
        <f>1.65+1.15</f>
        <v>2.8</v>
      </c>
      <c r="I15" s="35">
        <f>1.5+0.85</f>
        <v>2.35</v>
      </c>
      <c r="J15" s="24"/>
      <c r="R15" s="6"/>
      <c r="S15" s="6"/>
      <c r="W15" s="12" t="s">
        <v>55</v>
      </c>
      <c r="X15" s="19" t="e">
        <f t="shared" ref="X15:AI15" si="18">+X14/X3</f>
        <v>#DIV/0!</v>
      </c>
      <c r="Y15" s="19" t="e">
        <f t="shared" si="18"/>
        <v>#DIV/0!</v>
      </c>
      <c r="Z15" s="19" t="e">
        <f t="shared" si="18"/>
        <v>#DIV/0!</v>
      </c>
      <c r="AA15" s="19" t="e">
        <f t="shared" si="18"/>
        <v>#DIV/0!</v>
      </c>
      <c r="AB15" s="19">
        <f t="shared" si="18"/>
        <v>0.10363931205170748</v>
      </c>
      <c r="AC15" s="19">
        <f t="shared" si="18"/>
        <v>0.12253966147012324</v>
      </c>
      <c r="AD15" s="19">
        <f t="shared" si="18"/>
        <v>5.6770102087675439E-2</v>
      </c>
      <c r="AE15" s="19">
        <f t="shared" si="18"/>
        <v>0.17145183630394525</v>
      </c>
      <c r="AF15" s="19">
        <f t="shared" si="18"/>
        <v>0.13185574493703689</v>
      </c>
      <c r="AG15" s="19">
        <f t="shared" si="18"/>
        <v>0.13837876260911947</v>
      </c>
      <c r="AH15" s="19">
        <f t="shared" si="18"/>
        <v>9.6606928271748299E-2</v>
      </c>
      <c r="AI15" s="174">
        <f t="shared" si="18"/>
        <v>0.12604207883040877</v>
      </c>
      <c r="AJ15" s="19">
        <f t="shared" ref="AJ15:AL15" si="19">+AJ14/AJ3</f>
        <v>0.12683759528263708</v>
      </c>
      <c r="AK15" s="19">
        <f t="shared" si="19"/>
        <v>0.18147577188021932</v>
      </c>
      <c r="AL15" s="19">
        <f t="shared" si="19"/>
        <v>0.16986659305911578</v>
      </c>
      <c r="AM15" s="174">
        <f t="shared" ref="AM15" si="20">+AM14/AM3</f>
        <v>0.1144927951163144</v>
      </c>
    </row>
    <row r="16" spans="1:56" ht="18" thickTop="1" thickBot="1" x14ac:dyDescent="0.4">
      <c r="B16" s="32" t="s">
        <v>8</v>
      </c>
      <c r="C16" s="34">
        <v>31.7</v>
      </c>
      <c r="D16" s="34">
        <v>37</v>
      </c>
      <c r="E16" s="34">
        <v>31.9</v>
      </c>
      <c r="F16" s="34">
        <v>30.4</v>
      </c>
      <c r="G16" s="34">
        <v>23.3</v>
      </c>
      <c r="H16" s="34">
        <v>40</v>
      </c>
      <c r="I16" s="35">
        <v>39.799999999999997</v>
      </c>
      <c r="J16" s="22">
        <f>((I16/D16)^(1/5)-1)*100</f>
        <v>1.4696750556643323</v>
      </c>
      <c r="AR16" s="50">
        <v>52</v>
      </c>
    </row>
    <row r="17" spans="2:42" ht="18" thickTop="1" thickBot="1" x14ac:dyDescent="0.4">
      <c r="B17" s="32" t="s">
        <v>31</v>
      </c>
      <c r="C17" s="34">
        <v>14.6</v>
      </c>
      <c r="D17" s="34">
        <v>16</v>
      </c>
      <c r="E17" s="34">
        <v>16.7</v>
      </c>
      <c r="F17" s="34">
        <v>19.8</v>
      </c>
      <c r="G17" s="34">
        <v>22.3</v>
      </c>
      <c r="H17" s="34">
        <v>25</v>
      </c>
      <c r="I17" s="35">
        <v>39.4</v>
      </c>
      <c r="J17" s="22">
        <f>((I17/D17)^(1/6)-1)*100</f>
        <v>16.206219645289856</v>
      </c>
      <c r="W17" s="12" t="s">
        <v>44</v>
      </c>
      <c r="X17" s="13"/>
      <c r="Y17" s="13"/>
      <c r="Z17" s="13"/>
      <c r="AA17" s="13"/>
      <c r="AB17" s="13">
        <v>-25802</v>
      </c>
      <c r="AC17" s="13">
        <v>-90764</v>
      </c>
      <c r="AD17" s="13">
        <v>1707527</v>
      </c>
      <c r="AE17" s="13">
        <v>1114210</v>
      </c>
      <c r="AF17" s="13">
        <v>-466735</v>
      </c>
      <c r="AG17" s="13">
        <v>-346641</v>
      </c>
      <c r="AH17" s="13">
        <v>-319502</v>
      </c>
      <c r="AI17" s="172">
        <v>-224667</v>
      </c>
      <c r="AJ17" s="13">
        <f>318561-240079</f>
        <v>78482</v>
      </c>
      <c r="AK17" s="13">
        <v>39412</v>
      </c>
      <c r="AL17" s="13">
        <v>-292244</v>
      </c>
      <c r="AM17" s="172">
        <v>64552</v>
      </c>
      <c r="AP17" s="53">
        <f>SUM(AI3:AL3)</f>
        <v>43179205</v>
      </c>
    </row>
    <row r="18" spans="2:42" ht="18" thickTop="1" thickBot="1" x14ac:dyDescent="0.4">
      <c r="B18" s="32" t="s">
        <v>32</v>
      </c>
      <c r="C18" s="36">
        <f t="shared" ref="C18:G18" si="21">C14/AVERAGE(B17:C17)*100</f>
        <v>22.19178082191781</v>
      </c>
      <c r="D18" s="36">
        <f t="shared" si="21"/>
        <v>18.366013071895424</v>
      </c>
      <c r="E18" s="36">
        <f t="shared" si="21"/>
        <v>13.944954128440365</v>
      </c>
      <c r="F18" s="36">
        <f t="shared" si="21"/>
        <v>14.520547945205479</v>
      </c>
      <c r="G18" s="36">
        <f t="shared" si="21"/>
        <v>16.152019002375294</v>
      </c>
      <c r="H18" s="36">
        <f>H14/AVERAGE(G17:H17)*100</f>
        <v>12.854122621564482</v>
      </c>
      <c r="I18" s="37">
        <f>I14/AVERAGE(H17:I17)*100</f>
        <v>10.993788819875776</v>
      </c>
      <c r="J18" s="23">
        <f>AVERAGE(D18:I18)</f>
        <v>14.471907598226137</v>
      </c>
      <c r="M18" s="9" t="s">
        <v>33</v>
      </c>
      <c r="N18" s="6"/>
      <c r="O18" s="6"/>
      <c r="P18" s="6"/>
      <c r="Q18" s="6"/>
      <c r="W18" s="12" t="s">
        <v>45</v>
      </c>
      <c r="X18" s="15" t="e">
        <f t="shared" ref="X18:AI18" si="22">+X17/X14</f>
        <v>#DIV/0!</v>
      </c>
      <c r="Y18" s="15" t="e">
        <f t="shared" si="22"/>
        <v>#DIV/0!</v>
      </c>
      <c r="Z18" s="15" t="e">
        <f t="shared" si="22"/>
        <v>#DIV/0!</v>
      </c>
      <c r="AA18" s="15" t="e">
        <f t="shared" si="22"/>
        <v>#DIV/0!</v>
      </c>
      <c r="AB18" s="15">
        <f t="shared" si="22"/>
        <v>-3.3403933590877552E-2</v>
      </c>
      <c r="AC18" s="15">
        <f t="shared" si="22"/>
        <v>-8.778391176345425E-2</v>
      </c>
      <c r="AD18" s="15">
        <f t="shared" si="22"/>
        <v>3.0463972796057854</v>
      </c>
      <c r="AE18" s="15">
        <f t="shared" si="22"/>
        <v>0.43204452709734759</v>
      </c>
      <c r="AF18" s="15">
        <f t="shared" si="22"/>
        <v>-0.19296026895825805</v>
      </c>
      <c r="AG18" s="15">
        <f t="shared" si="22"/>
        <v>-0.1703302669977215</v>
      </c>
      <c r="AH18" s="15">
        <f t="shared" si="22"/>
        <v>-0.25736527274103982</v>
      </c>
      <c r="AI18" s="175">
        <f t="shared" si="22"/>
        <v>-0.17448915398774437</v>
      </c>
      <c r="AJ18" s="15">
        <f t="shared" ref="AJ18:AL18" si="23">+AJ17/AJ14</f>
        <v>5.4319531623640574E-2</v>
      </c>
      <c r="AK18" s="15">
        <f t="shared" si="23"/>
        <v>2.0295544990895534E-2</v>
      </c>
      <c r="AL18" s="15">
        <f t="shared" si="23"/>
        <v>-0.15824327675625216</v>
      </c>
      <c r="AM18" s="175">
        <f t="shared" ref="AM18" si="24">+AM17/AM14</f>
        <v>5.6048539744173044E-2</v>
      </c>
    </row>
    <row r="19" spans="2:42" ht="18" thickTop="1" thickBot="1" x14ac:dyDescent="0.4">
      <c r="B19" s="32" t="s">
        <v>34</v>
      </c>
      <c r="C19" s="30">
        <f t="shared" ref="C19:G19" si="25">C15/C16*100</f>
        <v>5.0473186119873823</v>
      </c>
      <c r="D19" s="30">
        <f t="shared" si="25"/>
        <v>6.0810810810810816</v>
      </c>
      <c r="E19" s="30">
        <f t="shared" si="25"/>
        <v>5.015673981191223</v>
      </c>
      <c r="F19" s="30">
        <f t="shared" si="25"/>
        <v>6.4144736842105265</v>
      </c>
      <c r="G19" s="30">
        <f t="shared" si="25"/>
        <v>5.5793991416309012</v>
      </c>
      <c r="H19" s="30">
        <f>H15/H16*100</f>
        <v>6.9999999999999991</v>
      </c>
      <c r="I19" s="31">
        <f>I15/I16*100</f>
        <v>5.9045226130653274</v>
      </c>
      <c r="J19" s="23">
        <f>AVERAGE(D19:I19)</f>
        <v>5.99919175019651</v>
      </c>
    </row>
    <row r="20" spans="2:42" ht="18" thickTop="1" thickBot="1" x14ac:dyDescent="0.4">
      <c r="B20" s="32" t="s">
        <v>35</v>
      </c>
      <c r="C20" s="30">
        <f t="shared" ref="C20:G20" si="26">C15/C14*100</f>
        <v>49.382716049382715</v>
      </c>
      <c r="D20" s="30">
        <f t="shared" si="26"/>
        <v>80.071174377224196</v>
      </c>
      <c r="E20" s="30">
        <f t="shared" si="26"/>
        <v>70.175438596491233</v>
      </c>
      <c r="F20" s="30">
        <f t="shared" si="26"/>
        <v>73.584905660377359</v>
      </c>
      <c r="G20" s="30">
        <f t="shared" si="26"/>
        <v>38.235294117647065</v>
      </c>
      <c r="H20" s="30">
        <f>H15/H14*100</f>
        <v>92.10526315789474</v>
      </c>
      <c r="I20" s="31">
        <f>I15/I14*100</f>
        <v>66.384180790960457</v>
      </c>
      <c r="J20" s="23">
        <f>AVERAGE(D20:I20)</f>
        <v>70.092709450099179</v>
      </c>
      <c r="M20" t="s">
        <v>36</v>
      </c>
      <c r="N20" s="4">
        <f>N13/H14-1</f>
        <v>-1</v>
      </c>
      <c r="W20" s="12" t="s">
        <v>21</v>
      </c>
      <c r="X20" s="13"/>
      <c r="Y20" s="13"/>
      <c r="Z20" s="13"/>
      <c r="AA20" s="13"/>
      <c r="AB20" s="13">
        <v>745130</v>
      </c>
      <c r="AC20" s="13">
        <v>941678</v>
      </c>
      <c r="AD20" s="13">
        <v>2251325</v>
      </c>
      <c r="AE20" s="13">
        <v>3685067</v>
      </c>
      <c r="AF20" s="13">
        <v>1950821</v>
      </c>
      <c r="AG20" s="13">
        <v>1683580</v>
      </c>
      <c r="AH20" s="13">
        <v>938564</v>
      </c>
      <c r="AI20" s="172">
        <v>1060275</v>
      </c>
      <c r="AJ20" s="13">
        <v>1519245</v>
      </c>
      <c r="AK20" s="13">
        <v>1976669</v>
      </c>
      <c r="AL20" s="13">
        <v>1557065</v>
      </c>
      <c r="AM20" s="172">
        <v>1212173</v>
      </c>
    </row>
    <row r="21" spans="2:42" ht="18" thickTop="1" thickBot="1" x14ac:dyDescent="0.4">
      <c r="B21" s="32" t="s">
        <v>11</v>
      </c>
      <c r="C21" s="38">
        <f t="shared" ref="C21:G21" si="27">C16/C14</f>
        <v>9.7839506172839492</v>
      </c>
      <c r="D21" s="38">
        <f t="shared" si="27"/>
        <v>13.167259786476867</v>
      </c>
      <c r="E21" s="38">
        <f t="shared" si="27"/>
        <v>13.991228070175438</v>
      </c>
      <c r="F21" s="38">
        <f t="shared" si="27"/>
        <v>11.471698113207546</v>
      </c>
      <c r="G21" s="38">
        <f t="shared" si="27"/>
        <v>6.8529411764705888</v>
      </c>
      <c r="H21" s="38">
        <f>H16/H14</f>
        <v>13.157894736842104</v>
      </c>
      <c r="I21" s="39">
        <f>I16/I14</f>
        <v>11.242937853107344</v>
      </c>
      <c r="J21" s="23">
        <f>AVERAGE(D21:I21)</f>
        <v>11.647326622713315</v>
      </c>
      <c r="W21" s="12" t="s">
        <v>46</v>
      </c>
      <c r="X21" s="19" t="e">
        <f t="shared" ref="X21:AI21" si="28">+X20/X3</f>
        <v>#DIV/0!</v>
      </c>
      <c r="Y21" s="19" t="e">
        <f t="shared" si="28"/>
        <v>#DIV/0!</v>
      </c>
      <c r="Z21" s="19" t="e">
        <f t="shared" si="28"/>
        <v>#DIV/0!</v>
      </c>
      <c r="AA21" s="19" t="e">
        <f t="shared" si="28"/>
        <v>#DIV/0!</v>
      </c>
      <c r="AB21" s="19">
        <f t="shared" si="28"/>
        <v>9.9977163564426791E-2</v>
      </c>
      <c r="AC21" s="19">
        <f t="shared" si="28"/>
        <v>0.1116041651358315</v>
      </c>
      <c r="AD21" s="19">
        <f t="shared" si="28"/>
        <v>0.22802204090677888</v>
      </c>
      <c r="AE21" s="19">
        <f t="shared" si="28"/>
        <v>0.24499035413725673</v>
      </c>
      <c r="AF21" s="19">
        <f t="shared" si="28"/>
        <v>0.10634424812896538</v>
      </c>
      <c r="AG21" s="19">
        <f t="shared" si="28"/>
        <v>0.11447617213678338</v>
      </c>
      <c r="AH21" s="19">
        <f t="shared" si="28"/>
        <v>7.3037942433061415E-2</v>
      </c>
      <c r="AI21" s="174">
        <f t="shared" si="28"/>
        <v>0.10379184442936046</v>
      </c>
      <c r="AJ21" s="19">
        <f t="shared" ref="AJ21:AL21" si="29">+AJ20/AJ3</f>
        <v>0.13337111133155594</v>
      </c>
      <c r="AK21" s="19">
        <f t="shared" si="29"/>
        <v>0.18472464783362166</v>
      </c>
      <c r="AL21" s="19">
        <f t="shared" si="29"/>
        <v>0.14321693756103368</v>
      </c>
      <c r="AM21" s="174">
        <f t="shared" ref="AM21" si="30">+AM20/AM3</f>
        <v>0.12050286262805081</v>
      </c>
    </row>
    <row r="22" spans="2:42" ht="18" thickTop="1" thickBot="1" x14ac:dyDescent="0.4">
      <c r="B22" s="32" t="s">
        <v>37</v>
      </c>
      <c r="C22" s="38">
        <f t="shared" ref="C22:G22" si="31">C16/C17</f>
        <v>2.1712328767123288</v>
      </c>
      <c r="D22" s="38">
        <f t="shared" si="31"/>
        <v>2.3125</v>
      </c>
      <c r="E22" s="38">
        <f t="shared" si="31"/>
        <v>1.9101796407185629</v>
      </c>
      <c r="F22" s="38">
        <f t="shared" si="31"/>
        <v>1.5353535353535352</v>
      </c>
      <c r="G22" s="38">
        <f t="shared" si="31"/>
        <v>1.0448430493273542</v>
      </c>
      <c r="H22" s="38">
        <f>H16/H17</f>
        <v>1.6</v>
      </c>
      <c r="I22" s="39">
        <f>I16/I17</f>
        <v>1.0101522842639594</v>
      </c>
      <c r="J22" s="23">
        <f>AVERAGE(D22:I22)</f>
        <v>1.5688380849439021</v>
      </c>
    </row>
    <row r="23" spans="2:42" ht="15.75" thickTop="1" x14ac:dyDescent="0.25">
      <c r="W23" s="12" t="s">
        <v>47</v>
      </c>
      <c r="X23" s="13"/>
      <c r="Y23" s="13"/>
      <c r="Z23" s="13"/>
      <c r="AA23" s="13"/>
      <c r="AB23" s="13">
        <v>-133318</v>
      </c>
      <c r="AC23" s="13">
        <v>-165921</v>
      </c>
      <c r="AD23" s="13">
        <v>-451511</v>
      </c>
      <c r="AE23" s="13">
        <v>-661558</v>
      </c>
      <c r="AF23" s="13">
        <v>-531523</v>
      </c>
      <c r="AG23" s="13">
        <v>-505211</v>
      </c>
      <c r="AH23" s="13">
        <v>-54252</v>
      </c>
      <c r="AI23" s="172">
        <v>-294582</v>
      </c>
      <c r="AJ23" s="13">
        <v>-454443</v>
      </c>
      <c r="AK23" s="13">
        <v>-520316</v>
      </c>
      <c r="AL23" s="13">
        <v>-538284</v>
      </c>
      <c r="AM23" s="172">
        <v>-355398</v>
      </c>
    </row>
    <row r="24" spans="2:42" x14ac:dyDescent="0.25">
      <c r="G24" s="10">
        <v>701.95658000000003</v>
      </c>
      <c r="H24" s="10">
        <v>709.32254499999999</v>
      </c>
      <c r="I24" s="10">
        <v>716.73997499999996</v>
      </c>
      <c r="W24" s="12" t="s">
        <v>48</v>
      </c>
      <c r="X24" s="14" t="e">
        <f t="shared" ref="X24:AI24" si="32">+X23/X20</f>
        <v>#DIV/0!</v>
      </c>
      <c r="Y24" s="14" t="e">
        <f t="shared" si="32"/>
        <v>#DIV/0!</v>
      </c>
      <c r="Z24" s="14" t="e">
        <f t="shared" si="32"/>
        <v>#DIV/0!</v>
      </c>
      <c r="AA24" s="14" t="e">
        <f t="shared" si="32"/>
        <v>#DIV/0!</v>
      </c>
      <c r="AB24" s="14">
        <f t="shared" si="32"/>
        <v>-0.17891911478533948</v>
      </c>
      <c r="AC24" s="14">
        <f t="shared" si="32"/>
        <v>-0.17619717143227304</v>
      </c>
      <c r="AD24" s="14">
        <f t="shared" si="32"/>
        <v>-0.20055345185612916</v>
      </c>
      <c r="AE24" s="14">
        <f t="shared" si="32"/>
        <v>-0.17952400865438811</v>
      </c>
      <c r="AF24" s="14">
        <f t="shared" si="32"/>
        <v>-0.27246118429112665</v>
      </c>
      <c r="AG24" s="14">
        <f t="shared" si="32"/>
        <v>-0.30008137421447156</v>
      </c>
      <c r="AH24" s="14">
        <f t="shared" si="32"/>
        <v>-5.780319722469645E-2</v>
      </c>
      <c r="AI24" s="176">
        <f t="shared" si="32"/>
        <v>-0.27783546721369456</v>
      </c>
      <c r="AJ24" s="14">
        <f t="shared" ref="AJ24:AL24" si="33">+AJ23/AJ20</f>
        <v>-0.29912423605145977</v>
      </c>
      <c r="AK24" s="14">
        <f t="shared" si="33"/>
        <v>-0.26322869433375035</v>
      </c>
      <c r="AL24" s="14">
        <f t="shared" si="33"/>
        <v>-0.34570425768994872</v>
      </c>
      <c r="AM24" s="176">
        <f t="shared" ref="AM24" si="34">+AM23/AM20</f>
        <v>-0.29319082342206931</v>
      </c>
    </row>
    <row r="25" spans="2:42" x14ac:dyDescent="0.25">
      <c r="G25">
        <f>+G10/G24</f>
        <v>3.3959137472577008</v>
      </c>
      <c r="H25">
        <f>+H10/H24</f>
        <v>3.0163950308388974</v>
      </c>
      <c r="I25">
        <f>+I10/I24</f>
        <v>3.5316154927733732</v>
      </c>
      <c r="M25" s="10"/>
    </row>
    <row r="26" spans="2:42" x14ac:dyDescent="0.25">
      <c r="M26" s="10"/>
      <c r="W26" s="12" t="s">
        <v>74</v>
      </c>
      <c r="AB26" s="13">
        <v>78541</v>
      </c>
      <c r="AC26" s="13">
        <v>186816</v>
      </c>
      <c r="AD26" s="13">
        <v>76460</v>
      </c>
      <c r="AE26" s="13">
        <v>133319</v>
      </c>
      <c r="AF26" s="13">
        <v>218196</v>
      </c>
      <c r="AG26" s="13">
        <v>267348</v>
      </c>
      <c r="AH26" s="13">
        <v>63465</v>
      </c>
      <c r="AI26" s="172">
        <v>134517</v>
      </c>
      <c r="AJ26" s="13">
        <v>105696</v>
      </c>
      <c r="AK26" s="13">
        <v>176373</v>
      </c>
      <c r="AL26" s="13">
        <v>145114</v>
      </c>
      <c r="AM26" s="172">
        <v>114304</v>
      </c>
    </row>
    <row r="29" spans="2:42" x14ac:dyDescent="0.25">
      <c r="M29" s="10"/>
      <c r="W29" s="12" t="s">
        <v>49</v>
      </c>
      <c r="X29" s="13">
        <f t="shared" ref="X29:AI29" si="35">+X20+X23-X26</f>
        <v>0</v>
      </c>
      <c r="Y29" s="13">
        <f t="shared" si="35"/>
        <v>0</v>
      </c>
      <c r="Z29" s="13">
        <f t="shared" si="35"/>
        <v>0</v>
      </c>
      <c r="AA29" s="13">
        <f t="shared" si="35"/>
        <v>0</v>
      </c>
      <c r="AB29" s="13">
        <f t="shared" si="35"/>
        <v>533271</v>
      </c>
      <c r="AC29" s="13">
        <f t="shared" si="35"/>
        <v>588941</v>
      </c>
      <c r="AD29" s="13">
        <f t="shared" si="35"/>
        <v>1723354</v>
      </c>
      <c r="AE29" s="13">
        <f t="shared" si="35"/>
        <v>2890190</v>
      </c>
      <c r="AF29" s="13">
        <f t="shared" si="35"/>
        <v>1201102</v>
      </c>
      <c r="AG29" s="13">
        <f t="shared" si="35"/>
        <v>911021</v>
      </c>
      <c r="AH29" s="13">
        <f t="shared" si="35"/>
        <v>820847</v>
      </c>
      <c r="AI29" s="172">
        <f t="shared" si="35"/>
        <v>631176</v>
      </c>
      <c r="AJ29" s="13">
        <f>+AJ20+AJ23-AJ26</f>
        <v>959106</v>
      </c>
      <c r="AK29" s="13">
        <f t="shared" ref="AK29:AL29" si="36">+AK20+AK23-AK26</f>
        <v>1279980</v>
      </c>
      <c r="AL29" s="13">
        <f t="shared" si="36"/>
        <v>873667</v>
      </c>
      <c r="AM29" s="172">
        <f>+AM20+AM23-AM26</f>
        <v>742471</v>
      </c>
    </row>
    <row r="30" spans="2:42" x14ac:dyDescent="0.25">
      <c r="M30" s="10"/>
      <c r="W30" s="12" t="s">
        <v>25</v>
      </c>
      <c r="X30" s="19" t="e">
        <f t="shared" ref="X30:AI30" si="37">+X29/X3</f>
        <v>#DIV/0!</v>
      </c>
      <c r="Y30" s="19" t="e">
        <f t="shared" si="37"/>
        <v>#DIV/0!</v>
      </c>
      <c r="Z30" s="19" t="e">
        <f t="shared" si="37"/>
        <v>#DIV/0!</v>
      </c>
      <c r="AA30" s="19" t="e">
        <f t="shared" si="37"/>
        <v>#DIV/0!</v>
      </c>
      <c r="AB30" s="19">
        <f t="shared" si="37"/>
        <v>7.1551168240663293E-2</v>
      </c>
      <c r="AC30" s="19">
        <f t="shared" si="37"/>
        <v>6.9799091217233211E-2</v>
      </c>
      <c r="AD30" s="19">
        <f t="shared" si="37"/>
        <v>0.17454729827317736</v>
      </c>
      <c r="AE30" s="19">
        <f t="shared" si="37"/>
        <v>0.19214539969665625</v>
      </c>
      <c r="AF30" s="19">
        <f t="shared" si="37"/>
        <v>6.5475145652110864E-2</v>
      </c>
      <c r="AG30" s="19">
        <f t="shared" si="37"/>
        <v>6.1945495204400465E-2</v>
      </c>
      <c r="AH30" s="19">
        <f t="shared" si="37"/>
        <v>6.3877344467027461E-2</v>
      </c>
      <c r="AI30" s="174">
        <f t="shared" si="37"/>
        <v>6.1786726273415873E-2</v>
      </c>
      <c r="AJ30" s="19">
        <f t="shared" ref="AJ30:AL30" si="38">+AJ29/AJ3</f>
        <v>8.4197764748123752E-2</v>
      </c>
      <c r="AK30" s="19">
        <f t="shared" si="38"/>
        <v>0.11961732325142907</v>
      </c>
      <c r="AL30" s="19">
        <f t="shared" si="38"/>
        <v>8.0358823933577336E-2</v>
      </c>
      <c r="AM30" s="174">
        <f t="shared" ref="AM30" si="39">+AM29/AM3</f>
        <v>7.3809498246794406E-2</v>
      </c>
    </row>
    <row r="32" spans="2:42" x14ac:dyDescent="0.25">
      <c r="W32" s="12" t="s">
        <v>29</v>
      </c>
      <c r="X32" s="16" t="e">
        <f t="shared" ref="X32:AI32" si="40">+X29/X47</f>
        <v>#DIV/0!</v>
      </c>
      <c r="Y32" s="16" t="e">
        <f t="shared" si="40"/>
        <v>#DIV/0!</v>
      </c>
      <c r="Z32" s="16" t="e">
        <f t="shared" si="40"/>
        <v>#DIV/0!</v>
      </c>
      <c r="AA32" s="16" t="e">
        <f t="shared" si="40"/>
        <v>#DIV/0!</v>
      </c>
      <c r="AB32" s="16">
        <f t="shared" si="40"/>
        <v>1.7947774285966707</v>
      </c>
      <c r="AC32" s="16">
        <f t="shared" si="40"/>
        <v>1.9821404381171146</v>
      </c>
      <c r="AD32" s="16">
        <f t="shared" si="40"/>
        <v>5.8001220030374547</v>
      </c>
      <c r="AE32" s="16">
        <f t="shared" si="40"/>
        <v>9.7272264502585202</v>
      </c>
      <c r="AF32" s="16">
        <f t="shared" si="40"/>
        <v>4.042430132226051</v>
      </c>
      <c r="AG32" s="16">
        <f t="shared" si="40"/>
        <v>3.0661332189028982</v>
      </c>
      <c r="AH32" s="16">
        <f t="shared" si="40"/>
        <v>2.7626435113315582</v>
      </c>
      <c r="AI32" s="177">
        <f t="shared" si="40"/>
        <v>2.1242865977559857</v>
      </c>
      <c r="AJ32" s="16">
        <f t="shared" ref="AJ32:AL32" si="41">+AJ29/AJ47</f>
        <v>3.2279681445862205</v>
      </c>
      <c r="AK32" s="16">
        <f t="shared" si="41"/>
        <v>4.3079020105259174</v>
      </c>
      <c r="AL32" s="16">
        <f t="shared" si="41"/>
        <v>2.9404145579072694</v>
      </c>
      <c r="AM32" s="177">
        <f t="shared" ref="AM32" si="42">+AM29/AM47</f>
        <v>2.4988611647503776</v>
      </c>
    </row>
    <row r="33" spans="23:41" x14ac:dyDescent="0.25">
      <c r="W33" s="12" t="s">
        <v>40</v>
      </c>
      <c r="AA33" s="17"/>
      <c r="AB33" s="18" t="e">
        <f t="shared" ref="AB33:AG33" si="43">+AB32/X32-1</f>
        <v>#DIV/0!</v>
      </c>
      <c r="AC33" s="18" t="e">
        <f t="shared" si="43"/>
        <v>#DIV/0!</v>
      </c>
      <c r="AD33" s="18" t="e">
        <f t="shared" si="43"/>
        <v>#DIV/0!</v>
      </c>
      <c r="AE33" s="18" t="e">
        <f t="shared" si="43"/>
        <v>#DIV/0!</v>
      </c>
      <c r="AF33" s="18">
        <f t="shared" si="43"/>
        <v>1.2523294910092617</v>
      </c>
      <c r="AG33" s="18">
        <f t="shared" si="43"/>
        <v>0.54687990817416332</v>
      </c>
      <c r="AH33" s="18">
        <f>+AH32/AD32-1</f>
        <v>-0.52369217235692722</v>
      </c>
      <c r="AI33" s="173">
        <f>+AI32/AE32-1</f>
        <v>-0.78161435753358777</v>
      </c>
      <c r="AJ33" s="18">
        <f t="shared" ref="AJ33:AK33" si="44">+AJ32/AF32-1</f>
        <v>-0.20147830908615594</v>
      </c>
      <c r="AK33" s="18">
        <f t="shared" si="44"/>
        <v>0.40499505499873223</v>
      </c>
      <c r="AL33" s="18">
        <f>+AL32/AH32-1</f>
        <v>6.4348167198028383E-2</v>
      </c>
      <c r="AM33" s="173">
        <f>+AM32/AI32-1</f>
        <v>0.17632958160639811</v>
      </c>
    </row>
    <row r="34" spans="23:41" x14ac:dyDescent="0.25">
      <c r="W34" s="12" t="s">
        <v>41</v>
      </c>
      <c r="Y34" s="18" t="e">
        <f t="shared" ref="Y34:AD34" si="45">+Y32/X32-1</f>
        <v>#DIV/0!</v>
      </c>
      <c r="Z34" s="18" t="e">
        <f t="shared" si="45"/>
        <v>#DIV/0!</v>
      </c>
      <c r="AA34" s="18" t="e">
        <f t="shared" si="45"/>
        <v>#DIV/0!</v>
      </c>
      <c r="AB34" s="18" t="e">
        <f t="shared" si="45"/>
        <v>#DIV/0!</v>
      </c>
      <c r="AC34" s="18">
        <f t="shared" si="45"/>
        <v>0.10439345098458386</v>
      </c>
      <c r="AD34" s="18">
        <f t="shared" si="45"/>
        <v>1.9261912483593431</v>
      </c>
      <c r="AE34" s="18">
        <f t="shared" ref="AE34:AM34" si="46">+AE32/AD32-1</f>
        <v>0.6770727314295264</v>
      </c>
      <c r="AF34" s="18">
        <f t="shared" si="46"/>
        <v>-0.5844210934229237</v>
      </c>
      <c r="AG34" s="18">
        <f t="shared" si="46"/>
        <v>-0.24151237779972068</v>
      </c>
      <c r="AH34" s="18">
        <f t="shared" si="46"/>
        <v>-9.8981252901963801E-2</v>
      </c>
      <c r="AI34" s="173">
        <f t="shared" si="46"/>
        <v>-0.23106742182160622</v>
      </c>
      <c r="AJ34" s="18">
        <f t="shared" si="46"/>
        <v>0.51955397543632831</v>
      </c>
      <c r="AK34" s="18">
        <f t="shared" si="46"/>
        <v>0.33455530462743432</v>
      </c>
      <c r="AL34" s="18">
        <f t="shared" si="46"/>
        <v>-0.31743699120298752</v>
      </c>
      <c r="AM34" s="173">
        <f t="shared" si="46"/>
        <v>-0.15016705449559165</v>
      </c>
    </row>
    <row r="35" spans="23:41" x14ac:dyDescent="0.25">
      <c r="Y35" s="18"/>
      <c r="Z35" s="18"/>
      <c r="AA35" s="18"/>
      <c r="AB35" s="18"/>
      <c r="AC35" s="18"/>
      <c r="AD35" s="18"/>
      <c r="AE35" s="18"/>
      <c r="AF35" s="18"/>
      <c r="AG35" s="18"/>
      <c r="AH35" s="18"/>
      <c r="AI35" s="173"/>
      <c r="AJ35" s="18"/>
      <c r="AK35" s="18"/>
      <c r="AL35" s="18"/>
      <c r="AM35" s="173"/>
    </row>
    <row r="36" spans="23:41" x14ac:dyDescent="0.25">
      <c r="W36" s="12" t="s">
        <v>88</v>
      </c>
      <c r="X36" s="18" t="e">
        <f>+X29*4/X40</f>
        <v>#DIV/0!</v>
      </c>
      <c r="Y36" s="18" t="e">
        <f>+Y29*4/Y40</f>
        <v>#DIV/0!</v>
      </c>
      <c r="Z36" s="18" t="e">
        <f t="shared" ref="Z36:AI36" si="47">+Z29*4/Z41</f>
        <v>#DIV/0!</v>
      </c>
      <c r="AA36" s="18" t="e">
        <f t="shared" si="47"/>
        <v>#DIV/0!</v>
      </c>
      <c r="AB36" s="18">
        <f t="shared" si="47"/>
        <v>0.1481717554910825</v>
      </c>
      <c r="AC36" s="18">
        <f t="shared" si="47"/>
        <v>0.16270590730649645</v>
      </c>
      <c r="AD36" s="18">
        <f t="shared" si="47"/>
        <v>0.37934391495725028</v>
      </c>
      <c r="AE36" s="18">
        <f t="shared" si="47"/>
        <v>0.53495962708546496</v>
      </c>
      <c r="AF36" s="18">
        <f t="shared" si="47"/>
        <v>0.21385270378734628</v>
      </c>
      <c r="AG36" s="18">
        <f t="shared" si="47"/>
        <v>0.16180892165587099</v>
      </c>
      <c r="AH36" s="18">
        <f t="shared" si="47"/>
        <v>0.14828897767712962</v>
      </c>
      <c r="AI36" s="173">
        <f t="shared" si="47"/>
        <v>0.11555402706313408</v>
      </c>
      <c r="AJ36" s="18">
        <f t="shared" ref="AJ36:AL36" si="48">+AJ29*4/AJ41</f>
        <v>0.17022408704571032</v>
      </c>
      <c r="AK36" s="18">
        <f t="shared" si="48"/>
        <v>0.21952032687087406</v>
      </c>
      <c r="AL36" s="18">
        <f t="shared" si="48"/>
        <v>0.1525718571479153</v>
      </c>
      <c r="AM36" s="173">
        <f t="shared" ref="AM36" si="49">+AM29*4/AM41</f>
        <v>0.12467499276269081</v>
      </c>
      <c r="AN36" s="14">
        <f>+AVERAGE(AB36:AL36)</f>
        <v>0.21881837328075227</v>
      </c>
      <c r="AO36" s="50" t="s">
        <v>88</v>
      </c>
    </row>
    <row r="37" spans="23:41" x14ac:dyDescent="0.25">
      <c r="AN37" s="56">
        <f>AVERAGE(AB36:AL36)*AL49</f>
        <v>16.868556032808375</v>
      </c>
      <c r="AO37" s="50" t="s">
        <v>183</v>
      </c>
    </row>
    <row r="38" spans="23:41" x14ac:dyDescent="0.25">
      <c r="W38" s="12" t="s">
        <v>52</v>
      </c>
      <c r="X38" s="13"/>
      <c r="Y38" s="13"/>
      <c r="Z38" s="13"/>
      <c r="AA38" s="13"/>
      <c r="AB38" s="13">
        <f>358013+83471+5583087+67875+1736316</f>
        <v>7828762</v>
      </c>
      <c r="AC38" s="13">
        <f>698240+73203+7230602+62878+1289325</f>
        <v>9354248</v>
      </c>
      <c r="AD38" s="13">
        <f>677152+54051+10328363+59361+2186028</f>
        <v>13304955</v>
      </c>
      <c r="AE38" s="13">
        <f>637012+42123+14217002+52157+2567743</f>
        <v>17516037</v>
      </c>
      <c r="AF38" s="13">
        <f>572903+27765+13294546+51171+2301054</f>
        <v>16247439</v>
      </c>
      <c r="AG38" s="13">
        <f>168273+15081+8508323+51498+2052937</f>
        <v>10796112</v>
      </c>
      <c r="AH38" s="13">
        <f>140194+206177+6779510+86718+1635815</f>
        <v>8848414</v>
      </c>
      <c r="AI38" s="172">
        <f>526915+176595+5412054+73532+1732039</f>
        <v>7921135</v>
      </c>
      <c r="AJ38" s="13">
        <f>440704+176027+3733284+62773+1772295</f>
        <v>6185083</v>
      </c>
      <c r="AK38" s="13">
        <f>353309+183583+3376197+53932+1987544</f>
        <v>5954565</v>
      </c>
      <c r="AL38" s="13">
        <f>253719+416518+4122052+85960+2379820</f>
        <v>7258069</v>
      </c>
      <c r="AM38" s="172">
        <f>462060+407639+3559896+77676+2416349</f>
        <v>6923620</v>
      </c>
      <c r="AN38" s="56">
        <f>+X1/AN37</f>
        <v>4.683269857025671</v>
      </c>
      <c r="AO38" s="50" t="s">
        <v>11</v>
      </c>
    </row>
    <row r="39" spans="23:41" x14ac:dyDescent="0.25">
      <c r="W39" s="12" t="s">
        <v>53</v>
      </c>
      <c r="X39" s="13"/>
      <c r="Y39" s="13"/>
      <c r="Z39" s="13"/>
      <c r="AA39" s="13"/>
      <c r="AB39" s="13">
        <v>2106011</v>
      </c>
      <c r="AC39" s="13">
        <v>2196250</v>
      </c>
      <c r="AD39" s="13">
        <v>3117724</v>
      </c>
      <c r="AE39" s="13">
        <v>5959056</v>
      </c>
      <c r="AF39" s="13">
        <v>6026776</v>
      </c>
      <c r="AG39" s="13">
        <v>5011415</v>
      </c>
      <c r="AH39" s="13">
        <v>5072892</v>
      </c>
      <c r="AI39" s="172">
        <v>6111762</v>
      </c>
      <c r="AJ39" s="13">
        <f>5553474+1140948</f>
        <v>6694422</v>
      </c>
      <c r="AK39" s="13">
        <v>6948651</v>
      </c>
      <c r="AL39" s="13">
        <v>6722126</v>
      </c>
      <c r="AM39" s="172">
        <v>5733475</v>
      </c>
    </row>
    <row r="40" spans="23:41" x14ac:dyDescent="0.25">
      <c r="W40" s="12" t="s">
        <v>50</v>
      </c>
      <c r="X40" s="13">
        <f t="shared" ref="X40:AI40" si="50">+X38-X39</f>
        <v>0</v>
      </c>
      <c r="Y40" s="13">
        <f t="shared" si="50"/>
        <v>0</v>
      </c>
      <c r="Z40" s="13">
        <f t="shared" si="50"/>
        <v>0</v>
      </c>
      <c r="AA40" s="13">
        <f t="shared" si="50"/>
        <v>0</v>
      </c>
      <c r="AB40" s="13">
        <f t="shared" si="50"/>
        <v>5722751</v>
      </c>
      <c r="AC40" s="13">
        <f t="shared" si="50"/>
        <v>7157998</v>
      </c>
      <c r="AD40" s="13">
        <f t="shared" si="50"/>
        <v>10187231</v>
      </c>
      <c r="AE40" s="13">
        <f t="shared" si="50"/>
        <v>11556981</v>
      </c>
      <c r="AF40" s="13">
        <f t="shared" si="50"/>
        <v>10220663</v>
      </c>
      <c r="AG40" s="13">
        <f t="shared" si="50"/>
        <v>5784697</v>
      </c>
      <c r="AH40" s="13">
        <f t="shared" si="50"/>
        <v>3775522</v>
      </c>
      <c r="AI40" s="172">
        <f t="shared" si="50"/>
        <v>1809373</v>
      </c>
      <c r="AJ40" s="13">
        <f t="shared" ref="AJ40:AL40" si="51">+AJ38-AJ39</f>
        <v>-509339</v>
      </c>
      <c r="AK40" s="13">
        <f t="shared" si="51"/>
        <v>-994086</v>
      </c>
      <c r="AL40" s="13">
        <f t="shared" si="51"/>
        <v>535943</v>
      </c>
      <c r="AM40" s="172">
        <f t="shared" ref="AM40" si="52">+AM38-AM39</f>
        <v>1190145</v>
      </c>
      <c r="AN40" s="12" t="s">
        <v>1019</v>
      </c>
    </row>
    <row r="41" spans="23:41" x14ac:dyDescent="0.25">
      <c r="W41" s="12" t="s">
        <v>54</v>
      </c>
      <c r="X41" s="13"/>
      <c r="Y41" s="13"/>
      <c r="Z41" s="13"/>
      <c r="AA41" s="13"/>
      <c r="AB41" s="13">
        <v>14396023</v>
      </c>
      <c r="AC41" s="13">
        <v>14478663</v>
      </c>
      <c r="AD41" s="13">
        <v>18171943</v>
      </c>
      <c r="AE41" s="13">
        <v>21610528</v>
      </c>
      <c r="AF41" s="13">
        <v>22465968</v>
      </c>
      <c r="AG41" s="13">
        <v>22520909</v>
      </c>
      <c r="AH41" s="13">
        <v>22141821</v>
      </c>
      <c r="AI41" s="172">
        <v>21848689</v>
      </c>
      <c r="AJ41" s="13">
        <v>22537492</v>
      </c>
      <c r="AK41" s="13">
        <v>23323216</v>
      </c>
      <c r="AL41" s="13">
        <v>22905063</v>
      </c>
      <c r="AM41" s="172">
        <v>23821008</v>
      </c>
      <c r="AN41" s="46">
        <f>7/+SUM(AI32:AL32)</f>
        <v>0.55553036662821331</v>
      </c>
    </row>
    <row r="43" spans="23:41" x14ac:dyDescent="0.25">
      <c r="W43" s="12" t="s">
        <v>51</v>
      </c>
      <c r="X43" s="14" t="e">
        <f t="shared" ref="X43:AI43" si="53">+X38/X41</f>
        <v>#DIV/0!</v>
      </c>
      <c r="Y43" s="14" t="e">
        <f t="shared" si="53"/>
        <v>#DIV/0!</v>
      </c>
      <c r="Z43" s="14" t="e">
        <f t="shared" si="53"/>
        <v>#DIV/0!</v>
      </c>
      <c r="AA43" s="14" t="e">
        <f t="shared" si="53"/>
        <v>#DIV/0!</v>
      </c>
      <c r="AB43" s="14">
        <f t="shared" si="53"/>
        <v>0.54381421869081481</v>
      </c>
      <c r="AC43" s="14">
        <f t="shared" si="53"/>
        <v>0.64607125671755739</v>
      </c>
      <c r="AD43" s="14">
        <f t="shared" si="53"/>
        <v>0.73217019225737168</v>
      </c>
      <c r="AE43" s="14">
        <f t="shared" si="53"/>
        <v>0.81053257930579026</v>
      </c>
      <c r="AF43" s="14">
        <f t="shared" si="53"/>
        <v>0.72320226753639105</v>
      </c>
      <c r="AG43" s="14">
        <f t="shared" si="53"/>
        <v>0.47938171589787959</v>
      </c>
      <c r="AH43" s="14">
        <f t="shared" si="53"/>
        <v>0.3996244933964555</v>
      </c>
      <c r="AI43" s="176">
        <f t="shared" si="53"/>
        <v>0.36254509366671839</v>
      </c>
      <c r="AJ43" s="14">
        <f t="shared" ref="AJ43:AL43" si="54">+AJ38/AJ41</f>
        <v>0.27443528321607391</v>
      </c>
      <c r="AK43" s="14">
        <f t="shared" si="54"/>
        <v>0.25530634368776589</v>
      </c>
      <c r="AL43" s="14">
        <f t="shared" si="54"/>
        <v>0.31687618584589794</v>
      </c>
      <c r="AM43" s="176">
        <f t="shared" ref="AM43" si="55">+AM38/AM41</f>
        <v>0.29065184815017064</v>
      </c>
    </row>
    <row r="45" spans="23:41" x14ac:dyDescent="0.25">
      <c r="W45" s="12" t="s">
        <v>63</v>
      </c>
      <c r="X45" s="16">
        <f>+MGT!X42</f>
        <v>187.87664531682452</v>
      </c>
      <c r="Y45" s="16">
        <f>+MGT!Y42</f>
        <v>187.90335511406354</v>
      </c>
      <c r="Z45" s="16">
        <f>+MGT!Z42</f>
        <v>197.89852109390694</v>
      </c>
      <c r="AA45" s="16">
        <f>+MGT!AA42</f>
        <v>201.8866687497617</v>
      </c>
      <c r="AB45" s="16">
        <f>+MGT!AB42</f>
        <v>202.93332696356742</v>
      </c>
      <c r="AC45" s="16">
        <f>+MGT!AC42</f>
        <v>203.00000683784583</v>
      </c>
      <c r="AD45" s="16">
        <f>+MGT!AD42</f>
        <v>233.47823381556913</v>
      </c>
      <c r="AE45" s="16">
        <f>+MGT!AE42</f>
        <v>364.27332126591261</v>
      </c>
      <c r="AF45" s="16">
        <f>+MGT!AF42</f>
        <v>368.84924281572984</v>
      </c>
      <c r="AG45" s="16">
        <f>+MGT!AG42</f>
        <v>371.77544011969854</v>
      </c>
      <c r="AH45" s="16">
        <f>+MGT!AH42</f>
        <v>357.68530427957404</v>
      </c>
      <c r="AI45" s="177">
        <f>+MGT!AI42</f>
        <v>316.45665972198566</v>
      </c>
      <c r="AJ45" s="16">
        <f>+MGT!AJ42</f>
        <v>330.91833575134615</v>
      </c>
      <c r="AK45" s="16">
        <f>+MGT!AK42</f>
        <v>334.23663546748418</v>
      </c>
      <c r="AL45" s="16">
        <f>+MGT!AL42</f>
        <v>311.04852561025683</v>
      </c>
      <c r="AM45" s="177">
        <f>+MGT!AM42</f>
        <v>305.92999238532616</v>
      </c>
    </row>
    <row r="47" spans="23:41" x14ac:dyDescent="0.25">
      <c r="W47" s="12" t="s">
        <v>56</v>
      </c>
      <c r="X47" s="13"/>
      <c r="Y47" s="13"/>
      <c r="Z47" s="13"/>
      <c r="AA47" s="13"/>
      <c r="AB47" s="13">
        <v>297123.75</v>
      </c>
      <c r="AC47" s="13">
        <v>297123.75</v>
      </c>
      <c r="AD47" s="13">
        <v>297123.75</v>
      </c>
      <c r="AE47" s="13">
        <v>297123.75</v>
      </c>
      <c r="AF47" s="13">
        <v>297123.75</v>
      </c>
      <c r="AG47" s="13">
        <v>297123.75</v>
      </c>
      <c r="AH47" s="13">
        <v>297123.75</v>
      </c>
      <c r="AI47" s="172">
        <v>297123.75</v>
      </c>
      <c r="AJ47" s="13">
        <v>297123.75</v>
      </c>
      <c r="AK47" s="13">
        <v>297123.75</v>
      </c>
      <c r="AL47" s="13">
        <v>297123.75</v>
      </c>
      <c r="AM47" s="172">
        <v>297123.75</v>
      </c>
    </row>
    <row r="49" spans="23:39" x14ac:dyDescent="0.25">
      <c r="W49" s="12" t="s">
        <v>57</v>
      </c>
      <c r="X49" s="16" t="e">
        <f t="shared" ref="X49:AI49" si="56">+X41/X47</f>
        <v>#DIV/0!</v>
      </c>
      <c r="Y49" s="16" t="e">
        <f t="shared" si="56"/>
        <v>#DIV/0!</v>
      </c>
      <c r="Z49" s="16" t="e">
        <f t="shared" si="56"/>
        <v>#DIV/0!</v>
      </c>
      <c r="AA49" s="16" t="e">
        <f t="shared" si="56"/>
        <v>#DIV/0!</v>
      </c>
      <c r="AB49" s="16">
        <f t="shared" si="56"/>
        <v>48.451269883339855</v>
      </c>
      <c r="AC49" s="16">
        <f t="shared" si="56"/>
        <v>48.729403152726768</v>
      </c>
      <c r="AD49" s="16">
        <f t="shared" si="56"/>
        <v>61.159510136769612</v>
      </c>
      <c r="AE49" s="16">
        <f t="shared" si="56"/>
        <v>72.732415365651519</v>
      </c>
      <c r="AF49" s="16">
        <f t="shared" si="56"/>
        <v>75.61148511352593</v>
      </c>
      <c r="AG49" s="16">
        <f t="shared" si="56"/>
        <v>75.796394599893148</v>
      </c>
      <c r="AH49" s="16">
        <f t="shared" si="56"/>
        <v>74.520535635404443</v>
      </c>
      <c r="AI49" s="177">
        <f t="shared" si="56"/>
        <v>73.533970273328876</v>
      </c>
      <c r="AJ49" s="16">
        <f t="shared" ref="AJ49:AL49" si="57">+AJ41/AJ47</f>
        <v>75.852206361827356</v>
      </c>
      <c r="AK49" s="16">
        <f t="shared" si="57"/>
        <v>78.496639868068442</v>
      </c>
      <c r="AL49" s="16">
        <f t="shared" si="57"/>
        <v>77.089303699216231</v>
      </c>
      <c r="AM49" s="177">
        <f t="shared" ref="AM49" si="58">+AM41/AM47</f>
        <v>80.172009137606807</v>
      </c>
    </row>
    <row r="51" spans="23:39" x14ac:dyDescent="0.25">
      <c r="W51" s="12" t="s">
        <v>67</v>
      </c>
      <c r="X51" s="13"/>
      <c r="Y51" s="13">
        <f>+Y55-X55</f>
        <v>0</v>
      </c>
      <c r="Z51" s="13">
        <f>+Z55-Y55</f>
        <v>0</v>
      </c>
      <c r="AA51" s="13">
        <f>+AA55</f>
        <v>0</v>
      </c>
      <c r="AB51" s="13">
        <f t="shared" ref="AB51:AD52" si="59">+AB55-AA55</f>
        <v>-498225</v>
      </c>
      <c r="AC51" s="13">
        <f t="shared" si="59"/>
        <v>-1253815</v>
      </c>
      <c r="AD51" s="13">
        <f t="shared" si="59"/>
        <v>-1062430</v>
      </c>
      <c r="AE51" s="13">
        <f>+AE55</f>
        <v>-308439</v>
      </c>
      <c r="AF51" s="13">
        <f t="shared" ref="AF51:AM52" si="60">+AF55-AE55</f>
        <v>1360936</v>
      </c>
      <c r="AG51" s="13">
        <f t="shared" si="60"/>
        <v>5594265</v>
      </c>
      <c r="AH51" s="13">
        <f t="shared" si="60"/>
        <v>3475192</v>
      </c>
      <c r="AI51" s="172">
        <f>+AI55</f>
        <v>2260578</v>
      </c>
      <c r="AJ51" s="13">
        <f t="shared" si="60"/>
        <v>1716512</v>
      </c>
      <c r="AK51" s="13">
        <f t="shared" si="60"/>
        <v>3086969</v>
      </c>
      <c r="AL51" s="13">
        <f t="shared" si="60"/>
        <v>812775</v>
      </c>
      <c r="AM51" s="172">
        <f>+AM55-AL55</f>
        <v>-7671278</v>
      </c>
    </row>
    <row r="52" spans="23:39" x14ac:dyDescent="0.25">
      <c r="W52" s="12" t="s">
        <v>60</v>
      </c>
      <c r="Y52" s="13">
        <f>+Y56-X56</f>
        <v>0</v>
      </c>
      <c r="Z52" s="13">
        <f>+Z56-Y56</f>
        <v>0</v>
      </c>
      <c r="AA52" s="13">
        <f>+AA56</f>
        <v>0</v>
      </c>
      <c r="AB52" s="13">
        <f t="shared" si="59"/>
        <v>-768817</v>
      </c>
      <c r="AC52" s="13">
        <f t="shared" si="59"/>
        <v>-429119</v>
      </c>
      <c r="AD52" s="13">
        <f t="shared" si="59"/>
        <v>-479794</v>
      </c>
      <c r="AE52" s="13">
        <f>+AE56</f>
        <v>-445487</v>
      </c>
      <c r="AF52" s="13">
        <f t="shared" si="60"/>
        <v>-302317</v>
      </c>
      <c r="AG52" s="13">
        <f t="shared" si="60"/>
        <v>-638316</v>
      </c>
      <c r="AH52" s="13">
        <f t="shared" si="60"/>
        <v>-521169</v>
      </c>
      <c r="AI52" s="172">
        <f>+AI56</f>
        <v>-273771</v>
      </c>
      <c r="AJ52" s="13">
        <f t="shared" si="60"/>
        <v>-261080</v>
      </c>
      <c r="AK52" s="13">
        <f t="shared" si="60"/>
        <v>-733715</v>
      </c>
      <c r="AL52" s="13">
        <f t="shared" si="60"/>
        <v>-866221</v>
      </c>
      <c r="AM52" s="172">
        <f t="shared" si="60"/>
        <v>1494117</v>
      </c>
    </row>
    <row r="53" spans="23:39" x14ac:dyDescent="0.25">
      <c r="W53" s="12" t="s">
        <v>68</v>
      </c>
      <c r="Y53" s="13">
        <f t="shared" ref="Y53:AI53" si="61">+Y51+Y52</f>
        <v>0</v>
      </c>
      <c r="Z53" s="13">
        <f t="shared" si="61"/>
        <v>0</v>
      </c>
      <c r="AA53" s="13">
        <f t="shared" si="61"/>
        <v>0</v>
      </c>
      <c r="AB53" s="13">
        <f t="shared" si="61"/>
        <v>-1267042</v>
      </c>
      <c r="AC53" s="13">
        <f t="shared" si="61"/>
        <v>-1682934</v>
      </c>
      <c r="AD53" s="13">
        <f t="shared" si="61"/>
        <v>-1542224</v>
      </c>
      <c r="AE53" s="13">
        <f t="shared" si="61"/>
        <v>-753926</v>
      </c>
      <c r="AF53" s="13">
        <f t="shared" si="61"/>
        <v>1058619</v>
      </c>
      <c r="AG53" s="13">
        <f t="shared" si="61"/>
        <v>4955949</v>
      </c>
      <c r="AH53" s="13">
        <f t="shared" si="61"/>
        <v>2954023</v>
      </c>
      <c r="AI53" s="172">
        <f t="shared" si="61"/>
        <v>1986807</v>
      </c>
      <c r="AJ53" s="13">
        <f t="shared" ref="AJ53:AL53" si="62">+AJ51+AJ52</f>
        <v>1455432</v>
      </c>
      <c r="AK53" s="13">
        <f t="shared" si="62"/>
        <v>2353254</v>
      </c>
      <c r="AL53" s="13">
        <f t="shared" si="62"/>
        <v>-53446</v>
      </c>
      <c r="AM53" s="172">
        <f t="shared" ref="AM53" si="63">+AM51+AM52</f>
        <v>-6177161</v>
      </c>
    </row>
    <row r="55" spans="23:39" x14ac:dyDescent="0.25">
      <c r="W55" s="12" t="s">
        <v>67</v>
      </c>
      <c r="X55" s="13"/>
      <c r="Y55" s="13"/>
      <c r="Z55" s="13"/>
      <c r="AA55" s="13"/>
      <c r="AB55" s="13">
        <v>-498225</v>
      </c>
      <c r="AC55" s="13">
        <v>-1752040</v>
      </c>
      <c r="AD55" s="13">
        <v>-2814470</v>
      </c>
      <c r="AE55" s="13">
        <v>-308439</v>
      </c>
      <c r="AF55" s="13">
        <v>1052497</v>
      </c>
      <c r="AG55" s="13">
        <v>6646762</v>
      </c>
      <c r="AH55" s="13">
        <v>10121954</v>
      </c>
      <c r="AI55" s="172">
        <v>2260578</v>
      </c>
      <c r="AJ55" s="13">
        <v>3977090</v>
      </c>
      <c r="AK55" s="13">
        <v>7064059</v>
      </c>
      <c r="AL55" s="13">
        <v>7876834</v>
      </c>
      <c r="AM55" s="172">
        <v>205556</v>
      </c>
    </row>
    <row r="56" spans="23:39" x14ac:dyDescent="0.25">
      <c r="W56" s="12" t="s">
        <v>60</v>
      </c>
      <c r="X56" s="13"/>
      <c r="Y56" s="13"/>
      <c r="Z56" s="13"/>
      <c r="AA56" s="13"/>
      <c r="AB56" s="13">
        <v>-768817</v>
      </c>
      <c r="AC56" s="13">
        <v>-1197936</v>
      </c>
      <c r="AD56" s="13">
        <v>-1677730</v>
      </c>
      <c r="AE56" s="13">
        <v>-445487</v>
      </c>
      <c r="AF56" s="13">
        <v>-747804</v>
      </c>
      <c r="AG56" s="13">
        <v>-1386120</v>
      </c>
      <c r="AH56" s="13">
        <v>-1907289</v>
      </c>
      <c r="AI56" s="172">
        <v>-273771</v>
      </c>
      <c r="AJ56" s="13">
        <v>-534851</v>
      </c>
      <c r="AK56" s="13">
        <v>-1268566</v>
      </c>
      <c r="AL56" s="13">
        <v>-2134787</v>
      </c>
      <c r="AM56" s="172">
        <v>-640670</v>
      </c>
    </row>
    <row r="57" spans="23:39" x14ac:dyDescent="0.25">
      <c r="W57" s="12" t="s">
        <v>68</v>
      </c>
      <c r="X57" s="13">
        <f t="shared" ref="X57:AI57" si="64">+X55+X56</f>
        <v>0</v>
      </c>
      <c r="Y57" s="13">
        <f t="shared" si="64"/>
        <v>0</v>
      </c>
      <c r="Z57" s="13">
        <f t="shared" si="64"/>
        <v>0</v>
      </c>
      <c r="AA57" s="13">
        <f t="shared" si="64"/>
        <v>0</v>
      </c>
      <c r="AB57" s="13">
        <f t="shared" si="64"/>
        <v>-1267042</v>
      </c>
      <c r="AC57" s="13">
        <f t="shared" si="64"/>
        <v>-2949976</v>
      </c>
      <c r="AD57" s="13">
        <f t="shared" si="64"/>
        <v>-4492200</v>
      </c>
      <c r="AE57" s="13">
        <f t="shared" si="64"/>
        <v>-753926</v>
      </c>
      <c r="AF57" s="13">
        <f t="shared" si="64"/>
        <v>304693</v>
      </c>
      <c r="AG57" s="13">
        <f t="shared" si="64"/>
        <v>5260642</v>
      </c>
      <c r="AH57" s="13">
        <f t="shared" si="64"/>
        <v>8214665</v>
      </c>
      <c r="AI57" s="172">
        <f t="shared" si="64"/>
        <v>1986807</v>
      </c>
      <c r="AJ57" s="13">
        <f t="shared" ref="AJ57:AL57" si="65">+AJ55+AJ56</f>
        <v>3442239</v>
      </c>
      <c r="AK57" s="13">
        <f t="shared" si="65"/>
        <v>5795493</v>
      </c>
      <c r="AL57" s="13">
        <f t="shared" si="65"/>
        <v>5742047</v>
      </c>
      <c r="AM57" s="172">
        <f t="shared" ref="AM57" si="66">+AM55+AM56</f>
        <v>-435114</v>
      </c>
    </row>
    <row r="59" spans="23:39" x14ac:dyDescent="0.25">
      <c r="W59" s="47" t="s">
        <v>76</v>
      </c>
    </row>
    <row r="60" spans="23:39" x14ac:dyDescent="0.25">
      <c r="W60" s="47" t="s">
        <v>86</v>
      </c>
      <c r="AC60" s="13"/>
      <c r="AG60" s="13"/>
      <c r="AK60" s="13"/>
    </row>
    <row r="61" spans="23:39" x14ac:dyDescent="0.25">
      <c r="W61" s="12" t="s">
        <v>78</v>
      </c>
      <c r="Z61" s="13"/>
      <c r="AA61" s="13"/>
      <c r="AB61" s="13"/>
      <c r="AC61" s="13"/>
      <c r="AD61" s="13"/>
      <c r="AE61" s="13"/>
      <c r="AF61" s="13">
        <v>32989586</v>
      </c>
      <c r="AG61" s="13">
        <v>47287181</v>
      </c>
      <c r="AH61" s="13">
        <v>59624425</v>
      </c>
      <c r="AI61" s="172">
        <v>9894042</v>
      </c>
      <c r="AJ61" s="13">
        <f>20905108-AI61</f>
        <v>11011066</v>
      </c>
      <c r="AK61" s="13">
        <f>31088433-AJ61-AI61</f>
        <v>10183325</v>
      </c>
      <c r="AL61" s="13">
        <f>41659615-AK61-AJ61-AI61</f>
        <v>10571182</v>
      </c>
      <c r="AM61" s="172">
        <f>41659615-AL61-AK61-AJ61</f>
        <v>9894042</v>
      </c>
    </row>
    <row r="62" spans="23:39" x14ac:dyDescent="0.25">
      <c r="W62" s="12" t="s">
        <v>40</v>
      </c>
      <c r="X62" s="17"/>
      <c r="Y62" s="17"/>
      <c r="Z62" s="17"/>
      <c r="AA62" s="17"/>
      <c r="AB62" s="18"/>
      <c r="AC62" s="18"/>
      <c r="AD62" s="18"/>
      <c r="AE62" s="18"/>
      <c r="AF62" s="18"/>
      <c r="AG62" s="18"/>
      <c r="AI62" s="173" t="e">
        <f t="shared" ref="AI62" si="67">+AI61/AE61-1</f>
        <v>#DIV/0!</v>
      </c>
      <c r="AJ62" s="18"/>
      <c r="AK62" s="18"/>
    </row>
    <row r="63" spans="23:39" x14ac:dyDescent="0.25">
      <c r="W63" s="12" t="s">
        <v>41</v>
      </c>
      <c r="Y63" s="18"/>
      <c r="Z63" s="18"/>
      <c r="AA63" s="18"/>
      <c r="AB63" s="18"/>
      <c r="AC63" s="18"/>
      <c r="AD63" s="18"/>
      <c r="AE63" s="18"/>
      <c r="AF63" s="18"/>
      <c r="AG63" s="18"/>
      <c r="AI63" s="173">
        <f>+AI61/AH61-1</f>
        <v>-0.83406058842496178</v>
      </c>
      <c r="AJ63" s="18">
        <f>+AJ61/AI61-1</f>
        <v>0.11289865153190171</v>
      </c>
      <c r="AK63" s="18">
        <f>+AK61/AJ61-1</f>
        <v>-7.5173557219618936E-2</v>
      </c>
      <c r="AL63" s="18">
        <f>+AL61/AK61-1</f>
        <v>3.8087461610033957E-2</v>
      </c>
      <c r="AM63" s="173">
        <f>+AM61/AL61-1</f>
        <v>-6.4055277829858537E-2</v>
      </c>
    </row>
    <row r="64" spans="23:39" x14ac:dyDescent="0.25">
      <c r="W64" s="12" t="s">
        <v>79</v>
      </c>
      <c r="Z64" s="13"/>
      <c r="AA64" s="13"/>
      <c r="AB64" s="13">
        <v>1468657</v>
      </c>
      <c r="AC64" s="13">
        <v>2382919</v>
      </c>
      <c r="AD64" s="13">
        <v>4584689</v>
      </c>
      <c r="AE64" s="13">
        <v>3784406</v>
      </c>
      <c r="AF64" s="13">
        <v>5804778</v>
      </c>
      <c r="AG64" s="13">
        <v>7535306</v>
      </c>
      <c r="AH64" s="13">
        <v>8497831</v>
      </c>
      <c r="AI64" s="172">
        <v>1097316</v>
      </c>
      <c r="AJ64" s="13">
        <f>2588027-AI64</f>
        <v>1490711</v>
      </c>
      <c r="AK64" s="13">
        <f>4533431-AJ64-AI64</f>
        <v>1945404</v>
      </c>
      <c r="AL64" s="13">
        <f>6065715-AK64-AJ64-AI64</f>
        <v>1532284</v>
      </c>
      <c r="AM64" s="172">
        <f>6065715-AL64-AK64-AJ64</f>
        <v>1097316</v>
      </c>
    </row>
    <row r="65" spans="23:39" x14ac:dyDescent="0.25">
      <c r="W65" s="12" t="s">
        <v>82</v>
      </c>
      <c r="X65" s="19"/>
      <c r="Y65" s="19"/>
      <c r="Z65" s="19"/>
      <c r="AA65" s="19"/>
      <c r="AB65" s="19"/>
      <c r="AC65" s="19"/>
      <c r="AD65" s="19"/>
      <c r="AE65" s="19"/>
      <c r="AF65" s="19"/>
      <c r="AG65" s="19"/>
      <c r="AI65" s="174">
        <f>+AI64/AI61</f>
        <v>0.11090674569604617</v>
      </c>
      <c r="AJ65" s="19">
        <f>+AJ64/AJ61</f>
        <v>0.13538298653372888</v>
      </c>
      <c r="AK65" s="19">
        <f>+AK64/AK61</f>
        <v>0.19103819233894626</v>
      </c>
      <c r="AL65" s="19">
        <f>+AL64/AL61</f>
        <v>0.14494916462511004</v>
      </c>
      <c r="AM65" s="174">
        <f>+AM64/AM61</f>
        <v>0.11090674569604617</v>
      </c>
    </row>
    <row r="67" spans="23:39" x14ac:dyDescent="0.25">
      <c r="W67" s="47" t="s">
        <v>87</v>
      </c>
      <c r="AC67" s="13"/>
      <c r="AG67" s="13"/>
      <c r="AK67" s="13"/>
    </row>
    <row r="68" spans="23:39" x14ac:dyDescent="0.25">
      <c r="W68" s="12" t="s">
        <v>78</v>
      </c>
      <c r="Z68" s="13"/>
      <c r="AA68" s="13"/>
      <c r="AB68" s="13"/>
      <c r="AC68" s="13"/>
      <c r="AD68" s="13"/>
      <c r="AE68" s="13"/>
      <c r="AF68" s="13">
        <v>396492</v>
      </c>
      <c r="AG68" s="13">
        <v>805713</v>
      </c>
      <c r="AH68" s="13">
        <v>1318831</v>
      </c>
      <c r="AI68" s="172">
        <v>321356</v>
      </c>
      <c r="AJ68" s="13">
        <f>701400-AI68</f>
        <v>380044</v>
      </c>
      <c r="AK68" s="13">
        <f>1218699-AJ68-AI68</f>
        <v>517299</v>
      </c>
      <c r="AL68" s="13">
        <f>1519590-AK68-AJ68-AI68</f>
        <v>300891</v>
      </c>
      <c r="AM68" s="172">
        <f>1519590-AL68-AK68-AJ68</f>
        <v>321356</v>
      </c>
    </row>
    <row r="69" spans="23:39" x14ac:dyDescent="0.25">
      <c r="W69" s="12" t="s">
        <v>40</v>
      </c>
      <c r="X69" s="17"/>
      <c r="Y69" s="17"/>
      <c r="Z69" s="17"/>
      <c r="AA69" s="17"/>
      <c r="AB69" s="18"/>
      <c r="AC69" s="18"/>
      <c r="AD69" s="18"/>
      <c r="AE69" s="18"/>
      <c r="AF69" s="18"/>
      <c r="AG69" s="18"/>
      <c r="AI69" s="173" t="e">
        <f t="shared" ref="AI69" si="68">+AI68/AE68-1</f>
        <v>#DIV/0!</v>
      </c>
      <c r="AJ69" s="18"/>
      <c r="AK69" s="18"/>
    </row>
    <row r="70" spans="23:39" x14ac:dyDescent="0.25">
      <c r="W70" s="12" t="s">
        <v>41</v>
      </c>
      <c r="Y70" s="18"/>
      <c r="Z70" s="18"/>
      <c r="AA70" s="18"/>
      <c r="AB70" s="18"/>
      <c r="AC70" s="18"/>
      <c r="AD70" s="18"/>
      <c r="AE70" s="18"/>
      <c r="AF70" s="18"/>
      <c r="AG70" s="18"/>
      <c r="AI70" s="173">
        <f>+AI68/AH68-1</f>
        <v>-0.75633269160339722</v>
      </c>
      <c r="AJ70" s="18">
        <f>+AJ68/AI68-1</f>
        <v>0.18262612180883497</v>
      </c>
      <c r="AK70" s="18">
        <f>+AK68/AJ68-1</f>
        <v>0.36115555040995262</v>
      </c>
      <c r="AL70" s="18">
        <f>+AL68/AK68-1</f>
        <v>-0.41834219667928996</v>
      </c>
      <c r="AM70" s="173">
        <f>+AM68/AL68-1</f>
        <v>6.8014663117208496E-2</v>
      </c>
    </row>
    <row r="71" spans="23:39" x14ac:dyDescent="0.25">
      <c r="W71" s="12" t="s">
        <v>79</v>
      </c>
      <c r="Z71" s="13"/>
      <c r="AA71" s="13"/>
      <c r="AB71" s="13">
        <v>-2543</v>
      </c>
      <c r="AC71" s="13">
        <v>26403</v>
      </c>
      <c r="AD71" s="13">
        <v>111366</v>
      </c>
      <c r="AE71" s="13">
        <v>-91272</v>
      </c>
      <c r="AF71" s="13">
        <v>-158979</v>
      </c>
      <c r="AG71" s="13">
        <v>-201623</v>
      </c>
      <c r="AH71" s="13">
        <v>-241935</v>
      </c>
      <c r="AI71" s="172">
        <v>-34413</v>
      </c>
      <c r="AJ71" s="13">
        <f>-1821-AI71</f>
        <v>32592</v>
      </c>
      <c r="AK71" s="13">
        <f>34091-AJ71-AI71</f>
        <v>35912</v>
      </c>
      <c r="AL71" s="13">
        <f>56365-AK71-AJ71-AI71</f>
        <v>22274</v>
      </c>
      <c r="AM71" s="172">
        <f>56365-AL71-AK71-AJ71</f>
        <v>-34413</v>
      </c>
    </row>
    <row r="72" spans="23:39" x14ac:dyDescent="0.25">
      <c r="W72" s="12" t="s">
        <v>82</v>
      </c>
      <c r="X72" s="19"/>
      <c r="Y72" s="19"/>
      <c r="Z72" s="19"/>
      <c r="AA72" s="19"/>
      <c r="AB72" s="19"/>
      <c r="AC72" s="19"/>
      <c r="AD72" s="19"/>
      <c r="AE72" s="19"/>
      <c r="AF72" s="19"/>
      <c r="AG72" s="19"/>
      <c r="AI72" s="174">
        <f>+AI71/AI68</f>
        <v>-0.10708684449644632</v>
      </c>
      <c r="AJ72" s="19">
        <f>+AJ71/AJ68</f>
        <v>8.5758491122080602E-2</v>
      </c>
      <c r="AK72" s="19">
        <f>+AK71/AK68</f>
        <v>6.94221330410459E-2</v>
      </c>
      <c r="AL72" s="19">
        <f>+AL71/AL68</f>
        <v>7.4026807049728971E-2</v>
      </c>
      <c r="AM72" s="174">
        <f>+AM71/AM68</f>
        <v>-0.10708684449644632</v>
      </c>
    </row>
  </sheetData>
  <mergeCells count="4">
    <mergeCell ref="B13:H13"/>
    <mergeCell ref="AP2:AT2"/>
    <mergeCell ref="AU2:AY2"/>
    <mergeCell ref="AZ2:BD2"/>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A257-F78C-489D-976F-8A9B9CDC1657}">
  <sheetPr codeName="Sheet6">
    <tabColor rgb="FF92D050"/>
  </sheetPr>
  <dimension ref="B1:AO56"/>
  <sheetViews>
    <sheetView topLeftCell="W1" zoomScale="85" zoomScaleNormal="85" workbookViewId="0">
      <selection activeCell="AN36" sqref="AN36"/>
    </sheetView>
  </sheetViews>
  <sheetFormatPr defaultRowHeight="15" x14ac:dyDescent="0.25"/>
  <cols>
    <col min="2" max="2" width="28.28515625" customWidth="1"/>
    <col min="3" max="3" width="8.7109375" hidden="1" customWidth="1"/>
    <col min="8" max="9" width="9.42578125" bestFit="1" customWidth="1"/>
    <col min="10" max="10" width="14.28515625" customWidth="1"/>
    <col min="13" max="13" width="19.85546875" customWidth="1"/>
    <col min="23" max="23" width="34.7109375" style="12" customWidth="1"/>
    <col min="24" max="34" width="12" style="12" customWidth="1"/>
    <col min="35" max="35" width="12" style="170" customWidth="1"/>
    <col min="36" max="38" width="12" style="12" customWidth="1"/>
    <col min="39" max="39" width="12" style="170" customWidth="1"/>
    <col min="40" max="40" width="9.85546875" style="12" bestFit="1" customWidth="1"/>
  </cols>
  <sheetData>
    <row r="1" spans="2:40" ht="15.75" thickBot="1" x14ac:dyDescent="0.3">
      <c r="W1" s="20" t="s">
        <v>194</v>
      </c>
      <c r="X1" s="59">
        <f>+'Valuation Sheet'!C8</f>
        <v>5.2</v>
      </c>
    </row>
    <row r="2" spans="2:40"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f>J14*J21</f>
        <v>34.398437959079992</v>
      </c>
      <c r="W2" s="20" t="s">
        <v>169</v>
      </c>
      <c r="X2" s="11" t="s">
        <v>14</v>
      </c>
      <c r="Y2" s="11" t="s">
        <v>16</v>
      </c>
      <c r="Z2" s="11" t="s">
        <v>18</v>
      </c>
      <c r="AA2" s="11" t="s">
        <v>20</v>
      </c>
      <c r="AB2" s="11" t="s">
        <v>22</v>
      </c>
      <c r="AC2" s="11" t="s">
        <v>24</v>
      </c>
      <c r="AD2" s="11" t="s">
        <v>26</v>
      </c>
      <c r="AE2" s="11" t="s">
        <v>39</v>
      </c>
      <c r="AF2" s="11" t="s">
        <v>38</v>
      </c>
      <c r="AG2" s="11" t="s">
        <v>71</v>
      </c>
      <c r="AH2" s="11" t="s">
        <v>83</v>
      </c>
      <c r="AI2" s="171" t="s">
        <v>84</v>
      </c>
      <c r="AJ2" s="11" t="s">
        <v>365</v>
      </c>
      <c r="AK2" s="11" t="s">
        <v>948</v>
      </c>
      <c r="AL2" s="11" t="s">
        <v>1018</v>
      </c>
      <c r="AM2" s="171" t="s">
        <v>1074</v>
      </c>
    </row>
    <row r="3" spans="2:40" ht="18" thickTop="1" thickBot="1" x14ac:dyDescent="0.4">
      <c r="B3" s="25" t="s">
        <v>10</v>
      </c>
      <c r="C3" s="26">
        <v>17820.179</v>
      </c>
      <c r="D3" s="26">
        <v>22137.641</v>
      </c>
      <c r="E3" s="26">
        <v>24647.488000000001</v>
      </c>
      <c r="F3" s="26">
        <v>31746.592000000001</v>
      </c>
      <c r="G3" s="26">
        <v>33276.976999999999</v>
      </c>
      <c r="H3" s="26">
        <v>31780.287</v>
      </c>
      <c r="I3" s="27">
        <v>49587.964</v>
      </c>
      <c r="J3" s="21"/>
      <c r="M3" s="1" t="s">
        <v>11</v>
      </c>
      <c r="N3" s="2">
        <f>'[1]LT Portfolio'!W294</f>
        <v>0</v>
      </c>
      <c r="W3" s="12" t="s">
        <v>62</v>
      </c>
      <c r="X3" s="13"/>
      <c r="Y3" s="13"/>
      <c r="Z3" s="13"/>
      <c r="AA3" s="13"/>
      <c r="AB3" s="13"/>
      <c r="AC3" s="13">
        <v>15021451</v>
      </c>
      <c r="AD3" s="13">
        <v>14593552</v>
      </c>
      <c r="AE3" s="13">
        <v>24468492</v>
      </c>
      <c r="AF3" s="13">
        <v>28156456</v>
      </c>
      <c r="AG3" s="13">
        <v>21750692</v>
      </c>
      <c r="AH3" s="13">
        <v>20521778</v>
      </c>
      <c r="AI3" s="172">
        <v>16992389</v>
      </c>
      <c r="AJ3" s="13">
        <v>17171910</v>
      </c>
      <c r="AK3" s="13">
        <v>14293333</v>
      </c>
      <c r="AL3" s="13">
        <v>21722634</v>
      </c>
      <c r="AM3" s="172">
        <v>19556519</v>
      </c>
    </row>
    <row r="4" spans="2:40" ht="18" thickTop="1" thickBot="1" x14ac:dyDescent="0.4">
      <c r="B4" s="28" t="s">
        <v>12</v>
      </c>
      <c r="C4" s="29"/>
      <c r="D4" s="30">
        <f t="shared" ref="D4:G4" si="0">(D3/C3-1)*100</f>
        <v>24.2279384511233</v>
      </c>
      <c r="E4" s="30">
        <f t="shared" si="0"/>
        <v>11.337463643935685</v>
      </c>
      <c r="F4" s="30">
        <f t="shared" si="0"/>
        <v>28.802545719872128</v>
      </c>
      <c r="G4" s="30">
        <f t="shared" si="0"/>
        <v>4.8206276755627719</v>
      </c>
      <c r="H4" s="30">
        <f>(H3/G3-1)*100</f>
        <v>-4.4976741727471126</v>
      </c>
      <c r="I4" s="31">
        <f>(I3/H3-1)*100</f>
        <v>56.033719896865634</v>
      </c>
      <c r="J4" s="22">
        <f>((I3/D3)^(1/5)-1)*100</f>
        <v>17.503008805594654</v>
      </c>
      <c r="W4" s="12" t="s">
        <v>40</v>
      </c>
      <c r="X4" s="17"/>
      <c r="Y4" s="17"/>
      <c r="Z4" s="17"/>
      <c r="AA4" s="17"/>
      <c r="AB4" s="18" t="e">
        <f t="shared" ref="AB4:AG4" si="1">+AB3/X3-1</f>
        <v>#DIV/0!</v>
      </c>
      <c r="AC4" s="18" t="e">
        <f t="shared" si="1"/>
        <v>#DIV/0!</v>
      </c>
      <c r="AD4" s="18" t="e">
        <f t="shared" si="1"/>
        <v>#DIV/0!</v>
      </c>
      <c r="AE4" s="18" t="e">
        <f t="shared" si="1"/>
        <v>#DIV/0!</v>
      </c>
      <c r="AF4" s="18" t="e">
        <f t="shared" si="1"/>
        <v>#DIV/0!</v>
      </c>
      <c r="AG4" s="18">
        <f t="shared" si="1"/>
        <v>0.44797543193397238</v>
      </c>
      <c r="AH4" s="18">
        <f>+AH3/AD3-1</f>
        <v>0.40622228227918744</v>
      </c>
      <c r="AI4" s="173">
        <f>+AI3/AE3-1</f>
        <v>-0.30553999813310928</v>
      </c>
      <c r="AJ4" s="18">
        <f t="shared" ref="AJ4:AK4" si="2">+AJ3/AF3-1</f>
        <v>-0.39012530554271463</v>
      </c>
      <c r="AK4" s="18">
        <f t="shared" si="2"/>
        <v>-0.34285617211627106</v>
      </c>
      <c r="AL4" s="18">
        <f>+AL3/AH3-1</f>
        <v>5.8516177301986216E-2</v>
      </c>
      <c r="AM4" s="173">
        <f>+AM3/AI3-1</f>
        <v>0.15089873472176274</v>
      </c>
    </row>
    <row r="5" spans="2:40" ht="18" thickTop="1" thickBot="1" x14ac:dyDescent="0.4">
      <c r="B5" s="32" t="s">
        <v>13</v>
      </c>
      <c r="C5" s="29">
        <v>2994.8620000000001</v>
      </c>
      <c r="D5" s="26">
        <v>3075.7150000000001</v>
      </c>
      <c r="E5" s="26">
        <v>2911.1990000000001</v>
      </c>
      <c r="F5" s="26">
        <v>3686.058</v>
      </c>
      <c r="G5" s="26">
        <v>4229.0420000000004</v>
      </c>
      <c r="H5" s="26">
        <v>3789.9589999999998</v>
      </c>
      <c r="I5" s="27">
        <v>4577.6409999999996</v>
      </c>
      <c r="J5" s="21"/>
      <c r="M5" s="1" t="s">
        <v>14</v>
      </c>
      <c r="N5" s="3">
        <f>202.575/415.481776</f>
        <v>0.48756651122045841</v>
      </c>
      <c r="W5" s="12" t="s">
        <v>41</v>
      </c>
      <c r="Y5" s="18" t="e">
        <f t="shared" ref="Y5:AM5" si="3">+Y3/X3-1</f>
        <v>#DIV/0!</v>
      </c>
      <c r="Z5" s="18" t="e">
        <f t="shared" si="3"/>
        <v>#DIV/0!</v>
      </c>
      <c r="AA5" s="18" t="e">
        <f t="shared" si="3"/>
        <v>#DIV/0!</v>
      </c>
      <c r="AB5" s="18" t="e">
        <f t="shared" si="3"/>
        <v>#DIV/0!</v>
      </c>
      <c r="AC5" s="18" t="e">
        <f t="shared" si="3"/>
        <v>#DIV/0!</v>
      </c>
      <c r="AD5" s="18">
        <f t="shared" si="3"/>
        <v>-2.8485863316400017E-2</v>
      </c>
      <c r="AE5" s="18">
        <f t="shared" si="3"/>
        <v>0.67666459817322067</v>
      </c>
      <c r="AF5" s="18">
        <f t="shared" si="3"/>
        <v>0.15072297875978635</v>
      </c>
      <c r="AG5" s="18">
        <f t="shared" si="3"/>
        <v>-0.22750604692579213</v>
      </c>
      <c r="AH5" s="18">
        <f t="shared" si="3"/>
        <v>-5.6499995494396216E-2</v>
      </c>
      <c r="AI5" s="173">
        <f t="shared" si="3"/>
        <v>-0.17198261281259353</v>
      </c>
      <c r="AJ5" s="18">
        <f t="shared" si="3"/>
        <v>1.0564788741594944E-2</v>
      </c>
      <c r="AK5" s="18">
        <f t="shared" si="3"/>
        <v>-0.16763289581648166</v>
      </c>
      <c r="AL5" s="18">
        <f t="shared" si="3"/>
        <v>0.51977386939771142</v>
      </c>
      <c r="AM5" s="173">
        <f t="shared" si="3"/>
        <v>-9.9716958818161783E-2</v>
      </c>
    </row>
    <row r="6" spans="2:40" ht="18" thickTop="1" thickBot="1" x14ac:dyDescent="0.4">
      <c r="B6" s="28" t="s">
        <v>15</v>
      </c>
      <c r="C6" s="30">
        <f t="shared" ref="C6:G6" si="4">C5/C$3*100</f>
        <v>16.806015248219449</v>
      </c>
      <c r="D6" s="30">
        <f t="shared" si="4"/>
        <v>13.893598690122404</v>
      </c>
      <c r="E6" s="30">
        <f t="shared" si="4"/>
        <v>11.811341585803795</v>
      </c>
      <c r="F6" s="30">
        <f t="shared" si="4"/>
        <v>11.610877791228742</v>
      </c>
      <c r="G6" s="30">
        <f t="shared" si="4"/>
        <v>12.708612323769675</v>
      </c>
      <c r="H6" s="30">
        <f>H5/H$3*100</f>
        <v>11.925502749550374</v>
      </c>
      <c r="I6" s="31">
        <f>I5/I$3*100</f>
        <v>9.2313550118734451</v>
      </c>
      <c r="J6" s="23">
        <f>AVERAGE(D6:I6)</f>
        <v>11.863548025391404</v>
      </c>
      <c r="M6" s="1" t="s">
        <v>16</v>
      </c>
      <c r="N6" s="3">
        <f>261.001/415.481776</f>
        <v>0.62818880412218114</v>
      </c>
    </row>
    <row r="7" spans="2:40" ht="18" thickTop="1" thickBot="1" x14ac:dyDescent="0.4">
      <c r="B7" s="32" t="s">
        <v>17</v>
      </c>
      <c r="C7" s="26">
        <v>2167.6080000000002</v>
      </c>
      <c r="D7" s="26">
        <v>1992.405</v>
      </c>
      <c r="E7" s="26">
        <v>1810.8420000000001</v>
      </c>
      <c r="F7" s="26">
        <v>2344.6489999999999</v>
      </c>
      <c r="G7" s="26">
        <v>2728.431</v>
      </c>
      <c r="H7" s="26">
        <v>2441.4009999999998</v>
      </c>
      <c r="I7" s="27">
        <v>2573.1030000000001</v>
      </c>
      <c r="J7" s="24"/>
      <c r="M7" s="1" t="s">
        <v>18</v>
      </c>
      <c r="N7" s="3">
        <f>'[1]LT Portfolio'!P294</f>
        <v>0</v>
      </c>
      <c r="W7" s="12" t="s">
        <v>61</v>
      </c>
      <c r="X7" s="13"/>
      <c r="Y7" s="13"/>
      <c r="Z7" s="13"/>
      <c r="AA7" s="13"/>
      <c r="AB7" s="13"/>
      <c r="AC7" s="13">
        <v>74622</v>
      </c>
      <c r="AD7" s="13">
        <v>62682</v>
      </c>
      <c r="AE7" s="13">
        <v>73287</v>
      </c>
      <c r="AF7" s="13">
        <v>78080</v>
      </c>
      <c r="AG7" s="13">
        <v>59898</v>
      </c>
      <c r="AH7" s="13">
        <v>56644</v>
      </c>
      <c r="AI7" s="172">
        <v>53975</v>
      </c>
      <c r="AJ7" s="13">
        <v>53615</v>
      </c>
      <c r="AK7" s="13">
        <v>43716</v>
      </c>
      <c r="AL7" s="13">
        <v>68491</v>
      </c>
      <c r="AM7" s="172">
        <v>65194</v>
      </c>
    </row>
    <row r="8" spans="2:40" ht="18" thickTop="1" thickBot="1" x14ac:dyDescent="0.4">
      <c r="B8" s="28" t="s">
        <v>19</v>
      </c>
      <c r="C8" s="30">
        <f t="shared" ref="C8:I8" si="5">C7/C$3*100</f>
        <v>12.16378353999699</v>
      </c>
      <c r="D8" s="30">
        <f t="shared" si="5"/>
        <v>9.0000781926132056</v>
      </c>
      <c r="E8" s="30">
        <f t="shared" si="5"/>
        <v>7.3469637149229978</v>
      </c>
      <c r="F8" s="30">
        <f t="shared" si="5"/>
        <v>7.3855140104487429</v>
      </c>
      <c r="G8" s="30">
        <f t="shared" si="5"/>
        <v>8.1991552297553945</v>
      </c>
      <c r="H8" s="30">
        <f t="shared" si="5"/>
        <v>7.6821238272643662</v>
      </c>
      <c r="I8" s="31">
        <f t="shared" si="5"/>
        <v>5.1889668226749546</v>
      </c>
      <c r="J8" s="23">
        <f>AVERAGE(D8:I8)</f>
        <v>7.4671336329466103</v>
      </c>
      <c r="M8" s="1" t="s">
        <v>20</v>
      </c>
      <c r="N8" s="3">
        <f>'[1]LT Portfolio'!Q294</f>
        <v>0</v>
      </c>
      <c r="W8" s="12" t="s">
        <v>40</v>
      </c>
      <c r="AB8" s="18" t="e">
        <f t="shared" ref="AB8:AG8" si="6">+AB7/X7-1</f>
        <v>#DIV/0!</v>
      </c>
      <c r="AC8" s="18" t="e">
        <f t="shared" si="6"/>
        <v>#DIV/0!</v>
      </c>
      <c r="AD8" s="18" t="e">
        <f t="shared" si="6"/>
        <v>#DIV/0!</v>
      </c>
      <c r="AE8" s="18" t="e">
        <f t="shared" si="6"/>
        <v>#DIV/0!</v>
      </c>
      <c r="AF8" s="18" t="e">
        <f t="shared" si="6"/>
        <v>#DIV/0!</v>
      </c>
      <c r="AG8" s="18">
        <f t="shared" si="6"/>
        <v>-0.19731446490311166</v>
      </c>
      <c r="AH8" s="18">
        <f>+AH7/AD7-1</f>
        <v>-9.6327494336492125E-2</v>
      </c>
      <c r="AI8" s="173">
        <f>+AI7/AE7-1</f>
        <v>-0.26351194618418006</v>
      </c>
      <c r="AJ8" s="18">
        <f t="shared" ref="AJ8:AK8" si="7">+AJ7/AF7-1</f>
        <v>-0.31333247950819676</v>
      </c>
      <c r="AK8" s="18">
        <f t="shared" si="7"/>
        <v>-0.27015927076029245</v>
      </c>
      <c r="AL8" s="18">
        <f>+AL7/AH7-1</f>
        <v>0.20914836522844427</v>
      </c>
      <c r="AM8" s="173">
        <f>+AM7/AI7-1</f>
        <v>0.20785548865215375</v>
      </c>
    </row>
    <row r="9" spans="2:40" ht="18" thickTop="1" thickBot="1" x14ac:dyDescent="0.4">
      <c r="B9" s="32" t="s">
        <v>21</v>
      </c>
      <c r="C9" s="26">
        <v>2228.9470000000001</v>
      </c>
      <c r="D9" s="26">
        <v>2011.37</v>
      </c>
      <c r="E9" s="26">
        <v>1817.7159999999999</v>
      </c>
      <c r="F9" s="26">
        <v>2257.0619999999999</v>
      </c>
      <c r="G9" s="26">
        <v>2811.9639999999999</v>
      </c>
      <c r="H9" s="26">
        <v>2599.3359999999998</v>
      </c>
      <c r="I9" s="27">
        <v>2863.72</v>
      </c>
      <c r="J9" s="21"/>
      <c r="M9" s="1" t="s">
        <v>22</v>
      </c>
      <c r="N9" s="3">
        <f>'[1]LT Portfolio'!R294</f>
        <v>0</v>
      </c>
      <c r="O9" s="4">
        <f>N9/N5-1</f>
        <v>-1</v>
      </c>
      <c r="W9" s="12" t="s">
        <v>41</v>
      </c>
      <c r="Y9" s="18" t="e">
        <f t="shared" ref="Y9:AM9" si="8">+Y7/X7-1</f>
        <v>#DIV/0!</v>
      </c>
      <c r="Z9" s="18" t="e">
        <f t="shared" si="8"/>
        <v>#DIV/0!</v>
      </c>
      <c r="AA9" s="18" t="e">
        <f t="shared" si="8"/>
        <v>#DIV/0!</v>
      </c>
      <c r="AB9" s="18" t="e">
        <f t="shared" si="8"/>
        <v>#DIV/0!</v>
      </c>
      <c r="AC9" s="18" t="e">
        <f t="shared" si="8"/>
        <v>#DIV/0!</v>
      </c>
      <c r="AD9" s="18">
        <f t="shared" si="8"/>
        <v>-0.16000643241939372</v>
      </c>
      <c r="AE9" s="18">
        <f t="shared" si="8"/>
        <v>0.16918732650521684</v>
      </c>
      <c r="AF9" s="18">
        <f t="shared" si="8"/>
        <v>6.5400412078540526E-2</v>
      </c>
      <c r="AG9" s="18">
        <f t="shared" si="8"/>
        <v>-0.23286372950819667</v>
      </c>
      <c r="AH9" s="18">
        <f t="shared" si="8"/>
        <v>-5.4325687001235412E-2</v>
      </c>
      <c r="AI9" s="173">
        <f t="shared" si="8"/>
        <v>-4.7118847539015629E-2</v>
      </c>
      <c r="AJ9" s="18">
        <f t="shared" si="8"/>
        <v>-6.6697545159796201E-3</v>
      </c>
      <c r="AK9" s="18">
        <f t="shared" si="8"/>
        <v>-0.18463116665112378</v>
      </c>
      <c r="AL9" s="18">
        <f t="shared" si="8"/>
        <v>0.56672614145850497</v>
      </c>
      <c r="AM9" s="173">
        <f t="shared" si="8"/>
        <v>-4.8137711524141813E-2</v>
      </c>
    </row>
    <row r="10" spans="2:40" ht="18" thickTop="1" thickBot="1" x14ac:dyDescent="0.4">
      <c r="B10" s="32" t="s">
        <v>23</v>
      </c>
      <c r="C10" s="29">
        <v>2170.6669999999999</v>
      </c>
      <c r="D10" s="26">
        <v>1959.175</v>
      </c>
      <c r="E10" s="26">
        <v>1596.114</v>
      </c>
      <c r="F10" s="26">
        <v>1858.7170000000001</v>
      </c>
      <c r="G10" s="26">
        <v>2383.7840000000001</v>
      </c>
      <c r="H10" s="26">
        <v>2139.5970000000002</v>
      </c>
      <c r="I10" s="27">
        <v>2531.25</v>
      </c>
      <c r="J10" s="22">
        <f>((I10/D10)^(1/5)-1)*100</f>
        <v>5.2573330805531393</v>
      </c>
      <c r="M10" s="1" t="s">
        <v>24</v>
      </c>
      <c r="N10" s="3">
        <f>'[1]LT Portfolio'!S294</f>
        <v>0</v>
      </c>
      <c r="O10" s="4">
        <f>N10/N6-1</f>
        <v>-1</v>
      </c>
    </row>
    <row r="11" spans="2:40" ht="18" thickTop="1" thickBot="1" x14ac:dyDescent="0.4">
      <c r="B11" s="28" t="s">
        <v>25</v>
      </c>
      <c r="C11" s="30">
        <f t="shared" ref="C11:G11" si="9">C10/C$3*100</f>
        <v>12.180949473066461</v>
      </c>
      <c r="D11" s="30">
        <f t="shared" si="9"/>
        <v>8.849971864662546</v>
      </c>
      <c r="E11" s="30">
        <f t="shared" si="9"/>
        <v>6.4757674291189433</v>
      </c>
      <c r="F11" s="30">
        <f t="shared" si="9"/>
        <v>5.8548552235150151</v>
      </c>
      <c r="G11" s="30">
        <f t="shared" si="9"/>
        <v>7.1634631955901531</v>
      </c>
      <c r="H11" s="30">
        <f>H10/H$3*100</f>
        <v>6.7324659465787713</v>
      </c>
      <c r="I11" s="31">
        <f>I10/I$3*100</f>
        <v>5.1045652933038346</v>
      </c>
      <c r="J11" s="23">
        <f>AVERAGE(D11:I11)</f>
        <v>6.6968481587948778</v>
      </c>
      <c r="M11" s="1" t="s">
        <v>26</v>
      </c>
      <c r="N11" s="3">
        <f>'[1]LT Portfolio'!T294</f>
        <v>0</v>
      </c>
      <c r="O11" s="4" t="e">
        <f>N11/N7-1</f>
        <v>#DIV/0!</v>
      </c>
      <c r="W11" s="12" t="s">
        <v>42</v>
      </c>
      <c r="X11" s="13"/>
      <c r="Y11" s="13"/>
      <c r="Z11" s="13"/>
      <c r="AA11" s="13"/>
      <c r="AB11" s="13"/>
      <c r="AC11" s="13">
        <v>2064546</v>
      </c>
      <c r="AD11" s="13">
        <v>2908198</v>
      </c>
      <c r="AE11" s="13">
        <v>3517022</v>
      </c>
      <c r="AF11" s="13">
        <v>4731057</v>
      </c>
      <c r="AG11" s="13">
        <v>2174758</v>
      </c>
      <c r="AH11" s="13">
        <v>2767564</v>
      </c>
      <c r="AI11" s="172">
        <v>1044605</v>
      </c>
      <c r="AJ11" s="13">
        <v>1403896</v>
      </c>
      <c r="AK11" s="13">
        <v>1193754</v>
      </c>
      <c r="AL11" s="13">
        <v>1551694</v>
      </c>
      <c r="AM11" s="172">
        <v>2365077</v>
      </c>
    </row>
    <row r="12" spans="2:40" ht="18" thickTop="1" thickBot="1" x14ac:dyDescent="0.4">
      <c r="B12" s="28" t="s">
        <v>27</v>
      </c>
      <c r="C12" s="29"/>
      <c r="D12" s="30">
        <f t="shared" ref="D12:I12" si="10">(D10/C10-1)*100</f>
        <v>-9.7431803219931936</v>
      </c>
      <c r="E12" s="30">
        <f t="shared" si="10"/>
        <v>-18.531320581367151</v>
      </c>
      <c r="F12" s="30">
        <f t="shared" si="10"/>
        <v>16.452646866075995</v>
      </c>
      <c r="G12" s="30">
        <f t="shared" si="10"/>
        <v>28.248894264161795</v>
      </c>
      <c r="H12" s="30">
        <f t="shared" si="10"/>
        <v>-10.243671406469712</v>
      </c>
      <c r="I12" s="31">
        <f t="shared" si="10"/>
        <v>18.304989210584964</v>
      </c>
      <c r="J12" s="23">
        <f>AVERAGE(D12:I12)</f>
        <v>4.0813930051654497</v>
      </c>
      <c r="S12" t="s">
        <v>20</v>
      </c>
      <c r="T12" t="s">
        <v>22</v>
      </c>
      <c r="W12" s="12" t="s">
        <v>43</v>
      </c>
      <c r="X12" s="19" t="e">
        <f t="shared" ref="X12:AI12" si="11">+X11/X3</f>
        <v>#DIV/0!</v>
      </c>
      <c r="Y12" s="19" t="e">
        <f t="shared" si="11"/>
        <v>#DIV/0!</v>
      </c>
      <c r="Z12" s="19" t="e">
        <f t="shared" si="11"/>
        <v>#DIV/0!</v>
      </c>
      <c r="AA12" s="19" t="e">
        <f t="shared" si="11"/>
        <v>#DIV/0!</v>
      </c>
      <c r="AB12" s="19" t="e">
        <f t="shared" si="11"/>
        <v>#DIV/0!</v>
      </c>
      <c r="AC12" s="19">
        <f t="shared" si="11"/>
        <v>0.13743985184919885</v>
      </c>
      <c r="AD12" s="19">
        <f t="shared" si="11"/>
        <v>0.19927965446657536</v>
      </c>
      <c r="AE12" s="19">
        <f t="shared" si="11"/>
        <v>0.14373676972001381</v>
      </c>
      <c r="AF12" s="19">
        <f t="shared" si="11"/>
        <v>0.16802743214557969</v>
      </c>
      <c r="AG12" s="19">
        <f t="shared" si="11"/>
        <v>9.9985692409234606E-2</v>
      </c>
      <c r="AH12" s="19">
        <f t="shared" si="11"/>
        <v>0.1348598547357836</v>
      </c>
      <c r="AI12" s="174">
        <f t="shared" si="11"/>
        <v>6.1474875604601568E-2</v>
      </c>
      <c r="AJ12" s="19">
        <f t="shared" ref="AJ12:AL12" si="12">+AJ11/AJ3</f>
        <v>8.1755378405780135E-2</v>
      </c>
      <c r="AK12" s="19">
        <f t="shared" si="12"/>
        <v>8.3518238888018625E-2</v>
      </c>
      <c r="AL12" s="19">
        <f t="shared" si="12"/>
        <v>7.1432129271247674E-2</v>
      </c>
      <c r="AM12" s="174">
        <f t="shared" ref="AM12" si="13">+AM11/AM3</f>
        <v>0.12093547936624099</v>
      </c>
    </row>
    <row r="13" spans="2:40" s="6" customFormat="1" ht="18" thickTop="1" thickBot="1" x14ac:dyDescent="0.3">
      <c r="B13" s="187"/>
      <c r="C13" s="188"/>
      <c r="D13" s="188"/>
      <c r="E13" s="188"/>
      <c r="F13" s="188"/>
      <c r="G13" s="188"/>
      <c r="H13" s="188"/>
      <c r="I13" s="41"/>
      <c r="J13" s="5"/>
      <c r="M13" s="1" t="s">
        <v>28</v>
      </c>
      <c r="N13" s="3">
        <f>SUM(N8:N11)</f>
        <v>0</v>
      </c>
      <c r="O13"/>
      <c r="P13"/>
      <c r="Q13" s="7">
        <f>N13*J21</f>
        <v>0</v>
      </c>
      <c r="R13"/>
      <c r="S13" s="7">
        <v>19.109573515092499</v>
      </c>
      <c r="T13" s="7">
        <v>18.873652854412345</v>
      </c>
      <c r="W13" s="12"/>
      <c r="X13" s="12"/>
      <c r="Y13" s="12"/>
      <c r="Z13" s="12"/>
      <c r="AA13" s="12"/>
      <c r="AB13" s="12"/>
      <c r="AC13" s="12"/>
      <c r="AD13" s="12"/>
      <c r="AE13" s="12"/>
      <c r="AF13" s="12"/>
      <c r="AG13" s="12"/>
      <c r="AH13" s="12"/>
      <c r="AI13" s="170"/>
      <c r="AJ13" s="12"/>
      <c r="AK13" s="12"/>
      <c r="AL13" s="12"/>
      <c r="AM13" s="170"/>
      <c r="AN13" s="12"/>
    </row>
    <row r="14" spans="2:40" ht="18" thickTop="1" thickBot="1" x14ac:dyDescent="0.4">
      <c r="B14" s="32" t="s">
        <v>29</v>
      </c>
      <c r="C14" s="33">
        <v>3.24</v>
      </c>
      <c r="D14" s="34">
        <v>2.81</v>
      </c>
      <c r="E14" s="34">
        <v>2.2799999999999998</v>
      </c>
      <c r="F14" s="34">
        <v>2.65</v>
      </c>
      <c r="G14" s="34">
        <v>3.4</v>
      </c>
      <c r="H14" s="34">
        <v>3.04</v>
      </c>
      <c r="I14" s="35">
        <v>3.54</v>
      </c>
      <c r="J14" s="23">
        <f>AVERAGE(D14:I14)</f>
        <v>2.9533333333333331</v>
      </c>
      <c r="M14" s="1" t="s">
        <v>11</v>
      </c>
      <c r="N14" s="2" t="e">
        <f>N2/N13</f>
        <v>#VALUE!</v>
      </c>
      <c r="Q14" s="8" t="e">
        <f>Q13/N2-1</f>
        <v>#VALUE!</v>
      </c>
      <c r="S14" s="8" t="e">
        <f>S13/N2-1</f>
        <v>#VALUE!</v>
      </c>
      <c r="T14" s="8" t="e">
        <f>T13/N2-1</f>
        <v>#VALUE!</v>
      </c>
      <c r="W14" s="12" t="s">
        <v>17</v>
      </c>
      <c r="X14" s="13"/>
      <c r="Y14" s="13"/>
      <c r="Z14" s="13"/>
      <c r="AA14" s="13"/>
      <c r="AB14" s="13"/>
      <c r="AC14" s="13">
        <v>777427</v>
      </c>
      <c r="AD14" s="13">
        <v>503210</v>
      </c>
      <c r="AE14" s="13">
        <v>1087664</v>
      </c>
      <c r="AF14" s="13">
        <v>1261857</v>
      </c>
      <c r="AG14" s="13">
        <v>-428646</v>
      </c>
      <c r="AH14" s="13">
        <v>910808</v>
      </c>
      <c r="AI14" s="172">
        <v>-1221780</v>
      </c>
      <c r="AJ14" s="13">
        <v>-2127835</v>
      </c>
      <c r="AK14" s="13">
        <v>-939546</v>
      </c>
      <c r="AL14" s="13">
        <v>4483860</v>
      </c>
      <c r="AM14" s="172">
        <v>-1571787</v>
      </c>
    </row>
    <row r="15" spans="2:40" ht="18" thickTop="1" thickBot="1" x14ac:dyDescent="0.4">
      <c r="B15" s="32" t="s">
        <v>30</v>
      </c>
      <c r="C15" s="34">
        <f>1+0.6</f>
        <v>1.6</v>
      </c>
      <c r="D15" s="34">
        <f>1+1.25</f>
        <v>2.25</v>
      </c>
      <c r="E15" s="34">
        <f>0.9+0.7</f>
        <v>1.6</v>
      </c>
      <c r="F15" s="34">
        <f>1.1+0.85</f>
        <v>1.9500000000000002</v>
      </c>
      <c r="G15" s="34">
        <v>1.3</v>
      </c>
      <c r="H15" s="34">
        <f>1.65+1.15</f>
        <v>2.8</v>
      </c>
      <c r="I15" s="35">
        <f>1.5+0.85</f>
        <v>2.35</v>
      </c>
      <c r="J15" s="24"/>
      <c r="R15" s="6"/>
      <c r="S15" s="6"/>
      <c r="W15" s="12" t="s">
        <v>55</v>
      </c>
      <c r="X15" s="19" t="e">
        <f t="shared" ref="X15:AI15" si="14">+X14/X3</f>
        <v>#DIV/0!</v>
      </c>
      <c r="Y15" s="19" t="e">
        <f t="shared" si="14"/>
        <v>#DIV/0!</v>
      </c>
      <c r="Z15" s="19" t="e">
        <f t="shared" si="14"/>
        <v>#DIV/0!</v>
      </c>
      <c r="AA15" s="19" t="e">
        <f t="shared" si="14"/>
        <v>#DIV/0!</v>
      </c>
      <c r="AB15" s="19" t="e">
        <f t="shared" si="14"/>
        <v>#DIV/0!</v>
      </c>
      <c r="AC15" s="19">
        <f t="shared" si="14"/>
        <v>5.1754454346653996E-2</v>
      </c>
      <c r="AD15" s="19">
        <f t="shared" si="14"/>
        <v>3.4481666971824268E-2</v>
      </c>
      <c r="AE15" s="19">
        <f t="shared" si="14"/>
        <v>4.4451615571568528E-2</v>
      </c>
      <c r="AF15" s="19">
        <f t="shared" si="14"/>
        <v>4.4815902967333676E-2</v>
      </c>
      <c r="AG15" s="19">
        <f t="shared" si="14"/>
        <v>-1.9707235061762633E-2</v>
      </c>
      <c r="AH15" s="19">
        <f t="shared" si="14"/>
        <v>4.4382509156857659E-2</v>
      </c>
      <c r="AI15" s="174">
        <f t="shared" si="14"/>
        <v>-7.190160253511145E-2</v>
      </c>
      <c r="AJ15" s="19">
        <f t="shared" ref="AJ15:AL15" si="15">+AJ14/AJ3</f>
        <v>-0.12391370558080027</v>
      </c>
      <c r="AK15" s="19">
        <f t="shared" si="15"/>
        <v>-6.5733163846389081E-2</v>
      </c>
      <c r="AL15" s="19">
        <f t="shared" si="15"/>
        <v>0.20641419452171408</v>
      </c>
      <c r="AM15" s="174">
        <f t="shared" ref="AM15" si="16">+AM14/AM3</f>
        <v>-8.0371511923977887E-2</v>
      </c>
      <c r="AN15" s="46"/>
    </row>
    <row r="16" spans="2:40" ht="18" thickTop="1" thickBot="1" x14ac:dyDescent="0.4">
      <c r="B16" s="32" t="s">
        <v>8</v>
      </c>
      <c r="C16" s="34">
        <v>31.7</v>
      </c>
      <c r="D16" s="34">
        <v>37</v>
      </c>
      <c r="E16" s="34">
        <v>31.9</v>
      </c>
      <c r="F16" s="34">
        <v>30.4</v>
      </c>
      <c r="G16" s="34">
        <v>23.3</v>
      </c>
      <c r="H16" s="34">
        <v>40</v>
      </c>
      <c r="I16" s="35">
        <v>39.799999999999997</v>
      </c>
      <c r="J16" s="22">
        <f>((I16/D16)^(1/5)-1)*100</f>
        <v>1.4696750556643323</v>
      </c>
    </row>
    <row r="17" spans="2:40" ht="18" thickTop="1" thickBot="1" x14ac:dyDescent="0.4">
      <c r="B17" s="32" t="s">
        <v>31</v>
      </c>
      <c r="C17" s="34">
        <v>14.6</v>
      </c>
      <c r="D17" s="34">
        <v>16</v>
      </c>
      <c r="E17" s="34">
        <v>16.7</v>
      </c>
      <c r="F17" s="34">
        <v>19.8</v>
      </c>
      <c r="G17" s="34">
        <v>22.3</v>
      </c>
      <c r="H17" s="34">
        <v>25</v>
      </c>
      <c r="I17" s="35">
        <v>39.4</v>
      </c>
      <c r="J17" s="22">
        <f>((I17/D17)^(1/6)-1)*100</f>
        <v>16.206219645289856</v>
      </c>
      <c r="W17" s="12" t="s">
        <v>44</v>
      </c>
      <c r="X17" s="13"/>
      <c r="Y17" s="13"/>
      <c r="Z17" s="13"/>
      <c r="AA17" s="13"/>
      <c r="AB17" s="13"/>
      <c r="AC17" s="13">
        <v>-321443</v>
      </c>
      <c r="AD17" s="13">
        <v>-470249</v>
      </c>
      <c r="AE17" s="13">
        <v>-669602</v>
      </c>
      <c r="AF17" s="13">
        <f>8552-721931</f>
        <v>-713379</v>
      </c>
      <c r="AG17" s="13">
        <v>-1073352</v>
      </c>
      <c r="AH17" s="13">
        <v>-931458</v>
      </c>
      <c r="AI17" s="172">
        <v>-998679</v>
      </c>
      <c r="AJ17" s="13">
        <f>6173-907205</f>
        <v>-901032</v>
      </c>
      <c r="AK17" s="13">
        <v>-1032767</v>
      </c>
      <c r="AL17" s="13">
        <v>-1050048</v>
      </c>
      <c r="AM17" s="172">
        <v>-995550</v>
      </c>
    </row>
    <row r="18" spans="2:40" ht="18" thickTop="1" thickBot="1" x14ac:dyDescent="0.4">
      <c r="B18" s="32" t="s">
        <v>32</v>
      </c>
      <c r="C18" s="36">
        <f t="shared" ref="C18:G18" si="17">C14/AVERAGE(B17:C17)*100</f>
        <v>22.19178082191781</v>
      </c>
      <c r="D18" s="36">
        <f t="shared" si="17"/>
        <v>18.366013071895424</v>
      </c>
      <c r="E18" s="36">
        <f t="shared" si="17"/>
        <v>13.944954128440365</v>
      </c>
      <c r="F18" s="36">
        <f t="shared" si="17"/>
        <v>14.520547945205479</v>
      </c>
      <c r="G18" s="36">
        <f t="shared" si="17"/>
        <v>16.152019002375294</v>
      </c>
      <c r="H18" s="36">
        <f>H14/AVERAGE(G17:H17)*100</f>
        <v>12.854122621564482</v>
      </c>
      <c r="I18" s="37">
        <f>I14/AVERAGE(H17:I17)*100</f>
        <v>10.993788819875776</v>
      </c>
      <c r="J18" s="23">
        <f>AVERAGE(D18:I18)</f>
        <v>14.471907598226137</v>
      </c>
      <c r="M18" s="9" t="s">
        <v>33</v>
      </c>
      <c r="N18" s="6"/>
      <c r="O18" s="6"/>
      <c r="P18" s="6"/>
      <c r="Q18" s="6"/>
      <c r="W18" s="12" t="s">
        <v>45</v>
      </c>
      <c r="X18" s="15" t="e">
        <f t="shared" ref="X18:AI18" si="18">+X17/X14</f>
        <v>#DIV/0!</v>
      </c>
      <c r="Y18" s="15" t="e">
        <f t="shared" si="18"/>
        <v>#DIV/0!</v>
      </c>
      <c r="Z18" s="15" t="e">
        <f t="shared" si="18"/>
        <v>#DIV/0!</v>
      </c>
      <c r="AA18" s="15" t="e">
        <f t="shared" si="18"/>
        <v>#DIV/0!</v>
      </c>
      <c r="AB18" s="15" t="e">
        <f t="shared" si="18"/>
        <v>#DIV/0!</v>
      </c>
      <c r="AC18" s="15">
        <f t="shared" si="18"/>
        <v>-0.41347033226270763</v>
      </c>
      <c r="AD18" s="15">
        <f t="shared" si="18"/>
        <v>-0.93449851950477936</v>
      </c>
      <c r="AE18" s="15">
        <f t="shared" si="18"/>
        <v>-0.61563313670398212</v>
      </c>
      <c r="AF18" s="15">
        <f t="shared" si="18"/>
        <v>-0.56534060515573481</v>
      </c>
      <c r="AG18" s="15">
        <f t="shared" si="18"/>
        <v>2.5040522949006871</v>
      </c>
      <c r="AH18" s="15">
        <f t="shared" si="18"/>
        <v>-1.0226721767924745</v>
      </c>
      <c r="AI18" s="175">
        <f t="shared" si="18"/>
        <v>0.81739674900554926</v>
      </c>
      <c r="AJ18" s="15">
        <f t="shared" ref="AJ18:AL18" si="19">+AJ17/AJ14</f>
        <v>0.42345012653706704</v>
      </c>
      <c r="AK18" s="15">
        <f t="shared" si="19"/>
        <v>1.0992191973570213</v>
      </c>
      <c r="AL18" s="15">
        <f t="shared" si="19"/>
        <v>-0.23418393973050006</v>
      </c>
      <c r="AM18" s="175">
        <f t="shared" ref="AM18" si="20">+AM17/AM14</f>
        <v>0.63338734828574106</v>
      </c>
    </row>
    <row r="19" spans="2:40" ht="18" thickTop="1" thickBot="1" x14ac:dyDescent="0.4">
      <c r="B19" s="32" t="s">
        <v>34</v>
      </c>
      <c r="C19" s="30">
        <f t="shared" ref="C19:G19" si="21">C15/C16*100</f>
        <v>5.0473186119873823</v>
      </c>
      <c r="D19" s="30">
        <f t="shared" si="21"/>
        <v>6.0810810810810816</v>
      </c>
      <c r="E19" s="30">
        <f t="shared" si="21"/>
        <v>5.015673981191223</v>
      </c>
      <c r="F19" s="30">
        <f t="shared" si="21"/>
        <v>6.4144736842105265</v>
      </c>
      <c r="G19" s="30">
        <f t="shared" si="21"/>
        <v>5.5793991416309012</v>
      </c>
      <c r="H19" s="30">
        <f>H15/H16*100</f>
        <v>6.9999999999999991</v>
      </c>
      <c r="I19" s="31">
        <f>I15/I16*100</f>
        <v>5.9045226130653274</v>
      </c>
      <c r="J19" s="23">
        <f>AVERAGE(D19:I19)</f>
        <v>5.99919175019651</v>
      </c>
    </row>
    <row r="20" spans="2:40" ht="18" thickTop="1" thickBot="1" x14ac:dyDescent="0.4">
      <c r="B20" s="32" t="s">
        <v>35</v>
      </c>
      <c r="C20" s="30">
        <f t="shared" ref="C20:G20" si="22">C15/C14*100</f>
        <v>49.382716049382715</v>
      </c>
      <c r="D20" s="30">
        <f t="shared" si="22"/>
        <v>80.071174377224196</v>
      </c>
      <c r="E20" s="30">
        <f t="shared" si="22"/>
        <v>70.175438596491233</v>
      </c>
      <c r="F20" s="30">
        <f t="shared" si="22"/>
        <v>73.584905660377359</v>
      </c>
      <c r="G20" s="30">
        <f t="shared" si="22"/>
        <v>38.235294117647065</v>
      </c>
      <c r="H20" s="30">
        <f>H15/H14*100</f>
        <v>92.10526315789474</v>
      </c>
      <c r="I20" s="31">
        <f>I15/I14*100</f>
        <v>66.384180790960457</v>
      </c>
      <c r="J20" s="23">
        <f>AVERAGE(D20:I20)</f>
        <v>70.092709450099179</v>
      </c>
      <c r="M20" t="s">
        <v>36</v>
      </c>
      <c r="N20" s="4">
        <f>N13/H14-1</f>
        <v>-1</v>
      </c>
      <c r="W20" s="12" t="s">
        <v>21</v>
      </c>
      <c r="X20" s="13"/>
      <c r="Y20" s="13"/>
      <c r="Z20" s="13"/>
      <c r="AA20" s="13"/>
      <c r="AB20" s="13"/>
      <c r="AC20" s="13">
        <v>463449</v>
      </c>
      <c r="AD20" s="13">
        <v>-35777</v>
      </c>
      <c r="AE20" s="13">
        <v>410008</v>
      </c>
      <c r="AF20" s="13">
        <v>550550</v>
      </c>
      <c r="AG20" s="13">
        <v>-1560227</v>
      </c>
      <c r="AH20" s="13">
        <v>-43112</v>
      </c>
      <c r="AI20" s="172">
        <v>-2265075</v>
      </c>
      <c r="AJ20" s="13">
        <v>-3028128</v>
      </c>
      <c r="AK20" s="13">
        <v>-1982046</v>
      </c>
      <c r="AL20" s="13">
        <v>3412106</v>
      </c>
      <c r="AM20" s="172">
        <v>-2611549</v>
      </c>
      <c r="AN20" s="13"/>
    </row>
    <row r="21" spans="2:40" ht="18" thickTop="1" thickBot="1" x14ac:dyDescent="0.4">
      <c r="B21" s="32" t="s">
        <v>11</v>
      </c>
      <c r="C21" s="38">
        <f t="shared" ref="C21:G21" si="23">C16/C14</f>
        <v>9.7839506172839492</v>
      </c>
      <c r="D21" s="38">
        <f t="shared" si="23"/>
        <v>13.167259786476867</v>
      </c>
      <c r="E21" s="38">
        <f t="shared" si="23"/>
        <v>13.991228070175438</v>
      </c>
      <c r="F21" s="38">
        <f t="shared" si="23"/>
        <v>11.471698113207546</v>
      </c>
      <c r="G21" s="38">
        <f t="shared" si="23"/>
        <v>6.8529411764705888</v>
      </c>
      <c r="H21" s="38">
        <f>H16/H14</f>
        <v>13.157894736842104</v>
      </c>
      <c r="I21" s="39">
        <f>I16/I14</f>
        <v>11.242937853107344</v>
      </c>
      <c r="J21" s="23">
        <f>AVERAGE(D21:I21)</f>
        <v>11.647326622713315</v>
      </c>
      <c r="W21" s="12" t="s">
        <v>46</v>
      </c>
      <c r="X21" s="19" t="e">
        <f t="shared" ref="X21:AI21" si="24">+X20/X3</f>
        <v>#DIV/0!</v>
      </c>
      <c r="Y21" s="19" t="e">
        <f t="shared" si="24"/>
        <v>#DIV/0!</v>
      </c>
      <c r="Z21" s="19" t="e">
        <f t="shared" si="24"/>
        <v>#DIV/0!</v>
      </c>
      <c r="AA21" s="19" t="e">
        <f t="shared" si="24"/>
        <v>#DIV/0!</v>
      </c>
      <c r="AB21" s="19" t="e">
        <f t="shared" si="24"/>
        <v>#DIV/0!</v>
      </c>
      <c r="AC21" s="19">
        <f t="shared" si="24"/>
        <v>3.0852478898343444E-2</v>
      </c>
      <c r="AD21" s="19">
        <f t="shared" si="24"/>
        <v>-2.4515621693745292E-3</v>
      </c>
      <c r="AE21" s="19">
        <f t="shared" si="24"/>
        <v>1.6756570041177855E-2</v>
      </c>
      <c r="AF21" s="19">
        <f t="shared" si="24"/>
        <v>1.9553242069953691E-2</v>
      </c>
      <c r="AG21" s="19">
        <f t="shared" si="24"/>
        <v>-7.1732292471430328E-2</v>
      </c>
      <c r="AH21" s="19">
        <f t="shared" si="24"/>
        <v>-2.1007926311258215E-3</v>
      </c>
      <c r="AI21" s="174">
        <f t="shared" si="24"/>
        <v>-0.13329938480104239</v>
      </c>
      <c r="AJ21" s="19">
        <f t="shared" ref="AJ21:AL21" si="25">+AJ20/AJ3</f>
        <v>-0.1763419444895763</v>
      </c>
      <c r="AK21" s="19">
        <f t="shared" si="25"/>
        <v>-0.13866926629359297</v>
      </c>
      <c r="AL21" s="19">
        <f t="shared" si="25"/>
        <v>0.1570760709773962</v>
      </c>
      <c r="AM21" s="174">
        <f t="shared" ref="AM21" si="26">+AM20/AM3</f>
        <v>-0.13353854026884845</v>
      </c>
    </row>
    <row r="22" spans="2:40" ht="18" thickTop="1" thickBot="1" x14ac:dyDescent="0.4">
      <c r="B22" s="32" t="s">
        <v>37</v>
      </c>
      <c r="C22" s="38">
        <f t="shared" ref="C22:G22" si="27">C16/C17</f>
        <v>2.1712328767123288</v>
      </c>
      <c r="D22" s="38">
        <f t="shared" si="27"/>
        <v>2.3125</v>
      </c>
      <c r="E22" s="38">
        <f t="shared" si="27"/>
        <v>1.9101796407185629</v>
      </c>
      <c r="F22" s="38">
        <f t="shared" si="27"/>
        <v>1.5353535353535352</v>
      </c>
      <c r="G22" s="38">
        <f t="shared" si="27"/>
        <v>1.0448430493273542</v>
      </c>
      <c r="H22" s="38">
        <f>H16/H17</f>
        <v>1.6</v>
      </c>
      <c r="I22" s="39">
        <f>I16/I17</f>
        <v>1.0101522842639594</v>
      </c>
      <c r="J22" s="23">
        <f>AVERAGE(D22:I22)</f>
        <v>1.5688380849439021</v>
      </c>
    </row>
    <row r="23" spans="2:40" ht="15.75" thickTop="1" x14ac:dyDescent="0.25">
      <c r="W23" s="12" t="s">
        <v>47</v>
      </c>
      <c r="X23" s="13"/>
      <c r="Y23" s="13"/>
      <c r="Z23" s="13"/>
      <c r="AA23" s="13"/>
      <c r="AB23" s="13"/>
      <c r="AC23" s="13">
        <v>-11335</v>
      </c>
      <c r="AD23" s="13">
        <v>-224902</v>
      </c>
      <c r="AE23" s="13">
        <v>-56419</v>
      </c>
      <c r="AF23" s="13">
        <v>-54029</v>
      </c>
      <c r="AG23" s="13">
        <v>-128035</v>
      </c>
      <c r="AH23" s="13">
        <v>-213753</v>
      </c>
      <c r="AI23" s="172">
        <v>312855</v>
      </c>
      <c r="AJ23" s="13">
        <v>431254</v>
      </c>
      <c r="AK23" s="13">
        <v>141917</v>
      </c>
      <c r="AL23" s="13">
        <v>1137300</v>
      </c>
      <c r="AM23" s="172">
        <v>155379</v>
      </c>
    </row>
    <row r="24" spans="2:40" x14ac:dyDescent="0.25">
      <c r="G24" s="10">
        <v>701.95658000000003</v>
      </c>
      <c r="H24" s="10">
        <v>709.32254499999999</v>
      </c>
      <c r="I24" s="10">
        <v>716.73997499999996</v>
      </c>
      <c r="W24" s="12" t="s">
        <v>48</v>
      </c>
      <c r="X24" s="14" t="e">
        <f t="shared" ref="X24:AI24" si="28">+X23/X20</f>
        <v>#DIV/0!</v>
      </c>
      <c r="Y24" s="14" t="e">
        <f t="shared" si="28"/>
        <v>#DIV/0!</v>
      </c>
      <c r="Z24" s="14" t="e">
        <f t="shared" si="28"/>
        <v>#DIV/0!</v>
      </c>
      <c r="AA24" s="14" t="e">
        <f t="shared" si="28"/>
        <v>#DIV/0!</v>
      </c>
      <c r="AB24" s="14" t="e">
        <f t="shared" si="28"/>
        <v>#DIV/0!</v>
      </c>
      <c r="AC24" s="14">
        <f t="shared" si="28"/>
        <v>-2.4457923094018976E-2</v>
      </c>
      <c r="AD24" s="14">
        <f t="shared" si="28"/>
        <v>6.2862174022416637</v>
      </c>
      <c r="AE24" s="14">
        <f t="shared" si="28"/>
        <v>-0.13760463210473942</v>
      </c>
      <c r="AF24" s="14">
        <f t="shared" si="28"/>
        <v>-9.8136409045499959E-2</v>
      </c>
      <c r="AG24" s="14">
        <f t="shared" si="28"/>
        <v>8.2061776908103762E-2</v>
      </c>
      <c r="AH24" s="14">
        <f t="shared" si="28"/>
        <v>4.9580859157543147</v>
      </c>
      <c r="AI24" s="176">
        <f t="shared" si="28"/>
        <v>-0.13812125426310387</v>
      </c>
      <c r="AJ24" s="14">
        <f t="shared" ref="AJ24:AL24" si="29">+AJ23/AJ20</f>
        <v>-0.14241604053725601</v>
      </c>
      <c r="AK24" s="14">
        <f t="shared" si="29"/>
        <v>-7.1601264551882246E-2</v>
      </c>
      <c r="AL24" s="14">
        <f t="shared" si="29"/>
        <v>0.33331320890968802</v>
      </c>
      <c r="AM24" s="176">
        <f t="shared" ref="AM24" si="30">+AM23/AM20</f>
        <v>-5.9496873311586339E-2</v>
      </c>
    </row>
    <row r="25" spans="2:40" x14ac:dyDescent="0.25">
      <c r="G25">
        <f>+G10/G24</f>
        <v>3.3959137472577008</v>
      </c>
      <c r="H25">
        <f>+H10/H24</f>
        <v>3.0163950308388974</v>
      </c>
      <c r="I25">
        <f>+I10/I24</f>
        <v>3.5316154927733732</v>
      </c>
      <c r="M25" s="10"/>
      <c r="X25" s="14"/>
      <c r="Y25" s="14"/>
      <c r="Z25" s="14"/>
      <c r="AA25" s="14"/>
      <c r="AB25" s="14"/>
      <c r="AC25" s="14"/>
      <c r="AD25" s="14"/>
      <c r="AE25" s="14"/>
      <c r="AF25" s="14"/>
      <c r="AG25" s="14"/>
      <c r="AH25" s="14"/>
      <c r="AI25" s="176"/>
      <c r="AJ25" s="14"/>
      <c r="AK25" s="14"/>
      <c r="AL25" s="14"/>
      <c r="AM25" s="176"/>
    </row>
    <row r="26" spans="2:40" x14ac:dyDescent="0.25">
      <c r="M26" s="10"/>
      <c r="W26" s="12" t="s">
        <v>74</v>
      </c>
      <c r="AC26" s="13">
        <v>-82</v>
      </c>
      <c r="AD26" s="13">
        <v>28353</v>
      </c>
      <c r="AE26" s="13">
        <v>101992</v>
      </c>
      <c r="AF26" s="13">
        <v>3315</v>
      </c>
      <c r="AG26" s="13">
        <v>-4437</v>
      </c>
      <c r="AH26" s="13">
        <v>99993</v>
      </c>
      <c r="AI26" s="172">
        <v>4423</v>
      </c>
      <c r="AJ26" s="13">
        <v>51289</v>
      </c>
      <c r="AK26" s="13">
        <v>38787</v>
      </c>
      <c r="AL26" s="13">
        <v>-82099</v>
      </c>
      <c r="AM26" s="172">
        <v>-7250</v>
      </c>
    </row>
    <row r="28" spans="2:40" x14ac:dyDescent="0.25">
      <c r="W28" s="12" t="s">
        <v>49</v>
      </c>
      <c r="X28" s="13">
        <f t="shared" ref="X28:AH28" si="31">+X20+X23-X26</f>
        <v>0</v>
      </c>
      <c r="Y28" s="13">
        <f t="shared" si="31"/>
        <v>0</v>
      </c>
      <c r="Z28" s="13">
        <f t="shared" si="31"/>
        <v>0</v>
      </c>
      <c r="AA28" s="13">
        <f t="shared" si="31"/>
        <v>0</v>
      </c>
      <c r="AB28" s="13">
        <f t="shared" si="31"/>
        <v>0</v>
      </c>
      <c r="AC28" s="13">
        <f t="shared" si="31"/>
        <v>452196</v>
      </c>
      <c r="AD28" s="13">
        <f t="shared" si="31"/>
        <v>-289032</v>
      </c>
      <c r="AE28" s="13">
        <f t="shared" si="31"/>
        <v>251597</v>
      </c>
      <c r="AF28" s="13">
        <f t="shared" si="31"/>
        <v>493206</v>
      </c>
      <c r="AG28" s="13">
        <f t="shared" si="31"/>
        <v>-1683825</v>
      </c>
      <c r="AH28" s="13">
        <f t="shared" si="31"/>
        <v>-356858</v>
      </c>
      <c r="AI28" s="172">
        <f>+AI20+AI23-AI26</f>
        <v>-1956643</v>
      </c>
      <c r="AJ28" s="13">
        <f t="shared" ref="AJ28:AL28" si="32">+AJ20+AJ23-AJ26</f>
        <v>-2648163</v>
      </c>
      <c r="AK28" s="13">
        <f t="shared" si="32"/>
        <v>-1878916</v>
      </c>
      <c r="AL28" s="13">
        <f t="shared" si="32"/>
        <v>4631505</v>
      </c>
      <c r="AM28" s="172">
        <f>+AM20+AM23-AM26</f>
        <v>-2448920</v>
      </c>
    </row>
    <row r="29" spans="2:40" x14ac:dyDescent="0.25">
      <c r="M29" s="10"/>
      <c r="W29" s="12" t="s">
        <v>25</v>
      </c>
      <c r="X29" s="19" t="e">
        <f t="shared" ref="X29:AI29" si="33">+X28/X3</f>
        <v>#DIV/0!</v>
      </c>
      <c r="Y29" s="19" t="e">
        <f t="shared" si="33"/>
        <v>#DIV/0!</v>
      </c>
      <c r="Z29" s="19" t="e">
        <f t="shared" si="33"/>
        <v>#DIV/0!</v>
      </c>
      <c r="AA29" s="19" t="e">
        <f t="shared" si="33"/>
        <v>#DIV/0!</v>
      </c>
      <c r="AB29" s="19" t="e">
        <f t="shared" si="33"/>
        <v>#DIV/0!</v>
      </c>
      <c r="AC29" s="19">
        <f t="shared" si="33"/>
        <v>3.0103350202320668E-2</v>
      </c>
      <c r="AD29" s="19">
        <f t="shared" si="33"/>
        <v>-1.9805459287773122E-2</v>
      </c>
      <c r="AE29" s="19">
        <f t="shared" si="33"/>
        <v>1.0282489006678466E-2</v>
      </c>
      <c r="AF29" s="19">
        <f t="shared" si="33"/>
        <v>1.7516622120340712E-2</v>
      </c>
      <c r="AG29" s="19">
        <f t="shared" si="33"/>
        <v>-7.7414778343603968E-2</v>
      </c>
      <c r="AH29" s="19">
        <f t="shared" si="33"/>
        <v>-1.738923401276439E-2</v>
      </c>
      <c r="AI29" s="174">
        <f t="shared" si="33"/>
        <v>-0.11514819958512014</v>
      </c>
      <c r="AJ29" s="19">
        <f t="shared" ref="AJ29:AL29" si="34">+AJ28/AJ3</f>
        <v>-0.15421481943476292</v>
      </c>
      <c r="AK29" s="19">
        <f t="shared" si="34"/>
        <v>-0.13145401425965519</v>
      </c>
      <c r="AL29" s="19">
        <f t="shared" si="34"/>
        <v>0.2132110221992416</v>
      </c>
      <c r="AM29" s="174">
        <f t="shared" ref="AM29" si="35">+AM28/AM3</f>
        <v>-0.12522269428419239</v>
      </c>
    </row>
    <row r="30" spans="2:40" x14ac:dyDescent="0.25">
      <c r="M30" s="10"/>
    </row>
    <row r="31" spans="2:40" x14ac:dyDescent="0.25">
      <c r="W31" s="12" t="s">
        <v>29</v>
      </c>
      <c r="X31" s="16">
        <f t="shared" ref="X31:AI31" si="36">+X28/X46</f>
        <v>0</v>
      </c>
      <c r="Y31" s="16">
        <f t="shared" si="36"/>
        <v>0</v>
      </c>
      <c r="Z31" s="16">
        <f t="shared" si="36"/>
        <v>0</v>
      </c>
      <c r="AA31" s="16">
        <f t="shared" si="36"/>
        <v>0</v>
      </c>
      <c r="AB31" s="16">
        <f t="shared" si="36"/>
        <v>0</v>
      </c>
      <c r="AC31" s="16">
        <f t="shared" si="36"/>
        <v>0.3451993983983887</v>
      </c>
      <c r="AD31" s="16">
        <f t="shared" si="36"/>
        <v>-0.22064253668294964</v>
      </c>
      <c r="AE31" s="16">
        <f t="shared" si="36"/>
        <v>0.19206523949535026</v>
      </c>
      <c r="AF31" s="16">
        <f t="shared" si="36"/>
        <v>0.37650579502356435</v>
      </c>
      <c r="AG31" s="16">
        <f t="shared" si="36"/>
        <v>-1.2854058350984239</v>
      </c>
      <c r="AH31" s="16">
        <f t="shared" si="36"/>
        <v>-0.27241985093555054</v>
      </c>
      <c r="AI31" s="177">
        <f t="shared" si="36"/>
        <v>-1.4936708561783354</v>
      </c>
      <c r="AJ31" s="16">
        <f t="shared" ref="AJ31:AL31" si="37">+AJ28/AJ46</f>
        <v>-2.0215664766182635</v>
      </c>
      <c r="AK31" s="16">
        <f t="shared" si="37"/>
        <v>-1.4343352724064498</v>
      </c>
      <c r="AL31" s="16">
        <f t="shared" si="37"/>
        <v>3.5156898658882092</v>
      </c>
      <c r="AM31" s="177">
        <f>+AM28/AM46</f>
        <v>-1.8589299215634989</v>
      </c>
    </row>
    <row r="32" spans="2:40" x14ac:dyDescent="0.25">
      <c r="W32" s="12" t="s">
        <v>40</v>
      </c>
      <c r="AA32" s="17"/>
      <c r="AB32" s="18" t="e">
        <f t="shared" ref="AB32:AG32" si="38">+AB31/X31-1</f>
        <v>#DIV/0!</v>
      </c>
      <c r="AC32" s="18" t="e">
        <f t="shared" si="38"/>
        <v>#DIV/0!</v>
      </c>
      <c r="AD32" s="18" t="e">
        <f t="shared" si="38"/>
        <v>#DIV/0!</v>
      </c>
      <c r="AE32" s="18" t="e">
        <f t="shared" si="38"/>
        <v>#DIV/0!</v>
      </c>
      <c r="AF32" s="18" t="e">
        <f t="shared" si="38"/>
        <v>#DIV/0!</v>
      </c>
      <c r="AG32" s="18">
        <f t="shared" si="38"/>
        <v>-4.723661863439748</v>
      </c>
      <c r="AH32" s="18">
        <f>+AH31/AD31-1</f>
        <v>0.23466605773755167</v>
      </c>
      <c r="AI32" s="173">
        <f>+AI31/AE31-1</f>
        <v>-8.7768932061988032</v>
      </c>
      <c r="AJ32" s="18">
        <f t="shared" ref="AJ32:AK32" si="39">+AJ31/AF31-1</f>
        <v>-6.3692838286638853</v>
      </c>
      <c r="AK32" s="18">
        <f t="shared" si="39"/>
        <v>0.11586180274078361</v>
      </c>
      <c r="AL32" s="18">
        <f>+AL31/AH31-1</f>
        <v>-13.905409990551517</v>
      </c>
      <c r="AM32" s="173">
        <f>+AM31/AI31-1</f>
        <v>0.24453785375427706</v>
      </c>
    </row>
    <row r="33" spans="23:41" x14ac:dyDescent="0.25">
      <c r="W33" s="12" t="s">
        <v>41</v>
      </c>
      <c r="Y33" s="18" t="e">
        <f t="shared" ref="Y33:AD33" si="40">+Y31/X31-1</f>
        <v>#DIV/0!</v>
      </c>
      <c r="Z33" s="18" t="e">
        <f t="shared" si="40"/>
        <v>#DIV/0!</v>
      </c>
      <c r="AA33" s="18" t="e">
        <f t="shared" si="40"/>
        <v>#DIV/0!</v>
      </c>
      <c r="AB33" s="18" t="e">
        <f t="shared" si="40"/>
        <v>#DIV/0!</v>
      </c>
      <c r="AC33" s="18" t="e">
        <f t="shared" si="40"/>
        <v>#DIV/0!</v>
      </c>
      <c r="AD33" s="18">
        <f t="shared" si="40"/>
        <v>-1.6391741634158641</v>
      </c>
      <c r="AE33" s="18">
        <f t="shared" ref="AE33:AM33" si="41">+AE31/AD31-1</f>
        <v>-1.8704814691798832</v>
      </c>
      <c r="AF33" s="18">
        <f t="shared" si="41"/>
        <v>0.96030159342122512</v>
      </c>
      <c r="AG33" s="18">
        <f t="shared" si="41"/>
        <v>-4.4140399751827832</v>
      </c>
      <c r="AH33" s="18">
        <f t="shared" si="41"/>
        <v>-0.7880670497231006</v>
      </c>
      <c r="AI33" s="173">
        <f t="shared" si="41"/>
        <v>4.4829736197591199</v>
      </c>
      <c r="AJ33" s="18">
        <f t="shared" si="41"/>
        <v>0.35342165126699143</v>
      </c>
      <c r="AK33" s="18">
        <f t="shared" si="41"/>
        <v>-0.29048325197504832</v>
      </c>
      <c r="AL33" s="18">
        <f t="shared" si="41"/>
        <v>-3.4510935020023426</v>
      </c>
      <c r="AM33" s="173">
        <f t="shared" si="41"/>
        <v>-1.5287525329239631</v>
      </c>
    </row>
    <row r="34" spans="23:41" x14ac:dyDescent="0.25">
      <c r="Y34" s="18"/>
      <c r="Z34" s="18"/>
      <c r="AA34" s="18"/>
      <c r="AB34" s="18"/>
      <c r="AC34" s="18"/>
      <c r="AD34" s="18"/>
      <c r="AE34" s="18"/>
      <c r="AF34" s="18"/>
      <c r="AG34" s="18"/>
      <c r="AJ34" s="18"/>
      <c r="AK34" s="18"/>
    </row>
    <row r="35" spans="23:41" x14ac:dyDescent="0.25">
      <c r="W35" s="12" t="s">
        <v>88</v>
      </c>
      <c r="X35" s="18" t="e">
        <f t="shared" ref="X35:AI35" si="42">+X28*4/X40</f>
        <v>#DIV/0!</v>
      </c>
      <c r="Y35" s="18" t="e">
        <f t="shared" si="42"/>
        <v>#DIV/0!</v>
      </c>
      <c r="Z35" s="18" t="e">
        <f t="shared" si="42"/>
        <v>#DIV/0!</v>
      </c>
      <c r="AA35" s="18" t="e">
        <f t="shared" si="42"/>
        <v>#DIV/0!</v>
      </c>
      <c r="AB35" s="18" t="e">
        <f t="shared" si="42"/>
        <v>#DIV/0!</v>
      </c>
      <c r="AC35" s="18">
        <f t="shared" si="42"/>
        <v>0.37602522767418811</v>
      </c>
      <c r="AD35" s="18">
        <f t="shared" si="42"/>
        <v>-8.9070639989522263E-2</v>
      </c>
      <c r="AE35" s="18">
        <f t="shared" si="42"/>
        <v>6.2861827568275755E-2</v>
      </c>
      <c r="AF35" s="18">
        <f t="shared" si="42"/>
        <v>0.11814003567871906</v>
      </c>
      <c r="AG35" s="18">
        <f t="shared" si="42"/>
        <v>-0.45755968034612932</v>
      </c>
      <c r="AH35" s="18">
        <f t="shared" si="42"/>
        <v>-0.10185299219458523</v>
      </c>
      <c r="AI35" s="173">
        <f t="shared" si="42"/>
        <v>-0.77600182038744703</v>
      </c>
      <c r="AJ35" s="18">
        <f t="shared" ref="AJ35:AL35" si="43">+AJ28*4/AJ40</f>
        <v>-1.6727702493888179</v>
      </c>
      <c r="AK35" s="18">
        <f t="shared" si="43"/>
        <v>-1.688439357133245</v>
      </c>
      <c r="AL35" s="18">
        <f t="shared" si="43"/>
        <v>2.20269687994019</v>
      </c>
      <c r="AM35" s="173">
        <f t="shared" ref="AM35" si="44">+AM28*4/AM40</f>
        <v>-1.2497113552156487</v>
      </c>
      <c r="AN35" s="14">
        <f>+AVERAGE(AC35:AL35)</f>
        <v>-0.2025970768578374</v>
      </c>
      <c r="AO35" s="50" t="s">
        <v>88</v>
      </c>
    </row>
    <row r="36" spans="23:41" x14ac:dyDescent="0.25">
      <c r="AN36" s="56">
        <f>AVERAGE(AC35:AL35)*AL48</f>
        <v>-1.2934480390002892</v>
      </c>
      <c r="AO36" s="50" t="s">
        <v>183</v>
      </c>
    </row>
    <row r="37" spans="23:41" x14ac:dyDescent="0.25">
      <c r="W37" s="12" t="s">
        <v>52</v>
      </c>
      <c r="X37" s="13"/>
      <c r="Y37" s="13"/>
      <c r="Z37" s="13"/>
      <c r="AA37" s="13"/>
      <c r="AB37" s="13"/>
      <c r="AC37" s="13">
        <f>3455090+556799+75005+18091054</f>
        <v>22177948</v>
      </c>
      <c r="AD37" s="13">
        <f>2574365+350258+433857+25688921</f>
        <v>29047401</v>
      </c>
      <c r="AE37" s="13">
        <f>2594148+807385+123900+33533736</f>
        <v>37059169</v>
      </c>
      <c r="AF37" s="13">
        <f>2359856+952941+162178+32166979</f>
        <v>35641954</v>
      </c>
      <c r="AG37" s="13">
        <f>2256366+998189+162310+29698041</f>
        <v>33114906</v>
      </c>
      <c r="AH37" s="13">
        <f>2032101+304027+341521+25502550</f>
        <v>28180199</v>
      </c>
      <c r="AI37" s="172">
        <f>2380480+185947+451602+23955874</f>
        <v>26973903</v>
      </c>
      <c r="AJ37" s="13">
        <f>4493085+2208835+493711+23803411</f>
        <v>30999042</v>
      </c>
      <c r="AK37" s="13">
        <f>4249908+2184708+512074+26641868</f>
        <v>33588558</v>
      </c>
      <c r="AL37" s="13">
        <f>4966617+1069369+928240+27677141</f>
        <v>34641367</v>
      </c>
      <c r="AM37" s="172">
        <f>5121660+3071287+27603202+885913</f>
        <v>36682062</v>
      </c>
      <c r="AN37" s="56">
        <f>X1/AN36</f>
        <v>-4.020261999870594</v>
      </c>
      <c r="AO37" s="50" t="s">
        <v>11</v>
      </c>
    </row>
    <row r="38" spans="23:41" x14ac:dyDescent="0.25">
      <c r="W38" s="12" t="s">
        <v>53</v>
      </c>
      <c r="X38" s="13"/>
      <c r="Y38" s="13"/>
      <c r="Z38" s="13"/>
      <c r="AA38" s="13"/>
      <c r="AB38" s="13"/>
      <c r="AC38" s="13">
        <v>2679190</v>
      </c>
      <c r="AD38" s="13">
        <v>5244151</v>
      </c>
      <c r="AE38" s="13">
        <v>4008115</v>
      </c>
      <c r="AF38" s="13">
        <v>6843095</v>
      </c>
      <c r="AG38" s="13">
        <v>5113315</v>
      </c>
      <c r="AH38" s="13">
        <v>4038917</v>
      </c>
      <c r="AI38" s="172">
        <v>4402711</v>
      </c>
      <c r="AJ38" s="13">
        <f>3688860+174263</f>
        <v>3863123</v>
      </c>
      <c r="AK38" s="13">
        <f>2958045+292926</f>
        <v>3250971</v>
      </c>
      <c r="AL38" s="13">
        <f>8155515+1010516</f>
        <v>9166031</v>
      </c>
      <c r="AM38" s="172">
        <v>7615611</v>
      </c>
    </row>
    <row r="39" spans="23:41" x14ac:dyDescent="0.25">
      <c r="W39" s="12" t="s">
        <v>50</v>
      </c>
      <c r="X39" s="13">
        <f t="shared" ref="X39:AI39" si="45">+X37-X38</f>
        <v>0</v>
      </c>
      <c r="Y39" s="13">
        <f t="shared" si="45"/>
        <v>0</v>
      </c>
      <c r="Z39" s="13">
        <f t="shared" si="45"/>
        <v>0</v>
      </c>
      <c r="AA39" s="13">
        <f t="shared" si="45"/>
        <v>0</v>
      </c>
      <c r="AB39" s="13">
        <f t="shared" si="45"/>
        <v>0</v>
      </c>
      <c r="AC39" s="13">
        <f t="shared" si="45"/>
        <v>19498758</v>
      </c>
      <c r="AD39" s="13">
        <f t="shared" si="45"/>
        <v>23803250</v>
      </c>
      <c r="AE39" s="13">
        <f t="shared" si="45"/>
        <v>33051054</v>
      </c>
      <c r="AF39" s="13">
        <f t="shared" si="45"/>
        <v>28798859</v>
      </c>
      <c r="AG39" s="13">
        <f t="shared" si="45"/>
        <v>28001591</v>
      </c>
      <c r="AH39" s="13">
        <f t="shared" si="45"/>
        <v>24141282</v>
      </c>
      <c r="AI39" s="172">
        <f t="shared" si="45"/>
        <v>22571192</v>
      </c>
      <c r="AJ39" s="13">
        <f t="shared" ref="AJ39:AL39" si="46">+AJ37-AJ38</f>
        <v>27135919</v>
      </c>
      <c r="AK39" s="13">
        <f t="shared" si="46"/>
        <v>30337587</v>
      </c>
      <c r="AL39" s="13">
        <f t="shared" si="46"/>
        <v>25475336</v>
      </c>
      <c r="AM39" s="172">
        <f t="shared" ref="AM39" si="47">+AM37-AM38</f>
        <v>29066451</v>
      </c>
    </row>
    <row r="40" spans="23:41" x14ac:dyDescent="0.25">
      <c r="W40" s="12" t="s">
        <v>54</v>
      </c>
      <c r="X40" s="13"/>
      <c r="Y40" s="13"/>
      <c r="Z40" s="13"/>
      <c r="AA40" s="13"/>
      <c r="AB40" s="13"/>
      <c r="AC40" s="13">
        <v>4810273</v>
      </c>
      <c r="AD40" s="13">
        <v>12979900</v>
      </c>
      <c r="AE40" s="13">
        <v>16009525</v>
      </c>
      <c r="AF40" s="13">
        <v>16699030</v>
      </c>
      <c r="AG40" s="13">
        <v>14720047</v>
      </c>
      <c r="AH40" s="13">
        <v>14014630</v>
      </c>
      <c r="AI40" s="172">
        <v>10085765</v>
      </c>
      <c r="AJ40" s="13">
        <v>6332401</v>
      </c>
      <c r="AK40" s="13">
        <v>4451249</v>
      </c>
      <c r="AL40" s="13">
        <v>8410608</v>
      </c>
      <c r="AM40" s="172">
        <v>7838354</v>
      </c>
    </row>
    <row r="42" spans="23:41" x14ac:dyDescent="0.25">
      <c r="W42" s="12" t="s">
        <v>51</v>
      </c>
      <c r="X42" s="14" t="e">
        <f t="shared" ref="X42:AI42" si="48">+X37/X40</f>
        <v>#DIV/0!</v>
      </c>
      <c r="Y42" s="14" t="e">
        <f t="shared" si="48"/>
        <v>#DIV/0!</v>
      </c>
      <c r="Z42" s="14" t="e">
        <f t="shared" si="48"/>
        <v>#DIV/0!</v>
      </c>
      <c r="AA42" s="14" t="e">
        <f t="shared" si="48"/>
        <v>#DIV/0!</v>
      </c>
      <c r="AB42" s="14" t="e">
        <f t="shared" si="48"/>
        <v>#DIV/0!</v>
      </c>
      <c r="AC42" s="14">
        <f t="shared" si="48"/>
        <v>4.6105383207980086</v>
      </c>
      <c r="AD42" s="14">
        <f t="shared" si="48"/>
        <v>2.2378755614450032</v>
      </c>
      <c r="AE42" s="14">
        <f t="shared" si="48"/>
        <v>2.3148200212061258</v>
      </c>
      <c r="AF42" s="14">
        <f t="shared" si="48"/>
        <v>2.1343727150618927</v>
      </c>
      <c r="AG42" s="14">
        <f t="shared" si="48"/>
        <v>2.2496467572420116</v>
      </c>
      <c r="AH42" s="14">
        <f t="shared" si="48"/>
        <v>2.0107701023858637</v>
      </c>
      <c r="AI42" s="176">
        <f t="shared" si="48"/>
        <v>2.6744528550883349</v>
      </c>
      <c r="AJ42" s="14">
        <f t="shared" ref="AJ42:AL42" si="49">+AJ37/AJ40</f>
        <v>4.8953062195524257</v>
      </c>
      <c r="AK42" s="14">
        <f t="shared" si="49"/>
        <v>7.5458726303561088</v>
      </c>
      <c r="AL42" s="14">
        <f t="shared" si="49"/>
        <v>4.1187708427262333</v>
      </c>
      <c r="AM42" s="176">
        <f t="shared" ref="AM42" si="50">+AM37/AM40</f>
        <v>4.6798169615712686</v>
      </c>
    </row>
    <row r="44" spans="23:41" x14ac:dyDescent="0.25">
      <c r="W44" s="12" t="s">
        <v>63</v>
      </c>
      <c r="X44" s="16" t="e">
        <f t="shared" ref="X44:AH44" si="51">+(X3)/X7</f>
        <v>#DIV/0!</v>
      </c>
      <c r="Y44" s="16" t="e">
        <f t="shared" si="51"/>
        <v>#DIV/0!</v>
      </c>
      <c r="Z44" s="16" t="e">
        <f t="shared" si="51"/>
        <v>#DIV/0!</v>
      </c>
      <c r="AA44" s="16" t="e">
        <f t="shared" si="51"/>
        <v>#DIV/0!</v>
      </c>
      <c r="AB44" s="16" t="e">
        <f t="shared" si="51"/>
        <v>#DIV/0!</v>
      </c>
      <c r="AC44" s="16">
        <f t="shared" si="51"/>
        <v>201.30056819704646</v>
      </c>
      <c r="AD44" s="16">
        <f t="shared" si="51"/>
        <v>232.8188634695766</v>
      </c>
      <c r="AE44" s="16">
        <f t="shared" si="51"/>
        <v>333.87220107249578</v>
      </c>
      <c r="AF44" s="16">
        <f t="shared" si="51"/>
        <v>360.61034836065573</v>
      </c>
      <c r="AG44" s="16">
        <f t="shared" si="51"/>
        <v>363.1288523823834</v>
      </c>
      <c r="AH44" s="16">
        <f t="shared" si="51"/>
        <v>362.29394110585412</v>
      </c>
      <c r="AI44" s="177">
        <f>+(AI3)/AI7</f>
        <v>314.81962019453448</v>
      </c>
      <c r="AJ44" s="16">
        <f t="shared" ref="AJ44:AL44" si="52">+(AJ3)/AJ7</f>
        <v>320.28182411638534</v>
      </c>
      <c r="AK44" s="16">
        <f t="shared" si="52"/>
        <v>326.95884801903196</v>
      </c>
      <c r="AL44" s="16">
        <f t="shared" si="52"/>
        <v>317.16041523703842</v>
      </c>
      <c r="AM44" s="177">
        <f t="shared" ref="AM44" si="53">+(AM3)/AM7</f>
        <v>299.97421541859683</v>
      </c>
    </row>
    <row r="46" spans="23:41" x14ac:dyDescent="0.25">
      <c r="W46" s="12" t="s">
        <v>56</v>
      </c>
      <c r="X46" s="13">
        <v>1309955.933</v>
      </c>
      <c r="Y46" s="13">
        <v>1309955.933</v>
      </c>
      <c r="Z46" s="13">
        <v>1309955.933</v>
      </c>
      <c r="AA46" s="13">
        <v>1309955.933</v>
      </c>
      <c r="AB46" s="13">
        <v>1309955.933</v>
      </c>
      <c r="AC46" s="13">
        <v>1309955.933</v>
      </c>
      <c r="AD46" s="13">
        <v>1309955.933</v>
      </c>
      <c r="AE46" s="13">
        <v>1309955.933</v>
      </c>
      <c r="AF46" s="13">
        <v>1309955.933</v>
      </c>
      <c r="AG46" s="13">
        <v>1309955.933</v>
      </c>
      <c r="AH46" s="13">
        <v>1309955.933</v>
      </c>
      <c r="AI46" s="172">
        <v>1309955.933</v>
      </c>
      <c r="AJ46" s="13">
        <v>1309955.933</v>
      </c>
      <c r="AK46" s="13">
        <v>1309955.933</v>
      </c>
      <c r="AL46" s="13">
        <v>1317381.56</v>
      </c>
      <c r="AM46" s="172">
        <v>1317381.56</v>
      </c>
    </row>
    <row r="48" spans="23:41" x14ac:dyDescent="0.25">
      <c r="W48" s="12" t="s">
        <v>57</v>
      </c>
      <c r="X48" s="16">
        <f t="shared" ref="X48:AI48" si="54">+X40/X46</f>
        <v>0</v>
      </c>
      <c r="Y48" s="16">
        <f t="shared" si="54"/>
        <v>0</v>
      </c>
      <c r="Z48" s="16">
        <f t="shared" si="54"/>
        <v>0</v>
      </c>
      <c r="AA48" s="16">
        <f t="shared" si="54"/>
        <v>0</v>
      </c>
      <c r="AB48" s="16">
        <f t="shared" si="54"/>
        <v>0</v>
      </c>
      <c r="AC48" s="16">
        <f t="shared" si="54"/>
        <v>3.6720876472414896</v>
      </c>
      <c r="AD48" s="16">
        <f t="shared" si="54"/>
        <v>9.9086539272157328</v>
      </c>
      <c r="AE48" s="16">
        <f t="shared" si="54"/>
        <v>12.221422565975736</v>
      </c>
      <c r="AF48" s="16">
        <f t="shared" si="54"/>
        <v>12.747779966732667</v>
      </c>
      <c r="AG48" s="16">
        <f t="shared" si="54"/>
        <v>11.237055101761198</v>
      </c>
      <c r="AH48" s="16">
        <f t="shared" si="54"/>
        <v>10.698550727507564</v>
      </c>
      <c r="AI48" s="177">
        <f t="shared" si="54"/>
        <v>7.6993162486787261</v>
      </c>
      <c r="AJ48" s="16">
        <f t="shared" ref="AJ48:AL48" si="55">+AJ40/AJ46</f>
        <v>4.8340565056244529</v>
      </c>
      <c r="AK48" s="16">
        <f t="shared" si="55"/>
        <v>3.3980143055697738</v>
      </c>
      <c r="AL48" s="16">
        <f t="shared" si="55"/>
        <v>6.3843371240143965</v>
      </c>
      <c r="AM48" s="177">
        <f t="shared" ref="AM48" si="56">+AM40/AM46</f>
        <v>5.9499496865585391</v>
      </c>
    </row>
    <row r="50" spans="23:39" x14ac:dyDescent="0.25">
      <c r="W50" s="12" t="s">
        <v>67</v>
      </c>
      <c r="X50" s="13"/>
      <c r="Y50" s="13">
        <f>+Y54-X54</f>
        <v>0</v>
      </c>
      <c r="Z50" s="13">
        <f>+Z54-Y54</f>
        <v>0</v>
      </c>
      <c r="AA50" s="13">
        <f>+AA54</f>
        <v>0</v>
      </c>
      <c r="AB50" s="13">
        <f t="shared" ref="AB50:AD51" si="57">+AB54-AA54</f>
        <v>0</v>
      </c>
      <c r="AC50" s="13">
        <f t="shared" si="57"/>
        <v>0</v>
      </c>
      <c r="AD50" s="13">
        <f t="shared" si="57"/>
        <v>0</v>
      </c>
      <c r="AE50" s="13">
        <f>+AE54</f>
        <v>-3716223</v>
      </c>
      <c r="AF50" s="13">
        <f t="shared" ref="AF50:AM51" si="58">+AF54-AE54</f>
        <v>4321427</v>
      </c>
      <c r="AG50" s="13">
        <f t="shared" si="58"/>
        <v>1386677</v>
      </c>
      <c r="AH50" s="13">
        <f t="shared" si="58"/>
        <v>3233416</v>
      </c>
      <c r="AI50" s="172">
        <f>+AI54</f>
        <v>-79051</v>
      </c>
      <c r="AJ50" s="13">
        <f t="shared" si="58"/>
        <v>-1210484</v>
      </c>
      <c r="AK50" s="13">
        <f t="shared" si="58"/>
        <v>-2598751</v>
      </c>
      <c r="AL50" s="13">
        <f t="shared" si="58"/>
        <v>-889046</v>
      </c>
      <c r="AM50" s="172">
        <f t="shared" si="58"/>
        <v>4777332</v>
      </c>
    </row>
    <row r="51" spans="23:39" x14ac:dyDescent="0.25">
      <c r="W51" s="12" t="s">
        <v>60</v>
      </c>
      <c r="Y51" s="13">
        <f>+Y55-X55</f>
        <v>0</v>
      </c>
      <c r="Z51" s="13">
        <f>+Z55-Y55</f>
        <v>0</v>
      </c>
      <c r="AA51" s="13">
        <f>+AA55</f>
        <v>0</v>
      </c>
      <c r="AB51" s="13">
        <f t="shared" si="57"/>
        <v>0</v>
      </c>
      <c r="AC51" s="13">
        <f t="shared" si="57"/>
        <v>0</v>
      </c>
      <c r="AD51" s="13">
        <f t="shared" si="57"/>
        <v>0</v>
      </c>
      <c r="AE51" s="13">
        <f>+AE55</f>
        <v>0</v>
      </c>
      <c r="AF51" s="13">
        <f t="shared" si="58"/>
        <v>-363953</v>
      </c>
      <c r="AG51" s="13">
        <f t="shared" si="58"/>
        <v>-659459</v>
      </c>
      <c r="AH51" s="13">
        <f t="shared" si="58"/>
        <v>-1045133</v>
      </c>
      <c r="AI51" s="172">
        <f>+AI55</f>
        <v>0</v>
      </c>
      <c r="AJ51" s="13">
        <f t="shared" si="58"/>
        <v>-43885</v>
      </c>
      <c r="AK51" s="13">
        <f t="shared" si="58"/>
        <v>-568800</v>
      </c>
      <c r="AL51" s="13">
        <f t="shared" si="58"/>
        <v>-1240819</v>
      </c>
      <c r="AM51" s="172">
        <f t="shared" si="58"/>
        <v>1853504</v>
      </c>
    </row>
    <row r="52" spans="23:39" x14ac:dyDescent="0.25">
      <c r="W52" s="12" t="s">
        <v>68</v>
      </c>
      <c r="Y52" s="13">
        <f t="shared" ref="Y52:AI52" si="59">+Y50+Y51</f>
        <v>0</v>
      </c>
      <c r="Z52" s="13">
        <f t="shared" si="59"/>
        <v>0</v>
      </c>
      <c r="AA52" s="13">
        <f t="shared" si="59"/>
        <v>0</v>
      </c>
      <c r="AB52" s="13">
        <f t="shared" si="59"/>
        <v>0</v>
      </c>
      <c r="AC52" s="13">
        <f t="shared" si="59"/>
        <v>0</v>
      </c>
      <c r="AD52" s="13">
        <f t="shared" si="59"/>
        <v>0</v>
      </c>
      <c r="AE52" s="13">
        <f t="shared" si="59"/>
        <v>-3716223</v>
      </c>
      <c r="AF52" s="13">
        <f t="shared" si="59"/>
        <v>3957474</v>
      </c>
      <c r="AG52" s="13">
        <f t="shared" si="59"/>
        <v>727218</v>
      </c>
      <c r="AH52" s="13">
        <f t="shared" si="59"/>
        <v>2188283</v>
      </c>
      <c r="AI52" s="172">
        <f t="shared" si="59"/>
        <v>-79051</v>
      </c>
      <c r="AJ52" s="13">
        <f t="shared" ref="AJ52:AL52" si="60">+AJ50+AJ51</f>
        <v>-1254369</v>
      </c>
      <c r="AK52" s="13">
        <f t="shared" si="60"/>
        <v>-3167551</v>
      </c>
      <c r="AL52" s="13">
        <f t="shared" si="60"/>
        <v>-2129865</v>
      </c>
      <c r="AM52" s="172">
        <f t="shared" ref="AM52" si="61">+AM50+AM51</f>
        <v>6630836</v>
      </c>
    </row>
    <row r="54" spans="23:39" x14ac:dyDescent="0.25">
      <c r="W54" s="12" t="s">
        <v>67</v>
      </c>
      <c r="X54" s="13"/>
      <c r="Y54" s="13"/>
      <c r="Z54" s="13"/>
      <c r="AA54" s="13"/>
      <c r="AB54" s="13"/>
      <c r="AC54" s="13"/>
      <c r="AD54" s="13"/>
      <c r="AE54" s="13">
        <v>-3716223</v>
      </c>
      <c r="AF54" s="13">
        <v>605204</v>
      </c>
      <c r="AG54" s="13">
        <v>1991881</v>
      </c>
      <c r="AH54" s="13">
        <v>5225297</v>
      </c>
      <c r="AI54" s="172">
        <v>-79051</v>
      </c>
      <c r="AJ54" s="13">
        <v>-1289535</v>
      </c>
      <c r="AK54" s="13">
        <v>-3888286</v>
      </c>
      <c r="AL54" s="13">
        <v>-4777332</v>
      </c>
      <c r="AM54" s="172"/>
    </row>
    <row r="55" spans="23:39" x14ac:dyDescent="0.25">
      <c r="W55" s="12" t="s">
        <v>60</v>
      </c>
      <c r="X55" s="13"/>
      <c r="Y55" s="13"/>
      <c r="Z55" s="13"/>
      <c r="AA55" s="13"/>
      <c r="AB55" s="13"/>
      <c r="AC55" s="13"/>
      <c r="AD55" s="13"/>
      <c r="AE55" s="13">
        <v>0</v>
      </c>
      <c r="AF55" s="13">
        <v>-363953</v>
      </c>
      <c r="AG55" s="13">
        <v>-1023412</v>
      </c>
      <c r="AH55" s="13">
        <v>-2068545</v>
      </c>
      <c r="AI55" s="172">
        <v>0</v>
      </c>
      <c r="AJ55" s="13">
        <v>-43885</v>
      </c>
      <c r="AK55" s="13">
        <v>-612685</v>
      </c>
      <c r="AL55" s="13">
        <v>-1853504</v>
      </c>
      <c r="AM55" s="172"/>
    </row>
    <row r="56" spans="23:39" x14ac:dyDescent="0.25">
      <c r="W56" s="12" t="s">
        <v>68</v>
      </c>
      <c r="X56" s="13">
        <f t="shared" ref="X56:AI56" si="62">+X54+X55</f>
        <v>0</v>
      </c>
      <c r="Y56" s="13">
        <f t="shared" si="62"/>
        <v>0</v>
      </c>
      <c r="Z56" s="13">
        <f t="shared" si="62"/>
        <v>0</v>
      </c>
      <c r="AA56" s="13">
        <f t="shared" si="62"/>
        <v>0</v>
      </c>
      <c r="AB56" s="13">
        <f t="shared" si="62"/>
        <v>0</v>
      </c>
      <c r="AC56" s="13">
        <f t="shared" si="62"/>
        <v>0</v>
      </c>
      <c r="AD56" s="13">
        <f t="shared" si="62"/>
        <v>0</v>
      </c>
      <c r="AE56" s="13">
        <f t="shared" si="62"/>
        <v>-3716223</v>
      </c>
      <c r="AF56" s="13">
        <f t="shared" si="62"/>
        <v>241251</v>
      </c>
      <c r="AG56" s="13">
        <f t="shared" si="62"/>
        <v>968469</v>
      </c>
      <c r="AH56" s="13">
        <f t="shared" si="62"/>
        <v>3156752</v>
      </c>
      <c r="AI56" s="172">
        <f t="shared" si="62"/>
        <v>-79051</v>
      </c>
      <c r="AJ56" s="13">
        <f t="shared" ref="AJ56:AL56" si="63">+AJ54+AJ55</f>
        <v>-1333420</v>
      </c>
      <c r="AK56" s="13">
        <f t="shared" si="63"/>
        <v>-4500971</v>
      </c>
      <c r="AL56" s="13">
        <f t="shared" si="63"/>
        <v>-6630836</v>
      </c>
      <c r="AM56" s="172">
        <f>+AM54+AM55</f>
        <v>0</v>
      </c>
    </row>
  </sheetData>
  <mergeCells count="1">
    <mergeCell ref="B13:H13"/>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0B7B-A90E-4EE9-80CB-E101355007D5}">
  <sheetPr>
    <tabColor rgb="FF92D050"/>
  </sheetPr>
  <dimension ref="A1:AZ76"/>
  <sheetViews>
    <sheetView topLeftCell="Y1" zoomScale="85" zoomScaleNormal="85" workbookViewId="0">
      <selection activeCell="AH55" sqref="AH55"/>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3" width="12" style="12" customWidth="1"/>
    <col min="34" max="34" width="12" style="170" customWidth="1"/>
    <col min="35" max="37" width="12" style="12" customWidth="1"/>
    <col min="38" max="38" width="14.140625" style="12" bestFit="1" customWidth="1"/>
    <col min="39" max="39" width="12" style="12" customWidth="1"/>
    <col min="40" max="41" width="8.85546875" style="12"/>
    <col min="42" max="42" width="14.28515625" style="50" bestFit="1" customWidth="1"/>
    <col min="43" max="16384" width="8.85546875" style="50"/>
  </cols>
  <sheetData>
    <row r="1" spans="1:52" ht="15.75" thickBot="1" x14ac:dyDescent="0.3">
      <c r="W1" s="20" t="s">
        <v>194</v>
      </c>
      <c r="X1" s="59">
        <v>151</v>
      </c>
    </row>
    <row r="2" spans="1:52"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f>J14*J21</f>
        <v>34.398437959079992</v>
      </c>
      <c r="W2" s="20" t="s">
        <v>200</v>
      </c>
      <c r="X2" s="11" t="s">
        <v>14</v>
      </c>
      <c r="Y2" s="11" t="s">
        <v>16</v>
      </c>
      <c r="Z2" s="11" t="s">
        <v>18</v>
      </c>
      <c r="AA2" s="11" t="s">
        <v>20</v>
      </c>
      <c r="AB2" s="11" t="s">
        <v>22</v>
      </c>
      <c r="AC2" s="11" t="s">
        <v>24</v>
      </c>
      <c r="AD2" s="11" t="s">
        <v>26</v>
      </c>
      <c r="AE2" s="11" t="s">
        <v>39</v>
      </c>
      <c r="AF2" s="11" t="s">
        <v>38</v>
      </c>
      <c r="AG2" s="11" t="s">
        <v>71</v>
      </c>
      <c r="AH2" s="171" t="s">
        <v>83</v>
      </c>
      <c r="AI2" s="11" t="s">
        <v>84</v>
      </c>
      <c r="AJ2" s="11" t="s">
        <v>365</v>
      </c>
      <c r="AK2" s="11" t="s">
        <v>948</v>
      </c>
      <c r="AL2" s="11" t="s">
        <v>1018</v>
      </c>
      <c r="AM2" s="11" t="s">
        <v>1080</v>
      </c>
      <c r="AP2" s="71" t="str">
        <f>+W2</f>
        <v>EXPO</v>
      </c>
      <c r="AQ2" s="189" t="s">
        <v>190</v>
      </c>
      <c r="AR2" s="190"/>
      <c r="AS2" s="190"/>
      <c r="AT2" s="190"/>
      <c r="AU2" s="191"/>
      <c r="AV2" s="192" t="s">
        <v>191</v>
      </c>
      <c r="AW2" s="192"/>
      <c r="AX2" s="192"/>
      <c r="AY2" s="192"/>
      <c r="AZ2" s="192"/>
    </row>
    <row r="3" spans="1:52" ht="18" thickTop="1" thickBot="1" x14ac:dyDescent="0.4">
      <c r="B3" s="25" t="s">
        <v>10</v>
      </c>
      <c r="C3" s="26">
        <v>17820.179</v>
      </c>
      <c r="D3" s="26">
        <v>22137.641</v>
      </c>
      <c r="E3" s="26">
        <v>24647.488000000001</v>
      </c>
      <c r="F3" s="26">
        <v>31746.592000000001</v>
      </c>
      <c r="G3" s="26">
        <v>33276.976999999999</v>
      </c>
      <c r="H3" s="26">
        <v>31780.287</v>
      </c>
      <c r="I3" s="27">
        <v>49587.964</v>
      </c>
      <c r="J3" s="21"/>
      <c r="M3" s="1" t="s">
        <v>11</v>
      </c>
      <c r="N3" s="2" t="e">
        <f>'[1]LT Portfolio'!W294</f>
        <v>#REF!</v>
      </c>
      <c r="W3" s="12" t="s">
        <v>62</v>
      </c>
      <c r="X3" s="13">
        <v>49150839.122000001</v>
      </c>
      <c r="Y3" s="13">
        <v>57881623.814999998</v>
      </c>
      <c r="Z3" s="13">
        <v>75512524.326000005</v>
      </c>
      <c r="AA3" s="13">
        <v>95732619.777999997</v>
      </c>
      <c r="AB3" s="13">
        <v>151424180.11300001</v>
      </c>
      <c r="AC3" s="13">
        <v>204954118.25400001</v>
      </c>
      <c r="AD3" s="13">
        <v>242046502.697</v>
      </c>
      <c r="AE3" s="13">
        <v>235181857.36000001</v>
      </c>
      <c r="AF3" s="13">
        <v>161768421.84599999</v>
      </c>
      <c r="AG3" s="13">
        <v>94280892.234999999</v>
      </c>
      <c r="AH3" s="172">
        <v>55169709.277000003</v>
      </c>
      <c r="AI3" s="13">
        <v>55514880.351999998</v>
      </c>
      <c r="AJ3" s="13">
        <v>61535566.384000003</v>
      </c>
      <c r="AK3" s="13">
        <v>66874463.795000002</v>
      </c>
      <c r="AL3" s="13">
        <v>66029296.005000003</v>
      </c>
      <c r="AM3" s="13"/>
      <c r="AN3" s="12">
        <v>500000</v>
      </c>
      <c r="AP3" s="69"/>
      <c r="AQ3" s="66" t="s">
        <v>78</v>
      </c>
      <c r="AR3" s="67" t="s">
        <v>17</v>
      </c>
      <c r="AS3" s="67" t="s">
        <v>184</v>
      </c>
      <c r="AT3" s="67" t="s">
        <v>29</v>
      </c>
      <c r="AU3" s="68" t="s">
        <v>30</v>
      </c>
      <c r="AV3" s="66" t="s">
        <v>78</v>
      </c>
      <c r="AW3" s="67" t="s">
        <v>17</v>
      </c>
      <c r="AX3" s="67" t="s">
        <v>184</v>
      </c>
      <c r="AY3" s="67" t="s">
        <v>29</v>
      </c>
      <c r="AZ3" s="68" t="s">
        <v>30</v>
      </c>
    </row>
    <row r="4" spans="1:52" ht="18" thickTop="1" thickBot="1" x14ac:dyDescent="0.4">
      <c r="B4" s="28" t="s">
        <v>12</v>
      </c>
      <c r="C4" s="29"/>
      <c r="D4" s="30">
        <f t="shared" ref="D4:G4" si="0">(D3/C3-1)*100</f>
        <v>24.2279384511233</v>
      </c>
      <c r="E4" s="30">
        <f t="shared" si="0"/>
        <v>11.337463643935685</v>
      </c>
      <c r="F4" s="30">
        <f t="shared" si="0"/>
        <v>28.802545719872128</v>
      </c>
      <c r="G4" s="30">
        <f t="shared" si="0"/>
        <v>4.8206276755627719</v>
      </c>
      <c r="H4" s="30">
        <f>(H3/G3-1)*100</f>
        <v>-4.4976741727471126</v>
      </c>
      <c r="I4" s="31">
        <f>(I3/H3-1)*100</f>
        <v>56.033719896865634</v>
      </c>
      <c r="J4" s="22">
        <f>((I3/D3)^(1/5)-1)*100</f>
        <v>17.503008805594654</v>
      </c>
      <c r="W4" s="12" t="s">
        <v>40</v>
      </c>
      <c r="X4" s="17"/>
      <c r="Y4" s="17"/>
      <c r="Z4" s="17"/>
      <c r="AA4" s="17"/>
      <c r="AB4" s="18">
        <f t="shared" ref="AB4:AG4" si="1">+AB3/X3-1</f>
        <v>2.0808055939216361</v>
      </c>
      <c r="AC4" s="18">
        <f t="shared" si="1"/>
        <v>2.5409185980868463</v>
      </c>
      <c r="AD4" s="18">
        <f t="shared" si="1"/>
        <v>2.205382217816549</v>
      </c>
      <c r="AE4" s="18">
        <f t="shared" si="1"/>
        <v>1.4566533111219253</v>
      </c>
      <c r="AF4" s="18">
        <f t="shared" si="1"/>
        <v>6.8313011338615892E-2</v>
      </c>
      <c r="AG4" s="18">
        <f t="shared" si="1"/>
        <v>-0.53999025226632669</v>
      </c>
      <c r="AH4" s="173">
        <f>+AH3/AD3-1</f>
        <v>-0.77206979376990681</v>
      </c>
      <c r="AI4" s="18">
        <f>+AI3/AE3-1</f>
        <v>-0.76394913716910706</v>
      </c>
      <c r="AJ4" s="18">
        <f t="shared" ref="AJ4:AM4" si="2">+AJ3/AF3-1</f>
        <v>-0.61960705506183078</v>
      </c>
      <c r="AK4" s="18">
        <f t="shared" si="2"/>
        <v>-0.29068910773232881</v>
      </c>
      <c r="AL4" s="18">
        <f t="shared" si="2"/>
        <v>0.19683965839797013</v>
      </c>
      <c r="AM4" s="18">
        <f t="shared" si="2"/>
        <v>-1</v>
      </c>
      <c r="AN4" s="46"/>
      <c r="AP4" s="69"/>
      <c r="AQ4" s="60"/>
      <c r="AR4" s="61"/>
      <c r="AS4" s="61"/>
      <c r="AT4" s="74"/>
      <c r="AU4" s="64"/>
      <c r="AV4" s="60"/>
      <c r="AW4" s="61"/>
      <c r="AX4" s="61"/>
      <c r="AY4" s="58"/>
      <c r="AZ4" s="64"/>
    </row>
    <row r="5" spans="1:52" ht="18" thickTop="1" thickBot="1" x14ac:dyDescent="0.4">
      <c r="B5" s="32" t="s">
        <v>13</v>
      </c>
      <c r="C5" s="29">
        <v>2994.8620000000001</v>
      </c>
      <c r="D5" s="26">
        <v>3075.7150000000001</v>
      </c>
      <c r="E5" s="26">
        <v>2911.1990000000001</v>
      </c>
      <c r="F5" s="26">
        <v>3686.058</v>
      </c>
      <c r="G5" s="26">
        <v>4229.0420000000004</v>
      </c>
      <c r="H5" s="26">
        <v>3789.9589999999998</v>
      </c>
      <c r="I5" s="27">
        <v>4577.6409999999996</v>
      </c>
      <c r="J5" s="21"/>
      <c r="M5" s="1" t="s">
        <v>14</v>
      </c>
      <c r="N5" s="3">
        <f>202.575/415.481776</f>
        <v>0.48756651122045841</v>
      </c>
      <c r="W5" s="12" t="s">
        <v>41</v>
      </c>
      <c r="Y5" s="18">
        <f t="shared" ref="Y5:AM5" si="3">+Y3/X3-1</f>
        <v>0.17763246465291949</v>
      </c>
      <c r="Z5" s="18">
        <f t="shared" si="3"/>
        <v>0.30460272792884169</v>
      </c>
      <c r="AA5" s="18">
        <f t="shared" si="3"/>
        <v>0.26777141451008202</v>
      </c>
      <c r="AB5" s="18">
        <f t="shared" si="3"/>
        <v>0.58174069052060262</v>
      </c>
      <c r="AC5" s="18">
        <f t="shared" si="3"/>
        <v>0.35350984301881905</v>
      </c>
      <c r="AD5" s="18">
        <f t="shared" si="3"/>
        <v>0.18097896621443499</v>
      </c>
      <c r="AE5" s="18">
        <f t="shared" si="3"/>
        <v>-2.8360853226593874E-2</v>
      </c>
      <c r="AF5" s="18">
        <f t="shared" si="3"/>
        <v>-0.31215603251922552</v>
      </c>
      <c r="AG5" s="18">
        <f t="shared" si="3"/>
        <v>-0.41718605424269173</v>
      </c>
      <c r="AH5" s="173">
        <f t="shared" si="3"/>
        <v>-0.4148367928096538</v>
      </c>
      <c r="AI5" s="18">
        <f t="shared" si="3"/>
        <v>6.256532425555017E-3</v>
      </c>
      <c r="AJ5" s="18">
        <f t="shared" si="3"/>
        <v>0.10845175192353818</v>
      </c>
      <c r="AK5" s="18">
        <f t="shared" si="3"/>
        <v>8.6761164717063188E-2</v>
      </c>
      <c r="AL5" s="18">
        <f t="shared" si="3"/>
        <v>-1.2638124360754732E-2</v>
      </c>
      <c r="AM5" s="18">
        <f t="shared" si="3"/>
        <v>-1</v>
      </c>
      <c r="AP5" s="69"/>
      <c r="AQ5" s="60"/>
      <c r="AR5" s="61"/>
      <c r="AS5" s="61"/>
      <c r="AT5" s="58"/>
      <c r="AU5" s="64"/>
      <c r="AV5" s="60"/>
      <c r="AW5" s="61"/>
      <c r="AX5" s="61"/>
      <c r="AY5" s="58"/>
      <c r="AZ5" s="64"/>
    </row>
    <row r="6" spans="1:52" ht="18" thickTop="1" thickBot="1" x14ac:dyDescent="0.4">
      <c r="B6" s="28" t="s">
        <v>15</v>
      </c>
      <c r="C6" s="30">
        <f t="shared" ref="C6:G6" si="4">C5/C$3*100</f>
        <v>16.806015248219449</v>
      </c>
      <c r="D6" s="30">
        <f t="shared" si="4"/>
        <v>13.893598690122404</v>
      </c>
      <c r="E6" s="30">
        <f t="shared" si="4"/>
        <v>11.811341585803795</v>
      </c>
      <c r="F6" s="30">
        <f t="shared" si="4"/>
        <v>11.610877791228742</v>
      </c>
      <c r="G6" s="30">
        <f t="shared" si="4"/>
        <v>12.708612323769675</v>
      </c>
      <c r="H6" s="30">
        <f>H5/H$3*100</f>
        <v>11.925502749550374</v>
      </c>
      <c r="I6" s="31">
        <f>I5/I$3*100</f>
        <v>9.2313550118734451</v>
      </c>
      <c r="J6" s="23">
        <f>AVERAGE(D6:I6)</f>
        <v>11.863548025391404</v>
      </c>
      <c r="M6" s="1" t="s">
        <v>16</v>
      </c>
      <c r="N6" s="3">
        <f>261.001/415.481776</f>
        <v>0.62818880412218114</v>
      </c>
      <c r="AP6" s="69"/>
      <c r="AQ6" s="60"/>
      <c r="AR6" s="61"/>
      <c r="AS6" s="61"/>
      <c r="AT6" s="58"/>
      <c r="AU6" s="64"/>
      <c r="AV6" s="60"/>
      <c r="AW6" s="61"/>
      <c r="AX6" s="61"/>
      <c r="AY6" s="58"/>
      <c r="AZ6" s="64"/>
    </row>
    <row r="7" spans="1:52" ht="18" thickTop="1" thickBot="1" x14ac:dyDescent="0.4">
      <c r="B7" s="32" t="s">
        <v>17</v>
      </c>
      <c r="C7" s="26">
        <v>2167.6080000000002</v>
      </c>
      <c r="D7" s="26">
        <v>1992.405</v>
      </c>
      <c r="E7" s="26">
        <v>1810.8420000000001</v>
      </c>
      <c r="F7" s="26">
        <v>2344.6489999999999</v>
      </c>
      <c r="G7" s="26">
        <v>2728.431</v>
      </c>
      <c r="H7" s="26">
        <v>2441.4009999999998</v>
      </c>
      <c r="I7" s="27">
        <v>2573.1030000000001</v>
      </c>
      <c r="J7" s="24"/>
      <c r="M7" s="1" t="s">
        <v>18</v>
      </c>
      <c r="N7" s="3" t="e">
        <f>'[1]LT Portfolio'!P294</f>
        <v>#REF!</v>
      </c>
      <c r="W7" s="12" t="s">
        <v>202</v>
      </c>
      <c r="X7" s="13">
        <f t="shared" ref="X7:AH7" si="5">+X3/X45</f>
        <v>261612.28841996202</v>
      </c>
      <c r="Y7" s="13">
        <f t="shared" si="5"/>
        <v>308039.3310692294</v>
      </c>
      <c r="Z7" s="13">
        <f t="shared" si="5"/>
        <v>381571.94863607775</v>
      </c>
      <c r="AA7" s="13">
        <f t="shared" si="5"/>
        <v>474189.90253715304</v>
      </c>
      <c r="AB7" s="13">
        <f t="shared" si="5"/>
        <v>746176.99506885407</v>
      </c>
      <c r="AC7" s="13">
        <f t="shared" si="5"/>
        <v>1009626.1642873496</v>
      </c>
      <c r="AD7" s="13">
        <f t="shared" si="5"/>
        <v>1036698.3625899757</v>
      </c>
      <c r="AE7" s="13">
        <f t="shared" si="5"/>
        <v>645619.21949898091</v>
      </c>
      <c r="AF7" s="13">
        <f t="shared" si="5"/>
        <v>438575.9900470135</v>
      </c>
      <c r="AG7" s="13">
        <f t="shared" si="5"/>
        <v>253596.34354718236</v>
      </c>
      <c r="AH7" s="172">
        <f t="shared" si="5"/>
        <v>154240.91685320748</v>
      </c>
      <c r="AI7" s="13">
        <f>+AI3/AI45</f>
        <v>175426.4877875254</v>
      </c>
      <c r="AJ7" s="13">
        <f t="shared" ref="AJ7:AK7" si="6">+AJ3/AJ45</f>
        <v>185953.93405531376</v>
      </c>
      <c r="AK7" s="13">
        <f t="shared" si="6"/>
        <v>200081.19008697299</v>
      </c>
      <c r="AL7" s="13" t="e">
        <f>+AL3/AL45</f>
        <v>#DIV/0!</v>
      </c>
      <c r="AM7" s="13" t="e">
        <f t="shared" ref="AM7" si="7">+AM3/AM45</f>
        <v>#DIV/0!</v>
      </c>
      <c r="AP7" s="69"/>
      <c r="AQ7" s="60"/>
      <c r="AR7" s="61"/>
      <c r="AS7" s="61"/>
      <c r="AT7" s="74"/>
      <c r="AU7" s="64"/>
      <c r="AV7" s="60"/>
      <c r="AW7" s="61"/>
      <c r="AX7" s="61"/>
      <c r="AY7" s="58"/>
      <c r="AZ7" s="64"/>
    </row>
    <row r="8" spans="1:52" ht="18" thickTop="1" thickBot="1" x14ac:dyDescent="0.4">
      <c r="B8" s="28" t="s">
        <v>19</v>
      </c>
      <c r="C8" s="30">
        <f t="shared" ref="C8:I8" si="8">C7/C$3*100</f>
        <v>12.16378353999699</v>
      </c>
      <c r="D8" s="30">
        <f t="shared" si="8"/>
        <v>9.0000781926132056</v>
      </c>
      <c r="E8" s="30">
        <f t="shared" si="8"/>
        <v>7.3469637149229978</v>
      </c>
      <c r="F8" s="30">
        <f t="shared" si="8"/>
        <v>7.3855140104487429</v>
      </c>
      <c r="G8" s="30">
        <f t="shared" si="8"/>
        <v>8.1991552297553945</v>
      </c>
      <c r="H8" s="30">
        <f t="shared" si="8"/>
        <v>7.6821238272643662</v>
      </c>
      <c r="I8" s="31">
        <f t="shared" si="8"/>
        <v>5.1889668226749546</v>
      </c>
      <c r="J8" s="23">
        <f>AVERAGE(D8:I8)</f>
        <v>7.4671336329466103</v>
      </c>
      <c r="M8" s="1" t="s">
        <v>20</v>
      </c>
      <c r="N8" s="3" t="e">
        <f>'[1]LT Portfolio'!Q294</f>
        <v>#REF!</v>
      </c>
      <c r="W8" s="12" t="s">
        <v>40</v>
      </c>
      <c r="AB8" s="18">
        <f t="shared" ref="AB8:AG8" si="9">+AB7/X7-1</f>
        <v>1.8522245632094623</v>
      </c>
      <c r="AC8" s="18">
        <f t="shared" si="9"/>
        <v>2.2775884845057144</v>
      </c>
      <c r="AD8" s="18">
        <f t="shared" si="9"/>
        <v>1.7169145066759648</v>
      </c>
      <c r="AE8" s="18">
        <f t="shared" si="9"/>
        <v>0.36152038675770037</v>
      </c>
      <c r="AF8" s="18">
        <f t="shared" si="9"/>
        <v>-0.41223598027631025</v>
      </c>
      <c r="AG8" s="18">
        <f t="shared" si="9"/>
        <v>-0.74882154155921188</v>
      </c>
      <c r="AH8" s="173">
        <f>+AH7/AD7-1</f>
        <v>-0.85121909861237888</v>
      </c>
      <c r="AI8" s="18">
        <f>+AI7/AE7-1</f>
        <v>-0.72828180684636146</v>
      </c>
      <c r="AJ8" s="18">
        <f t="shared" ref="AJ8:AM8" si="10">+AJ7/AF7-1</f>
        <v>-0.57600521169574215</v>
      </c>
      <c r="AK8" s="18">
        <f t="shared" si="10"/>
        <v>-0.21102494109995995</v>
      </c>
      <c r="AL8" s="18" t="e">
        <f t="shared" si="10"/>
        <v>#DIV/0!</v>
      </c>
      <c r="AM8" s="18" t="e">
        <f t="shared" si="10"/>
        <v>#DIV/0!</v>
      </c>
      <c r="AP8" s="69"/>
      <c r="AQ8" s="60"/>
      <c r="AR8" s="61"/>
      <c r="AS8" s="61"/>
      <c r="AT8" s="58"/>
      <c r="AU8" s="64"/>
      <c r="AV8" s="60"/>
      <c r="AW8" s="61"/>
      <c r="AX8" s="61"/>
      <c r="AY8" s="58"/>
      <c r="AZ8" s="64"/>
    </row>
    <row r="9" spans="1:52" ht="18" thickTop="1" thickBot="1" x14ac:dyDescent="0.4">
      <c r="B9" s="32" t="s">
        <v>21</v>
      </c>
      <c r="C9" s="26">
        <v>2228.9470000000001</v>
      </c>
      <c r="D9" s="26">
        <v>2011.37</v>
      </c>
      <c r="E9" s="26">
        <v>1817.7159999999999</v>
      </c>
      <c r="F9" s="26">
        <v>2257.0619999999999</v>
      </c>
      <c r="G9" s="26">
        <v>2811.9639999999999</v>
      </c>
      <c r="H9" s="26">
        <v>2599.3359999999998</v>
      </c>
      <c r="I9" s="27">
        <v>2863.72</v>
      </c>
      <c r="J9" s="21"/>
      <c r="M9" s="1" t="s">
        <v>22</v>
      </c>
      <c r="N9" s="3" t="e">
        <f>'[1]LT Portfolio'!R294</f>
        <v>#REF!</v>
      </c>
      <c r="O9" s="4" t="e">
        <f>N9/N5-1</f>
        <v>#REF!</v>
      </c>
      <c r="W9" s="12" t="s">
        <v>41</v>
      </c>
      <c r="Y9" s="18">
        <f t="shared" ref="Y9:AM9" si="11">+Y7/X7-1</f>
        <v>0.17746506836383302</v>
      </c>
      <c r="Z9" s="18">
        <f t="shared" si="11"/>
        <v>0.23871178174426855</v>
      </c>
      <c r="AA9" s="18">
        <f t="shared" si="11"/>
        <v>0.24272736565708386</v>
      </c>
      <c r="AB9" s="18">
        <f t="shared" si="11"/>
        <v>0.57358263235137263</v>
      </c>
      <c r="AC9" s="18">
        <f t="shared" si="11"/>
        <v>0.35306525256006527</v>
      </c>
      <c r="AD9" s="18">
        <f t="shared" si="11"/>
        <v>2.6814081548426572E-2</v>
      </c>
      <c r="AE9" s="18">
        <f t="shared" si="11"/>
        <v>-0.37723522791524888</v>
      </c>
      <c r="AF9" s="18">
        <f t="shared" si="11"/>
        <v>-0.32068938346141385</v>
      </c>
      <c r="AG9" s="18">
        <f t="shared" si="11"/>
        <v>-0.42177330883982522</v>
      </c>
      <c r="AH9" s="173">
        <f t="shared" si="11"/>
        <v>-0.3917857225551421</v>
      </c>
      <c r="AI9" s="18">
        <f t="shared" si="11"/>
        <v>0.13735376686382406</v>
      </c>
      <c r="AJ9" s="18">
        <f t="shared" si="11"/>
        <v>6.0010585633676339E-2</v>
      </c>
      <c r="AK9" s="18">
        <f t="shared" si="11"/>
        <v>7.5971805078654198E-2</v>
      </c>
      <c r="AL9" s="18" t="e">
        <f t="shared" si="11"/>
        <v>#DIV/0!</v>
      </c>
      <c r="AM9" s="18" t="e">
        <f t="shared" si="11"/>
        <v>#DIV/0!</v>
      </c>
      <c r="AP9" s="69"/>
      <c r="AQ9" s="60"/>
      <c r="AR9" s="61"/>
      <c r="AS9" s="61"/>
      <c r="AT9" s="74"/>
      <c r="AU9" s="64"/>
      <c r="AV9" s="60"/>
      <c r="AW9" s="61"/>
      <c r="AX9" s="61"/>
      <c r="AY9" s="58"/>
      <c r="AZ9" s="64"/>
    </row>
    <row r="10" spans="1:52" ht="18" thickTop="1" thickBot="1" x14ac:dyDescent="0.4">
      <c r="B10" s="32" t="s">
        <v>23</v>
      </c>
      <c r="C10" s="29">
        <v>2170.6669999999999</v>
      </c>
      <c r="D10" s="26">
        <v>1959.175</v>
      </c>
      <c r="E10" s="26">
        <v>1596.114</v>
      </c>
      <c r="F10" s="26">
        <v>1858.7170000000001</v>
      </c>
      <c r="G10" s="26">
        <v>2383.7840000000001</v>
      </c>
      <c r="H10" s="26">
        <v>2139.5970000000002</v>
      </c>
      <c r="I10" s="27">
        <v>2531.25</v>
      </c>
      <c r="J10" s="22">
        <f>((I10/D10)^(1/5)-1)*100</f>
        <v>5.2573330805531393</v>
      </c>
      <c r="M10" s="1" t="s">
        <v>24</v>
      </c>
      <c r="N10" s="3" t="e">
        <f>'[1]LT Portfolio'!S294</f>
        <v>#REF!</v>
      </c>
      <c r="O10" s="4" t="e">
        <f>N10/N6-1</f>
        <v>#REF!</v>
      </c>
      <c r="AP10" s="69"/>
      <c r="AQ10" s="60"/>
      <c r="AR10" s="61"/>
      <c r="AS10" s="61"/>
      <c r="AT10" s="58"/>
      <c r="AU10" s="64"/>
      <c r="AV10" s="60"/>
      <c r="AW10" s="61"/>
      <c r="AX10" s="61"/>
      <c r="AY10" s="58"/>
      <c r="AZ10" s="64"/>
    </row>
    <row r="11" spans="1:52" ht="18" thickTop="1" thickBot="1" x14ac:dyDescent="0.4">
      <c r="B11" s="28" t="s">
        <v>25</v>
      </c>
      <c r="C11" s="30">
        <f t="shared" ref="C11:G11" si="12">C10/C$3*100</f>
        <v>12.180949473066461</v>
      </c>
      <c r="D11" s="30">
        <f t="shared" si="12"/>
        <v>8.849971864662546</v>
      </c>
      <c r="E11" s="30">
        <f t="shared" si="12"/>
        <v>6.4757674291189433</v>
      </c>
      <c r="F11" s="30">
        <f t="shared" si="12"/>
        <v>5.8548552235150151</v>
      </c>
      <c r="G11" s="30">
        <f t="shared" si="12"/>
        <v>7.1634631955901531</v>
      </c>
      <c r="H11" s="30">
        <f>H10/H$3*100</f>
        <v>6.7324659465787713</v>
      </c>
      <c r="I11" s="31">
        <f>I10/I$3*100</f>
        <v>5.1045652933038346</v>
      </c>
      <c r="J11" s="23">
        <f>AVERAGE(D11:I11)</f>
        <v>6.6968481587948778</v>
      </c>
      <c r="M11" s="1" t="s">
        <v>26</v>
      </c>
      <c r="N11" s="3" t="e">
        <f>'[1]LT Portfolio'!T294</f>
        <v>#REF!</v>
      </c>
      <c r="O11" s="4" t="e">
        <f>N11/N7-1</f>
        <v>#REF!</v>
      </c>
      <c r="W11" s="12" t="s">
        <v>42</v>
      </c>
      <c r="X11" s="13">
        <v>10542895.788000001</v>
      </c>
      <c r="Y11" s="13">
        <v>9701678.2890000008</v>
      </c>
      <c r="Z11" s="13">
        <v>11906298.177999999</v>
      </c>
      <c r="AA11" s="13">
        <v>14457157.645</v>
      </c>
      <c r="AB11" s="13">
        <v>22603748.191</v>
      </c>
      <c r="AC11" s="13">
        <v>38758140.847999997</v>
      </c>
      <c r="AD11" s="13">
        <v>46089111.678000003</v>
      </c>
      <c r="AE11" s="13">
        <v>36972107.276000001</v>
      </c>
      <c r="AF11" s="13">
        <v>28341217.52</v>
      </c>
      <c r="AG11" s="13">
        <v>20639193.050999999</v>
      </c>
      <c r="AH11" s="172">
        <v>19316330.109000001</v>
      </c>
      <c r="AI11" s="13">
        <v>11270365.272</v>
      </c>
      <c r="AJ11" s="13">
        <v>12078112.895</v>
      </c>
      <c r="AK11" s="13">
        <v>10923799.731000001</v>
      </c>
      <c r="AL11" s="13">
        <v>12865457.513</v>
      </c>
      <c r="AM11" s="13"/>
      <c r="AP11" s="70" t="s">
        <v>192</v>
      </c>
      <c r="AQ11" s="62" t="e">
        <f>+AVERAGE(AQ4:AQ10)</f>
        <v>#DIV/0!</v>
      </c>
      <c r="AR11" s="63" t="e">
        <f t="shared" ref="AR11:AZ11" si="13">+AVERAGE(AR4:AR10)</f>
        <v>#DIV/0!</v>
      </c>
      <c r="AS11" s="63" t="e">
        <f t="shared" si="13"/>
        <v>#DIV/0!</v>
      </c>
      <c r="AT11" s="72" t="e">
        <f t="shared" si="13"/>
        <v>#DIV/0!</v>
      </c>
      <c r="AU11" s="65" t="e">
        <f t="shared" si="13"/>
        <v>#DIV/0!</v>
      </c>
      <c r="AV11" s="62" t="e">
        <f t="shared" si="13"/>
        <v>#DIV/0!</v>
      </c>
      <c r="AW11" s="63" t="e">
        <f t="shared" si="13"/>
        <v>#DIV/0!</v>
      </c>
      <c r="AX11" s="63" t="e">
        <f t="shared" si="13"/>
        <v>#DIV/0!</v>
      </c>
      <c r="AY11" s="72" t="e">
        <f t="shared" si="13"/>
        <v>#DIV/0!</v>
      </c>
      <c r="AZ11" s="65" t="e">
        <f t="shared" si="13"/>
        <v>#DIV/0!</v>
      </c>
    </row>
    <row r="12" spans="1:52" ht="18" thickTop="1" thickBot="1" x14ac:dyDescent="0.4">
      <c r="B12" s="28" t="s">
        <v>27</v>
      </c>
      <c r="C12" s="29"/>
      <c r="D12" s="30">
        <f t="shared" ref="D12:I12" si="14">(D10/C10-1)*100</f>
        <v>-9.7431803219931936</v>
      </c>
      <c r="E12" s="30">
        <f t="shared" si="14"/>
        <v>-18.531320581367151</v>
      </c>
      <c r="F12" s="30">
        <f t="shared" si="14"/>
        <v>16.452646866075995</v>
      </c>
      <c r="G12" s="30">
        <f t="shared" si="14"/>
        <v>28.248894264161795</v>
      </c>
      <c r="H12" s="30">
        <f t="shared" si="14"/>
        <v>-10.243671406469712</v>
      </c>
      <c r="I12" s="31">
        <f t="shared" si="14"/>
        <v>18.304989210584964</v>
      </c>
      <c r="J12" s="23">
        <f>AVERAGE(D12:I12)</f>
        <v>4.0813930051654497</v>
      </c>
      <c r="S12" t="s">
        <v>20</v>
      </c>
      <c r="T12" t="s">
        <v>22</v>
      </c>
      <c r="W12" s="12" t="s">
        <v>43</v>
      </c>
      <c r="X12" s="19">
        <f t="shared" ref="X12:AI12" si="15">+X11/X3</f>
        <v>0.21450083002308259</v>
      </c>
      <c r="Y12" s="19">
        <f t="shared" si="15"/>
        <v>0.16761240700517138</v>
      </c>
      <c r="Z12" s="19">
        <f t="shared" si="15"/>
        <v>0.15767315798633016</v>
      </c>
      <c r="AA12" s="19">
        <f t="shared" si="15"/>
        <v>0.15101600351610092</v>
      </c>
      <c r="AB12" s="19">
        <f t="shared" si="15"/>
        <v>0.14927436406875041</v>
      </c>
      <c r="AC12" s="19">
        <f t="shared" si="15"/>
        <v>0.18910642624885909</v>
      </c>
      <c r="AD12" s="19">
        <f t="shared" si="15"/>
        <v>0.19041428471162639</v>
      </c>
      <c r="AE12" s="19">
        <f t="shared" si="15"/>
        <v>0.15720646010293929</v>
      </c>
      <c r="AF12" s="19">
        <f t="shared" si="15"/>
        <v>0.17519622925530065</v>
      </c>
      <c r="AG12" s="19">
        <f t="shared" si="15"/>
        <v>0.21891172815331172</v>
      </c>
      <c r="AH12" s="174">
        <f t="shared" si="15"/>
        <v>0.35012564615874986</v>
      </c>
      <c r="AI12" s="19">
        <f t="shared" si="15"/>
        <v>0.20301521322821278</v>
      </c>
      <c r="AJ12" s="19">
        <f t="shared" ref="AJ12:AK12" si="16">+AJ11/AJ3</f>
        <v>0.19627856871632623</v>
      </c>
      <c r="AK12" s="19">
        <f t="shared" si="16"/>
        <v>0.16334784775974143</v>
      </c>
      <c r="AL12" s="19">
        <f t="shared" ref="AL12:AM12" si="17">+AL11/AL3</f>
        <v>0.1948446870011423</v>
      </c>
      <c r="AM12" s="19" t="e">
        <f t="shared" si="17"/>
        <v>#DIV/0!</v>
      </c>
      <c r="AP12" s="12"/>
      <c r="AQ12" s="12"/>
      <c r="AR12" s="12"/>
      <c r="AS12" s="12"/>
      <c r="AT12" s="12"/>
      <c r="AU12" s="12"/>
      <c r="AV12" s="12"/>
      <c r="AW12" s="12"/>
      <c r="AX12" s="12"/>
      <c r="AY12" s="12"/>
      <c r="AZ12" s="12"/>
    </row>
    <row r="13" spans="1:52" s="73" customFormat="1" ht="18" thickTop="1" thickBot="1" x14ac:dyDescent="0.3">
      <c r="A13" s="6"/>
      <c r="B13" s="187"/>
      <c r="C13" s="188"/>
      <c r="D13" s="188"/>
      <c r="E13" s="188"/>
      <c r="F13" s="188"/>
      <c r="G13" s="188"/>
      <c r="H13" s="188"/>
      <c r="I13" s="41"/>
      <c r="J13" s="5"/>
      <c r="K13" s="6"/>
      <c r="L13" s="6"/>
      <c r="M13" s="1" t="s">
        <v>28</v>
      </c>
      <c r="N13" s="3" t="e">
        <f>SUM(N8:N11)</f>
        <v>#REF!</v>
      </c>
      <c r="O13"/>
      <c r="P13"/>
      <c r="Q13" s="7" t="e">
        <f>N13*J21</f>
        <v>#REF!</v>
      </c>
      <c r="R13"/>
      <c r="S13" s="7">
        <v>19.109573515092499</v>
      </c>
      <c r="T13" s="7">
        <v>18.873652854412345</v>
      </c>
      <c r="U13" s="6"/>
      <c r="V13" s="6"/>
      <c r="W13" s="12"/>
      <c r="X13" s="13"/>
      <c r="Y13" s="13"/>
      <c r="Z13" s="13"/>
      <c r="AA13" s="13"/>
      <c r="AB13" s="13"/>
      <c r="AC13" s="13"/>
      <c r="AD13" s="13"/>
      <c r="AE13" s="13"/>
      <c r="AF13" s="13"/>
      <c r="AG13" s="13"/>
      <c r="AH13" s="172"/>
      <c r="AI13" s="13"/>
      <c r="AJ13" s="13"/>
      <c r="AK13" s="13"/>
      <c r="AL13" s="13"/>
      <c r="AM13" s="13"/>
      <c r="AN13" s="12"/>
      <c r="AO13" s="12"/>
      <c r="AP13" s="12" t="s">
        <v>193</v>
      </c>
      <c r="AQ13" s="12"/>
      <c r="AR13" s="12"/>
      <c r="AS13" s="12"/>
      <c r="AT13" s="58" t="e">
        <f>+$X$1/AT11</f>
        <v>#DIV/0!</v>
      </c>
      <c r="AU13" s="75" t="e">
        <f>+AU11/$X$1</f>
        <v>#DIV/0!</v>
      </c>
      <c r="AV13" s="12"/>
      <c r="AW13" s="12"/>
      <c r="AX13" s="12"/>
      <c r="AY13" s="58" t="e">
        <f>+$X$1/AY11</f>
        <v>#DIV/0!</v>
      </c>
      <c r="AZ13" s="75" t="e">
        <f>+AZ11/$X$1</f>
        <v>#DIV/0!</v>
      </c>
    </row>
    <row r="14" spans="1:52" ht="18" thickTop="1" thickBot="1" x14ac:dyDescent="0.4">
      <c r="B14" s="32" t="s">
        <v>29</v>
      </c>
      <c r="C14" s="33">
        <v>3.24</v>
      </c>
      <c r="D14" s="34">
        <v>2.81</v>
      </c>
      <c r="E14" s="34">
        <v>2.2799999999999998</v>
      </c>
      <c r="F14" s="34">
        <v>2.65</v>
      </c>
      <c r="G14" s="34">
        <v>3.4</v>
      </c>
      <c r="H14" s="34">
        <v>3.04</v>
      </c>
      <c r="I14" s="35">
        <v>3.54</v>
      </c>
      <c r="J14" s="23">
        <f>AVERAGE(D14:I14)</f>
        <v>2.9533333333333331</v>
      </c>
      <c r="M14" s="1" t="s">
        <v>11</v>
      </c>
      <c r="N14" s="2" t="e">
        <f>N2/N13</f>
        <v>#VALUE!</v>
      </c>
      <c r="Q14" s="8" t="e">
        <f>Q13/N2-1</f>
        <v>#REF!</v>
      </c>
      <c r="S14" s="8" t="e">
        <f>S13/N2-1</f>
        <v>#VALUE!</v>
      </c>
      <c r="T14" s="8" t="e">
        <f>T13/N2-1</f>
        <v>#VALUE!</v>
      </c>
      <c r="W14" s="12" t="s">
        <v>17</v>
      </c>
      <c r="X14" s="13">
        <f t="shared" ref="X14:AI14" si="18">+X21-X18</f>
        <v>5530766.0880000005</v>
      </c>
      <c r="Y14" s="13">
        <f t="shared" si="18"/>
        <v>4681029.773</v>
      </c>
      <c r="Z14" s="13">
        <f t="shared" si="18"/>
        <v>4259638.5030000005</v>
      </c>
      <c r="AA14" s="13">
        <f t="shared" si="18"/>
        <v>7923435.3830000004</v>
      </c>
      <c r="AB14" s="13">
        <f t="shared" si="18"/>
        <v>14654371.572000001</v>
      </c>
      <c r="AC14" s="13">
        <f t="shared" si="18"/>
        <v>26569605.463</v>
      </c>
      <c r="AD14" s="13">
        <f t="shared" si="18"/>
        <v>37622295.412</v>
      </c>
      <c r="AE14" s="13">
        <f t="shared" si="18"/>
        <v>24943804.322999999</v>
      </c>
      <c r="AF14" s="13">
        <f t="shared" si="18"/>
        <v>11916880.400999999</v>
      </c>
      <c r="AG14" s="13">
        <f t="shared" si="18"/>
        <v>3883914.111</v>
      </c>
      <c r="AH14" s="172">
        <f t="shared" si="18"/>
        <v>-1172121.9610000001</v>
      </c>
      <c r="AI14" s="13">
        <f t="shared" si="18"/>
        <v>-5331194.2019999996</v>
      </c>
      <c r="AJ14" s="13">
        <f t="shared" ref="AJ14" si="19">+AJ21-AJ18</f>
        <v>-1189274.4310000001</v>
      </c>
      <c r="AK14" s="13">
        <f>+AK21-AK18</f>
        <v>-5051366.3360000001</v>
      </c>
      <c r="AL14" s="13">
        <f>+AL21-AL18</f>
        <v>5258879.2719999999</v>
      </c>
      <c r="AM14" s="13">
        <f t="shared" ref="AM14" si="20">+AM21-AM18</f>
        <v>0</v>
      </c>
    </row>
    <row r="15" spans="1:52" ht="18" thickTop="1" thickBot="1" x14ac:dyDescent="0.4">
      <c r="B15" s="32" t="s">
        <v>30</v>
      </c>
      <c r="C15" s="34">
        <f>1+0.6</f>
        <v>1.6</v>
      </c>
      <c r="D15" s="34">
        <f>1+1.25</f>
        <v>2.25</v>
      </c>
      <c r="E15" s="34">
        <f>0.9+0.7</f>
        <v>1.6</v>
      </c>
      <c r="F15" s="34">
        <f>1.1+0.85</f>
        <v>1.9500000000000002</v>
      </c>
      <c r="G15" s="34">
        <v>1.3</v>
      </c>
      <c r="H15" s="34">
        <f>1.65+1.15</f>
        <v>2.8</v>
      </c>
      <c r="I15" s="35">
        <f>1.5+0.85</f>
        <v>2.35</v>
      </c>
      <c r="J15" s="24"/>
      <c r="R15" s="6"/>
      <c r="S15" s="6"/>
      <c r="W15" s="12" t="s">
        <v>55</v>
      </c>
      <c r="X15" s="19">
        <f t="shared" ref="X15:AI15" si="21">+X14/X3</f>
        <v>0.11252638178306136</v>
      </c>
      <c r="Y15" s="19">
        <f t="shared" si="21"/>
        <v>8.087246805586186E-2</v>
      </c>
      <c r="Z15" s="19">
        <f t="shared" si="21"/>
        <v>5.6409695491180238E-2</v>
      </c>
      <c r="AA15" s="19">
        <f t="shared" si="21"/>
        <v>8.2766306838506262E-2</v>
      </c>
      <c r="AB15" s="19">
        <f t="shared" si="21"/>
        <v>9.6776958350140677E-2</v>
      </c>
      <c r="AC15" s="19">
        <f t="shared" si="21"/>
        <v>0.12963684598946307</v>
      </c>
      <c r="AD15" s="19">
        <f t="shared" si="21"/>
        <v>0.15543416241422234</v>
      </c>
      <c r="AE15" s="19">
        <f t="shared" si="21"/>
        <v>0.10606177110344767</v>
      </c>
      <c r="AF15" s="19">
        <f t="shared" si="21"/>
        <v>7.3666295714651955E-2</v>
      </c>
      <c r="AG15" s="19">
        <f t="shared" si="21"/>
        <v>4.119513529124378E-2</v>
      </c>
      <c r="AH15" s="174">
        <f t="shared" si="21"/>
        <v>-2.1245751996171066E-2</v>
      </c>
      <c r="AI15" s="19">
        <f t="shared" si="21"/>
        <v>-9.6031805674385032E-2</v>
      </c>
      <c r="AJ15" s="19">
        <f t="shared" ref="AJ15:AK15" si="22">+AJ14/AJ3</f>
        <v>-1.9326618748880583E-2</v>
      </c>
      <c r="AK15" s="19">
        <f t="shared" si="22"/>
        <v>-7.5535055525599221E-2</v>
      </c>
      <c r="AL15" s="19">
        <f t="shared" ref="AL15:AM15" si="23">+AL14/AL3</f>
        <v>7.9644636398997451E-2</v>
      </c>
      <c r="AM15" s="19" t="e">
        <f t="shared" si="23"/>
        <v>#DIV/0!</v>
      </c>
      <c r="AN15" s="12">
        <f>+AN3*0.06</f>
        <v>30000</v>
      </c>
    </row>
    <row r="16" spans="1:52" ht="18" thickTop="1" thickBot="1" x14ac:dyDescent="0.4">
      <c r="B16" s="32" t="s">
        <v>8</v>
      </c>
      <c r="C16" s="34">
        <v>31.7</v>
      </c>
      <c r="D16" s="34">
        <v>37</v>
      </c>
      <c r="E16" s="34">
        <v>31.9</v>
      </c>
      <c r="F16" s="34">
        <v>30.4</v>
      </c>
      <c r="G16" s="34">
        <v>23.3</v>
      </c>
      <c r="H16" s="34">
        <v>40</v>
      </c>
      <c r="I16" s="35">
        <v>39.799999999999997</v>
      </c>
      <c r="J16" s="22">
        <f>((I16/D16)^(1/5)-1)*100</f>
        <v>1.4696750556643323</v>
      </c>
      <c r="W16" s="12" t="s">
        <v>201</v>
      </c>
      <c r="X16" s="19">
        <f t="shared" ref="X16:AH16" si="24">+X14/X11</f>
        <v>0.52459648650754553</v>
      </c>
      <c r="Y16" s="19">
        <f t="shared" si="24"/>
        <v>0.48249690760282843</v>
      </c>
      <c r="Z16" s="19">
        <f t="shared" si="24"/>
        <v>0.35776346596718006</v>
      </c>
      <c r="AA16" s="19">
        <f t="shared" si="24"/>
        <v>0.54806315166247888</v>
      </c>
      <c r="AB16" s="19">
        <f t="shared" si="24"/>
        <v>0.64831599822169517</v>
      </c>
      <c r="AC16" s="19">
        <f t="shared" si="24"/>
        <v>0.68552321864971622</v>
      </c>
      <c r="AD16" s="19">
        <f t="shared" si="24"/>
        <v>0.81629465273374924</v>
      </c>
      <c r="AE16" s="19">
        <f t="shared" si="24"/>
        <v>0.67466547515921471</v>
      </c>
      <c r="AF16" s="19">
        <f t="shared" si="24"/>
        <v>0.42047877415959367</v>
      </c>
      <c r="AG16" s="19">
        <f t="shared" si="24"/>
        <v>0.18818149049736316</v>
      </c>
      <c r="AH16" s="174">
        <f t="shared" si="24"/>
        <v>-6.0680364975429613E-2</v>
      </c>
      <c r="AI16" s="19">
        <f>+AI14/AI11</f>
        <v>-0.47302763249783691</v>
      </c>
      <c r="AJ16" s="19">
        <f t="shared" ref="AJ16:AK16" si="25">+AJ14/AJ11</f>
        <v>-9.8465252091850072E-2</v>
      </c>
      <c r="AK16" s="19">
        <f t="shared" si="25"/>
        <v>-0.46241843135086308</v>
      </c>
      <c r="AL16" s="19">
        <f t="shared" ref="AL16:AM16" si="26">+AL14/AL11</f>
        <v>0.40875960040178322</v>
      </c>
      <c r="AM16" s="19" t="e">
        <f t="shared" si="26"/>
        <v>#DIV/0!</v>
      </c>
    </row>
    <row r="17" spans="2:43" ht="18" thickTop="1" thickBot="1" x14ac:dyDescent="0.4">
      <c r="B17" s="32" t="s">
        <v>31</v>
      </c>
      <c r="C17" s="34">
        <v>14.6</v>
      </c>
      <c r="D17" s="34">
        <v>16</v>
      </c>
      <c r="E17" s="34">
        <v>16.7</v>
      </c>
      <c r="F17" s="34">
        <v>19.8</v>
      </c>
      <c r="G17" s="34">
        <v>22.3</v>
      </c>
      <c r="H17" s="34">
        <v>25</v>
      </c>
      <c r="I17" s="35">
        <v>39.4</v>
      </c>
      <c r="J17" s="22">
        <f>((I17/D17)^(1/6)-1)*100</f>
        <v>16.206219645289856</v>
      </c>
    </row>
    <row r="18" spans="2:43" ht="18" thickTop="1" thickBot="1" x14ac:dyDescent="0.4">
      <c r="B18" s="32" t="s">
        <v>32</v>
      </c>
      <c r="C18" s="36">
        <f t="shared" ref="C18:G18" si="27">C14/AVERAGE(B17:C17)*100</f>
        <v>22.19178082191781</v>
      </c>
      <c r="D18" s="36">
        <f t="shared" si="27"/>
        <v>18.366013071895424</v>
      </c>
      <c r="E18" s="36">
        <f t="shared" si="27"/>
        <v>13.944954128440365</v>
      </c>
      <c r="F18" s="36">
        <f t="shared" si="27"/>
        <v>14.520547945205479</v>
      </c>
      <c r="G18" s="36">
        <f t="shared" si="27"/>
        <v>16.152019002375294</v>
      </c>
      <c r="H18" s="36">
        <f>H14/AVERAGE(G17:H17)*100</f>
        <v>12.854122621564482</v>
      </c>
      <c r="I18" s="37">
        <f>I14/AVERAGE(H17:I17)*100</f>
        <v>10.993788819875776</v>
      </c>
      <c r="J18" s="23">
        <f>AVERAGE(D18:I18)</f>
        <v>14.471907598226137</v>
      </c>
      <c r="M18" s="9" t="s">
        <v>33</v>
      </c>
      <c r="N18" s="6"/>
      <c r="O18" s="6"/>
      <c r="P18" s="6"/>
      <c r="Q18" s="6"/>
      <c r="W18" s="12" t="s">
        <v>44</v>
      </c>
      <c r="X18" s="13">
        <f>14046.083-93564.028</f>
        <v>-79517.945000000007</v>
      </c>
      <c r="Y18" s="13">
        <f>19995.868-92312.269</f>
        <v>-72316.400999999998</v>
      </c>
      <c r="Z18" s="13">
        <f>19256.91-77144.832</f>
        <v>-57887.921999999991</v>
      </c>
      <c r="AA18" s="13">
        <f>25284.486-97308.781</f>
        <v>-72024.294999999998</v>
      </c>
      <c r="AB18" s="13">
        <f>14326.699-195923.589</f>
        <v>-181596.89</v>
      </c>
      <c r="AC18" s="13">
        <f>27907.555-400522.274</f>
        <v>-372614.71899999998</v>
      </c>
      <c r="AD18" s="13">
        <f>20456.56-568970.619</f>
        <v>-548514.05899999989</v>
      </c>
      <c r="AE18" s="13">
        <f>40333.511-552310.647</f>
        <v>-511977.136</v>
      </c>
      <c r="AF18" s="13">
        <f>72688.443-607942.541</f>
        <v>-535254.098</v>
      </c>
      <c r="AG18" s="13">
        <f>246581.159-278225.441</f>
        <v>-31644.281999999977</v>
      </c>
      <c r="AH18" s="172">
        <f>343225.57-321243.838</f>
        <v>21981.732000000018</v>
      </c>
      <c r="AI18" s="13">
        <f>565604.637-378552.916</f>
        <v>187051.72099999996</v>
      </c>
      <c r="AJ18" s="13">
        <f>617282.892-430827.913</f>
        <v>186454.97899999999</v>
      </c>
      <c r="AK18" s="13">
        <f>559517.652-394333.748</f>
        <v>165183.90399999998</v>
      </c>
      <c r="AL18" s="13">
        <f>509523.115-379296.838</f>
        <v>130226.277</v>
      </c>
      <c r="AM18" s="13"/>
    </row>
    <row r="19" spans="2:43" ht="18" thickTop="1" thickBot="1" x14ac:dyDescent="0.4">
      <c r="B19" s="32" t="s">
        <v>34</v>
      </c>
      <c r="C19" s="30">
        <f t="shared" ref="C19:G19" si="28">C15/C16*100</f>
        <v>5.0473186119873823</v>
      </c>
      <c r="D19" s="30">
        <f t="shared" si="28"/>
        <v>6.0810810810810816</v>
      </c>
      <c r="E19" s="30">
        <f t="shared" si="28"/>
        <v>5.015673981191223</v>
      </c>
      <c r="F19" s="30">
        <f t="shared" si="28"/>
        <v>6.4144736842105265</v>
      </c>
      <c r="G19" s="30">
        <f t="shared" si="28"/>
        <v>5.5793991416309012</v>
      </c>
      <c r="H19" s="30">
        <f>H15/H16*100</f>
        <v>6.9999999999999991</v>
      </c>
      <c r="I19" s="31">
        <f>I15/I16*100</f>
        <v>5.9045226130653274</v>
      </c>
      <c r="J19" s="23">
        <f>AVERAGE(D19:I19)</f>
        <v>5.99919175019651</v>
      </c>
      <c r="W19" s="12" t="s">
        <v>45</v>
      </c>
      <c r="X19" s="15">
        <f t="shared" ref="X19:AI19" si="29">+X18/X14</f>
        <v>-1.4377383482647839E-2</v>
      </c>
      <c r="Y19" s="15">
        <f t="shared" si="29"/>
        <v>-1.5448823123731924E-2</v>
      </c>
      <c r="Z19" s="15">
        <f t="shared" si="29"/>
        <v>-1.3589867299591357E-2</v>
      </c>
      <c r="AA19" s="15">
        <f t="shared" si="29"/>
        <v>-9.0900337440159573E-3</v>
      </c>
      <c r="AB19" s="15">
        <f t="shared" si="29"/>
        <v>-1.239199436890053E-2</v>
      </c>
      <c r="AC19" s="15">
        <f t="shared" si="29"/>
        <v>-1.4024096801847193E-2</v>
      </c>
      <c r="AD19" s="15">
        <f t="shared" si="29"/>
        <v>-1.457949476482623E-2</v>
      </c>
      <c r="AE19" s="15">
        <f t="shared" si="29"/>
        <v>-2.0525222591163447E-2</v>
      </c>
      <c r="AF19" s="15">
        <f t="shared" si="29"/>
        <v>-4.49156222089033E-2</v>
      </c>
      <c r="AG19" s="15">
        <f t="shared" si="29"/>
        <v>-8.1475236309621821E-3</v>
      </c>
      <c r="AH19" s="175">
        <f t="shared" si="29"/>
        <v>-1.8753792464775786E-2</v>
      </c>
      <c r="AI19" s="15">
        <f t="shared" si="29"/>
        <v>-3.508627033879716E-2</v>
      </c>
      <c r="AJ19" s="15">
        <f t="shared" ref="AJ19:AK19" si="30">+AJ18/AJ14</f>
        <v>-0.15678044876758976</v>
      </c>
      <c r="AK19" s="15">
        <f t="shared" si="30"/>
        <v>-3.2700836370304381E-2</v>
      </c>
      <c r="AL19" s="15">
        <f>+AL18/AL14</f>
        <v>2.4763123522033956E-2</v>
      </c>
      <c r="AM19" s="15" t="e">
        <f t="shared" ref="AM19" si="31">+AM18/AM14</f>
        <v>#DIV/0!</v>
      </c>
    </row>
    <row r="20" spans="2:43" ht="18" thickTop="1" thickBot="1" x14ac:dyDescent="0.4">
      <c r="B20" s="32" t="s">
        <v>35</v>
      </c>
      <c r="C20" s="30">
        <f t="shared" ref="C20:G20" si="32">C15/C14*100</f>
        <v>49.382716049382715</v>
      </c>
      <c r="D20" s="30">
        <f t="shared" si="32"/>
        <v>80.071174377224196</v>
      </c>
      <c r="E20" s="30">
        <f t="shared" si="32"/>
        <v>70.175438596491233</v>
      </c>
      <c r="F20" s="30">
        <f t="shared" si="32"/>
        <v>73.584905660377359</v>
      </c>
      <c r="G20" s="30">
        <f t="shared" si="32"/>
        <v>38.235294117647065</v>
      </c>
      <c r="H20" s="30">
        <f>H15/H14*100</f>
        <v>92.10526315789474</v>
      </c>
      <c r="I20" s="31">
        <f>I15/I14*100</f>
        <v>66.384180790960457</v>
      </c>
      <c r="J20" s="23">
        <f>AVERAGE(D20:I20)</f>
        <v>70.092709450099179</v>
      </c>
      <c r="M20" t="s">
        <v>36</v>
      </c>
      <c r="N20" s="4" t="e">
        <f>N13/H14-1</f>
        <v>#REF!</v>
      </c>
    </row>
    <row r="21" spans="2:43" ht="18" thickTop="1" thickBot="1" x14ac:dyDescent="0.4">
      <c r="B21" s="32" t="s">
        <v>11</v>
      </c>
      <c r="C21" s="38">
        <f t="shared" ref="C21:G21" si="33">C16/C14</f>
        <v>9.7839506172839492</v>
      </c>
      <c r="D21" s="38">
        <f t="shared" si="33"/>
        <v>13.167259786476867</v>
      </c>
      <c r="E21" s="38">
        <f t="shared" si="33"/>
        <v>13.991228070175438</v>
      </c>
      <c r="F21" s="38">
        <f t="shared" si="33"/>
        <v>11.471698113207546</v>
      </c>
      <c r="G21" s="38">
        <f t="shared" si="33"/>
        <v>6.8529411764705888</v>
      </c>
      <c r="H21" s="38">
        <f>H16/H14</f>
        <v>13.157894736842104</v>
      </c>
      <c r="I21" s="39">
        <f>I16/I14</f>
        <v>11.242937853107344</v>
      </c>
      <c r="J21" s="23">
        <f>AVERAGE(D21:I21)</f>
        <v>11.647326622713315</v>
      </c>
      <c r="W21" s="12" t="s">
        <v>21</v>
      </c>
      <c r="X21" s="13">
        <v>5451248.1430000002</v>
      </c>
      <c r="Y21" s="13">
        <v>4608713.3720000004</v>
      </c>
      <c r="Z21" s="13">
        <v>4201750.5810000002</v>
      </c>
      <c r="AA21" s="13">
        <v>7851411.0880000005</v>
      </c>
      <c r="AB21" s="13">
        <v>14472774.682</v>
      </c>
      <c r="AC21" s="13">
        <v>26196990.743999999</v>
      </c>
      <c r="AD21" s="13">
        <v>37073781.353</v>
      </c>
      <c r="AE21" s="13">
        <v>24431827.186999999</v>
      </c>
      <c r="AF21" s="13">
        <v>11381626.302999999</v>
      </c>
      <c r="AG21" s="13">
        <v>3852269.8289999999</v>
      </c>
      <c r="AH21" s="172">
        <v>-1150140.2290000001</v>
      </c>
      <c r="AI21" s="13">
        <v>-5144142.4809999997</v>
      </c>
      <c r="AJ21" s="13">
        <v>-1002819.452</v>
      </c>
      <c r="AK21" s="13">
        <v>-4886182.432</v>
      </c>
      <c r="AL21" s="13">
        <v>5389105.5489999996</v>
      </c>
      <c r="AM21" s="13"/>
      <c r="AN21" s="12">
        <v>41000</v>
      </c>
    </row>
    <row r="22" spans="2:43" ht="18" thickTop="1" thickBot="1" x14ac:dyDescent="0.4">
      <c r="B22" s="32" t="s">
        <v>37</v>
      </c>
      <c r="C22" s="38">
        <f t="shared" ref="C22:G22" si="34">C16/C17</f>
        <v>2.1712328767123288</v>
      </c>
      <c r="D22" s="38">
        <f t="shared" si="34"/>
        <v>2.3125</v>
      </c>
      <c r="E22" s="38">
        <f t="shared" si="34"/>
        <v>1.9101796407185629</v>
      </c>
      <c r="F22" s="38">
        <f t="shared" si="34"/>
        <v>1.5353535353535352</v>
      </c>
      <c r="G22" s="38">
        <f t="shared" si="34"/>
        <v>1.0448430493273542</v>
      </c>
      <c r="H22" s="38">
        <f>H16/H17</f>
        <v>1.6</v>
      </c>
      <c r="I22" s="39">
        <f>I16/I17</f>
        <v>1.0101522842639594</v>
      </c>
      <c r="J22" s="23">
        <f>AVERAGE(D22:I22)</f>
        <v>1.5688380849439021</v>
      </c>
      <c r="W22" s="12" t="s">
        <v>46</v>
      </c>
      <c r="X22" s="19">
        <f t="shared" ref="X22:AI22" si="35">+X21/X3</f>
        <v>0.11090854684025143</v>
      </c>
      <c r="Y22" s="19">
        <f t="shared" si="35"/>
        <v>7.9623083601287184E-2</v>
      </c>
      <c r="Z22" s="19">
        <f t="shared" si="35"/>
        <v>5.5643095215044736E-2</v>
      </c>
      <c r="AA22" s="19">
        <f t="shared" si="35"/>
        <v>8.2013958316476662E-2</v>
      </c>
      <c r="AB22" s="19">
        <f t="shared" si="35"/>
        <v>9.5577698827226401E-2</v>
      </c>
      <c r="AC22" s="19">
        <f t="shared" si="35"/>
        <v>0.12781880631222067</v>
      </c>
      <c r="AD22" s="19">
        <f t="shared" si="35"/>
        <v>0.15316801085702902</v>
      </c>
      <c r="AE22" s="19">
        <f t="shared" si="35"/>
        <v>0.10388482964313638</v>
      </c>
      <c r="AF22" s="19">
        <f t="shared" si="35"/>
        <v>7.0357528206803299E-2</v>
      </c>
      <c r="AG22" s="19">
        <f t="shared" si="35"/>
        <v>4.0859496952977685E-2</v>
      </c>
      <c r="AH22" s="174">
        <f t="shared" si="35"/>
        <v>-2.0847313572476777E-2</v>
      </c>
      <c r="AI22" s="19">
        <f t="shared" si="35"/>
        <v>-9.2662407779370723E-2</v>
      </c>
      <c r="AJ22" s="19">
        <f t="shared" ref="AJ22:AK22" si="36">+AJ21/AJ3</f>
        <v>-1.629658278827097E-2</v>
      </c>
      <c r="AK22" s="19">
        <f t="shared" si="36"/>
        <v>-7.3064996034634747E-2</v>
      </c>
      <c r="AL22" s="19">
        <f t="shared" ref="AL22:AM22" si="37">+AL21/AL3</f>
        <v>8.16168863680133E-2</v>
      </c>
      <c r="AM22" s="19" t="e">
        <f t="shared" si="37"/>
        <v>#DIV/0!</v>
      </c>
      <c r="AQ22" s="144"/>
    </row>
    <row r="23" spans="2:43" ht="15.75" thickTop="1" x14ac:dyDescent="0.25"/>
    <row r="24" spans="2:43" x14ac:dyDescent="0.25">
      <c r="G24" s="10">
        <v>701.95658000000003</v>
      </c>
      <c r="H24" s="10">
        <v>709.32254499999999</v>
      </c>
      <c r="I24" s="10">
        <v>716.73997499999996</v>
      </c>
      <c r="W24" s="12" t="s">
        <v>47</v>
      </c>
      <c r="X24" s="13">
        <v>-906239.68299999996</v>
      </c>
      <c r="Y24" s="13">
        <v>-48326.732000000004</v>
      </c>
      <c r="Z24" s="13">
        <v>-181281.19500000001</v>
      </c>
      <c r="AA24" s="13">
        <v>-1549103.5959999999</v>
      </c>
      <c r="AB24" s="13">
        <v>-2393470.7379999999</v>
      </c>
      <c r="AC24" s="13">
        <v>-3144086.8810000001</v>
      </c>
      <c r="AD24" s="13">
        <v>-5716575.3039999995</v>
      </c>
      <c r="AE24" s="13">
        <v>-4279785.0659999996</v>
      </c>
      <c r="AF24" s="13">
        <v>-2323045.8879999998</v>
      </c>
      <c r="AG24" s="13">
        <v>-841324.54599999997</v>
      </c>
      <c r="AH24" s="172">
        <v>-21268.936000000002</v>
      </c>
      <c r="AI24" s="13">
        <v>-541465.13800000004</v>
      </c>
      <c r="AJ24" s="13">
        <v>-500885.66600000003</v>
      </c>
      <c r="AK24" s="13">
        <v>-278108.17599999998</v>
      </c>
      <c r="AL24" s="13">
        <v>49451.02</v>
      </c>
      <c r="AM24" s="13"/>
    </row>
    <row r="25" spans="2:43" x14ac:dyDescent="0.25">
      <c r="G25">
        <f>+G10/G24</f>
        <v>3.3959137472577008</v>
      </c>
      <c r="H25">
        <f>+H10/H24</f>
        <v>3.0163950308388974</v>
      </c>
      <c r="I25">
        <f>+I10/I24</f>
        <v>3.5316154927733732</v>
      </c>
      <c r="M25" s="10"/>
      <c r="W25" s="12" t="s">
        <v>48</v>
      </c>
      <c r="X25" s="14">
        <f t="shared" ref="X25:AI25" si="38">+X24/X21</f>
        <v>-0.16624443782910728</v>
      </c>
      <c r="Y25" s="14">
        <f t="shared" si="38"/>
        <v>-1.0485948701780103E-2</v>
      </c>
      <c r="Z25" s="14">
        <f t="shared" si="38"/>
        <v>-4.3144206564697085E-2</v>
      </c>
      <c r="AA25" s="14">
        <f t="shared" si="38"/>
        <v>-0.19730257130054377</v>
      </c>
      <c r="AB25" s="14">
        <f t="shared" si="38"/>
        <v>-0.1653774615158484</v>
      </c>
      <c r="AC25" s="14">
        <f t="shared" si="38"/>
        <v>-0.12001710088476872</v>
      </c>
      <c r="AD25" s="14">
        <f t="shared" si="38"/>
        <v>-0.15419455732258117</v>
      </c>
      <c r="AE25" s="14">
        <f t="shared" si="38"/>
        <v>-0.17517253348440687</v>
      </c>
      <c r="AF25" s="14">
        <f t="shared" si="38"/>
        <v>-0.2041049166574451</v>
      </c>
      <c r="AG25" s="14">
        <f t="shared" si="38"/>
        <v>-0.21839709660691059</v>
      </c>
      <c r="AH25" s="176">
        <f t="shared" si="38"/>
        <v>1.8492472016644852E-2</v>
      </c>
      <c r="AI25" s="14">
        <f t="shared" si="38"/>
        <v>0.1052585809976907</v>
      </c>
      <c r="AJ25" s="14">
        <f t="shared" ref="AJ25:AK25" si="39">+AJ24/AJ21</f>
        <v>0.49947741340781254</v>
      </c>
      <c r="AK25" s="14">
        <f t="shared" si="39"/>
        <v>5.6917272302124303E-2</v>
      </c>
      <c r="AL25" s="14">
        <f t="shared" ref="AL25:AM25" si="40">+AL24/AL21</f>
        <v>9.1761090129652608E-3</v>
      </c>
      <c r="AM25" s="14" t="e">
        <f t="shared" si="40"/>
        <v>#DIV/0!</v>
      </c>
    </row>
    <row r="26" spans="2:43" x14ac:dyDescent="0.25">
      <c r="M26" s="10"/>
      <c r="X26" s="14"/>
      <c r="Y26" s="14"/>
      <c r="Z26" s="14"/>
      <c r="AA26" s="14"/>
      <c r="AB26" s="14"/>
      <c r="AC26" s="14"/>
      <c r="AD26" s="14"/>
      <c r="AE26" s="14"/>
      <c r="AF26" s="14"/>
      <c r="AG26" s="14"/>
      <c r="AH26" s="176"/>
      <c r="AI26" s="14"/>
      <c r="AJ26" s="14"/>
      <c r="AK26" s="14"/>
      <c r="AL26" s="14"/>
      <c r="AM26" s="14"/>
    </row>
    <row r="27" spans="2:43" x14ac:dyDescent="0.25">
      <c r="W27" s="12" t="s">
        <v>74</v>
      </c>
      <c r="X27" s="13">
        <v>13176.566000000001</v>
      </c>
      <c r="Y27" s="13">
        <v>9229.5339999999997</v>
      </c>
      <c r="Z27" s="13">
        <v>21205.007000000001</v>
      </c>
      <c r="AA27" s="13">
        <v>15906.232</v>
      </c>
      <c r="AB27" s="13">
        <v>19066.169999999998</v>
      </c>
      <c r="AC27" s="13">
        <v>11660.245999999999</v>
      </c>
      <c r="AD27" s="13">
        <v>2557.3960000000002</v>
      </c>
      <c r="AE27" s="13">
        <v>-2804.3939999999998</v>
      </c>
      <c r="AF27" s="13">
        <v>79856.285000000003</v>
      </c>
      <c r="AG27" s="13">
        <v>21266.113000000001</v>
      </c>
      <c r="AH27" s="172">
        <v>13705.965</v>
      </c>
      <c r="AI27" s="13">
        <v>10523.929</v>
      </c>
      <c r="AJ27" s="13">
        <v>12545.662</v>
      </c>
      <c r="AK27" s="13">
        <v>-5019.8230000000003</v>
      </c>
      <c r="AL27" s="13">
        <v>1398.41</v>
      </c>
      <c r="AM27" s="13"/>
    </row>
    <row r="29" spans="2:43" x14ac:dyDescent="0.25">
      <c r="M29" s="10"/>
      <c r="W29" s="12" t="s">
        <v>49</v>
      </c>
      <c r="X29" s="13">
        <f t="shared" ref="X29:AH29" si="41">+X21+X24-X27</f>
        <v>4531831.8940000003</v>
      </c>
      <c r="Y29" s="13">
        <f t="shared" si="41"/>
        <v>4551157.1060000006</v>
      </c>
      <c r="Z29" s="13">
        <f t="shared" si="41"/>
        <v>3999264.3790000002</v>
      </c>
      <c r="AA29" s="13">
        <f t="shared" si="41"/>
        <v>6286401.2600000007</v>
      </c>
      <c r="AB29" s="13">
        <f t="shared" si="41"/>
        <v>12060237.774</v>
      </c>
      <c r="AC29" s="13">
        <f t="shared" si="41"/>
        <v>23041243.616999999</v>
      </c>
      <c r="AD29" s="13">
        <f t="shared" si="41"/>
        <v>31354648.653000001</v>
      </c>
      <c r="AE29" s="13">
        <f t="shared" si="41"/>
        <v>20154846.515000001</v>
      </c>
      <c r="AF29" s="13">
        <f t="shared" si="41"/>
        <v>8978724.129999999</v>
      </c>
      <c r="AG29" s="13">
        <f t="shared" si="41"/>
        <v>2989679.17</v>
      </c>
      <c r="AH29" s="172">
        <f t="shared" si="41"/>
        <v>-1185115.1300000001</v>
      </c>
      <c r="AI29" s="13">
        <f>+AI21+AI24-AI27</f>
        <v>-5696131.5479999995</v>
      </c>
      <c r="AJ29" s="13">
        <f t="shared" ref="AJ29:AK29" si="42">+AJ21+AJ24-AJ27</f>
        <v>-1516250.78</v>
      </c>
      <c r="AK29" s="13">
        <f t="shared" si="42"/>
        <v>-5159270.7850000001</v>
      </c>
      <c r="AL29" s="13">
        <f t="shared" ref="AL29:AM29" si="43">+AL21+AL24-AL27</f>
        <v>5437158.1589999991</v>
      </c>
      <c r="AM29" s="13">
        <f t="shared" si="43"/>
        <v>0</v>
      </c>
    </row>
    <row r="30" spans="2:43" x14ac:dyDescent="0.25">
      <c r="M30" s="10"/>
      <c r="W30" s="12" t="s">
        <v>25</v>
      </c>
      <c r="X30" s="19">
        <f t="shared" ref="X30:AI30" si="44">+X29/X3</f>
        <v>9.2202533567154188E-2</v>
      </c>
      <c r="Y30" s="19">
        <f t="shared" si="44"/>
        <v>7.8628704691255921E-2</v>
      </c>
      <c r="Z30" s="19">
        <f t="shared" si="44"/>
        <v>5.2961603584254675E-2</v>
      </c>
      <c r="AA30" s="19">
        <f t="shared" si="44"/>
        <v>6.5666240771201145E-2</v>
      </c>
      <c r="AB30" s="19">
        <f t="shared" si="44"/>
        <v>7.9645389296478741E-2</v>
      </c>
      <c r="AC30" s="19">
        <f t="shared" si="44"/>
        <v>0.11242147175810804</v>
      </c>
      <c r="AD30" s="19">
        <f t="shared" si="44"/>
        <v>0.12953977150519111</v>
      </c>
      <c r="AE30" s="19">
        <f t="shared" si="44"/>
        <v>8.5698985207640244E-2</v>
      </c>
      <c r="AF30" s="19">
        <f t="shared" si="44"/>
        <v>5.550356508112287E-2</v>
      </c>
      <c r="AG30" s="19">
        <f t="shared" si="44"/>
        <v>3.1710340230426223E-2</v>
      </c>
      <c r="AH30" s="174">
        <f t="shared" si="44"/>
        <v>-2.1481264728978173E-2</v>
      </c>
      <c r="AI30" s="19">
        <f t="shared" si="44"/>
        <v>-0.1026054908500724</v>
      </c>
      <c r="AJ30" s="19">
        <f t="shared" ref="AJ30:AK30" si="45">+AJ29/AJ3</f>
        <v>-2.4640234405874317E-2</v>
      </c>
      <c r="AK30" s="19">
        <f t="shared" si="45"/>
        <v>-7.7148592934000365E-2</v>
      </c>
      <c r="AL30" s="19">
        <f t="shared" ref="AL30:AM30" si="46">+AL29/AL3</f>
        <v>8.2344633185067975E-2</v>
      </c>
      <c r="AM30" s="19" t="e">
        <f t="shared" si="46"/>
        <v>#DIV/0!</v>
      </c>
    </row>
    <row r="32" spans="2:43" x14ac:dyDescent="0.25">
      <c r="W32" s="12" t="s">
        <v>29</v>
      </c>
      <c r="X32" s="16">
        <f t="shared" ref="X32:AI32" si="47">+X29/X47</f>
        <v>2.3181733701976812</v>
      </c>
      <c r="Y32" s="16">
        <f t="shared" si="47"/>
        <v>2.3280588189256313</v>
      </c>
      <c r="Z32" s="16">
        <f t="shared" si="47"/>
        <v>2.045748474486103</v>
      </c>
      <c r="AA32" s="16">
        <f t="shared" si="47"/>
        <v>3.2156903292470522</v>
      </c>
      <c r="AB32" s="16">
        <f t="shared" si="47"/>
        <v>6.1691878030502609</v>
      </c>
      <c r="AC32" s="16">
        <f t="shared" si="47"/>
        <v>11.786314810106832</v>
      </c>
      <c r="AD32" s="16">
        <f t="shared" si="47"/>
        <v>16.038880796863292</v>
      </c>
      <c r="AE32" s="16">
        <f t="shared" si="47"/>
        <v>10.30983266024354</v>
      </c>
      <c r="AF32" s="16">
        <f t="shared" si="47"/>
        <v>4.5928974558996165</v>
      </c>
      <c r="AG32" s="16">
        <f t="shared" si="47"/>
        <v>1.5293141492085334</v>
      </c>
      <c r="AH32" s="177">
        <f t="shared" si="47"/>
        <v>-0.60622335497962831</v>
      </c>
      <c r="AI32" s="16">
        <f t="shared" si="47"/>
        <v>-2.9137489599292037</v>
      </c>
      <c r="AJ32" s="16">
        <f t="shared" ref="AJ32:AK32" si="48">+AJ29/AJ47</f>
        <v>-0.77560956870247555</v>
      </c>
      <c r="AK32" s="16">
        <f t="shared" si="48"/>
        <v>-2.6391279339510927</v>
      </c>
      <c r="AL32" s="16">
        <f t="shared" ref="AL32:AM32" si="49">+AL29/AL47</f>
        <v>2.7812759935853983</v>
      </c>
      <c r="AM32" s="16">
        <f t="shared" si="49"/>
        <v>0</v>
      </c>
    </row>
    <row r="33" spans="23:42" x14ac:dyDescent="0.25">
      <c r="W33" s="12" t="s">
        <v>40</v>
      </c>
      <c r="AA33" s="17"/>
      <c r="AB33" s="18">
        <f t="shared" ref="AB33:AG33" si="50">+AB32/X32-1</f>
        <v>1.6612279661051348</v>
      </c>
      <c r="AC33" s="18">
        <f t="shared" si="50"/>
        <v>4.0627220903061474</v>
      </c>
      <c r="AD33" s="18">
        <f t="shared" si="50"/>
        <v>6.840103999536062</v>
      </c>
      <c r="AE33" s="18">
        <f t="shared" si="50"/>
        <v>2.2061024553497872</v>
      </c>
      <c r="AF33" s="18">
        <f t="shared" si="50"/>
        <v>-0.2555101899104566</v>
      </c>
      <c r="AG33" s="18">
        <f t="shared" si="50"/>
        <v>-0.87024662298200806</v>
      </c>
      <c r="AH33" s="173">
        <f>+AH32/AD32-1</f>
        <v>-1.0377971108244777</v>
      </c>
      <c r="AI33" s="18">
        <f>+AI32/AE32-1</f>
        <v>-1.2826184532718083</v>
      </c>
      <c r="AJ33" s="18">
        <f t="shared" ref="AJ33:AM33" si="51">+AJ32/AF32-1</f>
        <v>-1.1688715187198875</v>
      </c>
      <c r="AK33" s="18">
        <f t="shared" si="51"/>
        <v>-2.7256937924212119</v>
      </c>
      <c r="AL33" s="18">
        <f t="shared" si="51"/>
        <v>-5.5878733815507013</v>
      </c>
      <c r="AM33" s="18">
        <f t="shared" si="51"/>
        <v>-1</v>
      </c>
      <c r="AO33" s="14">
        <f>+AVERAGE(X36:AK36)</f>
        <v>0.50793182391160197</v>
      </c>
      <c r="AP33" s="50" t="s">
        <v>88</v>
      </c>
    </row>
    <row r="34" spans="23:42" x14ac:dyDescent="0.25">
      <c r="W34" s="12" t="s">
        <v>41</v>
      </c>
      <c r="Y34" s="18">
        <f t="shared" ref="Y34:AD34" si="52">+Y32/X32-1</f>
        <v>4.2643267561592868E-3</v>
      </c>
      <c r="Z34" s="18">
        <f t="shared" si="52"/>
        <v>-0.12126426623954922</v>
      </c>
      <c r="AA34" s="18">
        <f t="shared" si="52"/>
        <v>0.57188939371192316</v>
      </c>
      <c r="AB34" s="18">
        <f t="shared" si="52"/>
        <v>0.91846451971473408</v>
      </c>
      <c r="AC34" s="18">
        <f t="shared" si="52"/>
        <v>0.91051321282183495</v>
      </c>
      <c r="AD34" s="18">
        <f t="shared" si="52"/>
        <v>0.36080539636611952</v>
      </c>
      <c r="AE34" s="18">
        <f t="shared" ref="AE34:AM34" si="53">+AE32/AD32-1</f>
        <v>-0.35719750082188884</v>
      </c>
      <c r="AF34" s="18">
        <f t="shared" si="53"/>
        <v>-0.55451289974757723</v>
      </c>
      <c r="AG34" s="18">
        <f t="shared" si="53"/>
        <v>-0.66702628049225954</v>
      </c>
      <c r="AH34" s="173">
        <f t="shared" si="53"/>
        <v>-1.3964021095949235</v>
      </c>
      <c r="AI34" s="18">
        <f t="shared" si="53"/>
        <v>3.8063950951330767</v>
      </c>
      <c r="AJ34" s="18">
        <f t="shared" si="53"/>
        <v>-0.73381043481476838</v>
      </c>
      <c r="AK34" s="18">
        <f t="shared" si="53"/>
        <v>2.4026500451330355</v>
      </c>
      <c r="AL34" s="18">
        <f t="shared" si="53"/>
        <v>-2.0538617540308071</v>
      </c>
      <c r="AM34" s="18">
        <f t="shared" si="53"/>
        <v>-1</v>
      </c>
      <c r="AO34" s="56">
        <f>AVERAGE(X36:AK36)*AK49</f>
        <v>33.545586808078461</v>
      </c>
      <c r="AP34" s="50" t="s">
        <v>183</v>
      </c>
    </row>
    <row r="35" spans="23:42" x14ac:dyDescent="0.25">
      <c r="Y35" s="18"/>
      <c r="Z35" s="18"/>
      <c r="AA35" s="18"/>
      <c r="AB35" s="18"/>
      <c r="AC35" s="18"/>
      <c r="AD35" s="18"/>
      <c r="AE35" s="18"/>
      <c r="AF35" s="18"/>
      <c r="AG35" s="18"/>
      <c r="AJ35" s="18"/>
      <c r="AK35" s="18"/>
      <c r="AL35" s="18"/>
      <c r="AM35" s="18"/>
      <c r="AO35" s="56">
        <f>X1/AO34</f>
        <v>4.5013372657304691</v>
      </c>
      <c r="AP35" s="50" t="s">
        <v>11</v>
      </c>
    </row>
    <row r="36" spans="23:42" x14ac:dyDescent="0.25">
      <c r="W36" s="12" t="s">
        <v>88</v>
      </c>
      <c r="X36" s="18">
        <f t="shared" ref="X36:AI36" si="54">+X29*4/X41</f>
        <v>0.9603478637324856</v>
      </c>
      <c r="Y36" s="18">
        <f t="shared" si="54"/>
        <v>0.80901868298334134</v>
      </c>
      <c r="Z36" s="18">
        <f t="shared" si="54"/>
        <v>0.58922850704802998</v>
      </c>
      <c r="AA36" s="18">
        <f t="shared" si="54"/>
        <v>0.80772708509895685</v>
      </c>
      <c r="AB36" s="18">
        <f t="shared" si="54"/>
        <v>1.114244464925487</v>
      </c>
      <c r="AC36" s="18">
        <f t="shared" si="54"/>
        <v>1.3789736575378919</v>
      </c>
      <c r="AD36" s="18">
        <f t="shared" si="54"/>
        <v>1.0119966820459267</v>
      </c>
      <c r="AE36" s="18">
        <f t="shared" si="54"/>
        <v>0.54351211293173807</v>
      </c>
      <c r="AF36" s="18">
        <f t="shared" si="54"/>
        <v>0.22740566576638244</v>
      </c>
      <c r="AG36" s="18">
        <f t="shared" si="54"/>
        <v>7.3953060980691085E-2</v>
      </c>
      <c r="AH36" s="173">
        <f t="shared" si="54"/>
        <v>-3.1828930770912846E-2</v>
      </c>
      <c r="AI36" s="18">
        <f t="shared" si="54"/>
        <v>-0.16814408960145527</v>
      </c>
      <c r="AJ36" s="18">
        <f t="shared" ref="AJ36:AK36" si="55">+AJ29*4/AJ41</f>
        <v>-4.5547389680053875E-2</v>
      </c>
      <c r="AK36" s="18">
        <f t="shared" si="55"/>
        <v>-0.15984183823608267</v>
      </c>
      <c r="AL36" s="18">
        <f t="shared" ref="AL36:AM36" si="56">+AL29*4/AL41</f>
        <v>0.19307227673934391</v>
      </c>
      <c r="AM36" s="18" t="e">
        <f t="shared" si="56"/>
        <v>#DIV/0!</v>
      </c>
    </row>
    <row r="38" spans="23:42" x14ac:dyDescent="0.25">
      <c r="W38" s="12" t="s">
        <v>52</v>
      </c>
      <c r="X38" s="13">
        <f>4834292.395+10669745.872</f>
        <v>15504038.266999999</v>
      </c>
      <c r="Y38" s="13">
        <f>5300601.835+11896395.524</f>
        <v>17196997.359000001</v>
      </c>
      <c r="Z38" s="13">
        <f>12854627.585+5532778.654</f>
        <v>18387406.239</v>
      </c>
      <c r="AA38" s="13">
        <f>7288170.543+29031205.111</f>
        <v>36319375.653999999</v>
      </c>
      <c r="AB38" s="13">
        <f>8892918.246+58885493.746</f>
        <v>67778411.991999999</v>
      </c>
      <c r="AC38" s="13">
        <f>9197090.199+90248896.979</f>
        <v>99445987.178000003</v>
      </c>
      <c r="AD38" s="13">
        <f>15134573.848+76996999.199+96861.771</f>
        <v>92228434.818000004</v>
      </c>
      <c r="AE38" s="13">
        <f>18581540.748+67245255.056</f>
        <v>85826795.80399999</v>
      </c>
      <c r="AF38" s="13">
        <f>19568416.723+22779208.04+174866.528</f>
        <v>42522491.290999994</v>
      </c>
      <c r="AG38" s="13">
        <f>7200946.876+17980166.793+201899.335</f>
        <v>25383013.004000001</v>
      </c>
      <c r="AH38" s="172">
        <f>16794614.339+15062191.672+114360.757</f>
        <v>31971166.767999999</v>
      </c>
      <c r="AI38" s="13">
        <f>18625734.655+14932414.64+197783.608</f>
        <v>33755932.903000005</v>
      </c>
      <c r="AJ38" s="13">
        <f>18539800.07+12463689.073+66589.164</f>
        <v>31070078.307</v>
      </c>
      <c r="AK38" s="13">
        <f>23817319.48+11136957.095+49790.463</f>
        <v>35004067.038000003</v>
      </c>
      <c r="AL38" s="13">
        <f>16794614.339+15062191.673+114360.757</f>
        <v>31971166.769000001</v>
      </c>
      <c r="AM38" s="13"/>
    </row>
    <row r="39" spans="23:42" x14ac:dyDescent="0.25">
      <c r="W39" s="12" t="s">
        <v>53</v>
      </c>
      <c r="X39" s="13">
        <f>4827101.378+151307.756</f>
        <v>4978409.1339999996</v>
      </c>
      <c r="Y39" s="13">
        <f>7118845.382+174332.828</f>
        <v>7293178.21</v>
      </c>
      <c r="Z39" s="13">
        <f>7610756.231+342756.064</f>
        <v>7953512.2949999999</v>
      </c>
      <c r="AA39" s="13">
        <f>12144928.727+231830.751</f>
        <v>12376759.478</v>
      </c>
      <c r="AB39" s="13">
        <f>13172736.113+238770.131</f>
        <v>13411506.243999999</v>
      </c>
      <c r="AC39" s="13">
        <f>28980207.971+186186.376</f>
        <v>29166394.346999999</v>
      </c>
      <c r="AD39" s="13">
        <f>43192921.348+225982.529</f>
        <v>43418903.876999997</v>
      </c>
      <c r="AE39" s="13">
        <f>81151564.27+270657.218</f>
        <v>81422221.487999991</v>
      </c>
      <c r="AF39" s="13">
        <f>59198914.125+764138.723</f>
        <v>59963052.847999997</v>
      </c>
      <c r="AG39" s="13">
        <f>74575931.248+820388.689</f>
        <v>75396319.936999992</v>
      </c>
      <c r="AH39" s="172">
        <f>77781817.84+336469.506</f>
        <v>78118287.346000001</v>
      </c>
      <c r="AI39" s="13">
        <f>73008960.741+451406.145</f>
        <v>73460366.885999992</v>
      </c>
      <c r="AJ39" s="13">
        <f>58764251.133+1456193.918</f>
        <v>60220445.050999999</v>
      </c>
      <c r="AK39" s="13">
        <f>58403289.477+1523090.161</f>
        <v>59926379.637999997</v>
      </c>
      <c r="AL39" s="13">
        <f>671016.186+49887864.121</f>
        <v>50558880.306999996</v>
      </c>
      <c r="AM39" s="13"/>
      <c r="AN39" s="46">
        <f>+AI45/AE45-1</f>
        <v>-0.13126588951877072</v>
      </c>
    </row>
    <row r="40" spans="23:42" x14ac:dyDescent="0.25">
      <c r="W40" s="12" t="s">
        <v>50</v>
      </c>
      <c r="X40" s="13">
        <f t="shared" ref="X40:AI40" si="57">+X38-X39</f>
        <v>10525629.132999999</v>
      </c>
      <c r="Y40" s="13">
        <f t="shared" si="57"/>
        <v>9903819.1490000002</v>
      </c>
      <c r="Z40" s="13">
        <f t="shared" si="57"/>
        <v>10433893.944</v>
      </c>
      <c r="AA40" s="13">
        <f t="shared" si="57"/>
        <v>23942616.175999999</v>
      </c>
      <c r="AB40" s="13">
        <f t="shared" si="57"/>
        <v>54366905.747999996</v>
      </c>
      <c r="AC40" s="13">
        <f t="shared" si="57"/>
        <v>70279592.831</v>
      </c>
      <c r="AD40" s="13">
        <f t="shared" si="57"/>
        <v>48809530.941000007</v>
      </c>
      <c r="AE40" s="13">
        <f t="shared" si="57"/>
        <v>4404574.3159999996</v>
      </c>
      <c r="AF40" s="13">
        <f t="shared" si="57"/>
        <v>-17440561.557000004</v>
      </c>
      <c r="AG40" s="13">
        <f t="shared" si="57"/>
        <v>-50013306.932999991</v>
      </c>
      <c r="AH40" s="172">
        <f t="shared" si="57"/>
        <v>-46147120.578000002</v>
      </c>
      <c r="AI40" s="13">
        <f t="shared" si="57"/>
        <v>-39704433.982999988</v>
      </c>
      <c r="AJ40" s="13">
        <f t="shared" ref="AJ40:AK40" si="58">+AJ38-AJ39</f>
        <v>-29150366.743999999</v>
      </c>
      <c r="AK40" s="13">
        <f t="shared" si="58"/>
        <v>-24922312.599999994</v>
      </c>
      <c r="AL40" s="13">
        <f t="shared" ref="AL40:AM40" si="59">+AL38-AL39</f>
        <v>-18587713.537999995</v>
      </c>
      <c r="AM40" s="13">
        <f t="shared" si="59"/>
        <v>0</v>
      </c>
    </row>
    <row r="41" spans="23:42" x14ac:dyDescent="0.25">
      <c r="W41" s="12" t="s">
        <v>54</v>
      </c>
      <c r="X41" s="13">
        <v>18875793.096000001</v>
      </c>
      <c r="Y41" s="13">
        <v>22502111.27</v>
      </c>
      <c r="Z41" s="13">
        <v>27149157.456999999</v>
      </c>
      <c r="AA41" s="13">
        <v>31131313.414999999</v>
      </c>
      <c r="AB41" s="13">
        <v>43294763.954000004</v>
      </c>
      <c r="AC41" s="13">
        <v>66835921.023000002</v>
      </c>
      <c r="AD41" s="13">
        <v>123931823.925</v>
      </c>
      <c r="AE41" s="13">
        <v>148330431.17500001</v>
      </c>
      <c r="AF41" s="13">
        <v>157933164.94100001</v>
      </c>
      <c r="AG41" s="13">
        <v>161706851.90599999</v>
      </c>
      <c r="AH41" s="172">
        <v>148935588.007</v>
      </c>
      <c r="AI41" s="13">
        <v>135505959.47799999</v>
      </c>
      <c r="AJ41" s="13">
        <v>133158083.539</v>
      </c>
      <c r="AK41" s="13">
        <v>129109395.686</v>
      </c>
      <c r="AL41" s="13">
        <v>112645031.19400001</v>
      </c>
      <c r="AM41" s="13"/>
    </row>
    <row r="43" spans="23:42" x14ac:dyDescent="0.25">
      <c r="W43" s="12" t="s">
        <v>51</v>
      </c>
      <c r="X43" s="14">
        <f t="shared" ref="X43:AI43" si="60">+X38/X41</f>
        <v>0.82137148824149198</v>
      </c>
      <c r="Y43" s="14">
        <f t="shared" si="60"/>
        <v>0.76423928193472135</v>
      </c>
      <c r="Z43" s="14">
        <f t="shared" si="60"/>
        <v>0.677273549579679</v>
      </c>
      <c r="AA43" s="14">
        <f t="shared" si="60"/>
        <v>1.1666509269891656</v>
      </c>
      <c r="AB43" s="14">
        <f t="shared" si="60"/>
        <v>1.5655106022523528</v>
      </c>
      <c r="AC43" s="14">
        <f t="shared" si="60"/>
        <v>1.4879122731588903</v>
      </c>
      <c r="AD43" s="14">
        <f t="shared" si="60"/>
        <v>0.74418685933174045</v>
      </c>
      <c r="AE43" s="14">
        <f t="shared" si="60"/>
        <v>0.57861893290623334</v>
      </c>
      <c r="AF43" s="14">
        <f t="shared" si="60"/>
        <v>0.26924358355564748</v>
      </c>
      <c r="AG43" s="14">
        <f t="shared" si="60"/>
        <v>0.15696931023525904</v>
      </c>
      <c r="AH43" s="176">
        <f t="shared" si="60"/>
        <v>0.21466438744309621</v>
      </c>
      <c r="AI43" s="14">
        <f t="shared" si="60"/>
        <v>0.24911031981940571</v>
      </c>
      <c r="AJ43" s="14">
        <f t="shared" ref="AJ43:AK43" si="61">+AJ38/AJ41</f>
        <v>0.23333227304897369</v>
      </c>
      <c r="AK43" s="14">
        <f t="shared" si="61"/>
        <v>0.27111943985185638</v>
      </c>
      <c r="AL43" s="14">
        <f>+AL38/AL41</f>
        <v>0.28382225500864289</v>
      </c>
      <c r="AM43" s="14" t="e">
        <f t="shared" ref="AM43" si="62">+AM38/AM41</f>
        <v>#DIV/0!</v>
      </c>
    </row>
    <row r="45" spans="23:42" x14ac:dyDescent="0.25">
      <c r="W45" s="12" t="s">
        <v>63</v>
      </c>
      <c r="X45" s="16">
        <f>+MGT!X42</f>
        <v>187.87664531682452</v>
      </c>
      <c r="Y45" s="16">
        <f>+MGT!Y42</f>
        <v>187.90335511406354</v>
      </c>
      <c r="Z45" s="16">
        <f>+MGT!Z42</f>
        <v>197.89852109390694</v>
      </c>
      <c r="AA45" s="16">
        <f>+MGT!AA42</f>
        <v>201.8866687497617</v>
      </c>
      <c r="AB45" s="16">
        <f>+MGT!AB42</f>
        <v>202.93332696356742</v>
      </c>
      <c r="AC45" s="16">
        <f>+MGT!AC42</f>
        <v>203.00000683784583</v>
      </c>
      <c r="AD45" s="16">
        <f>+MGT!AD42</f>
        <v>233.47823381556913</v>
      </c>
      <c r="AE45" s="16">
        <f>+MGT!AE42</f>
        <v>364.27332126591261</v>
      </c>
      <c r="AF45" s="16">
        <f>+MGT!AF42</f>
        <v>368.84924281572984</v>
      </c>
      <c r="AG45" s="16">
        <f>+MGT!AG42</f>
        <v>371.77544011969854</v>
      </c>
      <c r="AH45" s="177">
        <f>+MGT!AH42</f>
        <v>357.68530427957404</v>
      </c>
      <c r="AI45" s="16">
        <f>+MGT!AI42</f>
        <v>316.45665972198566</v>
      </c>
      <c r="AJ45" s="16">
        <f>+MGT!AJ42</f>
        <v>330.91833575134615</v>
      </c>
      <c r="AK45" s="16">
        <f>+MGT!AK42</f>
        <v>334.23663546748418</v>
      </c>
      <c r="AL45" s="16"/>
      <c r="AM45" s="16"/>
    </row>
    <row r="47" spans="23:42" x14ac:dyDescent="0.25">
      <c r="W47" s="12" t="s">
        <v>56</v>
      </c>
      <c r="X47" s="13">
        <v>1954915</v>
      </c>
      <c r="Y47" s="13">
        <v>1954915</v>
      </c>
      <c r="Z47" s="13">
        <v>1954915</v>
      </c>
      <c r="AA47" s="13">
        <v>1954915</v>
      </c>
      <c r="AB47" s="13">
        <v>1954915</v>
      </c>
      <c r="AC47" s="13">
        <v>1954915</v>
      </c>
      <c r="AD47" s="13">
        <v>1954915</v>
      </c>
      <c r="AE47" s="13">
        <v>1954915</v>
      </c>
      <c r="AF47" s="13">
        <v>1954915</v>
      </c>
      <c r="AG47" s="13">
        <v>1954915</v>
      </c>
      <c r="AH47" s="172">
        <v>1954915</v>
      </c>
      <c r="AI47" s="13">
        <v>1954915</v>
      </c>
      <c r="AJ47" s="13">
        <v>1954915</v>
      </c>
      <c r="AK47" s="13">
        <v>1954915</v>
      </c>
      <c r="AL47" s="13">
        <v>1954915</v>
      </c>
      <c r="AM47" s="13">
        <v>1954915</v>
      </c>
    </row>
    <row r="49" spans="23:40" x14ac:dyDescent="0.25">
      <c r="W49" s="12" t="s">
        <v>57</v>
      </c>
      <c r="X49" s="16">
        <f t="shared" ref="X49:AI49" si="63">+X41/X47</f>
        <v>9.6555569403273296</v>
      </c>
      <c r="Y49" s="16">
        <f t="shared" si="63"/>
        <v>11.510531798057716</v>
      </c>
      <c r="Z49" s="16">
        <f t="shared" si="63"/>
        <v>13.887640872876824</v>
      </c>
      <c r="AA49" s="16">
        <f t="shared" si="63"/>
        <v>15.924637856377387</v>
      </c>
      <c r="AB49" s="16">
        <f t="shared" si="63"/>
        <v>22.146622208126697</v>
      </c>
      <c r="AC49" s="16">
        <f t="shared" si="63"/>
        <v>34.188658342178563</v>
      </c>
      <c r="AD49" s="16">
        <f t="shared" si="63"/>
        <v>63.394993605860101</v>
      </c>
      <c r="AE49" s="16">
        <f t="shared" si="63"/>
        <v>75.875642252987987</v>
      </c>
      <c r="AF49" s="16">
        <f t="shared" si="63"/>
        <v>80.787740101743566</v>
      </c>
      <c r="AG49" s="16">
        <f t="shared" si="63"/>
        <v>82.718098692782036</v>
      </c>
      <c r="AH49" s="177">
        <f t="shared" si="63"/>
        <v>76.18519884854328</v>
      </c>
      <c r="AI49" s="16">
        <f t="shared" si="63"/>
        <v>69.315524960420262</v>
      </c>
      <c r="AJ49" s="16">
        <f t="shared" ref="AJ49:AK49" si="64">+AJ41/AJ47</f>
        <v>68.114513182926117</v>
      </c>
      <c r="AK49" s="16">
        <f t="shared" si="64"/>
        <v>66.043483059877289</v>
      </c>
      <c r="AL49" s="16">
        <f t="shared" ref="AL49:AM49" si="65">+AL41/AL47</f>
        <v>57.621447067519561</v>
      </c>
      <c r="AM49" s="16">
        <f t="shared" si="65"/>
        <v>0</v>
      </c>
    </row>
    <row r="51" spans="23:40" x14ac:dyDescent="0.25">
      <c r="W51" s="12" t="s">
        <v>67</v>
      </c>
      <c r="X51" s="13"/>
      <c r="Y51" s="13">
        <f>+Y55-X55</f>
        <v>2193498.1870000004</v>
      </c>
      <c r="Z51" s="13">
        <f>+Z55-Y55</f>
        <v>2240121.3449999997</v>
      </c>
      <c r="AA51" s="13">
        <f>+AA55</f>
        <v>-12715487.323999999</v>
      </c>
      <c r="AB51" s="13">
        <f t="shared" ref="AB51:AD52" si="66">+AB55-AA55</f>
        <v>-24397844.307999998</v>
      </c>
      <c r="AC51" s="13">
        <f t="shared" si="66"/>
        <v>-13769363.728</v>
      </c>
      <c r="AD51" s="13">
        <f t="shared" si="66"/>
        <v>41581632.237999998</v>
      </c>
      <c r="AE51" s="13">
        <f>+AE55</f>
        <v>57266707.251999997</v>
      </c>
      <c r="AF51" s="13">
        <f t="shared" ref="AF51:AM52" si="67">+AF55-AE55</f>
        <v>40887831.793000005</v>
      </c>
      <c r="AG51" s="13">
        <f t="shared" si="67"/>
        <v>34734555.833999991</v>
      </c>
      <c r="AH51" s="172">
        <f t="shared" si="67"/>
        <v>37063008.517000005</v>
      </c>
      <c r="AI51" s="13">
        <f>+AI55</f>
        <v>3648231.767</v>
      </c>
      <c r="AJ51" s="13">
        <f t="shared" si="67"/>
        <v>-338403.41899999976</v>
      </c>
      <c r="AK51" s="13">
        <f t="shared" si="67"/>
        <v>2395095.4840000002</v>
      </c>
      <c r="AL51" s="13">
        <f t="shared" si="67"/>
        <v>-5704923.8320000004</v>
      </c>
      <c r="AM51" s="13">
        <f t="shared" si="67"/>
        <v>0</v>
      </c>
    </row>
    <row r="52" spans="23:40" x14ac:dyDescent="0.25">
      <c r="W52" s="12" t="s">
        <v>60</v>
      </c>
      <c r="Y52" s="13">
        <f>+Y56-X56</f>
        <v>-46984.067999999999</v>
      </c>
      <c r="Z52" s="13">
        <f>+Z56-Y56</f>
        <v>-181685.63199999998</v>
      </c>
      <c r="AA52" s="13">
        <f>+AA56</f>
        <v>-73744.504000000001</v>
      </c>
      <c r="AB52" s="13">
        <f t="shared" si="66"/>
        <v>-3741081.4189999998</v>
      </c>
      <c r="AC52" s="13">
        <f t="shared" si="66"/>
        <v>2882475.8169999998</v>
      </c>
      <c r="AD52" s="13">
        <f t="shared" si="66"/>
        <v>-1025564.7329999999</v>
      </c>
      <c r="AE52" s="13">
        <f>+AE56</f>
        <v>-1083062.4820000001</v>
      </c>
      <c r="AF52" s="13">
        <f t="shared" si="67"/>
        <v>-1439689.6009999996</v>
      </c>
      <c r="AG52" s="13">
        <f t="shared" si="67"/>
        <v>-1956719.8500000006</v>
      </c>
      <c r="AH52" s="172">
        <f t="shared" si="67"/>
        <v>-32300014.811999999</v>
      </c>
      <c r="AI52" s="13">
        <f>+AI56</f>
        <v>-738416.402</v>
      </c>
      <c r="AJ52" s="13">
        <f t="shared" si="67"/>
        <v>-653390.34400000004</v>
      </c>
      <c r="AK52" s="13">
        <f t="shared" si="67"/>
        <v>-931063.77399999998</v>
      </c>
      <c r="AL52" s="13">
        <f t="shared" si="67"/>
        <v>2322870.52</v>
      </c>
      <c r="AM52" s="13">
        <f t="shared" si="67"/>
        <v>0</v>
      </c>
    </row>
    <row r="53" spans="23:40" x14ac:dyDescent="0.25">
      <c r="W53" s="12" t="s">
        <v>68</v>
      </c>
      <c r="Y53" s="13">
        <f t="shared" ref="Y53:AI53" si="68">+Y51+Y52</f>
        <v>2146514.1190000004</v>
      </c>
      <c r="Z53" s="13">
        <f t="shared" si="68"/>
        <v>2058435.7129999998</v>
      </c>
      <c r="AA53" s="13">
        <f t="shared" si="68"/>
        <v>-12789231.828</v>
      </c>
      <c r="AB53" s="13">
        <f t="shared" si="68"/>
        <v>-28138925.726999998</v>
      </c>
      <c r="AC53" s="13">
        <f t="shared" si="68"/>
        <v>-10886887.911</v>
      </c>
      <c r="AD53" s="13">
        <f t="shared" si="68"/>
        <v>40556067.504999995</v>
      </c>
      <c r="AE53" s="13">
        <f t="shared" si="68"/>
        <v>56183644.769999996</v>
      </c>
      <c r="AF53" s="13">
        <f t="shared" si="68"/>
        <v>39448142.192000009</v>
      </c>
      <c r="AG53" s="13">
        <f t="shared" si="68"/>
        <v>32777835.98399999</v>
      </c>
      <c r="AH53" s="172">
        <f t="shared" si="68"/>
        <v>4762993.7050000057</v>
      </c>
      <c r="AI53" s="13">
        <f t="shared" si="68"/>
        <v>2909815.3650000002</v>
      </c>
      <c r="AJ53" s="13">
        <f t="shared" ref="AJ53:AK53" si="69">+AJ51+AJ52</f>
        <v>-991793.7629999998</v>
      </c>
      <c r="AK53" s="13">
        <f t="shared" si="69"/>
        <v>1464031.7100000002</v>
      </c>
      <c r="AL53" s="13">
        <f t="shared" ref="AL53:AM53" si="70">+AL51+AL52</f>
        <v>-3382053.3120000004</v>
      </c>
      <c r="AM53" s="13">
        <f t="shared" si="70"/>
        <v>0</v>
      </c>
    </row>
    <row r="55" spans="23:40" x14ac:dyDescent="0.25">
      <c r="W55" s="12" t="s">
        <v>67</v>
      </c>
      <c r="X55" s="13">
        <v>-4711756.8140000002</v>
      </c>
      <c r="Y55" s="13">
        <v>-2518258.6269999999</v>
      </c>
      <c r="Z55" s="13">
        <v>-278137.28200000001</v>
      </c>
      <c r="AA55" s="13">
        <v>-12715487.323999999</v>
      </c>
      <c r="AB55" s="13">
        <v>-37113331.631999999</v>
      </c>
      <c r="AC55" s="13">
        <v>-50882695.359999999</v>
      </c>
      <c r="AD55" s="13">
        <v>-9301063.1219999995</v>
      </c>
      <c r="AE55" s="13">
        <v>57266707.251999997</v>
      </c>
      <c r="AF55" s="13">
        <v>98154539.045000002</v>
      </c>
      <c r="AG55" s="13">
        <v>132889094.87899999</v>
      </c>
      <c r="AH55" s="172">
        <v>169952103.396</v>
      </c>
      <c r="AI55" s="13">
        <v>3648231.767</v>
      </c>
      <c r="AJ55" s="13">
        <v>3309828.3480000002</v>
      </c>
      <c r="AK55" s="13">
        <v>5704923.8320000004</v>
      </c>
      <c r="AL55" s="13"/>
      <c r="AM55" s="13"/>
    </row>
    <row r="56" spans="23:40" x14ac:dyDescent="0.25">
      <c r="W56" s="12" t="s">
        <v>60</v>
      </c>
      <c r="X56" s="13">
        <v>-197884.035</v>
      </c>
      <c r="Y56" s="13">
        <v>-244868.103</v>
      </c>
      <c r="Z56" s="13">
        <v>-426553.73499999999</v>
      </c>
      <c r="AA56" s="13">
        <v>-73744.504000000001</v>
      </c>
      <c r="AB56" s="13">
        <f>-375051.442-3439774.481</f>
        <v>-3814825.923</v>
      </c>
      <c r="AC56" s="13">
        <v>-932350.10600000003</v>
      </c>
      <c r="AD56" s="13">
        <v>-1957914.8389999999</v>
      </c>
      <c r="AE56" s="13">
        <v>-1083062.4820000001</v>
      </c>
      <c r="AF56" s="13">
        <f>-1793983.471-728768.612</f>
        <v>-2522752.0829999996</v>
      </c>
      <c r="AG56" s="13">
        <f>-3755216.328-724255.605</f>
        <v>-4479471.9330000002</v>
      </c>
      <c r="AH56" s="172">
        <f>-5093733.01-31685753.735</f>
        <v>-36779486.744999997</v>
      </c>
      <c r="AI56" s="13">
        <v>-738416.402</v>
      </c>
      <c r="AJ56" s="13">
        <v>-1391806.746</v>
      </c>
      <c r="AK56" s="13">
        <v>-2322870.52</v>
      </c>
      <c r="AL56" s="13"/>
      <c r="AM56" s="13"/>
    </row>
    <row r="57" spans="23:40" x14ac:dyDescent="0.25">
      <c r="W57" s="12" t="s">
        <v>68</v>
      </c>
      <c r="X57" s="13">
        <f t="shared" ref="X57:AI57" si="71">+X55+X56</f>
        <v>-4909640.8490000004</v>
      </c>
      <c r="Y57" s="13">
        <f t="shared" si="71"/>
        <v>-2763126.73</v>
      </c>
      <c r="Z57" s="13">
        <f t="shared" si="71"/>
        <v>-704691.01699999999</v>
      </c>
      <c r="AA57" s="13">
        <f t="shared" si="71"/>
        <v>-12789231.828</v>
      </c>
      <c r="AB57" s="13">
        <f t="shared" si="71"/>
        <v>-40928157.555</v>
      </c>
      <c r="AC57" s="13">
        <f t="shared" si="71"/>
        <v>-51815045.465999998</v>
      </c>
      <c r="AD57" s="13">
        <f t="shared" si="71"/>
        <v>-11258977.960999999</v>
      </c>
      <c r="AE57" s="13">
        <f t="shared" si="71"/>
        <v>56183644.769999996</v>
      </c>
      <c r="AF57" s="13">
        <f t="shared" si="71"/>
        <v>95631786.961999997</v>
      </c>
      <c r="AG57" s="13">
        <f t="shared" si="71"/>
        <v>128409622.94599999</v>
      </c>
      <c r="AH57" s="172">
        <f t="shared" si="71"/>
        <v>133172616.65099999</v>
      </c>
      <c r="AI57" s="13">
        <f t="shared" si="71"/>
        <v>2909815.3650000002</v>
      </c>
      <c r="AJ57" s="13">
        <f t="shared" ref="AJ57:AK57" si="72">+AJ55+AJ56</f>
        <v>1918021.6020000002</v>
      </c>
      <c r="AK57" s="13">
        <f t="shared" si="72"/>
        <v>3382053.3120000004</v>
      </c>
      <c r="AL57" s="13">
        <f t="shared" ref="AL57:AM57" si="73">+AL55+AL56</f>
        <v>0</v>
      </c>
      <c r="AM57" s="13">
        <f t="shared" si="73"/>
        <v>0</v>
      </c>
    </row>
    <row r="60" spans="23:40" x14ac:dyDescent="0.25">
      <c r="W60" s="47" t="s">
        <v>203</v>
      </c>
    </row>
    <row r="61" spans="23:40" x14ac:dyDescent="0.25">
      <c r="W61" s="12" t="s">
        <v>204</v>
      </c>
      <c r="X61" s="13">
        <f>+FBX!D189</f>
        <v>1932.9230769230769</v>
      </c>
      <c r="Y61" s="13">
        <f>+FBX!D176</f>
        <v>2472.2307692307691</v>
      </c>
      <c r="Z61" s="13">
        <f>+FBX!D163</f>
        <v>4277.8461538461543</v>
      </c>
      <c r="AA61" s="13">
        <f>+FBX!D150</f>
        <v>5468.9230769230771</v>
      </c>
      <c r="AB61" s="13">
        <f>+FBX!D137</f>
        <v>9656.1538461538457</v>
      </c>
      <c r="AC61" s="13">
        <f>+FBX!D124</f>
        <v>9831.6923076923085</v>
      </c>
      <c r="AD61" s="13">
        <f>+FBX!D111</f>
        <v>9595.8461538461543</v>
      </c>
      <c r="AE61" s="13">
        <f>+FBX!D98</f>
        <v>8311.461538461539</v>
      </c>
      <c r="AF61" s="13">
        <f>+FBX!D85</f>
        <v>5738.9230769230771</v>
      </c>
      <c r="AG61" s="13">
        <f>+FBX!D72</f>
        <v>3042.2307692307691</v>
      </c>
      <c r="AH61" s="172">
        <f>+FBX!D59</f>
        <v>1953.7692307692307</v>
      </c>
      <c r="AI61" s="13">
        <f>+FBX!D46</f>
        <v>1444.7692307692307</v>
      </c>
      <c r="AJ61" s="13">
        <f>+FBX!D33</f>
        <v>1390.6153846153845</v>
      </c>
      <c r="AK61" s="13">
        <f>+FBX!D19</f>
        <v>1185.49</v>
      </c>
      <c r="AL61" s="13">
        <f>+FBX!E19</f>
        <v>0</v>
      </c>
      <c r="AM61" s="13">
        <f>+FBX!F19</f>
        <v>0</v>
      </c>
      <c r="AN61" s="13">
        <f>+FBX!D8</f>
        <v>3130.4363636363637</v>
      </c>
    </row>
    <row r="62" spans="23:40" x14ac:dyDescent="0.25">
      <c r="W62" s="12" t="s">
        <v>40</v>
      </c>
      <c r="X62" s="17"/>
      <c r="Y62" s="17"/>
      <c r="Z62" s="17"/>
      <c r="AA62" s="17"/>
      <c r="AB62" s="18">
        <f t="shared" ref="AB62:AM62" si="74">+AB61/X61-1</f>
        <v>3.99562241324419</v>
      </c>
      <c r="AC62" s="18">
        <f t="shared" si="74"/>
        <v>2.9768505553999818</v>
      </c>
      <c r="AD62" s="18">
        <f t="shared" si="74"/>
        <v>1.2431489606559736</v>
      </c>
      <c r="AE62" s="18">
        <f t="shared" si="74"/>
        <v>0.51976201192753457</v>
      </c>
      <c r="AF62" s="18">
        <f t="shared" si="74"/>
        <v>-0.40567195092806496</v>
      </c>
      <c r="AG62" s="18">
        <f t="shared" si="74"/>
        <v>-0.69056896066097084</v>
      </c>
      <c r="AH62" s="173">
        <f t="shared" si="74"/>
        <v>-0.79639427316306732</v>
      </c>
      <c r="AI62" s="18">
        <f t="shared" si="74"/>
        <v>-0.82617145924534241</v>
      </c>
      <c r="AJ62" s="18">
        <f>+AJ61/AF61-1</f>
        <v>-0.75768704929898401</v>
      </c>
      <c r="AK62" s="18">
        <f t="shared" si="74"/>
        <v>-0.61032213203873675</v>
      </c>
      <c r="AL62" s="18">
        <f t="shared" si="74"/>
        <v>-1</v>
      </c>
      <c r="AM62" s="18">
        <f t="shared" si="74"/>
        <v>-1</v>
      </c>
      <c r="AN62" s="18">
        <f>+AN61/AH61-1</f>
        <v>0.60225492055879082</v>
      </c>
    </row>
    <row r="63" spans="23:40" x14ac:dyDescent="0.25">
      <c r="W63" s="12" t="s">
        <v>41</v>
      </c>
      <c r="Y63" s="18">
        <f t="shared" ref="Y63" si="75">+Y61/X61-1</f>
        <v>0.27901146131805143</v>
      </c>
      <c r="Z63" s="18">
        <f t="shared" ref="Z63" si="76">+Z61/Y61-1</f>
        <v>0.73035875416161078</v>
      </c>
      <c r="AA63" s="18">
        <f t="shared" ref="AA63" si="77">+AA61/Z61-1</f>
        <v>0.27842911601812559</v>
      </c>
      <c r="AB63" s="18">
        <f t="shared" ref="AB63" si="78">+AB61/AA61-1</f>
        <v>0.76564082367503072</v>
      </c>
      <c r="AC63" s="18">
        <f t="shared" ref="AC63" si="79">+AC61/AB61-1</f>
        <v>1.8178921373376955E-2</v>
      </c>
      <c r="AD63" s="18">
        <f t="shared" ref="AD63" si="80">+AD61/AC61-1</f>
        <v>-2.3988357900666668E-2</v>
      </c>
      <c r="AE63" s="18">
        <f t="shared" ref="AE63" si="81">+AE61/AD61-1</f>
        <v>-0.13384797909351798</v>
      </c>
      <c r="AF63" s="18">
        <f t="shared" ref="AF63" si="82">+AF61/AE61-1</f>
        <v>-0.30951697840794457</v>
      </c>
      <c r="AG63" s="18">
        <f t="shared" ref="AG63" si="83">+AG61/AF61-1</f>
        <v>-0.46989518269308106</v>
      </c>
      <c r="AH63" s="173">
        <f t="shared" ref="AH63" si="84">+AH61/AG61-1</f>
        <v>-0.35778401476649213</v>
      </c>
      <c r="AI63" s="18">
        <f t="shared" ref="AI63:AM63" si="85">+AI61/AH61-1</f>
        <v>-0.26052206779794485</v>
      </c>
      <c r="AJ63" s="18">
        <f t="shared" si="85"/>
        <v>-3.7482696198487986E-2</v>
      </c>
      <c r="AK63" s="18">
        <f t="shared" si="85"/>
        <v>-0.1475069144816904</v>
      </c>
      <c r="AL63" s="18">
        <f t="shared" si="85"/>
        <v>-1</v>
      </c>
      <c r="AM63" s="18" t="e">
        <f t="shared" si="85"/>
        <v>#DIV/0!</v>
      </c>
      <c r="AN63" s="18">
        <f>+AN61/AK61-1</f>
        <v>1.6406265456784652</v>
      </c>
    </row>
    <row r="65" spans="23:41" x14ac:dyDescent="0.25">
      <c r="W65" s="47" t="s">
        <v>164</v>
      </c>
    </row>
    <row r="66" spans="23:41" x14ac:dyDescent="0.25">
      <c r="W66" s="12" t="s">
        <v>206</v>
      </c>
      <c r="X66" s="13">
        <v>48000</v>
      </c>
      <c r="Y66" s="13">
        <v>55000</v>
      </c>
      <c r="Z66" s="13">
        <v>59000</v>
      </c>
      <c r="AA66" s="13">
        <f>51000+38200</f>
        <v>89200</v>
      </c>
      <c r="AB66" s="13">
        <f>145000-AA66</f>
        <v>55800</v>
      </c>
      <c r="AC66" s="13">
        <f>211000-AB66-AA66</f>
        <v>66000</v>
      </c>
      <c r="AD66" s="13">
        <f>281000-AC66-AB66-AA66</f>
        <v>70000</v>
      </c>
      <c r="AE66" s="13">
        <v>78700</v>
      </c>
      <c r="AF66" s="13">
        <f>129700-AE66</f>
        <v>51000</v>
      </c>
      <c r="AG66" s="13">
        <f>167200-AF66-AE66</f>
        <v>37500</v>
      </c>
      <c r="AH66" s="172">
        <f>202900-AG66-AF66-AE66</f>
        <v>35700</v>
      </c>
      <c r="AI66" s="13">
        <v>40000</v>
      </c>
      <c r="AJ66" s="13">
        <v>46000</v>
      </c>
      <c r="AK66" s="13">
        <v>29000</v>
      </c>
      <c r="AL66" s="13">
        <v>29000</v>
      </c>
      <c r="AM66" s="13">
        <v>29000</v>
      </c>
      <c r="AN66" s="13"/>
    </row>
    <row r="67" spans="23:41" x14ac:dyDescent="0.25">
      <c r="W67" s="12" t="s">
        <v>40</v>
      </c>
      <c r="X67" s="17"/>
      <c r="Y67" s="17"/>
      <c r="Z67" s="17"/>
      <c r="AA67" s="17"/>
      <c r="AB67" s="18">
        <f t="shared" ref="AB67:AM67" si="86">+AB66/X66-1</f>
        <v>0.16250000000000009</v>
      </c>
      <c r="AC67" s="18">
        <f t="shared" si="86"/>
        <v>0.19999999999999996</v>
      </c>
      <c r="AD67" s="18">
        <f t="shared" si="86"/>
        <v>0.18644067796610164</v>
      </c>
      <c r="AE67" s="18">
        <f t="shared" si="86"/>
        <v>-0.11771300448430488</v>
      </c>
      <c r="AF67" s="18">
        <f t="shared" si="86"/>
        <v>-8.6021505376344121E-2</v>
      </c>
      <c r="AG67" s="18">
        <f t="shared" si="86"/>
        <v>-0.43181818181818177</v>
      </c>
      <c r="AH67" s="173">
        <f t="shared" si="86"/>
        <v>-0.49</v>
      </c>
      <c r="AI67" s="18">
        <f t="shared" si="86"/>
        <v>-0.49174078780177888</v>
      </c>
      <c r="AJ67" s="18">
        <f t="shared" si="86"/>
        <v>-9.8039215686274495E-2</v>
      </c>
      <c r="AK67" s="18">
        <f t="shared" si="86"/>
        <v>-0.22666666666666668</v>
      </c>
      <c r="AL67" s="18">
        <f t="shared" si="86"/>
        <v>-0.1876750700280112</v>
      </c>
      <c r="AM67" s="18">
        <f t="shared" si="86"/>
        <v>-0.27500000000000002</v>
      </c>
      <c r="AN67" s="18"/>
    </row>
    <row r="68" spans="23:41" x14ac:dyDescent="0.25">
      <c r="W68" s="12" t="s">
        <v>41</v>
      </c>
      <c r="Y68" s="18">
        <f t="shared" ref="Y68" si="87">+Y66/X66-1</f>
        <v>0.14583333333333326</v>
      </c>
      <c r="Z68" s="18">
        <f t="shared" ref="Z68" si="88">+Z66/Y66-1</f>
        <v>7.2727272727272751E-2</v>
      </c>
      <c r="AA68" s="18">
        <f t="shared" ref="AA68" si="89">+AA66/Z66-1</f>
        <v>0.51186440677966094</v>
      </c>
      <c r="AB68" s="18">
        <f t="shared" ref="AB68" si="90">+AB66/AA66-1</f>
        <v>-0.37443946188340804</v>
      </c>
      <c r="AC68" s="18">
        <f t="shared" ref="AC68" si="91">+AC66/AB66-1</f>
        <v>0.18279569892473124</v>
      </c>
      <c r="AD68" s="18">
        <f t="shared" ref="AD68" si="92">+AD66/AC66-1</f>
        <v>6.0606060606060552E-2</v>
      </c>
      <c r="AE68" s="18">
        <f t="shared" ref="AE68" si="93">+AE66/AD66-1</f>
        <v>0.12428571428571433</v>
      </c>
      <c r="AF68" s="18">
        <f t="shared" ref="AF68" si="94">+AF66/AE66-1</f>
        <v>-0.35196950444726816</v>
      </c>
      <c r="AG68" s="18">
        <f t="shared" ref="AG68" si="95">+AG66/AF66-1</f>
        <v>-0.26470588235294112</v>
      </c>
      <c r="AH68" s="173">
        <f t="shared" ref="AH68" si="96">+AH66/AG66-1</f>
        <v>-4.8000000000000043E-2</v>
      </c>
      <c r="AI68" s="18">
        <f t="shared" ref="AI68" si="97">+AI66/AH66-1</f>
        <v>0.1204481792717087</v>
      </c>
      <c r="AJ68" s="18">
        <f t="shared" ref="AJ68:AM68" si="98">+AJ66/AI66-1</f>
        <v>0.14999999999999991</v>
      </c>
      <c r="AK68" s="18">
        <f t="shared" si="98"/>
        <v>-0.36956521739130432</v>
      </c>
      <c r="AL68" s="18">
        <f t="shared" si="98"/>
        <v>0</v>
      </c>
      <c r="AM68" s="18">
        <f t="shared" si="98"/>
        <v>0</v>
      </c>
      <c r="AN68" s="18"/>
    </row>
    <row r="70" spans="23:41" x14ac:dyDescent="0.25">
      <c r="W70" s="12" t="s">
        <v>207</v>
      </c>
      <c r="X70" s="13">
        <v>38</v>
      </c>
      <c r="Y70" s="13">
        <v>41</v>
      </c>
      <c r="Z70" s="13">
        <v>31</v>
      </c>
      <c r="AA70" s="13">
        <f>34.3+22.8</f>
        <v>57.099999999999994</v>
      </c>
      <c r="AB70" s="13">
        <f>100.5-AA70</f>
        <v>43.400000000000006</v>
      </c>
      <c r="AC70" s="13">
        <f>161-AB70-AA70</f>
        <v>60.5</v>
      </c>
      <c r="AD70" s="13">
        <f>198-AC70-AB70-AA70</f>
        <v>37</v>
      </c>
      <c r="AE70" s="13">
        <v>32.9</v>
      </c>
      <c r="AF70" s="13">
        <f>62.5-AE70</f>
        <v>29.6</v>
      </c>
      <c r="AG70" s="13">
        <f>87.5-AF70-AE70</f>
        <v>25</v>
      </c>
      <c r="AH70" s="172">
        <f>105.1-AG70-AF70-AE70</f>
        <v>17.599999999999994</v>
      </c>
      <c r="AI70" s="13">
        <v>21</v>
      </c>
      <c r="AJ70" s="13">
        <v>25</v>
      </c>
      <c r="AK70" s="13">
        <v>25</v>
      </c>
      <c r="AL70" s="13">
        <v>25</v>
      </c>
      <c r="AM70" s="13">
        <v>25</v>
      </c>
      <c r="AO70" s="77" t="s">
        <v>211</v>
      </c>
    </row>
    <row r="71" spans="23:41" x14ac:dyDescent="0.25">
      <c r="W71" s="12" t="s">
        <v>40</v>
      </c>
      <c r="X71" s="17"/>
      <c r="Y71" s="17"/>
      <c r="Z71" s="17"/>
      <c r="AA71" s="17"/>
      <c r="AB71" s="18">
        <f t="shared" ref="AB71" si="99">+AB70/X70-1</f>
        <v>0.14210526315789496</v>
      </c>
      <c r="AC71" s="18">
        <f t="shared" ref="AC71" si="100">+AC70/Y70-1</f>
        <v>0.47560975609756095</v>
      </c>
      <c r="AD71" s="18">
        <f t="shared" ref="AD71" si="101">+AD70/Z70-1</f>
        <v>0.19354838709677424</v>
      </c>
      <c r="AE71" s="18">
        <f t="shared" ref="AE71" si="102">+AE70/AA70-1</f>
        <v>-0.42381786339754812</v>
      </c>
      <c r="AF71" s="18">
        <f t="shared" ref="AF71" si="103">+AF70/AB70-1</f>
        <v>-0.31797235023041481</v>
      </c>
      <c r="AG71" s="18">
        <f t="shared" ref="AG71" si="104">+AG70/AC70-1</f>
        <v>-0.58677685950413228</v>
      </c>
      <c r="AH71" s="173">
        <f t="shared" ref="AH71" si="105">+AH70/AD70-1</f>
        <v>-0.52432432432432452</v>
      </c>
      <c r="AI71" s="18">
        <f t="shared" ref="AI71:AM71" si="106">+AI70/AE70-1</f>
        <v>-0.36170212765957444</v>
      </c>
      <c r="AJ71" s="18">
        <f t="shared" si="106"/>
        <v>-0.15540540540540548</v>
      </c>
      <c r="AK71" s="18">
        <f t="shared" si="106"/>
        <v>0</v>
      </c>
      <c r="AL71" s="18">
        <f t="shared" si="106"/>
        <v>0.42045454545454586</v>
      </c>
      <c r="AM71" s="18">
        <f t="shared" si="106"/>
        <v>0.19047619047619047</v>
      </c>
      <c r="AO71" s="12" t="s">
        <v>212</v>
      </c>
    </row>
    <row r="72" spans="23:41" x14ac:dyDescent="0.25">
      <c r="W72" s="12" t="s">
        <v>41</v>
      </c>
      <c r="Y72" s="18">
        <f t="shared" ref="Y72" si="107">+Y70/X70-1</f>
        <v>7.8947368421052655E-2</v>
      </c>
      <c r="Z72" s="18">
        <f t="shared" ref="Z72" si="108">+Z70/Y70-1</f>
        <v>-0.24390243902439024</v>
      </c>
      <c r="AA72" s="18">
        <f t="shared" ref="AA72" si="109">+AA70/Z70-1</f>
        <v>0.84193548387096762</v>
      </c>
      <c r="AB72" s="18">
        <f t="shared" ref="AB72" si="110">+AB70/AA70-1</f>
        <v>-0.23992994746059526</v>
      </c>
      <c r="AC72" s="18">
        <f t="shared" ref="AC72" si="111">+AC70/AB70-1</f>
        <v>0.39400921658986165</v>
      </c>
      <c r="AD72" s="18">
        <f t="shared" ref="AD72" si="112">+AD70/AC70-1</f>
        <v>-0.38842975206611574</v>
      </c>
      <c r="AE72" s="18">
        <f t="shared" ref="AE72" si="113">+AE70/AD70-1</f>
        <v>-0.1108108108108109</v>
      </c>
      <c r="AF72" s="18">
        <f t="shared" ref="AF72" si="114">+AF70/AE70-1</f>
        <v>-0.10030395136778103</v>
      </c>
      <c r="AG72" s="18">
        <f t="shared" ref="AG72" si="115">+AG70/AF70-1</f>
        <v>-0.15540540540540548</v>
      </c>
      <c r="AH72" s="173">
        <f t="shared" ref="AH72" si="116">+AH70/AG70-1</f>
        <v>-0.29600000000000026</v>
      </c>
      <c r="AI72" s="18">
        <f t="shared" ref="AI72" si="117">+AI70/AH70-1</f>
        <v>0.19318181818181857</v>
      </c>
      <c r="AJ72" s="18">
        <f t="shared" ref="AJ72:AM72" si="118">+AJ70/AI70-1</f>
        <v>0.19047619047619047</v>
      </c>
      <c r="AK72" s="18">
        <f t="shared" si="118"/>
        <v>0</v>
      </c>
      <c r="AL72" s="18">
        <f t="shared" si="118"/>
        <v>0</v>
      </c>
      <c r="AM72" s="18">
        <f t="shared" si="118"/>
        <v>0</v>
      </c>
      <c r="AO72" s="12" t="s">
        <v>213</v>
      </c>
    </row>
    <row r="74" spans="23:41" x14ac:dyDescent="0.25">
      <c r="W74" s="12" t="s">
        <v>205</v>
      </c>
      <c r="AD74" s="74" t="s">
        <v>209</v>
      </c>
      <c r="AH74" s="181" t="s">
        <v>210</v>
      </c>
      <c r="AI74" s="74" t="s">
        <v>208</v>
      </c>
    </row>
    <row r="76" spans="23:41" x14ac:dyDescent="0.25">
      <c r="W76" s="12" t="s">
        <v>251</v>
      </c>
      <c r="AI76" s="16">
        <f>+CORREL(X7:AI7,X61:AI61)</f>
        <v>0.95343273492875336</v>
      </c>
      <c r="AJ76" s="16">
        <f>+CORREL(X7:AJ7,X61:AJ61)</f>
        <v>0.95638505700640941</v>
      </c>
    </row>
  </sheetData>
  <mergeCells count="3">
    <mergeCell ref="AQ2:AU2"/>
    <mergeCell ref="AV2:AZ2"/>
    <mergeCell ref="B13:H13"/>
  </mergeCells>
  <hyperlinks>
    <hyperlink ref="AO70" r:id="rId1" xr:uid="{91333647-BCBB-4599-8F84-385740FC5005}"/>
  </hyperlinks>
  <pageMargins left="0.7" right="0.7" top="0.75" bottom="0.75" header="0.3" footer="0.3"/>
  <pageSetup paperSize="9" orientation="portrait"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FB584-D068-4EFD-9C6D-BC74CF340290}">
  <sheetPr codeName="Sheet7">
    <tabColor rgb="FF92D050"/>
  </sheetPr>
  <dimension ref="A1:AZ54"/>
  <sheetViews>
    <sheetView topLeftCell="V28" zoomScale="85" zoomScaleNormal="85" workbookViewId="0">
      <selection activeCell="AO5" sqref="AO5"/>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4" width="12" style="12" customWidth="1"/>
    <col min="35" max="35" width="12" style="170" customWidth="1"/>
    <col min="36" max="38" width="12" style="12" customWidth="1"/>
    <col min="39" max="39" width="12" style="170" customWidth="1"/>
    <col min="40" max="40" width="8.85546875" style="12"/>
    <col min="41" max="41" width="15.28515625" style="12" bestFit="1" customWidth="1"/>
    <col min="42" max="42" width="14.28515625" style="50" bestFit="1" customWidth="1"/>
    <col min="43" max="47" width="8.85546875" style="50" customWidth="1"/>
    <col min="48" max="16384" width="8.85546875" style="50"/>
  </cols>
  <sheetData>
    <row r="1" spans="1:52" ht="15.75" thickBot="1" x14ac:dyDescent="0.3">
      <c r="W1" s="20" t="s">
        <v>194</v>
      </c>
      <c r="X1" s="59">
        <f>+'Valuation Sheet'!C10</f>
        <v>27.7</v>
      </c>
    </row>
    <row r="2" spans="1:52"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170</v>
      </c>
      <c r="X2" s="11" t="s">
        <v>14</v>
      </c>
      <c r="Y2" s="11" t="s">
        <v>16</v>
      </c>
      <c r="Z2" s="11" t="s">
        <v>18</v>
      </c>
      <c r="AA2" s="11" t="s">
        <v>20</v>
      </c>
      <c r="AB2" s="11" t="s">
        <v>22</v>
      </c>
      <c r="AC2" s="11" t="s">
        <v>24</v>
      </c>
      <c r="AD2" s="11" t="s">
        <v>26</v>
      </c>
      <c r="AE2" s="11" t="s">
        <v>39</v>
      </c>
      <c r="AF2" s="11" t="s">
        <v>38</v>
      </c>
      <c r="AG2" s="11" t="s">
        <v>71</v>
      </c>
      <c r="AH2" s="11" t="s">
        <v>83</v>
      </c>
      <c r="AI2" s="171" t="s">
        <v>84</v>
      </c>
      <c r="AJ2" s="11" t="s">
        <v>365</v>
      </c>
      <c r="AK2" s="11" t="s">
        <v>948</v>
      </c>
      <c r="AL2" s="11" t="s">
        <v>1018</v>
      </c>
      <c r="AM2" s="171" t="s">
        <v>1074</v>
      </c>
      <c r="AP2" s="71" t="str">
        <f>+W2</f>
        <v>GLAS</v>
      </c>
      <c r="AQ2" s="189" t="s">
        <v>190</v>
      </c>
      <c r="AR2" s="190"/>
      <c r="AS2" s="190"/>
      <c r="AT2" s="190"/>
      <c r="AU2" s="191"/>
      <c r="AV2" s="192" t="s">
        <v>191</v>
      </c>
      <c r="AW2" s="192"/>
      <c r="AX2" s="192"/>
      <c r="AY2" s="192"/>
      <c r="AZ2" s="192"/>
    </row>
    <row r="3" spans="1:52" ht="18" thickTop="1" thickBot="1" x14ac:dyDescent="0.4">
      <c r="B3" s="25" t="s">
        <v>10</v>
      </c>
      <c r="C3" s="26">
        <v>17820.179</v>
      </c>
      <c r="D3" s="26"/>
      <c r="E3" s="26"/>
      <c r="F3" s="26"/>
      <c r="G3" s="26"/>
      <c r="H3" s="26"/>
      <c r="I3" s="27"/>
      <c r="J3" s="21"/>
      <c r="M3" s="1" t="s">
        <v>11</v>
      </c>
      <c r="N3" s="2">
        <f>'[1]LT Portfolio'!W294</f>
        <v>0</v>
      </c>
      <c r="W3" s="12" t="s">
        <v>62</v>
      </c>
      <c r="X3" s="13">
        <v>2229746</v>
      </c>
      <c r="Y3" s="13">
        <v>2400946</v>
      </c>
      <c r="Z3" s="13">
        <v>2571198</v>
      </c>
      <c r="AA3" s="13">
        <v>1876183</v>
      </c>
      <c r="AB3" s="13">
        <v>2264180</v>
      </c>
      <c r="AC3" s="13">
        <v>2923291</v>
      </c>
      <c r="AD3" s="13">
        <v>3165357</v>
      </c>
      <c r="AE3" s="13">
        <v>3884742</v>
      </c>
      <c r="AF3" s="13">
        <v>4947868</v>
      </c>
      <c r="AG3" s="13">
        <v>5856865</v>
      </c>
      <c r="AH3" s="13">
        <v>5377833</v>
      </c>
      <c r="AI3" s="172">
        <v>4086637</v>
      </c>
      <c r="AJ3" s="13">
        <v>3699735</v>
      </c>
      <c r="AK3" s="13">
        <v>4513804</v>
      </c>
      <c r="AL3" s="13">
        <v>5523333</v>
      </c>
      <c r="AM3" s="172">
        <v>4117996</v>
      </c>
      <c r="AO3" s="13">
        <f>AM3-AI3</f>
        <v>31359</v>
      </c>
      <c r="AP3" s="69"/>
      <c r="AQ3" s="66" t="s">
        <v>78</v>
      </c>
      <c r="AR3" s="67" t="s">
        <v>17</v>
      </c>
      <c r="AS3" s="67" t="s">
        <v>184</v>
      </c>
      <c r="AT3" s="67" t="s">
        <v>29</v>
      </c>
      <c r="AU3" s="68" t="s">
        <v>30</v>
      </c>
      <c r="AV3" s="66" t="s">
        <v>78</v>
      </c>
      <c r="AW3" s="67" t="s">
        <v>17</v>
      </c>
      <c r="AX3" s="67" t="s">
        <v>184</v>
      </c>
      <c r="AY3" s="67" t="s">
        <v>29</v>
      </c>
      <c r="AZ3" s="68" t="s">
        <v>30</v>
      </c>
    </row>
    <row r="4" spans="1:52"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f t="shared" ref="AB4:AM4" si="1">+AB3/X3-1</f>
        <v>1.5443014585517778E-2</v>
      </c>
      <c r="AC4" s="18">
        <f t="shared" si="1"/>
        <v>0.21755799588995339</v>
      </c>
      <c r="AD4" s="18">
        <f t="shared" si="1"/>
        <v>0.23108255373565156</v>
      </c>
      <c r="AE4" s="18">
        <f t="shared" si="1"/>
        <v>1.0705560171902206</v>
      </c>
      <c r="AF4" s="18">
        <f t="shared" si="1"/>
        <v>1.1852803222358648</v>
      </c>
      <c r="AG4" s="18">
        <f t="shared" si="1"/>
        <v>1.0035176108023456</v>
      </c>
      <c r="AH4" s="18">
        <f t="shared" si="1"/>
        <v>0.69896570908115585</v>
      </c>
      <c r="AI4" s="173">
        <f t="shared" si="1"/>
        <v>5.1971276342161143E-2</v>
      </c>
      <c r="AJ4" s="18">
        <f t="shared" si="1"/>
        <v>-0.252256729565138</v>
      </c>
      <c r="AK4" s="18">
        <f t="shared" si="1"/>
        <v>-0.22931397599227576</v>
      </c>
      <c r="AL4" s="18">
        <f t="shared" si="1"/>
        <v>2.7055507301918746E-2</v>
      </c>
      <c r="AM4" s="173">
        <f t="shared" si="1"/>
        <v>7.673546732924974E-3</v>
      </c>
      <c r="AN4" s="14"/>
      <c r="AO4" s="13">
        <f>AL3-AM3</f>
        <v>1405337</v>
      </c>
      <c r="AP4" s="69" t="s">
        <v>185</v>
      </c>
      <c r="AQ4" s="60"/>
      <c r="AR4" s="61"/>
      <c r="AS4" s="61"/>
      <c r="AT4" s="74"/>
      <c r="AU4" s="64"/>
      <c r="AV4" s="60"/>
      <c r="AW4" s="61"/>
      <c r="AX4" s="61"/>
      <c r="AY4" s="58"/>
      <c r="AZ4" s="64"/>
    </row>
    <row r="5" spans="1:52" ht="18" thickTop="1" thickBot="1" x14ac:dyDescent="0.4">
      <c r="B5" s="32" t="s">
        <v>13</v>
      </c>
      <c r="C5" s="29">
        <v>2994.8620000000001</v>
      </c>
      <c r="D5" s="26"/>
      <c r="E5" s="26"/>
      <c r="F5" s="26"/>
      <c r="G5" s="26"/>
      <c r="H5" s="26"/>
      <c r="I5" s="27"/>
      <c r="J5" s="21"/>
      <c r="M5" s="1" t="s">
        <v>14</v>
      </c>
      <c r="N5" s="3">
        <f>202.575/415.481776</f>
        <v>0.48756651122045841</v>
      </c>
      <c r="W5" s="12" t="s">
        <v>41</v>
      </c>
      <c r="Y5" s="18">
        <f t="shared" ref="Y5:AC5" si="2">+Y3/X3-1</f>
        <v>7.678004579893849E-2</v>
      </c>
      <c r="Z5" s="18">
        <f t="shared" si="2"/>
        <v>7.0910382824103557E-2</v>
      </c>
      <c r="AA5" s="18">
        <f t="shared" si="2"/>
        <v>-0.27030784871487923</v>
      </c>
      <c r="AB5" s="18">
        <f t="shared" si="2"/>
        <v>0.20680125552784556</v>
      </c>
      <c r="AC5" s="18">
        <f t="shared" si="2"/>
        <v>0.29110362250351129</v>
      </c>
      <c r="AD5" s="18">
        <f t="shared" ref="AD5:AM5" si="3">+AD3/AC3-1</f>
        <v>8.2805988182496959E-2</v>
      </c>
      <c r="AE5" s="18">
        <f t="shared" si="3"/>
        <v>0.2272682038708429</v>
      </c>
      <c r="AF5" s="18">
        <f t="shared" si="3"/>
        <v>0.27366708007893448</v>
      </c>
      <c r="AG5" s="18">
        <f t="shared" si="3"/>
        <v>0.18371488487566756</v>
      </c>
      <c r="AH5" s="18">
        <f t="shared" si="3"/>
        <v>-8.1789831249311717E-2</v>
      </c>
      <c r="AI5" s="173">
        <f t="shared" si="3"/>
        <v>-0.24009596430383762</v>
      </c>
      <c r="AJ5" s="18">
        <f t="shared" si="3"/>
        <v>-9.4674912403523992E-2</v>
      </c>
      <c r="AK5" s="18">
        <f t="shared" si="3"/>
        <v>0.22003440786975292</v>
      </c>
      <c r="AL5" s="18">
        <f t="shared" si="3"/>
        <v>0.2236537076044951</v>
      </c>
      <c r="AM5" s="173">
        <f t="shared" si="3"/>
        <v>-0.25443640642344034</v>
      </c>
      <c r="AP5" s="69" t="s">
        <v>186</v>
      </c>
      <c r="AQ5" s="60"/>
      <c r="AR5" s="61"/>
      <c r="AS5" s="61"/>
      <c r="AT5" s="58"/>
      <c r="AU5" s="64"/>
      <c r="AV5" s="60"/>
      <c r="AW5" s="61"/>
      <c r="AX5" s="61"/>
      <c r="AY5" s="58"/>
      <c r="AZ5" s="64"/>
    </row>
    <row r="6" spans="1:52" ht="18" thickTop="1" thickBot="1" x14ac:dyDescent="0.4">
      <c r="B6" s="28" t="s">
        <v>15</v>
      </c>
      <c r="C6" s="30">
        <f t="shared" ref="C6:G6" si="4">C5/C$3*100</f>
        <v>16.806015248219449</v>
      </c>
      <c r="D6" s="30" t="e">
        <f t="shared" si="4"/>
        <v>#DIV/0!</v>
      </c>
      <c r="E6" s="30" t="e">
        <f t="shared" si="4"/>
        <v>#DIV/0!</v>
      </c>
      <c r="F6" s="30" t="e">
        <f t="shared" si="4"/>
        <v>#DIV/0!</v>
      </c>
      <c r="G6" s="30" t="e">
        <f t="shared" si="4"/>
        <v>#DIV/0!</v>
      </c>
      <c r="H6" s="30" t="e">
        <f>H5/H$3*100</f>
        <v>#DIV/0!</v>
      </c>
      <c r="I6" s="31" t="e">
        <f>I5/I$3*100</f>
        <v>#DIV/0!</v>
      </c>
      <c r="J6" s="23" t="e">
        <f>AVERAGE(D6:I6)</f>
        <v>#DIV/0!</v>
      </c>
      <c r="M6" s="1" t="s">
        <v>16</v>
      </c>
      <c r="N6" s="3">
        <f>261.001/415.481776</f>
        <v>0.62818880412218114</v>
      </c>
      <c r="AP6" s="69" t="s">
        <v>187</v>
      </c>
      <c r="AQ6" s="60">
        <v>17866</v>
      </c>
      <c r="AR6" s="61">
        <v>3849</v>
      </c>
      <c r="AS6" s="61">
        <v>2814</v>
      </c>
      <c r="AT6" s="58">
        <v>2.96</v>
      </c>
      <c r="AU6" s="64">
        <v>1.5</v>
      </c>
      <c r="AV6" s="60">
        <v>22199</v>
      </c>
      <c r="AW6" s="61">
        <v>4759</v>
      </c>
      <c r="AX6" s="61">
        <v>3492</v>
      </c>
      <c r="AY6" s="58">
        <v>3.68</v>
      </c>
      <c r="AZ6" s="64">
        <v>1.9</v>
      </c>
    </row>
    <row r="7" spans="1:52"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72"/>
      <c r="AJ7" s="13"/>
      <c r="AK7" s="13"/>
      <c r="AL7" s="13"/>
      <c r="AM7" s="172"/>
      <c r="AP7" s="69" t="s">
        <v>188</v>
      </c>
      <c r="AQ7" s="60"/>
      <c r="AR7" s="61"/>
      <c r="AS7" s="61"/>
      <c r="AT7" s="74"/>
      <c r="AU7" s="64"/>
      <c r="AV7" s="60"/>
      <c r="AW7" s="61"/>
      <c r="AX7" s="61"/>
      <c r="AY7" s="58"/>
      <c r="AZ7" s="64"/>
    </row>
    <row r="8" spans="1:52" ht="18" thickTop="1" thickBot="1" x14ac:dyDescent="0.4">
      <c r="B8" s="28" t="s">
        <v>19</v>
      </c>
      <c r="C8" s="30">
        <f t="shared" ref="C8:I8" si="5">C7/C$3*100</f>
        <v>12.16378353999699</v>
      </c>
      <c r="D8" s="30" t="e">
        <f t="shared" si="5"/>
        <v>#DIV/0!</v>
      </c>
      <c r="E8" s="30" t="e">
        <f t="shared" si="5"/>
        <v>#DIV/0!</v>
      </c>
      <c r="F8" s="30" t="e">
        <f t="shared" si="5"/>
        <v>#DIV/0!</v>
      </c>
      <c r="G8" s="30" t="e">
        <f t="shared" si="5"/>
        <v>#DIV/0!</v>
      </c>
      <c r="H8" s="30" t="e">
        <f t="shared" si="5"/>
        <v>#DIV/0!</v>
      </c>
      <c r="I8" s="31" t="e">
        <f t="shared" si="5"/>
        <v>#DIV/0!</v>
      </c>
      <c r="J8" s="23" t="e">
        <f>AVERAGE(D8:I8)</f>
        <v>#DIV/0!</v>
      </c>
      <c r="M8" s="1" t="s">
        <v>20</v>
      </c>
      <c r="N8" s="3">
        <f>'[1]LT Portfolio'!Q294</f>
        <v>0</v>
      </c>
      <c r="W8" s="12" t="s">
        <v>40</v>
      </c>
      <c r="AB8" s="18" t="e">
        <f t="shared" ref="AB8:AM8" si="6">+AB7/X7-1</f>
        <v>#DIV/0!</v>
      </c>
      <c r="AC8" s="18" t="e">
        <f t="shared" si="6"/>
        <v>#DIV/0!</v>
      </c>
      <c r="AD8" s="18" t="e">
        <f t="shared" si="6"/>
        <v>#DIV/0!</v>
      </c>
      <c r="AE8" s="18" t="e">
        <f t="shared" si="6"/>
        <v>#DIV/0!</v>
      </c>
      <c r="AF8" s="18" t="e">
        <f t="shared" si="6"/>
        <v>#DIV/0!</v>
      </c>
      <c r="AG8" s="18" t="e">
        <f t="shared" si="6"/>
        <v>#DIV/0!</v>
      </c>
      <c r="AH8" s="18" t="e">
        <f t="shared" si="6"/>
        <v>#DIV/0!</v>
      </c>
      <c r="AI8" s="173" t="e">
        <f t="shared" si="6"/>
        <v>#DIV/0!</v>
      </c>
      <c r="AJ8" s="18" t="e">
        <f t="shared" si="6"/>
        <v>#DIV/0!</v>
      </c>
      <c r="AK8" s="18" t="e">
        <f t="shared" si="6"/>
        <v>#DIV/0!</v>
      </c>
      <c r="AL8" s="18" t="e">
        <f t="shared" si="6"/>
        <v>#DIV/0!</v>
      </c>
      <c r="AM8" s="173" t="e">
        <f t="shared" si="6"/>
        <v>#DIV/0!</v>
      </c>
      <c r="AP8" s="69" t="s">
        <v>197</v>
      </c>
      <c r="AQ8" s="60"/>
      <c r="AR8" s="61"/>
      <c r="AS8" s="61"/>
      <c r="AT8" s="58"/>
      <c r="AU8" s="64"/>
      <c r="AV8" s="60"/>
      <c r="AW8" s="61"/>
      <c r="AX8" s="61"/>
      <c r="AY8" s="58"/>
      <c r="AZ8" s="64"/>
    </row>
    <row r="9" spans="1:52"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C9" si="7">+Y7/X7-1</f>
        <v>#DIV/0!</v>
      </c>
      <c r="Z9" s="18" t="e">
        <f t="shared" si="7"/>
        <v>#DIV/0!</v>
      </c>
      <c r="AA9" s="18" t="e">
        <f t="shared" si="7"/>
        <v>#DIV/0!</v>
      </c>
      <c r="AB9" s="18" t="e">
        <f t="shared" si="7"/>
        <v>#DIV/0!</v>
      </c>
      <c r="AC9" s="18" t="e">
        <f t="shared" si="7"/>
        <v>#DIV/0!</v>
      </c>
      <c r="AD9" s="18" t="e">
        <f t="shared" ref="AD9:AM9" si="8">+AD7/AC7-1</f>
        <v>#DIV/0!</v>
      </c>
      <c r="AE9" s="18" t="e">
        <f t="shared" si="8"/>
        <v>#DIV/0!</v>
      </c>
      <c r="AF9" s="18" t="e">
        <f t="shared" si="8"/>
        <v>#DIV/0!</v>
      </c>
      <c r="AG9" s="18" t="e">
        <f t="shared" si="8"/>
        <v>#DIV/0!</v>
      </c>
      <c r="AH9" s="18" t="e">
        <f t="shared" si="8"/>
        <v>#DIV/0!</v>
      </c>
      <c r="AI9" s="173" t="e">
        <f t="shared" si="8"/>
        <v>#DIV/0!</v>
      </c>
      <c r="AJ9" s="18" t="e">
        <f t="shared" si="8"/>
        <v>#DIV/0!</v>
      </c>
      <c r="AK9" s="18" t="e">
        <f t="shared" si="8"/>
        <v>#DIV/0!</v>
      </c>
      <c r="AL9" s="18" t="e">
        <f t="shared" si="8"/>
        <v>#DIV/0!</v>
      </c>
      <c r="AM9" s="173" t="e">
        <f t="shared" si="8"/>
        <v>#DIV/0!</v>
      </c>
      <c r="AP9" s="69" t="s">
        <v>195</v>
      </c>
      <c r="AQ9" s="60"/>
      <c r="AR9" s="61"/>
      <c r="AS9" s="61"/>
      <c r="AT9" s="74"/>
      <c r="AU9" s="64"/>
      <c r="AV9" s="60"/>
      <c r="AW9" s="61"/>
      <c r="AX9" s="61"/>
      <c r="AY9" s="58"/>
      <c r="AZ9" s="64"/>
    </row>
    <row r="10" spans="1:52"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P10" s="69" t="s">
        <v>196</v>
      </c>
      <c r="AQ10" s="60"/>
      <c r="AR10" s="61"/>
      <c r="AS10" s="61"/>
      <c r="AT10" s="58"/>
      <c r="AU10" s="64"/>
      <c r="AV10" s="60"/>
      <c r="AW10" s="61"/>
      <c r="AX10" s="61"/>
      <c r="AY10" s="58"/>
      <c r="AZ10" s="64"/>
    </row>
    <row r="11" spans="1:52" ht="18" thickTop="1" thickBot="1" x14ac:dyDescent="0.4">
      <c r="B11" s="28" t="s">
        <v>25</v>
      </c>
      <c r="C11" s="30">
        <f t="shared" ref="C11:G11" si="9">C10/C$3*100</f>
        <v>12.180949473066461</v>
      </c>
      <c r="D11" s="30" t="e">
        <f t="shared" si="9"/>
        <v>#DIV/0!</v>
      </c>
      <c r="E11" s="30" t="e">
        <f t="shared" si="9"/>
        <v>#DIV/0!</v>
      </c>
      <c r="F11" s="30" t="e">
        <f t="shared" si="9"/>
        <v>#DIV/0!</v>
      </c>
      <c r="G11" s="30" t="e">
        <f t="shared" si="9"/>
        <v>#DIV/0!</v>
      </c>
      <c r="H11" s="30" t="e">
        <f>H10/H$3*100</f>
        <v>#DIV/0!</v>
      </c>
      <c r="I11" s="31" t="e">
        <f>I10/I$3*100</f>
        <v>#DIV/0!</v>
      </c>
      <c r="J11" s="23" t="e">
        <f>AVERAGE(D11:I11)</f>
        <v>#DIV/0!</v>
      </c>
      <c r="M11" s="1" t="s">
        <v>26</v>
      </c>
      <c r="N11" s="3">
        <f>'[1]LT Portfolio'!T294</f>
        <v>0</v>
      </c>
      <c r="O11" s="4" t="e">
        <f>N11/N7-1</f>
        <v>#DIV/0!</v>
      </c>
      <c r="W11" s="12" t="s">
        <v>42</v>
      </c>
      <c r="X11" s="13">
        <v>527887</v>
      </c>
      <c r="Y11" s="13">
        <v>650516</v>
      </c>
      <c r="Z11" s="13">
        <v>623686</v>
      </c>
      <c r="AA11" s="13">
        <v>444020</v>
      </c>
      <c r="AB11" s="13">
        <v>597807</v>
      </c>
      <c r="AC11" s="13">
        <v>837673</v>
      </c>
      <c r="AD11" s="13">
        <v>925944</v>
      </c>
      <c r="AE11" s="13">
        <v>925630</v>
      </c>
      <c r="AF11" s="13">
        <v>1269567</v>
      </c>
      <c r="AG11" s="13">
        <v>1815083</v>
      </c>
      <c r="AH11" s="13">
        <v>1544199</v>
      </c>
      <c r="AI11" s="172">
        <v>992141</v>
      </c>
      <c r="AJ11" s="13">
        <v>1250516</v>
      </c>
      <c r="AK11" s="13">
        <v>1445467</v>
      </c>
      <c r="AL11" s="13">
        <v>1586988</v>
      </c>
      <c r="AM11" s="172">
        <v>1097794</v>
      </c>
      <c r="AP11" s="70" t="s">
        <v>192</v>
      </c>
      <c r="AQ11" s="62">
        <f>+AVERAGE(AQ4:AQ10)</f>
        <v>17866</v>
      </c>
      <c r="AR11" s="63">
        <f t="shared" ref="AR11:AZ11" si="10">+AVERAGE(AR4:AR10)</f>
        <v>3849</v>
      </c>
      <c r="AS11" s="63">
        <f t="shared" si="10"/>
        <v>2814</v>
      </c>
      <c r="AT11" s="72">
        <f t="shared" si="10"/>
        <v>2.96</v>
      </c>
      <c r="AU11" s="65">
        <f t="shared" si="10"/>
        <v>1.5</v>
      </c>
      <c r="AV11" s="62">
        <f t="shared" si="10"/>
        <v>22199</v>
      </c>
      <c r="AW11" s="63">
        <f t="shared" si="10"/>
        <v>4759</v>
      </c>
      <c r="AX11" s="63">
        <f t="shared" si="10"/>
        <v>3492</v>
      </c>
      <c r="AY11" s="72">
        <f t="shared" si="10"/>
        <v>3.68</v>
      </c>
      <c r="AZ11" s="65">
        <f t="shared" si="10"/>
        <v>1.9</v>
      </c>
    </row>
    <row r="12" spans="1:52" ht="18" thickTop="1" thickBot="1" x14ac:dyDescent="0.4">
      <c r="B12" s="28" t="s">
        <v>27</v>
      </c>
      <c r="C12" s="29"/>
      <c r="D12" s="30">
        <f t="shared" ref="D12:I12" si="11">(D10/C10-1)*100</f>
        <v>-100</v>
      </c>
      <c r="E12" s="30" t="e">
        <f t="shared" si="11"/>
        <v>#DIV/0!</v>
      </c>
      <c r="F12" s="30" t="e">
        <f t="shared" si="11"/>
        <v>#DIV/0!</v>
      </c>
      <c r="G12" s="30" t="e">
        <f t="shared" si="11"/>
        <v>#DIV/0!</v>
      </c>
      <c r="H12" s="30" t="e">
        <f t="shared" si="11"/>
        <v>#DIV/0!</v>
      </c>
      <c r="I12" s="31" t="e">
        <f t="shared" si="11"/>
        <v>#DIV/0!</v>
      </c>
      <c r="J12" s="23" t="e">
        <f>AVERAGE(D12:I12)</f>
        <v>#DIV/0!</v>
      </c>
      <c r="S12" t="s">
        <v>20</v>
      </c>
      <c r="T12" t="s">
        <v>22</v>
      </c>
      <c r="W12" s="12" t="s">
        <v>43</v>
      </c>
      <c r="X12" s="19">
        <f t="shared" ref="X12:AG12" si="12">+X11/X3</f>
        <v>0.23674759367210435</v>
      </c>
      <c r="Y12" s="19">
        <f t="shared" si="12"/>
        <v>0.27094153721074943</v>
      </c>
      <c r="Z12" s="19">
        <f t="shared" si="12"/>
        <v>0.24256630566763043</v>
      </c>
      <c r="AA12" s="19">
        <f t="shared" si="12"/>
        <v>0.23666134913278716</v>
      </c>
      <c r="AB12" s="19">
        <f t="shared" si="12"/>
        <v>0.26402803664019647</v>
      </c>
      <c r="AC12" s="19">
        <f t="shared" si="12"/>
        <v>0.28655135598884957</v>
      </c>
      <c r="AD12" s="19">
        <f t="shared" si="12"/>
        <v>0.29252435033394336</v>
      </c>
      <c r="AE12" s="19">
        <f t="shared" si="12"/>
        <v>0.23827322380739827</v>
      </c>
      <c r="AF12" s="19">
        <f t="shared" si="12"/>
        <v>0.25658869638397791</v>
      </c>
      <c r="AG12" s="19">
        <f t="shared" si="12"/>
        <v>0.30990692119418833</v>
      </c>
      <c r="AH12" s="19">
        <f t="shared" ref="AH12:AK12" si="13">+AH11/AH3</f>
        <v>0.2871414936090429</v>
      </c>
      <c r="AI12" s="174">
        <f t="shared" si="13"/>
        <v>0.24277688475878823</v>
      </c>
      <c r="AJ12" s="19">
        <f t="shared" si="13"/>
        <v>0.33800150551323271</v>
      </c>
      <c r="AK12" s="19">
        <f t="shared" si="13"/>
        <v>0.32023255772736253</v>
      </c>
      <c r="AL12" s="19">
        <f t="shared" ref="AL12:AM12" si="14">+AL11/AL3</f>
        <v>0.28732433840219301</v>
      </c>
      <c r="AM12" s="174">
        <f t="shared" si="14"/>
        <v>0.26658452315155234</v>
      </c>
      <c r="AP12" s="12"/>
      <c r="AQ12" s="12"/>
      <c r="AR12" s="12"/>
      <c r="AS12" s="12"/>
      <c r="AT12" s="12"/>
      <c r="AU12" s="99" t="s">
        <v>34</v>
      </c>
      <c r="AV12" s="12"/>
      <c r="AW12" s="12"/>
      <c r="AX12" s="12"/>
      <c r="AY12" s="12"/>
      <c r="AZ12" s="99" t="s">
        <v>34</v>
      </c>
    </row>
    <row r="13" spans="1:52"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70"/>
      <c r="AJ13" s="12"/>
      <c r="AK13" s="12"/>
      <c r="AL13" s="12"/>
      <c r="AM13" s="170"/>
      <c r="AN13" s="12"/>
      <c r="AO13" s="12"/>
      <c r="AP13" s="12" t="s">
        <v>193</v>
      </c>
      <c r="AQ13" s="12"/>
      <c r="AR13" s="12"/>
      <c r="AS13" s="12"/>
      <c r="AT13" s="58">
        <f>+$X$1/AT11</f>
        <v>9.3581081081081088</v>
      </c>
      <c r="AU13" s="75">
        <f>+AU11/$X$1</f>
        <v>5.4151624548736461E-2</v>
      </c>
      <c r="AV13" s="12"/>
      <c r="AW13" s="12"/>
      <c r="AX13" s="12"/>
      <c r="AY13" s="58">
        <f>+$X$1/AY11</f>
        <v>7.5271739130434776</v>
      </c>
      <c r="AZ13" s="75">
        <f>+AZ11/$X$1</f>
        <v>6.8592057761732855E-2</v>
      </c>
    </row>
    <row r="14" spans="1:52"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f t="shared" ref="X14:AG14" si="15">+X20-X17</f>
        <v>390298</v>
      </c>
      <c r="Y14" s="13">
        <f t="shared" si="15"/>
        <v>508282</v>
      </c>
      <c r="Z14" s="13">
        <f t="shared" si="15"/>
        <v>526550</v>
      </c>
      <c r="AA14" s="13">
        <f t="shared" si="15"/>
        <v>326893</v>
      </c>
      <c r="AB14" s="13">
        <f t="shared" si="15"/>
        <v>486831</v>
      </c>
      <c r="AC14" s="13">
        <f t="shared" si="15"/>
        <v>689480</v>
      </c>
      <c r="AD14" s="13">
        <f t="shared" si="15"/>
        <v>991574</v>
      </c>
      <c r="AE14" s="13">
        <f t="shared" si="15"/>
        <v>874703</v>
      </c>
      <c r="AF14" s="13">
        <f t="shared" si="15"/>
        <v>990734</v>
      </c>
      <c r="AG14" s="13">
        <f t="shared" si="15"/>
        <v>1432252</v>
      </c>
      <c r="AH14" s="13">
        <f t="shared" ref="AH14:AI14" si="16">+AH20-AH17</f>
        <v>992113</v>
      </c>
      <c r="AI14" s="172">
        <f t="shared" si="16"/>
        <v>583993</v>
      </c>
      <c r="AJ14" s="13">
        <v>1046568</v>
      </c>
      <c r="AK14" s="13">
        <f t="shared" ref="AK14:AM14" si="17">+AK20-AK17</f>
        <v>1143361</v>
      </c>
      <c r="AL14" s="13">
        <f t="shared" si="17"/>
        <v>1161229</v>
      </c>
      <c r="AM14" s="172">
        <f t="shared" si="17"/>
        <v>838373</v>
      </c>
    </row>
    <row r="15" spans="1:52" ht="18" thickTop="1" thickBot="1" x14ac:dyDescent="0.4">
      <c r="B15" s="32" t="s">
        <v>30</v>
      </c>
      <c r="C15" s="34">
        <f>1+0.6</f>
        <v>1.6</v>
      </c>
      <c r="D15" s="34"/>
      <c r="E15" s="34"/>
      <c r="F15" s="34"/>
      <c r="G15" s="34"/>
      <c r="H15" s="34"/>
      <c r="I15" s="35"/>
      <c r="J15" s="24"/>
      <c r="R15" s="6"/>
      <c r="S15" s="6"/>
      <c r="W15" s="12" t="s">
        <v>55</v>
      </c>
      <c r="X15" s="19">
        <f t="shared" ref="X15:AG15" si="18">+X14/X3</f>
        <v>0.17504146212169458</v>
      </c>
      <c r="Y15" s="19">
        <f t="shared" si="18"/>
        <v>0.21170072129902132</v>
      </c>
      <c r="Z15" s="19">
        <f t="shared" si="18"/>
        <v>0.20478780708447969</v>
      </c>
      <c r="AA15" s="19">
        <f t="shared" si="18"/>
        <v>0.17423300392339128</v>
      </c>
      <c r="AB15" s="19">
        <f t="shared" si="18"/>
        <v>0.2150142656502575</v>
      </c>
      <c r="AC15" s="19">
        <f t="shared" si="18"/>
        <v>0.2358574633862999</v>
      </c>
      <c r="AD15" s="19">
        <f t="shared" si="18"/>
        <v>0.31325818857083104</v>
      </c>
      <c r="AE15" s="19">
        <f t="shared" si="18"/>
        <v>0.22516373030692902</v>
      </c>
      <c r="AF15" s="19">
        <f t="shared" si="18"/>
        <v>0.20023452525410945</v>
      </c>
      <c r="AG15" s="19">
        <f t="shared" si="18"/>
        <v>0.24454243012259971</v>
      </c>
      <c r="AH15" s="19">
        <f t="shared" ref="AH15:AK15" si="19">+AH14/AH3</f>
        <v>0.18448192794383908</v>
      </c>
      <c r="AI15" s="174">
        <f t="shared" si="19"/>
        <v>0.14290307653946263</v>
      </c>
      <c r="AJ15" s="19">
        <f t="shared" si="19"/>
        <v>0.28287647628816659</v>
      </c>
      <c r="AK15" s="19">
        <f t="shared" si="19"/>
        <v>0.25330320058203681</v>
      </c>
      <c r="AL15" s="19">
        <f t="shared" ref="AL15:AM15" si="20">+AL14/AL3</f>
        <v>0.21024062825833603</v>
      </c>
      <c r="AM15" s="174">
        <f t="shared" si="20"/>
        <v>0.20358761883207269</v>
      </c>
    </row>
    <row r="16" spans="1:52" ht="18" thickTop="1" thickBot="1" x14ac:dyDescent="0.4">
      <c r="B16" s="32" t="s">
        <v>8</v>
      </c>
      <c r="C16" s="34">
        <v>31.7</v>
      </c>
      <c r="D16" s="34"/>
      <c r="E16" s="34"/>
      <c r="F16" s="34"/>
      <c r="G16" s="34"/>
      <c r="H16" s="34"/>
      <c r="I16" s="35"/>
      <c r="J16" s="22" t="e">
        <f>((I16/D16)^(1/5)-1)*100</f>
        <v>#DIV/0!</v>
      </c>
    </row>
    <row r="17" spans="2:39" ht="18" thickTop="1" thickBot="1" x14ac:dyDescent="0.4">
      <c r="B17" s="32" t="s">
        <v>31</v>
      </c>
      <c r="C17" s="34">
        <v>14.6</v>
      </c>
      <c r="D17" s="34"/>
      <c r="E17" s="34"/>
      <c r="F17" s="34"/>
      <c r="G17" s="34"/>
      <c r="H17" s="34"/>
      <c r="I17" s="35"/>
      <c r="J17" s="22" t="e">
        <f>((I17/D17)^(1/6)-1)*100</f>
        <v>#DIV/0!</v>
      </c>
      <c r="W17" s="12" t="s">
        <v>44</v>
      </c>
      <c r="X17" s="13">
        <f>-75910+63</f>
        <v>-75847</v>
      </c>
      <c r="Y17" s="13">
        <f>-66841+123</f>
        <v>-66718</v>
      </c>
      <c r="Z17" s="13">
        <f>-42521+59</f>
        <v>-42462</v>
      </c>
      <c r="AA17" s="13">
        <f>-39584+100</f>
        <v>-39484</v>
      </c>
      <c r="AB17" s="13">
        <f>-39857+42</f>
        <v>-39815</v>
      </c>
      <c r="AC17" s="13">
        <f>-42332+50</f>
        <v>-42282</v>
      </c>
      <c r="AD17" s="13">
        <f>-37478+232</f>
        <v>-37246</v>
      </c>
      <c r="AE17" s="13">
        <f>-49380+89</f>
        <v>-49291</v>
      </c>
      <c r="AF17" s="13">
        <f>-115337+245</f>
        <v>-115092</v>
      </c>
      <c r="AG17" s="13">
        <f>-100365+336</f>
        <v>-100029</v>
      </c>
      <c r="AH17" s="13">
        <f>-65440+366</f>
        <v>-65074</v>
      </c>
      <c r="AI17" s="172">
        <f>-20170+181</f>
        <v>-19989</v>
      </c>
      <c r="AJ17" s="13">
        <f>-27893+923</f>
        <v>-26970</v>
      </c>
      <c r="AK17" s="13">
        <f>-34938+514</f>
        <v>-34424</v>
      </c>
      <c r="AL17" s="13">
        <f>-14573+717</f>
        <v>-13856</v>
      </c>
      <c r="AM17" s="172">
        <f>-1040+13404</f>
        <v>12364</v>
      </c>
    </row>
    <row r="18" spans="2:39" ht="18" thickTop="1" thickBot="1" x14ac:dyDescent="0.4">
      <c r="B18" s="32" t="s">
        <v>32</v>
      </c>
      <c r="C18" s="36">
        <f t="shared" ref="C18:G18" si="21">C14/AVERAGE(B17:C17)*100</f>
        <v>22.19178082191781</v>
      </c>
      <c r="D18" s="36">
        <f t="shared" si="21"/>
        <v>0</v>
      </c>
      <c r="E18" s="36" t="e">
        <f t="shared" si="21"/>
        <v>#DIV/0!</v>
      </c>
      <c r="F18" s="36" t="e">
        <f t="shared" si="21"/>
        <v>#DIV/0!</v>
      </c>
      <c r="G18" s="36" t="e">
        <f t="shared" si="21"/>
        <v>#DIV/0!</v>
      </c>
      <c r="H18" s="36" t="e">
        <f>H14/AVERAGE(G17:H17)*100</f>
        <v>#DIV/0!</v>
      </c>
      <c r="I18" s="37" t="e">
        <f>I14/AVERAGE(H17:I17)*100</f>
        <v>#DIV/0!</v>
      </c>
      <c r="J18" s="23" t="e">
        <f>AVERAGE(D18:I18)</f>
        <v>#DIV/0!</v>
      </c>
      <c r="M18" s="9" t="s">
        <v>33</v>
      </c>
      <c r="N18" s="6"/>
      <c r="O18" s="6"/>
      <c r="P18" s="6"/>
      <c r="Q18" s="6"/>
      <c r="W18" s="12" t="s">
        <v>45</v>
      </c>
      <c r="X18" s="15">
        <f t="shared" ref="X18:AG18" si="22">+X17/X14</f>
        <v>-0.19433099836535161</v>
      </c>
      <c r="Y18" s="15">
        <f t="shared" si="22"/>
        <v>-0.13126177987809917</v>
      </c>
      <c r="Z18" s="15">
        <f t="shared" si="22"/>
        <v>-8.0641914348115087E-2</v>
      </c>
      <c r="AA18" s="15">
        <f t="shared" si="22"/>
        <v>-0.12078570051974194</v>
      </c>
      <c r="AB18" s="15">
        <f t="shared" si="22"/>
        <v>-8.178402772214588E-2</v>
      </c>
      <c r="AC18" s="15">
        <f t="shared" si="22"/>
        <v>-6.1324476417009922E-2</v>
      </c>
      <c r="AD18" s="15">
        <f t="shared" si="22"/>
        <v>-3.7562501638808601E-2</v>
      </c>
      <c r="AE18" s="15">
        <f t="shared" si="22"/>
        <v>-5.6351698805194451E-2</v>
      </c>
      <c r="AF18" s="15">
        <f t="shared" si="22"/>
        <v>-0.11616841654773127</v>
      </c>
      <c r="AG18" s="15">
        <f t="shared" si="22"/>
        <v>-6.9840363288024732E-2</v>
      </c>
      <c r="AH18" s="15">
        <f t="shared" ref="AH18:AK18" si="23">+AH17/AH14</f>
        <v>-6.5591318730830059E-2</v>
      </c>
      <c r="AI18" s="175">
        <f t="shared" si="23"/>
        <v>-3.4228149994948567E-2</v>
      </c>
      <c r="AJ18" s="15">
        <f t="shared" si="23"/>
        <v>-2.5769945192285641E-2</v>
      </c>
      <c r="AK18" s="15">
        <f t="shared" si="23"/>
        <v>-3.0107726256186802E-2</v>
      </c>
      <c r="AL18" s="15">
        <f t="shared" ref="AL18:AM18" si="24">+AL17/AL14</f>
        <v>-1.1932185641247334E-2</v>
      </c>
      <c r="AM18" s="175">
        <f t="shared" si="24"/>
        <v>1.4747612339614944E-2</v>
      </c>
    </row>
    <row r="19" spans="2:39" ht="18" thickTop="1" thickBot="1" x14ac:dyDescent="0.4">
      <c r="B19" s="32" t="s">
        <v>34</v>
      </c>
      <c r="C19" s="30">
        <f t="shared" ref="C19:G19" si="25">C15/C16*100</f>
        <v>5.0473186119873823</v>
      </c>
      <c r="D19" s="30" t="e">
        <f t="shared" si="25"/>
        <v>#DIV/0!</v>
      </c>
      <c r="E19" s="30" t="e">
        <f t="shared" si="25"/>
        <v>#DIV/0!</v>
      </c>
      <c r="F19" s="30" t="e">
        <f t="shared" si="25"/>
        <v>#DIV/0!</v>
      </c>
      <c r="G19" s="30" t="e">
        <f t="shared" si="25"/>
        <v>#DIV/0!</v>
      </c>
      <c r="H19" s="30" t="e">
        <f>H15/H16*100</f>
        <v>#DIV/0!</v>
      </c>
      <c r="I19" s="31" t="e">
        <f>I15/I16*100</f>
        <v>#DIV/0!</v>
      </c>
      <c r="J19" s="23" t="e">
        <f>AVERAGE(D19:I19)</f>
        <v>#DIV/0!</v>
      </c>
    </row>
    <row r="20" spans="2:39" ht="18" thickTop="1" thickBot="1" x14ac:dyDescent="0.4">
      <c r="B20" s="32" t="s">
        <v>35</v>
      </c>
      <c r="C20" s="30">
        <f t="shared" ref="C20:G20" si="26">C15/C14*100</f>
        <v>49.382716049382715</v>
      </c>
      <c r="D20" s="30" t="e">
        <f t="shared" si="26"/>
        <v>#DIV/0!</v>
      </c>
      <c r="E20" s="30" t="e">
        <f t="shared" si="26"/>
        <v>#DIV/0!</v>
      </c>
      <c r="F20" s="30" t="e">
        <f t="shared" si="26"/>
        <v>#DIV/0!</v>
      </c>
      <c r="G20" s="30" t="e">
        <f t="shared" si="26"/>
        <v>#DIV/0!</v>
      </c>
      <c r="H20" s="30" t="e">
        <f>H15/H14*100</f>
        <v>#DIV/0!</v>
      </c>
      <c r="I20" s="31" t="e">
        <f>I15/I14*100</f>
        <v>#DIV/0!</v>
      </c>
      <c r="J20" s="23" t="e">
        <f>AVERAGE(D20:I20)</f>
        <v>#DIV/0!</v>
      </c>
      <c r="M20" t="s">
        <v>36</v>
      </c>
      <c r="N20" s="4" t="e">
        <f>N13/H14-1</f>
        <v>#DIV/0!</v>
      </c>
      <c r="W20" s="12" t="s">
        <v>21</v>
      </c>
      <c r="X20" s="13">
        <v>314451</v>
      </c>
      <c r="Y20" s="13">
        <v>441564</v>
      </c>
      <c r="Z20" s="13">
        <v>484088</v>
      </c>
      <c r="AA20" s="13">
        <v>287409</v>
      </c>
      <c r="AB20" s="13">
        <v>447016</v>
      </c>
      <c r="AC20" s="13">
        <v>647198</v>
      </c>
      <c r="AD20" s="13">
        <v>954328</v>
      </c>
      <c r="AE20" s="13">
        <v>825412</v>
      </c>
      <c r="AF20" s="13">
        <v>875642</v>
      </c>
      <c r="AG20" s="13">
        <v>1332223</v>
      </c>
      <c r="AH20" s="13">
        <v>927039</v>
      </c>
      <c r="AI20" s="172">
        <v>564004</v>
      </c>
      <c r="AJ20" s="13">
        <v>1019598</v>
      </c>
      <c r="AK20" s="13">
        <v>1108937</v>
      </c>
      <c r="AL20" s="13">
        <v>1147373</v>
      </c>
      <c r="AM20" s="172">
        <v>850737</v>
      </c>
    </row>
    <row r="21" spans="2:39" ht="18" thickTop="1" thickBot="1" x14ac:dyDescent="0.4">
      <c r="B21" s="32" t="s">
        <v>11</v>
      </c>
      <c r="C21" s="38">
        <f t="shared" ref="C21:G21" si="27">C16/C14</f>
        <v>9.7839506172839492</v>
      </c>
      <c r="D21" s="38" t="e">
        <f t="shared" si="27"/>
        <v>#DIV/0!</v>
      </c>
      <c r="E21" s="38" t="e">
        <f t="shared" si="27"/>
        <v>#DIV/0!</v>
      </c>
      <c r="F21" s="38" t="e">
        <f t="shared" si="27"/>
        <v>#DIV/0!</v>
      </c>
      <c r="G21" s="38" t="e">
        <f t="shared" si="27"/>
        <v>#DIV/0!</v>
      </c>
      <c r="H21" s="38" t="e">
        <f>H16/H14</f>
        <v>#DIV/0!</v>
      </c>
      <c r="I21" s="39" t="e">
        <f>I16/I14</f>
        <v>#DIV/0!</v>
      </c>
      <c r="J21" s="23" t="e">
        <f>AVERAGE(D21:I21)</f>
        <v>#DIV/0!</v>
      </c>
      <c r="W21" s="12" t="s">
        <v>46</v>
      </c>
      <c r="X21" s="19">
        <f t="shared" ref="X21:AG21" si="28">+X20/X3</f>
        <v>0.14102548003225479</v>
      </c>
      <c r="Y21" s="19">
        <f t="shared" si="28"/>
        <v>0.18391250781983434</v>
      </c>
      <c r="Z21" s="19">
        <f t="shared" si="28"/>
        <v>0.18827332628603477</v>
      </c>
      <c r="AA21" s="19">
        <f t="shared" si="28"/>
        <v>0.1531881484908455</v>
      </c>
      <c r="AB21" s="19">
        <f t="shared" si="28"/>
        <v>0.19742953298766</v>
      </c>
      <c r="AC21" s="19">
        <f t="shared" si="28"/>
        <v>0.22139362793509096</v>
      </c>
      <c r="AD21" s="19">
        <f t="shared" si="28"/>
        <v>0.30149142734926898</v>
      </c>
      <c r="AE21" s="19">
        <f t="shared" si="28"/>
        <v>0.21247537159481891</v>
      </c>
      <c r="AF21" s="19">
        <f t="shared" si="28"/>
        <v>0.17697359751715283</v>
      </c>
      <c r="AG21" s="19">
        <f t="shared" si="28"/>
        <v>0.22746349796350096</v>
      </c>
      <c r="AH21" s="19">
        <f t="shared" ref="AH21:AK21" si="29">+AH20/AH3</f>
        <v>0.17238151500799673</v>
      </c>
      <c r="AI21" s="174">
        <f t="shared" si="29"/>
        <v>0.13801176860093031</v>
      </c>
      <c r="AJ21" s="19">
        <f t="shared" si="29"/>
        <v>0.27558676499803364</v>
      </c>
      <c r="AK21" s="19">
        <f t="shared" si="29"/>
        <v>0.24567681715909684</v>
      </c>
      <c r="AL21" s="19">
        <f t="shared" ref="AL21:AM21" si="30">+AL20/AL3</f>
        <v>0.2077319980526251</v>
      </c>
      <c r="AM21" s="174">
        <f t="shared" si="30"/>
        <v>0.20659005011175338</v>
      </c>
    </row>
    <row r="22" spans="2:39" ht="18" thickTop="1" thickBot="1" x14ac:dyDescent="0.4">
      <c r="B22" s="32" t="s">
        <v>37</v>
      </c>
      <c r="C22" s="38">
        <f t="shared" ref="C22:G22" si="31">C16/C17</f>
        <v>2.1712328767123288</v>
      </c>
      <c r="D22" s="38" t="e">
        <f t="shared" si="31"/>
        <v>#DIV/0!</v>
      </c>
      <c r="E22" s="38" t="e">
        <f t="shared" si="31"/>
        <v>#DIV/0!</v>
      </c>
      <c r="F22" s="38" t="e">
        <f t="shared" si="31"/>
        <v>#DIV/0!</v>
      </c>
      <c r="G22" s="38" t="e">
        <f t="shared" si="31"/>
        <v>#DIV/0!</v>
      </c>
      <c r="H22" s="38" t="e">
        <f>H16/H17</f>
        <v>#DIV/0!</v>
      </c>
      <c r="I22" s="39" t="e">
        <f>I16/I17</f>
        <v>#DIV/0!</v>
      </c>
      <c r="J22" s="23" t="e">
        <f>AVERAGE(D22:I22)</f>
        <v>#DIV/0!</v>
      </c>
    </row>
    <row r="23" spans="2:39" ht="15.75" thickTop="1" x14ac:dyDescent="0.25">
      <c r="W23" s="12" t="s">
        <v>47</v>
      </c>
      <c r="X23" s="13">
        <v>45528</v>
      </c>
      <c r="Y23" s="13">
        <v>-63277</v>
      </c>
      <c r="Z23" s="13">
        <v>-82411</v>
      </c>
      <c r="AA23" s="13">
        <v>-51969</v>
      </c>
      <c r="AB23" s="13">
        <v>-139425</v>
      </c>
      <c r="AC23" s="13">
        <v>-112398</v>
      </c>
      <c r="AD23" s="13">
        <v>-117614</v>
      </c>
      <c r="AE23" s="13">
        <v>-165300</v>
      </c>
      <c r="AF23" s="13">
        <v>-147120</v>
      </c>
      <c r="AG23" s="13">
        <v>-446150</v>
      </c>
      <c r="AH23" s="13">
        <v>-21446</v>
      </c>
      <c r="AI23" s="172">
        <v>-142973</v>
      </c>
      <c r="AJ23" s="13">
        <v>-260210</v>
      </c>
      <c r="AK23" s="13">
        <v>-256382</v>
      </c>
      <c r="AL23" s="10">
        <v>-241517</v>
      </c>
      <c r="AM23" s="172">
        <v>-162432</v>
      </c>
    </row>
    <row r="24" spans="2:39" x14ac:dyDescent="0.25">
      <c r="G24" s="10">
        <v>701.95658000000003</v>
      </c>
      <c r="H24" s="10">
        <v>709.32254499999999</v>
      </c>
      <c r="I24" s="10">
        <v>716.73997499999996</v>
      </c>
      <c r="W24" s="12" t="s">
        <v>48</v>
      </c>
      <c r="X24" s="14">
        <f t="shared" ref="X24:AG24" si="32">+X23/X20</f>
        <v>0.14478567407958631</v>
      </c>
      <c r="Y24" s="14">
        <f t="shared" si="32"/>
        <v>-0.14330199019847634</v>
      </c>
      <c r="Z24" s="14">
        <f t="shared" si="32"/>
        <v>-0.17023970848275521</v>
      </c>
      <c r="AA24" s="14">
        <f t="shared" si="32"/>
        <v>-0.18081897226600419</v>
      </c>
      <c r="AB24" s="14">
        <f t="shared" si="32"/>
        <v>-0.31190158741521556</v>
      </c>
      <c r="AC24" s="14">
        <f t="shared" si="32"/>
        <v>-0.1736686454531689</v>
      </c>
      <c r="AD24" s="14">
        <f t="shared" si="32"/>
        <v>-0.12324274253715703</v>
      </c>
      <c r="AE24" s="14">
        <f t="shared" si="32"/>
        <v>-0.20026362592256958</v>
      </c>
      <c r="AF24" s="14">
        <f t="shared" si="32"/>
        <v>-0.16801386868149312</v>
      </c>
      <c r="AG24" s="14">
        <f t="shared" si="32"/>
        <v>-0.33489138079735903</v>
      </c>
      <c r="AH24" s="14">
        <f t="shared" ref="AH24:AK24" si="33">+AH23/AH20</f>
        <v>-2.3133870311820754E-2</v>
      </c>
      <c r="AI24" s="176">
        <f t="shared" si="33"/>
        <v>-0.25349642910333969</v>
      </c>
      <c r="AJ24" s="14">
        <f t="shared" si="33"/>
        <v>-0.25520842528133636</v>
      </c>
      <c r="AK24" s="14">
        <f t="shared" si="33"/>
        <v>-0.23119618156847505</v>
      </c>
      <c r="AL24" s="14">
        <f t="shared" ref="AL24:AM24" si="34">+AL23/AL20</f>
        <v>-0.21049562783854944</v>
      </c>
      <c r="AM24" s="176">
        <f t="shared" si="34"/>
        <v>-0.19093092224741606</v>
      </c>
    </row>
    <row r="25" spans="2:39" x14ac:dyDescent="0.25">
      <c r="G25">
        <f>+G10/G24</f>
        <v>0</v>
      </c>
      <c r="H25">
        <f>+H10/H24</f>
        <v>0</v>
      </c>
      <c r="I25">
        <f>+I10/I24</f>
        <v>0</v>
      </c>
      <c r="M25" s="10"/>
    </row>
    <row r="26" spans="2:39" x14ac:dyDescent="0.25">
      <c r="M26" s="10"/>
      <c r="W26" s="12" t="s">
        <v>49</v>
      </c>
      <c r="X26" s="13">
        <f t="shared" ref="X26:AG26" si="35">+X20+X23</f>
        <v>359979</v>
      </c>
      <c r="Y26" s="13">
        <f t="shared" si="35"/>
        <v>378287</v>
      </c>
      <c r="Z26" s="13">
        <f t="shared" si="35"/>
        <v>401677</v>
      </c>
      <c r="AA26" s="13">
        <f t="shared" si="35"/>
        <v>235440</v>
      </c>
      <c r="AB26" s="13">
        <f t="shared" si="35"/>
        <v>307591</v>
      </c>
      <c r="AC26" s="13">
        <f t="shared" si="35"/>
        <v>534800</v>
      </c>
      <c r="AD26" s="13">
        <f t="shared" si="35"/>
        <v>836714</v>
      </c>
      <c r="AE26" s="13">
        <f t="shared" si="35"/>
        <v>660112</v>
      </c>
      <c r="AF26" s="13">
        <f t="shared" si="35"/>
        <v>728522</v>
      </c>
      <c r="AG26" s="13">
        <f t="shared" si="35"/>
        <v>886073</v>
      </c>
      <c r="AH26" s="13">
        <f t="shared" ref="AH26:AK26" si="36">+AH20+AH23</f>
        <v>905593</v>
      </c>
      <c r="AI26" s="172">
        <f t="shared" si="36"/>
        <v>421031</v>
      </c>
      <c r="AJ26" s="13">
        <f t="shared" si="36"/>
        <v>759388</v>
      </c>
      <c r="AK26" s="13">
        <f t="shared" si="36"/>
        <v>852555</v>
      </c>
      <c r="AL26" s="13">
        <f t="shared" ref="AL26:AM26" si="37">+AL20+AL23</f>
        <v>905856</v>
      </c>
      <c r="AM26" s="172">
        <f t="shared" si="37"/>
        <v>688305</v>
      </c>
    </row>
    <row r="27" spans="2:39" x14ac:dyDescent="0.25">
      <c r="W27" s="12" t="s">
        <v>25</v>
      </c>
      <c r="X27" s="19">
        <f t="shared" ref="X27:AG27" si="38">+X26/X3</f>
        <v>0.16144394922112204</v>
      </c>
      <c r="Y27" s="19">
        <f t="shared" si="38"/>
        <v>0.15755747942685924</v>
      </c>
      <c r="Z27" s="19">
        <f t="shared" si="38"/>
        <v>0.15622173010402154</v>
      </c>
      <c r="AA27" s="19">
        <f t="shared" si="38"/>
        <v>0.12548882491739879</v>
      </c>
      <c r="AB27" s="19">
        <f t="shared" si="38"/>
        <v>0.13585094824616417</v>
      </c>
      <c r="AC27" s="19">
        <f t="shared" si="38"/>
        <v>0.18294449645964087</v>
      </c>
      <c r="AD27" s="19">
        <f t="shared" si="38"/>
        <v>0.26433479699130302</v>
      </c>
      <c r="AE27" s="19">
        <f t="shared" si="38"/>
        <v>0.16992428325999512</v>
      </c>
      <c r="AF27" s="19">
        <f t="shared" si="38"/>
        <v>0.14723957874381452</v>
      </c>
      <c r="AG27" s="19">
        <f t="shared" si="38"/>
        <v>0.15128793304950686</v>
      </c>
      <c r="AH27" s="19">
        <f t="shared" ref="AH27:AK27" si="39">+AH26/AH3</f>
        <v>0.16839366339564654</v>
      </c>
      <c r="AI27" s="174">
        <f t="shared" si="39"/>
        <v>0.10302627808635804</v>
      </c>
      <c r="AJ27" s="19">
        <f t="shared" si="39"/>
        <v>0.20525470067450777</v>
      </c>
      <c r="AK27" s="19">
        <f t="shared" si="39"/>
        <v>0.18887727513201724</v>
      </c>
      <c r="AL27" s="19">
        <f t="shared" ref="AL27:AM27" si="40">+AL26/AL3</f>
        <v>0.16400532070038146</v>
      </c>
      <c r="AM27" s="174">
        <f t="shared" si="40"/>
        <v>0.1671456213167764</v>
      </c>
    </row>
    <row r="29" spans="2:39" x14ac:dyDescent="0.25">
      <c r="M29" s="10"/>
      <c r="W29" s="12" t="s">
        <v>29</v>
      </c>
      <c r="X29" s="16">
        <f t="shared" ref="X29:AI29" si="41">+X26/X44</f>
        <v>0.37889093165116156</v>
      </c>
      <c r="Y29" s="16">
        <f t="shared" si="41"/>
        <v>0.39816076454882909</v>
      </c>
      <c r="Z29" s="16">
        <f t="shared" si="41"/>
        <v>0.42277958645599778</v>
      </c>
      <c r="AA29" s="16">
        <f t="shared" si="41"/>
        <v>0.24780912483214154</v>
      </c>
      <c r="AB29" s="16">
        <f t="shared" si="41"/>
        <v>0.32375066478186904</v>
      </c>
      <c r="AC29" s="16">
        <f t="shared" si="41"/>
        <v>0.56289636408524168</v>
      </c>
      <c r="AD29" s="16">
        <f t="shared" si="41"/>
        <v>0.88067178081379749</v>
      </c>
      <c r="AE29" s="16">
        <f t="shared" si="41"/>
        <v>0.69479178139311337</v>
      </c>
      <c r="AF29" s="16">
        <f t="shared" si="41"/>
        <v>0.76679578338838517</v>
      </c>
      <c r="AG29" s="16">
        <f t="shared" si="41"/>
        <v>0.93262391550879264</v>
      </c>
      <c r="AH29" s="16">
        <f t="shared" si="41"/>
        <v>0.95316942229066237</v>
      </c>
      <c r="AI29" s="177">
        <f t="shared" si="41"/>
        <v>0.44315037222732495</v>
      </c>
      <c r="AJ29" s="16">
        <f t="shared" ref="AJ29:AM29" si="42">+AJ26/AJ44</f>
        <v>0.79928336598721672</v>
      </c>
      <c r="AK29" s="16">
        <f t="shared" si="42"/>
        <v>0.89734500688611296</v>
      </c>
      <c r="AL29" s="16">
        <f t="shared" si="42"/>
        <v>0.95344623931338945</v>
      </c>
      <c r="AM29" s="177">
        <f t="shared" si="42"/>
        <v>0.72446593470772669</v>
      </c>
    </row>
    <row r="30" spans="2:39" x14ac:dyDescent="0.25">
      <c r="M30" s="10"/>
      <c r="W30" s="12" t="s">
        <v>40</v>
      </c>
      <c r="AA30" s="17"/>
      <c r="AB30" s="18">
        <f t="shared" ref="AB30:AM30" si="43">+AB29/X29-1</f>
        <v>-0.14553071151372721</v>
      </c>
      <c r="AC30" s="18">
        <f t="shared" si="43"/>
        <v>0.41374141855258051</v>
      </c>
      <c r="AD30" s="18">
        <f t="shared" si="43"/>
        <v>1.0830518053062534</v>
      </c>
      <c r="AE30" s="18">
        <f t="shared" si="43"/>
        <v>1.8037376826367653</v>
      </c>
      <c r="AF30" s="18">
        <f t="shared" si="43"/>
        <v>1.3684763208286328</v>
      </c>
      <c r="AG30" s="18">
        <f t="shared" si="43"/>
        <v>0.65683059087509332</v>
      </c>
      <c r="AH30" s="18">
        <f t="shared" si="43"/>
        <v>8.2320840812989848E-2</v>
      </c>
      <c r="AI30" s="173">
        <f t="shared" si="43"/>
        <v>-0.36218247812492421</v>
      </c>
      <c r="AJ30" s="18">
        <f t="shared" si="43"/>
        <v>4.2367972415383592E-2</v>
      </c>
      <c r="AK30" s="18">
        <f t="shared" si="43"/>
        <v>-3.7827583054669267E-2</v>
      </c>
      <c r="AL30" s="18">
        <f t="shared" si="43"/>
        <v>2.9041743918067908E-4</v>
      </c>
      <c r="AM30" s="173">
        <f t="shared" si="43"/>
        <v>0.63480836327966328</v>
      </c>
    </row>
    <row r="31" spans="2:39" x14ac:dyDescent="0.25">
      <c r="W31" s="12" t="s">
        <v>41</v>
      </c>
      <c r="Y31" s="18">
        <f t="shared" ref="Y31:AD31" si="44">+Y29/X29-1</f>
        <v>5.0858522302689835E-2</v>
      </c>
      <c r="Z31" s="18">
        <f t="shared" si="44"/>
        <v>6.183136084507268E-2</v>
      </c>
      <c r="AA31" s="18">
        <f t="shared" si="44"/>
        <v>-0.41385740283859918</v>
      </c>
      <c r="AB31" s="18">
        <f t="shared" si="44"/>
        <v>0.30645174991505253</v>
      </c>
      <c r="AC31" s="18">
        <f t="shared" si="44"/>
        <v>0.73867245790676606</v>
      </c>
      <c r="AD31" s="18">
        <f t="shared" si="44"/>
        <v>0.56453627524308159</v>
      </c>
      <c r="AE31" s="18">
        <f>+AE29/AD29-1</f>
        <v>-0.2110661468554369</v>
      </c>
      <c r="AF31" s="18">
        <f>+AF29/AE29-1</f>
        <v>0.10363392878784206</v>
      </c>
      <c r="AG31" s="18">
        <f>+AG29/AF29-1</f>
        <v>0.21626114242260353</v>
      </c>
      <c r="AH31" s="18">
        <f t="shared" ref="AH31" si="45">+AH29/AG29-1</f>
        <v>2.2029787613435881E-2</v>
      </c>
      <c r="AI31" s="173">
        <f>+AI29/AH29-1</f>
        <v>-0.53507701583382383</v>
      </c>
      <c r="AJ31" s="18">
        <f>+AJ29/AI29-1</f>
        <v>0.80363916196194585</v>
      </c>
      <c r="AK31" s="18">
        <f>+AK29/AJ29-1</f>
        <v>0.12268695317808542</v>
      </c>
      <c r="AL31" s="18">
        <f t="shared" ref="AL31" si="46">+AL29/AK29-1</f>
        <v>6.2519133662930937E-2</v>
      </c>
      <c r="AM31" s="173">
        <f>+AM29/AL29-1</f>
        <v>-0.24016068779143707</v>
      </c>
    </row>
    <row r="32" spans="2:39" x14ac:dyDescent="0.25">
      <c r="Y32" s="18"/>
      <c r="Z32" s="18"/>
      <c r="AA32" s="18"/>
      <c r="AB32" s="18"/>
      <c r="AC32" s="18"/>
      <c r="AD32" s="18"/>
      <c r="AE32" s="18"/>
      <c r="AF32" s="18"/>
      <c r="AG32" s="18"/>
      <c r="AH32" s="18"/>
      <c r="AI32" s="173"/>
      <c r="AJ32" s="18"/>
      <c r="AK32" s="18"/>
      <c r="AL32" s="18"/>
      <c r="AM32" s="173"/>
    </row>
    <row r="33" spans="23:42" x14ac:dyDescent="0.25">
      <c r="W33" s="12" t="s">
        <v>88</v>
      </c>
      <c r="X33" s="18">
        <f>+X26*4/X38</f>
        <v>0.30021178675213195</v>
      </c>
      <c r="Y33" s="18">
        <f t="shared" ref="Y33:AI33" si="47">+Y26*4/Y38</f>
        <v>0.291993672095198</v>
      </c>
      <c r="Z33" s="18">
        <f t="shared" si="47"/>
        <v>0.28852877991560932</v>
      </c>
      <c r="AA33" s="18">
        <f t="shared" si="47"/>
        <v>0.16225821757859382</v>
      </c>
      <c r="AB33" s="18">
        <f t="shared" si="47"/>
        <v>0.22106555493407998</v>
      </c>
      <c r="AC33" s="18">
        <f t="shared" si="47"/>
        <v>0.36457239775203076</v>
      </c>
      <c r="AD33" s="18">
        <f t="shared" si="47"/>
        <v>0.51251826508701548</v>
      </c>
      <c r="AE33" s="18">
        <f t="shared" si="47"/>
        <v>0.3672479837125337</v>
      </c>
      <c r="AF33" s="18">
        <f t="shared" si="47"/>
        <v>0.36801600530816114</v>
      </c>
      <c r="AG33" s="18">
        <f t="shared" si="47"/>
        <v>0.40236809992438055</v>
      </c>
      <c r="AH33" s="18">
        <f t="shared" si="47"/>
        <v>0.37308959276540071</v>
      </c>
      <c r="AI33" s="173">
        <f t="shared" si="47"/>
        <v>0.16624678623905692</v>
      </c>
      <c r="AJ33" s="18">
        <f t="shared" ref="AJ33:AM33" si="48">+AJ26*4/AJ38</f>
        <v>0.32612156250942786</v>
      </c>
      <c r="AK33" s="18">
        <f t="shared" si="48"/>
        <v>0.33524429917473292</v>
      </c>
      <c r="AL33" s="18">
        <f t="shared" si="48"/>
        <v>0.3273667936589163</v>
      </c>
      <c r="AM33" s="173">
        <f t="shared" si="48"/>
        <v>0.23418162740588999</v>
      </c>
      <c r="AO33" s="14">
        <f>+AVERAGE(X33:AM33)</f>
        <v>0.31506446405082245</v>
      </c>
      <c r="AP33" s="50" t="s">
        <v>88</v>
      </c>
    </row>
    <row r="34" spans="23:42" x14ac:dyDescent="0.25">
      <c r="AO34" s="56">
        <f>AVERAGE(X33:AM33)*AM46</f>
        <v>3.8987425951422381</v>
      </c>
      <c r="AP34" s="50" t="s">
        <v>183</v>
      </c>
    </row>
    <row r="35" spans="23:42" x14ac:dyDescent="0.25">
      <c r="W35" s="12" t="s">
        <v>52</v>
      </c>
      <c r="X35" s="13">
        <f>23302+1406667+10354+1809204+11944</f>
        <v>3261471</v>
      </c>
      <c r="Y35" s="13">
        <f>23917+1164917+9518+1720345+10560</f>
        <v>2929257</v>
      </c>
      <c r="Z35" s="13">
        <f>24677+923167+8531+1364540+128820</f>
        <v>2449735</v>
      </c>
      <c r="AA35" s="13">
        <f>21612+681417+7479+1058529+90968</f>
        <v>1860005</v>
      </c>
      <c r="AB35" s="13">
        <f>22356+439667+6804+1814310+39871</f>
        <v>2323008</v>
      </c>
      <c r="AC35" s="13">
        <f>23104+275917+6633+1756614+49418</f>
        <v>2111686</v>
      </c>
      <c r="AD35" s="13">
        <f>23872+165167+6611+1261202+145365</f>
        <v>1602217</v>
      </c>
      <c r="AE35" s="13">
        <f>19937+99667+6619+1419036+362001</f>
        <v>1907260</v>
      </c>
      <c r="AF35" s="13">
        <f>20678+34167+6567+1678685+394969</f>
        <v>2135066</v>
      </c>
      <c r="AG35" s="13">
        <f>6167+21408+6544+1010953+554954</f>
        <v>1600026</v>
      </c>
      <c r="AH35" s="13">
        <f>22156+6521+623016+5399</f>
        <v>657092</v>
      </c>
      <c r="AI35" s="172">
        <f>14314+6496+322599+255976</f>
        <v>599385</v>
      </c>
      <c r="AJ35" s="13">
        <f>14980+6496+1552696+5431</f>
        <v>1579603</v>
      </c>
      <c r="AK35" s="13">
        <f>15664+6496+959702+17348</f>
        <v>999210</v>
      </c>
      <c r="AL35" s="13">
        <f>16366+6496+33618</f>
        <v>56480</v>
      </c>
      <c r="AM35" s="172">
        <f>10033+5804+17613</f>
        <v>33450</v>
      </c>
      <c r="AO35" s="56">
        <f>X1/AO34</f>
        <v>7.104854789468197</v>
      </c>
      <c r="AP35" s="50" t="s">
        <v>11</v>
      </c>
    </row>
    <row r="36" spans="23:42" x14ac:dyDescent="0.25">
      <c r="W36" s="12" t="s">
        <v>53</v>
      </c>
      <c r="X36" s="13">
        <v>88998</v>
      </c>
      <c r="Y36" s="13">
        <f>186415</f>
        <v>186415</v>
      </c>
      <c r="Z36" s="13">
        <v>125663</v>
      </c>
      <c r="AA36" s="13">
        <v>137755</v>
      </c>
      <c r="AB36" s="13">
        <v>194057</v>
      </c>
      <c r="AC36" s="13">
        <v>141181</v>
      </c>
      <c r="AD36" s="13">
        <v>182733</v>
      </c>
      <c r="AE36" s="13">
        <v>51418</v>
      </c>
      <c r="AF36" s="13">
        <v>397454</v>
      </c>
      <c r="AG36" s="13">
        <v>477098</v>
      </c>
      <c r="AH36" s="13">
        <v>183032</v>
      </c>
      <c r="AI36" s="172">
        <v>125687</v>
      </c>
      <c r="AJ36" s="13">
        <v>151227</v>
      </c>
      <c r="AK36" s="13">
        <v>233157</v>
      </c>
      <c r="AL36" s="13">
        <v>86631</v>
      </c>
      <c r="AM36" s="172">
        <v>1429245</v>
      </c>
    </row>
    <row r="37" spans="23:42" x14ac:dyDescent="0.25">
      <c r="W37" s="12" t="s">
        <v>50</v>
      </c>
      <c r="X37" s="13">
        <f t="shared" ref="X37:AG37" si="49">+X35-X36</f>
        <v>3172473</v>
      </c>
      <c r="Y37" s="13">
        <f t="shared" si="49"/>
        <v>2742842</v>
      </c>
      <c r="Z37" s="13">
        <f t="shared" si="49"/>
        <v>2324072</v>
      </c>
      <c r="AA37" s="13">
        <f t="shared" si="49"/>
        <v>1722250</v>
      </c>
      <c r="AB37" s="13">
        <f t="shared" si="49"/>
        <v>2128951</v>
      </c>
      <c r="AC37" s="13">
        <f t="shared" si="49"/>
        <v>1970505</v>
      </c>
      <c r="AD37" s="13">
        <f t="shared" si="49"/>
        <v>1419484</v>
      </c>
      <c r="AE37" s="13">
        <f t="shared" si="49"/>
        <v>1855842</v>
      </c>
      <c r="AF37" s="13">
        <f t="shared" si="49"/>
        <v>1737612</v>
      </c>
      <c r="AG37" s="13">
        <f t="shared" si="49"/>
        <v>1122928</v>
      </c>
      <c r="AH37" s="13">
        <f t="shared" ref="AH37:AK37" si="50">+AH35-AH36</f>
        <v>474060</v>
      </c>
      <c r="AI37" s="172">
        <f t="shared" si="50"/>
        <v>473698</v>
      </c>
      <c r="AJ37" s="13">
        <f t="shared" si="50"/>
        <v>1428376</v>
      </c>
      <c r="AK37" s="13">
        <f t="shared" si="50"/>
        <v>766053</v>
      </c>
      <c r="AL37" s="13">
        <f t="shared" ref="AL37:AM37" si="51">+AL35-AL36</f>
        <v>-30151</v>
      </c>
      <c r="AM37" s="172">
        <f t="shared" si="51"/>
        <v>-1395795</v>
      </c>
      <c r="AO37" s="12" t="s">
        <v>1019</v>
      </c>
    </row>
    <row r="38" spans="23:42" x14ac:dyDescent="0.25">
      <c r="W38" s="12" t="s">
        <v>54</v>
      </c>
      <c r="X38" s="13">
        <v>4796334</v>
      </c>
      <c r="Y38" s="13">
        <v>5182126</v>
      </c>
      <c r="Z38" s="13">
        <v>5568623</v>
      </c>
      <c r="AA38" s="13">
        <v>5804082</v>
      </c>
      <c r="AB38" s="13">
        <v>5565607</v>
      </c>
      <c r="AC38" s="13">
        <v>5867696</v>
      </c>
      <c r="AD38" s="13">
        <v>6530218</v>
      </c>
      <c r="AE38" s="13">
        <v>7189823</v>
      </c>
      <c r="AF38" s="13">
        <v>7918373</v>
      </c>
      <c r="AG38" s="13">
        <v>8808581</v>
      </c>
      <c r="AH38" s="13">
        <v>9709121</v>
      </c>
      <c r="AI38" s="172">
        <v>10130265</v>
      </c>
      <c r="AJ38" s="13">
        <v>9314171</v>
      </c>
      <c r="AK38" s="13">
        <v>10172343</v>
      </c>
      <c r="AL38" s="13">
        <v>11068392</v>
      </c>
      <c r="AM38" s="172">
        <v>11756772</v>
      </c>
      <c r="AO38" s="46">
        <f>1.55/3.09</f>
        <v>0.50161812297734631</v>
      </c>
    </row>
    <row r="40" spans="23:42" x14ac:dyDescent="0.25">
      <c r="W40" s="12" t="s">
        <v>51</v>
      </c>
      <c r="X40" s="14">
        <f t="shared" ref="X40:AC40" si="52">+X35/X38</f>
        <v>0.67999246924838841</v>
      </c>
      <c r="Y40" s="14">
        <f t="shared" si="52"/>
        <v>0.56526163200200075</v>
      </c>
      <c r="Z40" s="14">
        <f t="shared" si="52"/>
        <v>0.43991755232846613</v>
      </c>
      <c r="AA40" s="14">
        <f t="shared" si="52"/>
        <v>0.32046497620123215</v>
      </c>
      <c r="AB40" s="14">
        <f t="shared" si="52"/>
        <v>0.41738627969959075</v>
      </c>
      <c r="AC40" s="14">
        <f t="shared" si="52"/>
        <v>0.35988333410592505</v>
      </c>
      <c r="AD40" s="14">
        <f t="shared" ref="AD40:AI40" si="53">+AD35/AD38</f>
        <v>0.24535428985678578</v>
      </c>
      <c r="AE40" s="14">
        <f t="shared" si="53"/>
        <v>0.26527217707584733</v>
      </c>
      <c r="AF40" s="14">
        <f t="shared" si="53"/>
        <v>0.26963443121459418</v>
      </c>
      <c r="AG40" s="14">
        <f t="shared" si="53"/>
        <v>0.18164401280978174</v>
      </c>
      <c r="AH40" s="14">
        <f t="shared" si="53"/>
        <v>6.7677805230772173E-2</v>
      </c>
      <c r="AI40" s="176">
        <f t="shared" si="53"/>
        <v>5.916775128784884E-2</v>
      </c>
      <c r="AJ40" s="14">
        <f t="shared" ref="AJ40:AM40" si="54">+AJ35/AJ38</f>
        <v>0.16959136782006687</v>
      </c>
      <c r="AK40" s="14">
        <f t="shared" si="54"/>
        <v>9.8228107329845243E-2</v>
      </c>
      <c r="AL40" s="14">
        <f t="shared" si="54"/>
        <v>5.102818909919345E-3</v>
      </c>
      <c r="AM40" s="176">
        <f t="shared" si="54"/>
        <v>2.8451687248846878E-3</v>
      </c>
    </row>
    <row r="42" spans="23:42" x14ac:dyDescent="0.25">
      <c r="W42" s="12" t="s">
        <v>63</v>
      </c>
      <c r="X42" s="16" t="e">
        <f t="shared" ref="X42:AI42" si="55">+(X3*1000)/X7</f>
        <v>#DIV/0!</v>
      </c>
      <c r="Y42" s="16" t="e">
        <f t="shared" si="55"/>
        <v>#DIV/0!</v>
      </c>
      <c r="Z42" s="16" t="e">
        <f t="shared" si="55"/>
        <v>#DIV/0!</v>
      </c>
      <c r="AA42" s="16" t="e">
        <f t="shared" si="55"/>
        <v>#DIV/0!</v>
      </c>
      <c r="AB42" s="16" t="e">
        <f t="shared" si="55"/>
        <v>#DIV/0!</v>
      </c>
      <c r="AC42" s="16" t="e">
        <f t="shared" si="55"/>
        <v>#DIV/0!</v>
      </c>
      <c r="AD42" s="16" t="e">
        <f t="shared" si="55"/>
        <v>#DIV/0!</v>
      </c>
      <c r="AE42" s="16" t="e">
        <f t="shared" si="55"/>
        <v>#DIV/0!</v>
      </c>
      <c r="AF42" s="16" t="e">
        <f t="shared" si="55"/>
        <v>#DIV/0!</v>
      </c>
      <c r="AG42" s="16" t="e">
        <f t="shared" si="55"/>
        <v>#DIV/0!</v>
      </c>
      <c r="AH42" s="16" t="e">
        <f t="shared" si="55"/>
        <v>#DIV/0!</v>
      </c>
      <c r="AI42" s="177" t="e">
        <f t="shared" si="55"/>
        <v>#DIV/0!</v>
      </c>
      <c r="AJ42" s="16" t="e">
        <f t="shared" ref="AJ42:AM42" si="56">+(AJ3*1000)/AJ7</f>
        <v>#DIV/0!</v>
      </c>
      <c r="AK42" s="16" t="e">
        <f t="shared" si="56"/>
        <v>#DIV/0!</v>
      </c>
      <c r="AL42" s="16" t="e">
        <f t="shared" si="56"/>
        <v>#DIV/0!</v>
      </c>
      <c r="AM42" s="177" t="e">
        <f t="shared" si="56"/>
        <v>#DIV/0!</v>
      </c>
    </row>
    <row r="44" spans="23:42" x14ac:dyDescent="0.25">
      <c r="W44" s="12" t="s">
        <v>56</v>
      </c>
      <c r="X44" s="13">
        <v>950086.08</v>
      </c>
      <c r="Y44" s="13">
        <v>950086.08</v>
      </c>
      <c r="Z44" s="13">
        <v>950086.08</v>
      </c>
      <c r="AA44" s="13">
        <v>950086.08</v>
      </c>
      <c r="AB44" s="13">
        <v>950086.08</v>
      </c>
      <c r="AC44" s="13">
        <v>950086.08</v>
      </c>
      <c r="AD44" s="13">
        <v>950086.08</v>
      </c>
      <c r="AE44" s="13">
        <v>950086.08</v>
      </c>
      <c r="AF44" s="13">
        <v>950086.08</v>
      </c>
      <c r="AG44" s="13">
        <v>950086.08</v>
      </c>
      <c r="AH44" s="13">
        <v>950086.08</v>
      </c>
      <c r="AI44" s="172">
        <v>950086.08</v>
      </c>
      <c r="AJ44" s="13">
        <v>950086.08</v>
      </c>
      <c r="AK44" s="13">
        <v>950086.08</v>
      </c>
      <c r="AL44" s="13">
        <v>950086.08</v>
      </c>
      <c r="AM44" s="172">
        <v>950086.08</v>
      </c>
    </row>
    <row r="46" spans="23:42" x14ac:dyDescent="0.25">
      <c r="W46" s="12" t="s">
        <v>57</v>
      </c>
      <c r="X46" s="16">
        <f t="shared" ref="X46:AG46" si="57">+X38/X44</f>
        <v>5.0483152010815697</v>
      </c>
      <c r="Y46" s="16">
        <f t="shared" si="57"/>
        <v>5.4543752498720961</v>
      </c>
      <c r="Z46" s="16">
        <f t="shared" si="57"/>
        <v>5.8611773366893241</v>
      </c>
      <c r="AA46" s="16">
        <f t="shared" si="57"/>
        <v>6.1090064597094198</v>
      </c>
      <c r="AB46" s="16">
        <f t="shared" si="57"/>
        <v>5.8580028874857319</v>
      </c>
      <c r="AC46" s="16">
        <f t="shared" si="57"/>
        <v>6.1759624980507031</v>
      </c>
      <c r="AD46" s="16">
        <f t="shared" si="57"/>
        <v>6.8732908917053077</v>
      </c>
      <c r="AE46" s="16">
        <f t="shared" si="57"/>
        <v>7.5675490372409211</v>
      </c>
      <c r="AF46" s="16">
        <f t="shared" si="57"/>
        <v>8.3343742916431331</v>
      </c>
      <c r="AG46" s="16">
        <f t="shared" si="57"/>
        <v>9.2713504443723664</v>
      </c>
      <c r="AH46" s="16">
        <f t="shared" ref="AH46:AK46" si="58">+AH38/AH44</f>
        <v>10.219201401203563</v>
      </c>
      <c r="AI46" s="177">
        <f t="shared" si="58"/>
        <v>10.662470710022403</v>
      </c>
      <c r="AJ46" s="16">
        <f t="shared" si="58"/>
        <v>9.8035022258193703</v>
      </c>
      <c r="AK46" s="16">
        <f t="shared" si="58"/>
        <v>10.706759328586312</v>
      </c>
      <c r="AL46" s="16">
        <f t="shared" ref="AL46:AM46" si="59">+AL38/AL44</f>
        <v>11.649883345306986</v>
      </c>
      <c r="AM46" s="177">
        <f t="shared" si="59"/>
        <v>12.374428220230319</v>
      </c>
    </row>
    <row r="48" spans="23:42" x14ac:dyDescent="0.25">
      <c r="W48" s="12" t="s">
        <v>67</v>
      </c>
      <c r="X48" s="13"/>
      <c r="Y48" s="13">
        <f>+Y52-X52</f>
        <v>535184</v>
      </c>
      <c r="Z48" s="13">
        <f>+Z52-Y52</f>
        <v>580815</v>
      </c>
      <c r="AA48" s="13">
        <f>+AA52</f>
        <v>653464</v>
      </c>
      <c r="AB48" s="13">
        <f t="shared" ref="AB48:AD49" si="60">+AB52-AA52</f>
        <v>206281</v>
      </c>
      <c r="AC48" s="13">
        <f t="shared" si="60"/>
        <v>444964</v>
      </c>
      <c r="AD48" s="13">
        <f t="shared" si="60"/>
        <v>887863</v>
      </c>
      <c r="AE48" s="13">
        <f>+AE52</f>
        <v>-369952</v>
      </c>
      <c r="AF48" s="13">
        <f>+AF52-AE52</f>
        <v>217391</v>
      </c>
      <c r="AG48" s="13">
        <f>+AG52-AF52</f>
        <v>676583</v>
      </c>
      <c r="AH48" s="13">
        <f t="shared" ref="AH48:AH49" si="61">+AH52-AG52</f>
        <v>732676</v>
      </c>
      <c r="AI48" s="172">
        <f>+AI52</f>
        <v>64561</v>
      </c>
      <c r="AJ48" s="13">
        <f>+AJ52-AI52</f>
        <v>753945</v>
      </c>
      <c r="AK48" s="13">
        <f>+AK52-AJ52</f>
        <v>791353</v>
      </c>
      <c r="AL48" s="13">
        <f t="shared" ref="AL48:AL49" si="62">+AL52-AK52</f>
        <v>963148</v>
      </c>
      <c r="AM48" s="172">
        <f>+AM52</f>
        <v>1439541</v>
      </c>
    </row>
    <row r="49" spans="23:39" x14ac:dyDescent="0.25">
      <c r="W49" s="12" t="s">
        <v>60</v>
      </c>
      <c r="Y49" s="13">
        <f>+Y53-X53</f>
        <v>-104925</v>
      </c>
      <c r="Z49" s="13">
        <f>+Z53-Y53</f>
        <v>-160630</v>
      </c>
      <c r="AA49" s="13">
        <f>+AA53</f>
        <v>-51545</v>
      </c>
      <c r="AB49" s="13">
        <f t="shared" si="60"/>
        <v>-81664</v>
      </c>
      <c r="AC49" s="13">
        <f t="shared" si="60"/>
        <v>-52672</v>
      </c>
      <c r="AD49" s="13">
        <f t="shared" si="60"/>
        <v>-93805</v>
      </c>
      <c r="AE49" s="13">
        <f>+AE53</f>
        <v>-55917</v>
      </c>
      <c r="AF49" s="13">
        <f>+AF53-AE53</f>
        <v>-94160</v>
      </c>
      <c r="AG49" s="13">
        <f>+AG53-AF53</f>
        <v>-71284</v>
      </c>
      <c r="AH49" s="13">
        <f t="shared" si="61"/>
        <v>-105530</v>
      </c>
      <c r="AI49" s="172">
        <f>+AI53</f>
        <v>-84344</v>
      </c>
      <c r="AJ49" s="13">
        <f>+AJ53-AI53</f>
        <v>-165704</v>
      </c>
      <c r="AK49" s="13">
        <f>+AK53-AJ53</f>
        <v>-132306</v>
      </c>
      <c r="AL49" s="13">
        <f t="shared" si="62"/>
        <v>-170349</v>
      </c>
      <c r="AM49" s="172">
        <f>+AM53</f>
        <v>-85911</v>
      </c>
    </row>
    <row r="50" spans="23:39" x14ac:dyDescent="0.25">
      <c r="W50" s="12" t="s">
        <v>68</v>
      </c>
      <c r="Y50" s="13">
        <f t="shared" ref="Y50:AG50" si="63">+Y48+Y49</f>
        <v>430259</v>
      </c>
      <c r="Z50" s="13">
        <f t="shared" si="63"/>
        <v>420185</v>
      </c>
      <c r="AA50" s="13">
        <f t="shared" si="63"/>
        <v>601919</v>
      </c>
      <c r="AB50" s="13">
        <f t="shared" si="63"/>
        <v>124617</v>
      </c>
      <c r="AC50" s="13">
        <f t="shared" si="63"/>
        <v>392292</v>
      </c>
      <c r="AD50" s="13">
        <f t="shared" si="63"/>
        <v>794058</v>
      </c>
      <c r="AE50" s="13">
        <f t="shared" si="63"/>
        <v>-425869</v>
      </c>
      <c r="AF50" s="13">
        <f t="shared" si="63"/>
        <v>123231</v>
      </c>
      <c r="AG50" s="13">
        <f t="shared" si="63"/>
        <v>605299</v>
      </c>
      <c r="AH50" s="13">
        <f t="shared" ref="AH50:AK50" si="64">+AH48+AH49</f>
        <v>627146</v>
      </c>
      <c r="AI50" s="172">
        <f t="shared" si="64"/>
        <v>-19783</v>
      </c>
      <c r="AJ50" s="13">
        <f t="shared" si="64"/>
        <v>588241</v>
      </c>
      <c r="AK50" s="13">
        <f t="shared" si="64"/>
        <v>659047</v>
      </c>
      <c r="AL50" s="13">
        <f t="shared" ref="AL50:AM50" si="65">+AL48+AL49</f>
        <v>792799</v>
      </c>
      <c r="AM50" s="172">
        <f t="shared" si="65"/>
        <v>1353630</v>
      </c>
    </row>
    <row r="52" spans="23:39" x14ac:dyDescent="0.25">
      <c r="W52" s="12" t="s">
        <v>67</v>
      </c>
      <c r="X52" s="13">
        <v>460244</v>
      </c>
      <c r="Y52" s="13">
        <v>995428</v>
      </c>
      <c r="Z52" s="13">
        <v>1576243</v>
      </c>
      <c r="AA52" s="13">
        <v>653464</v>
      </c>
      <c r="AB52" s="13">
        <v>859745</v>
      </c>
      <c r="AC52" s="13">
        <v>1304709</v>
      </c>
      <c r="AD52" s="13">
        <v>2192572</v>
      </c>
      <c r="AE52" s="13">
        <v>-369952</v>
      </c>
      <c r="AF52" s="13">
        <v>-152561</v>
      </c>
      <c r="AG52" s="13">
        <v>524022</v>
      </c>
      <c r="AH52" s="13">
        <v>1256698</v>
      </c>
      <c r="AI52" s="172">
        <v>64561</v>
      </c>
      <c r="AJ52" s="13">
        <v>818506</v>
      </c>
      <c r="AK52" s="13">
        <v>1609859</v>
      </c>
      <c r="AL52" s="13">
        <v>2573007</v>
      </c>
      <c r="AM52" s="172">
        <v>1439541</v>
      </c>
    </row>
    <row r="53" spans="23:39" x14ac:dyDescent="0.25">
      <c r="W53" s="12" t="s">
        <v>60</v>
      </c>
      <c r="X53" s="13">
        <v>-113387</v>
      </c>
      <c r="Y53" s="13">
        <v>-218312</v>
      </c>
      <c r="Z53" s="13">
        <v>-378942</v>
      </c>
      <c r="AA53" s="13">
        <v>-51545</v>
      </c>
      <c r="AB53" s="13">
        <v>-133209</v>
      </c>
      <c r="AC53" s="13">
        <v>-185881</v>
      </c>
      <c r="AD53" s="13">
        <v>-279686</v>
      </c>
      <c r="AE53" s="13">
        <v>-55917</v>
      </c>
      <c r="AF53" s="13">
        <v>-150077</v>
      </c>
      <c r="AG53" s="13">
        <v>-221361</v>
      </c>
      <c r="AH53" s="13">
        <v>-326891</v>
      </c>
      <c r="AI53" s="172">
        <v>-84344</v>
      </c>
      <c r="AJ53" s="13">
        <v>-250048</v>
      </c>
      <c r="AK53" s="13">
        <v>-382354</v>
      </c>
      <c r="AL53" s="13">
        <v>-552703</v>
      </c>
      <c r="AM53" s="172">
        <v>-85911</v>
      </c>
    </row>
    <row r="54" spans="23:39" x14ac:dyDescent="0.25">
      <c r="W54" s="12" t="s">
        <v>68</v>
      </c>
      <c r="X54" s="13">
        <f t="shared" ref="X54:AF54" si="66">+X52+X53</f>
        <v>346857</v>
      </c>
      <c r="Y54" s="13">
        <f t="shared" si="66"/>
        <v>777116</v>
      </c>
      <c r="Z54" s="13">
        <f t="shared" si="66"/>
        <v>1197301</v>
      </c>
      <c r="AA54" s="13">
        <f t="shared" si="66"/>
        <v>601919</v>
      </c>
      <c r="AB54" s="13">
        <f t="shared" si="66"/>
        <v>726536</v>
      </c>
      <c r="AC54" s="13">
        <f t="shared" si="66"/>
        <v>1118828</v>
      </c>
      <c r="AD54" s="13">
        <f t="shared" si="66"/>
        <v>1912886</v>
      </c>
      <c r="AE54" s="13">
        <f t="shared" si="66"/>
        <v>-425869</v>
      </c>
      <c r="AF54" s="13">
        <f t="shared" si="66"/>
        <v>-302638</v>
      </c>
      <c r="AG54" s="13">
        <f>+AG52+AG53</f>
        <v>302661</v>
      </c>
      <c r="AH54" s="13">
        <f t="shared" ref="AH54:AJ54" si="67">+AH52+AH53</f>
        <v>929807</v>
      </c>
      <c r="AI54" s="172">
        <f t="shared" si="67"/>
        <v>-19783</v>
      </c>
      <c r="AJ54" s="13">
        <f t="shared" si="67"/>
        <v>568458</v>
      </c>
      <c r="AK54" s="13">
        <f>+AK52+AK53</f>
        <v>1227505</v>
      </c>
      <c r="AL54" s="13">
        <f t="shared" ref="AL54:AM54" si="68">+AL52+AL53</f>
        <v>2020304</v>
      </c>
      <c r="AM54" s="172">
        <f t="shared" si="68"/>
        <v>1353630</v>
      </c>
    </row>
  </sheetData>
  <mergeCells count="3">
    <mergeCell ref="B13:H13"/>
    <mergeCell ref="AQ2:AU2"/>
    <mergeCell ref="AV2:AZ2"/>
  </mergeCell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7FEF-572F-4E9E-88CE-FE92132B329A}">
  <sheetPr codeName="Sheet8">
    <tabColor rgb="FF92D050"/>
  </sheetPr>
  <dimension ref="A1:BD76"/>
  <sheetViews>
    <sheetView topLeftCell="N1" zoomScale="85" zoomScaleNormal="85" workbookViewId="0">
      <pane xSplit="10" ySplit="13" topLeftCell="Z14" activePane="bottomRight" state="frozen"/>
      <selection activeCell="N1" sqref="N1"/>
      <selection pane="topRight" activeCell="X1" sqref="X1"/>
      <selection pane="bottomLeft" activeCell="N14" sqref="N14"/>
      <selection pane="bottomRight" activeCell="V1" sqref="V1:V1048576"/>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4" width="12" style="12" customWidth="1"/>
    <col min="35" max="35" width="12" style="170" customWidth="1"/>
    <col min="36" max="38" width="12" style="12" customWidth="1"/>
    <col min="39" max="39" width="12" style="170" customWidth="1"/>
    <col min="40" max="40" width="8.85546875" style="12"/>
    <col min="41" max="41" width="14.28515625" style="50" bestFit="1" customWidth="1"/>
    <col min="42" max="16384" width="8.85546875" style="50"/>
  </cols>
  <sheetData>
    <row r="1" spans="1:56" ht="15.75" thickBot="1" x14ac:dyDescent="0.3">
      <c r="W1" s="20" t="s">
        <v>194</v>
      </c>
      <c r="X1" s="59">
        <f>+'Valuation Sheet'!C11</f>
        <v>48.8</v>
      </c>
    </row>
    <row r="2" spans="1:56"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163</v>
      </c>
      <c r="X2" s="11" t="s">
        <v>14</v>
      </c>
      <c r="Y2" s="11" t="s">
        <v>16</v>
      </c>
      <c r="Z2" s="11" t="s">
        <v>18</v>
      </c>
      <c r="AA2" s="11" t="s">
        <v>20</v>
      </c>
      <c r="AB2" s="11" t="s">
        <v>22</v>
      </c>
      <c r="AC2" s="11" t="s">
        <v>24</v>
      </c>
      <c r="AD2" s="11" t="s">
        <v>26</v>
      </c>
      <c r="AE2" s="11" t="s">
        <v>39</v>
      </c>
      <c r="AF2" s="11" t="s">
        <v>38</v>
      </c>
      <c r="AG2" s="11" t="s">
        <v>71</v>
      </c>
      <c r="AH2" s="11" t="s">
        <v>83</v>
      </c>
      <c r="AI2" s="171" t="s">
        <v>84</v>
      </c>
      <c r="AJ2" s="11" t="s">
        <v>365</v>
      </c>
      <c r="AK2" s="11" t="s">
        <v>948</v>
      </c>
      <c r="AL2" s="11" t="s">
        <v>1018</v>
      </c>
      <c r="AM2" s="171" t="s">
        <v>1074</v>
      </c>
      <c r="AO2" s="71" t="str">
        <f>+W2</f>
        <v>TKYO</v>
      </c>
      <c r="AP2" s="189" t="s">
        <v>190</v>
      </c>
      <c r="AQ2" s="190"/>
      <c r="AR2" s="190"/>
      <c r="AS2" s="190"/>
      <c r="AT2" s="191"/>
      <c r="AU2" s="192" t="s">
        <v>191</v>
      </c>
      <c r="AV2" s="192"/>
      <c r="AW2" s="192"/>
      <c r="AX2" s="192"/>
      <c r="AY2" s="192"/>
      <c r="AZ2" s="192" t="s">
        <v>991</v>
      </c>
      <c r="BA2" s="192"/>
      <c r="BB2" s="192"/>
      <c r="BC2" s="192"/>
      <c r="BD2" s="192"/>
    </row>
    <row r="3" spans="1:56" ht="18" thickTop="1" thickBot="1" x14ac:dyDescent="0.4">
      <c r="B3" s="25" t="s">
        <v>10</v>
      </c>
      <c r="C3" s="26">
        <v>17820.179</v>
      </c>
      <c r="D3" s="26"/>
      <c r="E3" s="26"/>
      <c r="F3" s="26"/>
      <c r="G3" s="26"/>
      <c r="H3" s="26"/>
      <c r="I3" s="27"/>
      <c r="J3" s="21"/>
      <c r="M3" s="1" t="s">
        <v>11</v>
      </c>
      <c r="N3" s="2">
        <f>'[1]LT Portfolio'!W294</f>
        <v>0</v>
      </c>
      <c r="W3" s="12" t="s">
        <v>62</v>
      </c>
      <c r="X3" s="13">
        <v>11413366</v>
      </c>
      <c r="Y3" s="13">
        <v>11456233</v>
      </c>
      <c r="Z3" s="13">
        <v>12372581</v>
      </c>
      <c r="AA3" s="13">
        <v>10663557</v>
      </c>
      <c r="AB3" s="13">
        <v>11884766</v>
      </c>
      <c r="AC3" s="13">
        <v>13771151</v>
      </c>
      <c r="AD3" s="13">
        <v>16158121</v>
      </c>
      <c r="AE3" s="13">
        <v>16307249</v>
      </c>
      <c r="AF3" s="13">
        <v>14010079</v>
      </c>
      <c r="AG3" s="13">
        <v>12078983</v>
      </c>
      <c r="AH3" s="13">
        <v>14085368</v>
      </c>
      <c r="AI3" s="172">
        <v>12019952</v>
      </c>
      <c r="AJ3" s="13">
        <v>13311060</v>
      </c>
      <c r="AK3" s="13">
        <v>11347590</v>
      </c>
      <c r="AL3" s="13">
        <v>13145191</v>
      </c>
      <c r="AM3" s="172">
        <v>11664753</v>
      </c>
      <c r="AO3" s="69"/>
      <c r="AP3" s="66" t="s">
        <v>78</v>
      </c>
      <c r="AQ3" s="67" t="s">
        <v>17</v>
      </c>
      <c r="AR3" s="67" t="s">
        <v>184</v>
      </c>
      <c r="AS3" s="67" t="s">
        <v>29</v>
      </c>
      <c r="AT3" s="68" t="s">
        <v>30</v>
      </c>
      <c r="AU3" s="66" t="s">
        <v>78</v>
      </c>
      <c r="AV3" s="67" t="s">
        <v>17</v>
      </c>
      <c r="AW3" s="67" t="s">
        <v>184</v>
      </c>
      <c r="AX3" s="67" t="s">
        <v>29</v>
      </c>
      <c r="AY3" s="68" t="s">
        <v>30</v>
      </c>
      <c r="AZ3" s="66" t="s">
        <v>78</v>
      </c>
      <c r="BA3" s="67" t="s">
        <v>17</v>
      </c>
      <c r="BB3" s="67" t="s">
        <v>184</v>
      </c>
      <c r="BC3" s="67" t="s">
        <v>29</v>
      </c>
      <c r="BD3" s="68" t="s">
        <v>30</v>
      </c>
    </row>
    <row r="4" spans="1:56"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f t="shared" ref="AB4:AM4" si="1">+AB3/X3-1</f>
        <v>4.1302451879664526E-2</v>
      </c>
      <c r="AC4" s="18">
        <f t="shared" si="1"/>
        <v>0.20206624638308246</v>
      </c>
      <c r="AD4" s="18">
        <f t="shared" si="1"/>
        <v>0.30596203007278766</v>
      </c>
      <c r="AE4" s="18">
        <f t="shared" si="1"/>
        <v>0.52925041803593298</v>
      </c>
      <c r="AF4" s="18">
        <f t="shared" si="1"/>
        <v>0.17882665927120489</v>
      </c>
      <c r="AG4" s="18">
        <f t="shared" si="1"/>
        <v>-0.12287774638445259</v>
      </c>
      <c r="AH4" s="18">
        <f t="shared" si="1"/>
        <v>-0.12827933396463609</v>
      </c>
      <c r="AI4" s="173">
        <f t="shared" si="1"/>
        <v>-0.26290743460163024</v>
      </c>
      <c r="AJ4" s="18">
        <f t="shared" si="1"/>
        <v>-4.9894008449202887E-2</v>
      </c>
      <c r="AK4" s="18">
        <f t="shared" si="1"/>
        <v>-6.0550875847743102E-2</v>
      </c>
      <c r="AL4" s="18">
        <f t="shared" si="1"/>
        <v>-6.6748486798498985E-2</v>
      </c>
      <c r="AM4" s="173">
        <f t="shared" si="1"/>
        <v>-2.9550783563861205E-2</v>
      </c>
      <c r="AO4" s="69" t="s">
        <v>185</v>
      </c>
      <c r="AP4" s="60">
        <v>55984</v>
      </c>
      <c r="AQ4" s="61"/>
      <c r="AR4" s="61">
        <v>4295</v>
      </c>
      <c r="AS4" s="74">
        <v>9.6999999999999993</v>
      </c>
      <c r="AT4" s="64">
        <v>1.5</v>
      </c>
      <c r="AU4" s="60">
        <v>60467</v>
      </c>
      <c r="AV4" s="61"/>
      <c r="AW4" s="61">
        <v>4703</v>
      </c>
      <c r="AX4" s="58">
        <v>10.7</v>
      </c>
      <c r="AY4" s="64">
        <v>1.6</v>
      </c>
      <c r="AZ4" s="60">
        <v>68297</v>
      </c>
      <c r="BA4" s="61"/>
      <c r="BB4" s="61">
        <v>5640</v>
      </c>
      <c r="BC4" s="58">
        <v>12.8</v>
      </c>
      <c r="BD4" s="64">
        <v>1.9</v>
      </c>
    </row>
    <row r="5" spans="1:56" ht="18" thickTop="1" thickBot="1" x14ac:dyDescent="0.4">
      <c r="B5" s="32" t="s">
        <v>13</v>
      </c>
      <c r="C5" s="29">
        <v>2994.8620000000001</v>
      </c>
      <c r="D5" s="26"/>
      <c r="E5" s="26"/>
      <c r="F5" s="26"/>
      <c r="G5" s="26"/>
      <c r="H5" s="26"/>
      <c r="I5" s="27"/>
      <c r="J5" s="21"/>
      <c r="M5" s="1" t="s">
        <v>14</v>
      </c>
      <c r="N5" s="3">
        <f>202.575/415.481776</f>
        <v>0.48756651122045841</v>
      </c>
      <c r="W5" s="12" t="s">
        <v>41</v>
      </c>
      <c r="Y5" s="18">
        <f t="shared" ref="Y5:AM5" si="2">+Y3/X3-1</f>
        <v>3.7558595772710923E-3</v>
      </c>
      <c r="Z5" s="18">
        <f t="shared" si="2"/>
        <v>7.9986850826096134E-2</v>
      </c>
      <c r="AA5" s="18">
        <f t="shared" si="2"/>
        <v>-0.13812995041212506</v>
      </c>
      <c r="AB5" s="18">
        <f t="shared" si="2"/>
        <v>0.11452173041321956</v>
      </c>
      <c r="AC5" s="18">
        <f t="shared" si="2"/>
        <v>0.15872293993840514</v>
      </c>
      <c r="AD5" s="18">
        <f t="shared" si="2"/>
        <v>0.17333119068987046</v>
      </c>
      <c r="AE5" s="18">
        <f t="shared" si="2"/>
        <v>9.2292909553035596E-3</v>
      </c>
      <c r="AF5" s="18">
        <f t="shared" si="2"/>
        <v>-0.14086802746435034</v>
      </c>
      <c r="AG5" s="18">
        <f t="shared" si="2"/>
        <v>-0.13783619635549527</v>
      </c>
      <c r="AH5" s="18">
        <f t="shared" si="2"/>
        <v>0.16610545771941232</v>
      </c>
      <c r="AI5" s="173">
        <f t="shared" si="2"/>
        <v>-0.14663557246072667</v>
      </c>
      <c r="AJ5" s="18">
        <f t="shared" si="2"/>
        <v>0.10741374008814675</v>
      </c>
      <c r="AK5" s="18">
        <f t="shared" si="2"/>
        <v>-0.14750665987532174</v>
      </c>
      <c r="AL5" s="18">
        <f t="shared" si="2"/>
        <v>0.15841257923488605</v>
      </c>
      <c r="AM5" s="173">
        <f t="shared" si="2"/>
        <v>-0.1126220227610234</v>
      </c>
      <c r="AO5" s="69" t="s">
        <v>186</v>
      </c>
      <c r="AP5" s="60"/>
      <c r="AQ5" s="61"/>
      <c r="AR5" s="61"/>
      <c r="AS5" s="58"/>
      <c r="AT5" s="64"/>
      <c r="AU5" s="60"/>
      <c r="AV5" s="61"/>
      <c r="AW5" s="61"/>
      <c r="AX5" s="58"/>
      <c r="AY5" s="64"/>
      <c r="AZ5" s="60"/>
      <c r="BA5" s="61"/>
      <c r="BB5" s="61"/>
      <c r="BC5" s="58"/>
      <c r="BD5" s="64"/>
    </row>
    <row r="6" spans="1:56"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O6" s="69" t="s">
        <v>187</v>
      </c>
      <c r="AP6" s="60">
        <v>54511</v>
      </c>
      <c r="AQ6" s="61">
        <v>7969</v>
      </c>
      <c r="AR6" s="61">
        <v>4448</v>
      </c>
      <c r="AS6" s="58">
        <v>10.09</v>
      </c>
      <c r="AT6" s="64">
        <v>2.1</v>
      </c>
      <c r="AU6" s="60">
        <v>53809</v>
      </c>
      <c r="AV6" s="61">
        <v>5157</v>
      </c>
      <c r="AW6" s="61">
        <v>2851</v>
      </c>
      <c r="AX6" s="58">
        <v>6.46</v>
      </c>
      <c r="AY6" s="64">
        <v>1.3</v>
      </c>
      <c r="AZ6" s="60">
        <v>62150</v>
      </c>
      <c r="BA6" s="61">
        <v>6827</v>
      </c>
      <c r="BB6" s="61">
        <v>3825</v>
      </c>
      <c r="BC6" s="58">
        <v>8.67</v>
      </c>
      <c r="BD6" s="64">
        <v>1.4</v>
      </c>
    </row>
    <row r="7" spans="1:56"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72"/>
      <c r="AJ7" s="13"/>
      <c r="AK7" s="13"/>
      <c r="AL7" s="13"/>
      <c r="AM7" s="172"/>
      <c r="AO7" s="69" t="s">
        <v>188</v>
      </c>
      <c r="AP7" s="60"/>
      <c r="AQ7" s="61"/>
      <c r="AR7" s="61"/>
      <c r="AS7" s="74"/>
      <c r="AT7" s="64"/>
      <c r="AU7" s="60"/>
      <c r="AV7" s="61"/>
      <c r="AW7" s="61"/>
      <c r="AX7" s="58"/>
      <c r="AY7" s="64"/>
      <c r="AZ7" s="60"/>
      <c r="BA7" s="61"/>
      <c r="BB7" s="61"/>
      <c r="BC7" s="58"/>
      <c r="BD7" s="64"/>
    </row>
    <row r="8" spans="1:56"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M8" si="5">+AB7/X7-1</f>
        <v>#DIV/0!</v>
      </c>
      <c r="AC8" s="18" t="e">
        <f t="shared" si="5"/>
        <v>#DIV/0!</v>
      </c>
      <c r="AD8" s="18" t="e">
        <f t="shared" si="5"/>
        <v>#DIV/0!</v>
      </c>
      <c r="AE8" s="18" t="e">
        <f t="shared" si="5"/>
        <v>#DIV/0!</v>
      </c>
      <c r="AF8" s="18" t="e">
        <f t="shared" si="5"/>
        <v>#DIV/0!</v>
      </c>
      <c r="AG8" s="18" t="e">
        <f t="shared" si="5"/>
        <v>#DIV/0!</v>
      </c>
      <c r="AH8" s="18" t="e">
        <f t="shared" si="5"/>
        <v>#DIV/0!</v>
      </c>
      <c r="AI8" s="173" t="e">
        <f t="shared" si="5"/>
        <v>#DIV/0!</v>
      </c>
      <c r="AJ8" s="18" t="e">
        <f t="shared" si="5"/>
        <v>#DIV/0!</v>
      </c>
      <c r="AK8" s="18" t="e">
        <f t="shared" si="5"/>
        <v>#DIV/0!</v>
      </c>
      <c r="AL8" s="18" t="e">
        <f t="shared" si="5"/>
        <v>#DIV/0!</v>
      </c>
      <c r="AM8" s="173" t="e">
        <f t="shared" si="5"/>
        <v>#DIV/0!</v>
      </c>
      <c r="AO8" s="69" t="s">
        <v>197</v>
      </c>
      <c r="AP8" s="60"/>
      <c r="AQ8" s="61"/>
      <c r="AR8" s="61"/>
      <c r="AS8" s="58"/>
      <c r="AT8" s="64"/>
      <c r="AU8" s="60"/>
      <c r="AV8" s="61"/>
      <c r="AW8" s="61"/>
      <c r="AX8" s="58"/>
      <c r="AY8" s="64"/>
      <c r="AZ8" s="60"/>
      <c r="BA8" s="61"/>
      <c r="BB8" s="61"/>
      <c r="BC8" s="58"/>
      <c r="BD8" s="64"/>
    </row>
    <row r="9" spans="1:56"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M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73" t="e">
        <f t="shared" si="6"/>
        <v>#DIV/0!</v>
      </c>
      <c r="AJ9" s="18" t="e">
        <f t="shared" si="6"/>
        <v>#DIV/0!</v>
      </c>
      <c r="AK9" s="18" t="e">
        <f t="shared" si="6"/>
        <v>#DIV/0!</v>
      </c>
      <c r="AL9" s="18" t="e">
        <f t="shared" si="6"/>
        <v>#DIV/0!</v>
      </c>
      <c r="AM9" s="173" t="e">
        <f t="shared" si="6"/>
        <v>#DIV/0!</v>
      </c>
      <c r="AO9" s="69" t="s">
        <v>195</v>
      </c>
      <c r="AP9" s="60"/>
      <c r="AQ9" s="61"/>
      <c r="AR9" s="61"/>
      <c r="AS9" s="74"/>
      <c r="AT9" s="64"/>
      <c r="AU9" s="60">
        <v>57218.62</v>
      </c>
      <c r="AV9" s="61"/>
      <c r="AW9" s="61">
        <v>3191.42</v>
      </c>
      <c r="AX9" s="58">
        <v>7.24</v>
      </c>
      <c r="AY9" s="64"/>
      <c r="AZ9" s="60"/>
      <c r="BA9" s="61"/>
      <c r="BB9" s="61"/>
      <c r="BC9" s="58"/>
      <c r="BD9" s="64"/>
    </row>
    <row r="10" spans="1:56"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O10" s="69" t="s">
        <v>376</v>
      </c>
      <c r="AP10" s="60"/>
      <c r="AQ10" s="61"/>
      <c r="AR10" s="61"/>
      <c r="AS10" s="58"/>
      <c r="AT10" s="64"/>
      <c r="AU10" s="60"/>
      <c r="AV10" s="61"/>
      <c r="AW10" s="61"/>
      <c r="AX10" s="58"/>
      <c r="AY10" s="64"/>
      <c r="AZ10" s="60"/>
      <c r="BA10" s="61"/>
      <c r="BB10" s="61"/>
      <c r="BC10" s="58"/>
      <c r="BD10" s="64"/>
    </row>
    <row r="11" spans="1:56" ht="18" thickTop="1" thickBot="1" x14ac:dyDescent="0.4">
      <c r="B11" s="28" t="s">
        <v>25</v>
      </c>
      <c r="C11" s="30">
        <f t="shared" ref="C11:G11" si="7">C10/C$3*100</f>
        <v>12.180949473066461</v>
      </c>
      <c r="D11" s="30" t="e">
        <f t="shared" si="7"/>
        <v>#DIV/0!</v>
      </c>
      <c r="E11" s="30" t="e">
        <f t="shared" si="7"/>
        <v>#DIV/0!</v>
      </c>
      <c r="F11" s="30" t="e">
        <f t="shared" si="7"/>
        <v>#DIV/0!</v>
      </c>
      <c r="G11" s="30" t="e">
        <f t="shared" si="7"/>
        <v>#DIV/0!</v>
      </c>
      <c r="H11" s="30" t="e">
        <f>H10/H$3*100</f>
        <v>#DIV/0!</v>
      </c>
      <c r="I11" s="31" t="e">
        <f>I10/I$3*100</f>
        <v>#DIV/0!</v>
      </c>
      <c r="J11" s="23" t="e">
        <f>AVERAGE(D11:I11)</f>
        <v>#DIV/0!</v>
      </c>
      <c r="M11" s="1" t="s">
        <v>26</v>
      </c>
      <c r="N11" s="3">
        <f>'[1]LT Portfolio'!T294</f>
        <v>0</v>
      </c>
      <c r="O11" s="4" t="e">
        <f>N11/N7-1</f>
        <v>#DIV/0!</v>
      </c>
      <c r="W11" s="12" t="s">
        <v>42</v>
      </c>
      <c r="X11" s="13">
        <v>3983921</v>
      </c>
      <c r="Y11" s="13">
        <v>3399147</v>
      </c>
      <c r="Z11" s="13">
        <v>3024456</v>
      </c>
      <c r="AA11" s="13">
        <v>2038610</v>
      </c>
      <c r="AB11" s="13">
        <v>2059131</v>
      </c>
      <c r="AC11" s="13">
        <v>3476644</v>
      </c>
      <c r="AD11" s="13">
        <v>3836586</v>
      </c>
      <c r="AE11" s="13">
        <v>5623498</v>
      </c>
      <c r="AF11" s="13">
        <v>6090669</v>
      </c>
      <c r="AG11" s="13">
        <v>4212485</v>
      </c>
      <c r="AH11" s="13">
        <v>4590972</v>
      </c>
      <c r="AI11" s="172">
        <v>3932996</v>
      </c>
      <c r="AJ11" s="13">
        <v>3905306</v>
      </c>
      <c r="AK11" s="13">
        <v>3595424</v>
      </c>
      <c r="AL11" s="13">
        <v>4128785</v>
      </c>
      <c r="AM11" s="172">
        <v>4062181</v>
      </c>
      <c r="AO11" s="70" t="s">
        <v>192</v>
      </c>
      <c r="AP11" s="62">
        <f>+AVERAGE(AP4:AP10)</f>
        <v>55247.5</v>
      </c>
      <c r="AQ11" s="63">
        <f t="shared" ref="AQ11:AY11" si="8">+AVERAGE(AQ4:AQ10)</f>
        <v>7969</v>
      </c>
      <c r="AR11" s="63">
        <f t="shared" si="8"/>
        <v>4371.5</v>
      </c>
      <c r="AS11" s="72">
        <f t="shared" si="8"/>
        <v>9.8949999999999996</v>
      </c>
      <c r="AT11" s="65">
        <f t="shared" si="8"/>
        <v>1.8</v>
      </c>
      <c r="AU11" s="62">
        <f t="shared" si="8"/>
        <v>57164.873333333329</v>
      </c>
      <c r="AV11" s="63">
        <f t="shared" si="8"/>
        <v>5157</v>
      </c>
      <c r="AW11" s="63">
        <f t="shared" si="8"/>
        <v>3581.8066666666668</v>
      </c>
      <c r="AX11" s="72">
        <f t="shared" si="8"/>
        <v>8.1333333333333329</v>
      </c>
      <c r="AY11" s="65">
        <f t="shared" si="8"/>
        <v>1.4500000000000002</v>
      </c>
      <c r="AZ11" s="62">
        <f t="shared" ref="AZ11:BD11" si="9">+AVERAGE(AZ4:AZ10)</f>
        <v>65223.5</v>
      </c>
      <c r="BA11" s="63">
        <f t="shared" si="9"/>
        <v>6827</v>
      </c>
      <c r="BB11" s="63">
        <f t="shared" si="9"/>
        <v>4732.5</v>
      </c>
      <c r="BC11" s="72">
        <f t="shared" si="9"/>
        <v>10.734999999999999</v>
      </c>
      <c r="BD11" s="65">
        <f t="shared" si="9"/>
        <v>1.65</v>
      </c>
    </row>
    <row r="12" spans="1:56" ht="18" thickTop="1" thickBot="1" x14ac:dyDescent="0.4">
      <c r="B12" s="28" t="s">
        <v>27</v>
      </c>
      <c r="C12" s="29"/>
      <c r="D12" s="30">
        <f t="shared" ref="D12:I12" si="10">(D10/C10-1)*100</f>
        <v>-100</v>
      </c>
      <c r="E12" s="30" t="e">
        <f t="shared" si="10"/>
        <v>#DIV/0!</v>
      </c>
      <c r="F12" s="30" t="e">
        <f t="shared" si="10"/>
        <v>#DIV/0!</v>
      </c>
      <c r="G12" s="30" t="e">
        <f t="shared" si="10"/>
        <v>#DIV/0!</v>
      </c>
      <c r="H12" s="30" t="e">
        <f t="shared" si="10"/>
        <v>#DIV/0!</v>
      </c>
      <c r="I12" s="31" t="e">
        <f t="shared" si="10"/>
        <v>#DIV/0!</v>
      </c>
      <c r="J12" s="23" t="e">
        <f>AVERAGE(D12:I12)</f>
        <v>#DIV/0!</v>
      </c>
      <c r="S12" t="s">
        <v>20</v>
      </c>
      <c r="T12" t="s">
        <v>22</v>
      </c>
      <c r="W12" s="12" t="s">
        <v>43</v>
      </c>
      <c r="X12" s="19">
        <f t="shared" ref="X12:AI12" si="11">+X11/X3</f>
        <v>0.34905749977701583</v>
      </c>
      <c r="Y12" s="19">
        <f t="shared" si="11"/>
        <v>0.29670721606308109</v>
      </c>
      <c r="Z12" s="19">
        <f t="shared" si="11"/>
        <v>0.24444826831200378</v>
      </c>
      <c r="AA12" s="19">
        <f t="shared" si="11"/>
        <v>0.19117542110948532</v>
      </c>
      <c r="AB12" s="19">
        <f t="shared" si="11"/>
        <v>0.1732580178692622</v>
      </c>
      <c r="AC12" s="19">
        <f t="shared" si="11"/>
        <v>0.25245849094240563</v>
      </c>
      <c r="AD12" s="19">
        <f t="shared" si="11"/>
        <v>0.2374401082898191</v>
      </c>
      <c r="AE12" s="19">
        <f t="shared" si="11"/>
        <v>0.34484651580410652</v>
      </c>
      <c r="AF12" s="19">
        <f t="shared" si="11"/>
        <v>0.43473480770522421</v>
      </c>
      <c r="AG12" s="19">
        <f t="shared" si="11"/>
        <v>0.34874500609860948</v>
      </c>
      <c r="AH12" s="19">
        <f t="shared" si="11"/>
        <v>0.32593908799542903</v>
      </c>
      <c r="AI12" s="174">
        <f t="shared" si="11"/>
        <v>0.32720563276791786</v>
      </c>
      <c r="AJ12" s="19">
        <f t="shared" ref="AJ12:AL12" si="12">+AJ11/AJ3</f>
        <v>0.29338805474545226</v>
      </c>
      <c r="AK12" s="19">
        <f t="shared" si="12"/>
        <v>0.31684472209517617</v>
      </c>
      <c r="AL12" s="19">
        <f t="shared" si="12"/>
        <v>0.31409090974790704</v>
      </c>
      <c r="AM12" s="174">
        <f t="shared" ref="AM12" si="13">+AM11/AM3</f>
        <v>0.34824406483360598</v>
      </c>
      <c r="AO12" s="12"/>
      <c r="AP12" s="12"/>
      <c r="AQ12" s="12"/>
      <c r="AR12" s="12"/>
      <c r="AS12" s="12"/>
      <c r="AT12" s="99" t="s">
        <v>34</v>
      </c>
      <c r="AU12" s="12"/>
      <c r="AV12" s="12"/>
      <c r="AW12" s="12"/>
      <c r="AX12" s="12"/>
      <c r="AY12" s="99" t="s">
        <v>34</v>
      </c>
      <c r="AZ12" s="12"/>
      <c r="BA12" s="12"/>
      <c r="BB12" s="12"/>
      <c r="BC12" s="12"/>
      <c r="BD12" s="99" t="s">
        <v>34</v>
      </c>
    </row>
    <row r="13" spans="1:56"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70"/>
      <c r="AJ13" s="12"/>
      <c r="AK13" s="12"/>
      <c r="AL13" s="12"/>
      <c r="AM13" s="170"/>
      <c r="AN13" s="12"/>
      <c r="AO13" s="12" t="s">
        <v>193</v>
      </c>
      <c r="AP13" s="12"/>
      <c r="AQ13" s="12"/>
      <c r="AR13" s="12"/>
      <c r="AS13" s="58">
        <f>+$X$1/AS11</f>
        <v>4.9317837291561393</v>
      </c>
      <c r="AT13" s="75">
        <f>+AT11/$X$1</f>
        <v>3.6885245901639351E-2</v>
      </c>
      <c r="AU13" s="12"/>
      <c r="AV13" s="12"/>
      <c r="AW13" s="12"/>
      <c r="AX13" s="58">
        <f>+$X$1/AX11</f>
        <v>6</v>
      </c>
      <c r="AY13" s="75">
        <f>+AY11/$X$1</f>
        <v>2.9713114754098366E-2</v>
      </c>
      <c r="AZ13" s="12"/>
      <c r="BA13" s="12"/>
      <c r="BB13" s="12"/>
      <c r="BC13" s="58">
        <f>+$X$1/BC11</f>
        <v>4.5458779692594318</v>
      </c>
      <c r="BD13" s="75">
        <f>+BD11/$X$1</f>
        <v>3.3811475409836068E-2</v>
      </c>
    </row>
    <row r="14" spans="1:56"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v>2572300</v>
      </c>
      <c r="Y14" s="13">
        <v>1639318</v>
      </c>
      <c r="Z14" s="13">
        <v>904063</v>
      </c>
      <c r="AA14" s="13">
        <f>74768+473020</f>
        <v>547788</v>
      </c>
      <c r="AB14" s="13">
        <v>312644</v>
      </c>
      <c r="AC14" s="13">
        <v>2093162</v>
      </c>
      <c r="AD14" s="13">
        <v>2278067</v>
      </c>
      <c r="AE14" s="13">
        <v>4007711</v>
      </c>
      <c r="AF14" s="13">
        <v>4390962</v>
      </c>
      <c r="AG14" s="13">
        <v>1765455</v>
      </c>
      <c r="AH14" s="13">
        <v>1638571</v>
      </c>
      <c r="AI14" s="172">
        <v>1712763</v>
      </c>
      <c r="AJ14" s="13">
        <v>1297646</v>
      </c>
      <c r="AK14" s="13">
        <v>540819</v>
      </c>
      <c r="AL14" s="13">
        <v>1335999</v>
      </c>
      <c r="AM14" s="172">
        <v>1286843</v>
      </c>
    </row>
    <row r="15" spans="1:56" ht="18" thickTop="1" thickBot="1" x14ac:dyDescent="0.4">
      <c r="B15" s="32" t="s">
        <v>30</v>
      </c>
      <c r="C15" s="34">
        <f>1+0.6</f>
        <v>1.6</v>
      </c>
      <c r="D15" s="34"/>
      <c r="E15" s="34"/>
      <c r="F15" s="34"/>
      <c r="G15" s="34"/>
      <c r="H15" s="34"/>
      <c r="I15" s="35"/>
      <c r="J15" s="24"/>
      <c r="R15" s="6"/>
      <c r="S15" s="6"/>
      <c r="W15" s="12" t="s">
        <v>55</v>
      </c>
      <c r="X15" s="19">
        <f t="shared" ref="X15:AI15" si="14">+X14/X3</f>
        <v>0.22537610727632848</v>
      </c>
      <c r="Y15" s="19">
        <f t="shared" si="14"/>
        <v>0.14309398211436516</v>
      </c>
      <c r="Z15" s="19">
        <f t="shared" si="14"/>
        <v>7.3069879275795405E-2</v>
      </c>
      <c r="AA15" s="19">
        <f t="shared" si="14"/>
        <v>5.1370100989754169E-2</v>
      </c>
      <c r="AB15" s="19">
        <f t="shared" si="14"/>
        <v>2.6306281503565152E-2</v>
      </c>
      <c r="AC15" s="19">
        <f t="shared" si="14"/>
        <v>0.15199615486025822</v>
      </c>
      <c r="AD15" s="19">
        <f t="shared" si="14"/>
        <v>0.14098588567321657</v>
      </c>
      <c r="AE15" s="19">
        <f t="shared" si="14"/>
        <v>0.24576254400726941</v>
      </c>
      <c r="AF15" s="19">
        <f t="shared" si="14"/>
        <v>0.31341450679899807</v>
      </c>
      <c r="AG15" s="19">
        <f t="shared" si="14"/>
        <v>0.14615924204877181</v>
      </c>
      <c r="AH15" s="19">
        <f t="shared" si="14"/>
        <v>0.11633142989235354</v>
      </c>
      <c r="AI15" s="174">
        <f t="shared" si="14"/>
        <v>0.14249333108817738</v>
      </c>
      <c r="AJ15" s="19">
        <f t="shared" ref="AJ15:AL15" si="15">+AJ14/AJ3</f>
        <v>9.7486300865595982E-2</v>
      </c>
      <c r="AK15" s="19">
        <f t="shared" si="15"/>
        <v>4.7659370844381932E-2</v>
      </c>
      <c r="AL15" s="19">
        <f t="shared" si="15"/>
        <v>0.10163405004917768</v>
      </c>
      <c r="AM15" s="174">
        <f t="shared" ref="AM15" si="16">+AM14/AM3</f>
        <v>0.11031892402693824</v>
      </c>
    </row>
    <row r="16" spans="1:56" ht="18" thickTop="1" thickBot="1" x14ac:dyDescent="0.4">
      <c r="B16" s="32" t="s">
        <v>8</v>
      </c>
      <c r="C16" s="34">
        <v>31.7</v>
      </c>
      <c r="D16" s="34"/>
      <c r="E16" s="34"/>
      <c r="F16" s="34"/>
      <c r="G16" s="34"/>
      <c r="H16" s="34"/>
      <c r="I16" s="35"/>
      <c r="J16" s="22" t="e">
        <f>((I16/D16)^(1/5)-1)*100</f>
        <v>#DIV/0!</v>
      </c>
    </row>
    <row r="17" spans="2:44" ht="18" thickTop="1" thickBot="1" x14ac:dyDescent="0.4">
      <c r="B17" s="32" t="s">
        <v>31</v>
      </c>
      <c r="C17" s="34">
        <v>14.6</v>
      </c>
      <c r="D17" s="34"/>
      <c r="E17" s="34"/>
      <c r="F17" s="34"/>
      <c r="G17" s="34"/>
      <c r="H17" s="34"/>
      <c r="I17" s="35"/>
      <c r="J17" s="22" t="e">
        <f>((I17/D17)^(1/6)-1)*100</f>
        <v>#DIV/0!</v>
      </c>
      <c r="W17" s="12" t="s">
        <v>44</v>
      </c>
      <c r="X17" s="13">
        <f>1272-296626</f>
        <v>-295354</v>
      </c>
      <c r="Y17" s="13">
        <f>10357-207951</f>
        <v>-197594</v>
      </c>
      <c r="Z17" s="13">
        <f>12992-171626</f>
        <v>-158634</v>
      </c>
      <c r="AA17" s="13">
        <f>10229-149391</f>
        <v>-139162</v>
      </c>
      <c r="AB17" s="13">
        <f>8656-148602</f>
        <v>-139946</v>
      </c>
      <c r="AC17" s="13">
        <f>21735-129041</f>
        <v>-107306</v>
      </c>
      <c r="AD17" s="13">
        <f>41984-5176724</f>
        <v>-5134740</v>
      </c>
      <c r="AE17" s="13">
        <f>77094-3406735</f>
        <v>-3329641</v>
      </c>
      <c r="AF17" s="13">
        <f>94452-792621</f>
        <v>-698169</v>
      </c>
      <c r="AG17" s="13">
        <f>8234-644814</f>
        <v>-636580</v>
      </c>
      <c r="AH17" s="13">
        <f>5029-376675</f>
        <v>-371646</v>
      </c>
      <c r="AI17" s="172">
        <f>31491-548845</f>
        <v>-517354</v>
      </c>
      <c r="AJ17" s="13">
        <f>103095-429938</f>
        <v>-326843</v>
      </c>
      <c r="AK17" s="13">
        <f>92033-325242</f>
        <v>-233209</v>
      </c>
      <c r="AL17" s="13">
        <f>-65530-295858</f>
        <v>-361388</v>
      </c>
      <c r="AM17" s="172">
        <f>109177-226650</f>
        <v>-117473</v>
      </c>
    </row>
    <row r="18" spans="2:44" ht="18" thickTop="1" thickBot="1" x14ac:dyDescent="0.4">
      <c r="B18" s="32" t="s">
        <v>32</v>
      </c>
      <c r="C18" s="36">
        <f t="shared" ref="C18:G18" si="17">C14/AVERAGE(B17:C17)*100</f>
        <v>22.19178082191781</v>
      </c>
      <c r="D18" s="36">
        <f t="shared" si="17"/>
        <v>0</v>
      </c>
      <c r="E18" s="36" t="e">
        <f t="shared" si="17"/>
        <v>#DIV/0!</v>
      </c>
      <c r="F18" s="36" t="e">
        <f t="shared" si="17"/>
        <v>#DIV/0!</v>
      </c>
      <c r="G18" s="36" t="e">
        <f t="shared" si="17"/>
        <v>#DIV/0!</v>
      </c>
      <c r="H18" s="36" t="e">
        <f>H14/AVERAGE(G17:H17)*100</f>
        <v>#DIV/0!</v>
      </c>
      <c r="I18" s="37" t="e">
        <f>I14/AVERAGE(H17:I17)*100</f>
        <v>#DIV/0!</v>
      </c>
      <c r="J18" s="23" t="e">
        <f>AVERAGE(D18:I18)</f>
        <v>#DIV/0!</v>
      </c>
      <c r="M18" s="9" t="s">
        <v>33</v>
      </c>
      <c r="N18" s="6"/>
      <c r="O18" s="6"/>
      <c r="P18" s="6"/>
      <c r="Q18" s="6"/>
      <c r="W18" s="12" t="s">
        <v>45</v>
      </c>
      <c r="X18" s="15">
        <f t="shared" ref="X18:AI18" si="18">+X17/X14</f>
        <v>-0.11482097733545854</v>
      </c>
      <c r="Y18" s="15">
        <f t="shared" si="18"/>
        <v>-0.12053427095902076</v>
      </c>
      <c r="Z18" s="15">
        <f t="shared" si="18"/>
        <v>-0.1754678600938209</v>
      </c>
      <c r="AA18" s="15">
        <f t="shared" si="18"/>
        <v>-0.25404353509021738</v>
      </c>
      <c r="AB18" s="15">
        <f t="shared" si="18"/>
        <v>-0.44762093627256561</v>
      </c>
      <c r="AC18" s="15">
        <f t="shared" si="18"/>
        <v>-5.1265023920747652E-2</v>
      </c>
      <c r="AD18" s="15">
        <f t="shared" si="18"/>
        <v>-2.2539898958195699</v>
      </c>
      <c r="AE18" s="15">
        <f t="shared" si="18"/>
        <v>-0.83080865860836772</v>
      </c>
      <c r="AF18" s="15">
        <f t="shared" si="18"/>
        <v>-0.15900137600826425</v>
      </c>
      <c r="AG18" s="15">
        <f t="shared" si="18"/>
        <v>-0.36057560232348035</v>
      </c>
      <c r="AH18" s="15">
        <f t="shared" si="18"/>
        <v>-0.22681104450158096</v>
      </c>
      <c r="AI18" s="175">
        <f t="shared" si="18"/>
        <v>-0.30205813647305552</v>
      </c>
      <c r="AJ18" s="15">
        <f t="shared" ref="AJ18:AL18" si="19">+AJ17/AJ14</f>
        <v>-0.25187377759419749</v>
      </c>
      <c r="AK18" s="15">
        <f t="shared" si="19"/>
        <v>-0.43121450984525322</v>
      </c>
      <c r="AL18" s="15">
        <f t="shared" si="19"/>
        <v>-0.27050020247021145</v>
      </c>
      <c r="AM18" s="175">
        <f t="shared" ref="AM18" si="20">+AM17/AM14</f>
        <v>-9.1287748388886605E-2</v>
      </c>
    </row>
    <row r="19" spans="2:44" ht="18" thickTop="1" thickBot="1" x14ac:dyDescent="0.4">
      <c r="B19" s="32" t="s">
        <v>34</v>
      </c>
      <c r="C19" s="30">
        <f t="shared" ref="C19:G19" si="21">C15/C16*100</f>
        <v>5.0473186119873823</v>
      </c>
      <c r="D19" s="30" t="e">
        <f t="shared" si="21"/>
        <v>#DIV/0!</v>
      </c>
      <c r="E19" s="30" t="e">
        <f t="shared" si="21"/>
        <v>#DIV/0!</v>
      </c>
      <c r="F19" s="30" t="e">
        <f t="shared" si="21"/>
        <v>#DIV/0!</v>
      </c>
      <c r="G19" s="30" t="e">
        <f t="shared" si="21"/>
        <v>#DIV/0!</v>
      </c>
      <c r="H19" s="30" t="e">
        <f>H15/H16*100</f>
        <v>#DIV/0!</v>
      </c>
      <c r="I19" s="31" t="e">
        <f>I15/I16*100</f>
        <v>#DIV/0!</v>
      </c>
      <c r="J19" s="23" t="e">
        <f>AVERAGE(D19:I19)</f>
        <v>#DIV/0!</v>
      </c>
    </row>
    <row r="20" spans="2:44" ht="18" thickTop="1" thickBot="1" x14ac:dyDescent="0.4">
      <c r="B20" s="32" t="s">
        <v>35</v>
      </c>
      <c r="C20" s="30">
        <f t="shared" ref="C20:G20" si="22">C15/C14*100</f>
        <v>49.382716049382715</v>
      </c>
      <c r="D20" s="30" t="e">
        <f t="shared" si="22"/>
        <v>#DIV/0!</v>
      </c>
      <c r="E20" s="30" t="e">
        <f t="shared" si="22"/>
        <v>#DIV/0!</v>
      </c>
      <c r="F20" s="30" t="e">
        <f t="shared" si="22"/>
        <v>#DIV/0!</v>
      </c>
      <c r="G20" s="30" t="e">
        <f t="shared" si="22"/>
        <v>#DIV/0!</v>
      </c>
      <c r="H20" s="30" t="e">
        <f>H15/H14*100</f>
        <v>#DIV/0!</v>
      </c>
      <c r="I20" s="31" t="e">
        <f>I15/I14*100</f>
        <v>#DIV/0!</v>
      </c>
      <c r="J20" s="23" t="e">
        <f>AVERAGE(D20:I20)</f>
        <v>#DIV/0!</v>
      </c>
      <c r="M20" t="s">
        <v>36</v>
      </c>
      <c r="N20" s="4" t="e">
        <f>N13/H14-1</f>
        <v>#DIV/0!</v>
      </c>
      <c r="W20" s="12" t="s">
        <v>21</v>
      </c>
      <c r="X20" s="13">
        <f t="shared" ref="X20:AI20" si="23">+X14+X17</f>
        <v>2276946</v>
      </c>
      <c r="Y20" s="13">
        <f t="shared" si="23"/>
        <v>1441724</v>
      </c>
      <c r="Z20" s="13">
        <f t="shared" si="23"/>
        <v>745429</v>
      </c>
      <c r="AA20" s="13">
        <f t="shared" si="23"/>
        <v>408626</v>
      </c>
      <c r="AB20" s="13">
        <f t="shared" si="23"/>
        <v>172698</v>
      </c>
      <c r="AC20" s="13">
        <f t="shared" si="23"/>
        <v>1985856</v>
      </c>
      <c r="AD20" s="13">
        <f t="shared" si="23"/>
        <v>-2856673</v>
      </c>
      <c r="AE20" s="13">
        <f t="shared" si="23"/>
        <v>678070</v>
      </c>
      <c r="AF20" s="13">
        <f t="shared" si="23"/>
        <v>3692793</v>
      </c>
      <c r="AG20" s="13">
        <f t="shared" si="23"/>
        <v>1128875</v>
      </c>
      <c r="AH20" s="13">
        <f t="shared" si="23"/>
        <v>1266925</v>
      </c>
      <c r="AI20" s="172">
        <f t="shared" si="23"/>
        <v>1195409</v>
      </c>
      <c r="AJ20" s="13">
        <f t="shared" ref="AJ20:AL20" si="24">+AJ14+AJ17</f>
        <v>970803</v>
      </c>
      <c r="AK20" s="13">
        <f t="shared" si="24"/>
        <v>307610</v>
      </c>
      <c r="AL20" s="13">
        <f t="shared" si="24"/>
        <v>974611</v>
      </c>
      <c r="AM20" s="172">
        <f>+AM14+AM17</f>
        <v>1169370</v>
      </c>
    </row>
    <row r="21" spans="2:44" ht="18" thickTop="1" thickBot="1" x14ac:dyDescent="0.4">
      <c r="B21" s="32" t="s">
        <v>11</v>
      </c>
      <c r="C21" s="38">
        <f t="shared" ref="C21:G21" si="25">C16/C14</f>
        <v>9.7839506172839492</v>
      </c>
      <c r="D21" s="38" t="e">
        <f t="shared" si="25"/>
        <v>#DIV/0!</v>
      </c>
      <c r="E21" s="38" t="e">
        <f t="shared" si="25"/>
        <v>#DIV/0!</v>
      </c>
      <c r="F21" s="38" t="e">
        <f t="shared" si="25"/>
        <v>#DIV/0!</v>
      </c>
      <c r="G21" s="38" t="e">
        <f t="shared" si="25"/>
        <v>#DIV/0!</v>
      </c>
      <c r="H21" s="38" t="e">
        <f>H16/H14</f>
        <v>#DIV/0!</v>
      </c>
      <c r="I21" s="39" t="e">
        <f>I16/I14</f>
        <v>#DIV/0!</v>
      </c>
      <c r="J21" s="23" t="e">
        <f>AVERAGE(D21:I21)</f>
        <v>#DIV/0!</v>
      </c>
      <c r="W21" s="12" t="s">
        <v>46</v>
      </c>
      <c r="X21" s="19">
        <f t="shared" ref="X21:AI21" si="26">+X20/X3</f>
        <v>0.19949820237079929</v>
      </c>
      <c r="Y21" s="19">
        <f t="shared" si="26"/>
        <v>0.125846253301587</v>
      </c>
      <c r="Z21" s="19">
        <f t="shared" si="26"/>
        <v>6.0248463921957755E-2</v>
      </c>
      <c r="AA21" s="19">
        <f t="shared" si="26"/>
        <v>3.8319858936375545E-2</v>
      </c>
      <c r="AB21" s="19">
        <f t="shared" si="26"/>
        <v>1.4531039147089643E-2</v>
      </c>
      <c r="AC21" s="19">
        <f t="shared" si="26"/>
        <v>0.14420406834548544</v>
      </c>
      <c r="AD21" s="19">
        <f t="shared" si="26"/>
        <v>-0.17679487608738664</v>
      </c>
      <c r="AE21" s="19">
        <f t="shared" si="26"/>
        <v>4.1580894484409971E-2</v>
      </c>
      <c r="AF21" s="19">
        <f t="shared" si="26"/>
        <v>0.2635811689570059</v>
      </c>
      <c r="AG21" s="19">
        <f t="shared" si="26"/>
        <v>9.3457785311892569E-2</v>
      </c>
      <c r="AH21" s="19">
        <f t="shared" si="26"/>
        <v>8.9946176770106398E-2</v>
      </c>
      <c r="AI21" s="174">
        <f t="shared" si="26"/>
        <v>9.9452061039844414E-2</v>
      </c>
      <c r="AJ21" s="19">
        <f t="shared" ref="AJ21:AL21" si="27">+AJ20/AJ3</f>
        <v>7.2932058002893832E-2</v>
      </c>
      <c r="AK21" s="19">
        <f t="shared" si="27"/>
        <v>2.7107958606188629E-2</v>
      </c>
      <c r="AL21" s="19">
        <f t="shared" si="27"/>
        <v>7.4142018933007522E-2</v>
      </c>
      <c r="AM21" s="174">
        <f>+AM20/AM3</f>
        <v>0.10024815784783442</v>
      </c>
    </row>
    <row r="22" spans="2:44" ht="18" thickTop="1" thickBot="1" x14ac:dyDescent="0.4">
      <c r="B22" s="32" t="s">
        <v>37</v>
      </c>
      <c r="C22" s="38">
        <f t="shared" ref="C22:G22" si="28">C16/C17</f>
        <v>2.1712328767123288</v>
      </c>
      <c r="D22" s="38" t="e">
        <f t="shared" si="28"/>
        <v>#DIV/0!</v>
      </c>
      <c r="E22" s="38" t="e">
        <f t="shared" si="28"/>
        <v>#DIV/0!</v>
      </c>
      <c r="F22" s="38" t="e">
        <f t="shared" si="28"/>
        <v>#DIV/0!</v>
      </c>
      <c r="G22" s="38" t="e">
        <f t="shared" si="28"/>
        <v>#DIV/0!</v>
      </c>
      <c r="H22" s="38" t="e">
        <f>H16/H17</f>
        <v>#DIV/0!</v>
      </c>
      <c r="I22" s="39" t="e">
        <f>I16/I17</f>
        <v>#DIV/0!</v>
      </c>
      <c r="J22" s="23" t="e">
        <f>AVERAGE(D22:I22)</f>
        <v>#DIV/0!</v>
      </c>
    </row>
    <row r="23" spans="2:44" ht="15.75" thickTop="1" x14ac:dyDescent="0.25">
      <c r="W23" s="12" t="s">
        <v>47</v>
      </c>
      <c r="X23" s="13">
        <v>-173198</v>
      </c>
      <c r="Y23" s="13">
        <v>-138517</v>
      </c>
      <c r="Z23" s="13">
        <v>587891</v>
      </c>
      <c r="AA23" s="13">
        <v>-110827</v>
      </c>
      <c r="AB23" s="13">
        <v>-41147</v>
      </c>
      <c r="AC23" s="13">
        <v>-337236</v>
      </c>
      <c r="AD23" s="13">
        <v>420923</v>
      </c>
      <c r="AE23" s="13">
        <v>-143274</v>
      </c>
      <c r="AF23" s="13">
        <v>-517000</v>
      </c>
      <c r="AG23" s="13">
        <v>-569874</v>
      </c>
      <c r="AH23" s="13">
        <v>-543597</v>
      </c>
      <c r="AI23" s="172">
        <v>-330309</v>
      </c>
      <c r="AJ23" s="13">
        <v>-328779</v>
      </c>
      <c r="AK23" s="13">
        <v>-114379</v>
      </c>
      <c r="AL23" s="13">
        <v>-252396</v>
      </c>
      <c r="AM23" s="172">
        <v>-462643</v>
      </c>
    </row>
    <row r="24" spans="2:44" x14ac:dyDescent="0.25">
      <c r="G24" s="10">
        <v>701.95658000000003</v>
      </c>
      <c r="H24" s="10">
        <v>709.32254499999999</v>
      </c>
      <c r="I24" s="10">
        <v>716.73997499999996</v>
      </c>
      <c r="W24" s="12" t="s">
        <v>48</v>
      </c>
      <c r="X24" s="14">
        <f t="shared" ref="X24:AI24" si="29">+X23/X20</f>
        <v>-7.6065923390365872E-2</v>
      </c>
      <c r="Y24" s="14">
        <f t="shared" si="29"/>
        <v>-9.6077335190369303E-2</v>
      </c>
      <c r="Z24" s="14">
        <f t="shared" si="29"/>
        <v>0.7886612943687461</v>
      </c>
      <c r="AA24" s="14">
        <f t="shared" si="29"/>
        <v>-0.27121866939450745</v>
      </c>
      <c r="AB24" s="14">
        <f t="shared" si="29"/>
        <v>-0.23825985245920625</v>
      </c>
      <c r="AC24" s="14">
        <f t="shared" si="29"/>
        <v>-0.1698189596828773</v>
      </c>
      <c r="AD24" s="14">
        <f t="shared" si="29"/>
        <v>-0.14734728126040328</v>
      </c>
      <c r="AE24" s="14">
        <f t="shared" si="29"/>
        <v>-0.21129676877018597</v>
      </c>
      <c r="AF24" s="14">
        <f t="shared" si="29"/>
        <v>-0.14000243176370838</v>
      </c>
      <c r="AG24" s="14">
        <f t="shared" si="29"/>
        <v>-0.50481585649429739</v>
      </c>
      <c r="AH24" s="14">
        <f t="shared" si="29"/>
        <v>-0.42906801902243619</v>
      </c>
      <c r="AI24" s="176">
        <f t="shared" si="29"/>
        <v>-0.27631463373623588</v>
      </c>
      <c r="AJ24" s="14">
        <f t="shared" ref="AJ24:AL24" si="30">+AJ23/AJ20</f>
        <v>-0.33866706221550613</v>
      </c>
      <c r="AK24" s="14">
        <f t="shared" si="30"/>
        <v>-0.37183121484997239</v>
      </c>
      <c r="AL24" s="14">
        <f t="shared" si="30"/>
        <v>-0.25897101510243575</v>
      </c>
      <c r="AM24" s="176">
        <f>+AM23/AM20</f>
        <v>-0.39563440142982975</v>
      </c>
    </row>
    <row r="25" spans="2:44" x14ac:dyDescent="0.25">
      <c r="G25">
        <f>+G10/G24</f>
        <v>0</v>
      </c>
      <c r="H25">
        <f>+H10/H24</f>
        <v>0</v>
      </c>
      <c r="I25">
        <f>+I10/I24</f>
        <v>0</v>
      </c>
      <c r="M25" s="10"/>
      <c r="AR25" s="90"/>
    </row>
    <row r="26" spans="2:44" x14ac:dyDescent="0.25">
      <c r="M26" s="10"/>
      <c r="W26" s="12" t="s">
        <v>74</v>
      </c>
      <c r="X26" s="13">
        <v>-2228</v>
      </c>
      <c r="Y26" s="12">
        <v>-7494</v>
      </c>
      <c r="Z26" s="12">
        <v>-8595</v>
      </c>
      <c r="AA26" s="12">
        <v>1066</v>
      </c>
      <c r="AB26" s="13">
        <v>4506</v>
      </c>
      <c r="AC26" s="13">
        <v>8722</v>
      </c>
      <c r="AD26" s="13">
        <v>5574</v>
      </c>
      <c r="AE26" s="13">
        <v>604</v>
      </c>
      <c r="AF26" s="13">
        <v>1741</v>
      </c>
      <c r="AG26" s="13">
        <v>2634</v>
      </c>
      <c r="AH26" s="13">
        <v>5027</v>
      </c>
      <c r="AI26" s="172">
        <v>1546</v>
      </c>
      <c r="AJ26" s="13">
        <v>2219</v>
      </c>
      <c r="AK26" s="13">
        <v>-2412</v>
      </c>
      <c r="AL26" s="13">
        <v>2492</v>
      </c>
      <c r="AM26" s="172">
        <v>379</v>
      </c>
    </row>
    <row r="28" spans="2:44" x14ac:dyDescent="0.25">
      <c r="W28" s="12" t="s">
        <v>49</v>
      </c>
      <c r="X28" s="13">
        <f t="shared" ref="X28:AH28" si="31">+X20+X23-X26</f>
        <v>2105976</v>
      </c>
      <c r="Y28" s="13">
        <f t="shared" si="31"/>
        <v>1310701</v>
      </c>
      <c r="Z28" s="13">
        <f t="shared" si="31"/>
        <v>1341915</v>
      </c>
      <c r="AA28" s="13">
        <f t="shared" si="31"/>
        <v>296733</v>
      </c>
      <c r="AB28" s="13">
        <f t="shared" si="31"/>
        <v>127045</v>
      </c>
      <c r="AC28" s="13">
        <f t="shared" si="31"/>
        <v>1639898</v>
      </c>
      <c r="AD28" s="13">
        <f t="shared" si="31"/>
        <v>-2441324</v>
      </c>
      <c r="AE28" s="13">
        <f t="shared" si="31"/>
        <v>534192</v>
      </c>
      <c r="AF28" s="13">
        <f t="shared" si="31"/>
        <v>3174052</v>
      </c>
      <c r="AG28" s="13">
        <f t="shared" si="31"/>
        <v>556367</v>
      </c>
      <c r="AH28" s="13">
        <f t="shared" si="31"/>
        <v>718301</v>
      </c>
      <c r="AI28" s="172">
        <f>+AI20+AI23-AI26</f>
        <v>863554</v>
      </c>
      <c r="AJ28" s="13">
        <f t="shared" ref="AJ28:AL28" si="32">+AJ20+AJ23-AJ26</f>
        <v>639805</v>
      </c>
      <c r="AK28" s="13">
        <f t="shared" si="32"/>
        <v>195643</v>
      </c>
      <c r="AL28" s="13">
        <f t="shared" si="32"/>
        <v>719723</v>
      </c>
      <c r="AM28" s="172">
        <f>+AM20+AM23-AM26</f>
        <v>706348</v>
      </c>
    </row>
    <row r="29" spans="2:44" x14ac:dyDescent="0.25">
      <c r="M29" s="10"/>
      <c r="W29" s="12" t="s">
        <v>25</v>
      </c>
      <c r="X29" s="19">
        <f t="shared" ref="X29:AI29" si="33">+X28/X3</f>
        <v>0.1845183971144008</v>
      </c>
      <c r="Y29" s="19">
        <f t="shared" si="33"/>
        <v>0.11440942236422741</v>
      </c>
      <c r="Z29" s="19">
        <f t="shared" si="33"/>
        <v>0.10845877670956448</v>
      </c>
      <c r="AA29" s="19">
        <f t="shared" si="33"/>
        <v>2.7826831140866034E-2</v>
      </c>
      <c r="AB29" s="19">
        <f t="shared" si="33"/>
        <v>1.0689735077661605E-2</v>
      </c>
      <c r="AC29" s="19">
        <f t="shared" si="33"/>
        <v>0.11908213046244283</v>
      </c>
      <c r="AD29" s="19">
        <f t="shared" si="33"/>
        <v>-0.15108959760853383</v>
      </c>
      <c r="AE29" s="19">
        <f t="shared" si="33"/>
        <v>3.2757947094571256E-2</v>
      </c>
      <c r="AF29" s="19">
        <f t="shared" si="33"/>
        <v>0.22655489665689965</v>
      </c>
      <c r="AG29" s="19">
        <f t="shared" si="33"/>
        <v>4.6060748657399384E-2</v>
      </c>
      <c r="AH29" s="19">
        <f t="shared" si="33"/>
        <v>5.0996253701003767E-2</v>
      </c>
      <c r="AI29" s="174">
        <f t="shared" si="33"/>
        <v>7.1843381737298123E-2</v>
      </c>
      <c r="AJ29" s="19">
        <f t="shared" ref="AJ29:AL29" si="34">+AJ28/AJ3</f>
        <v>4.8065668699562622E-2</v>
      </c>
      <c r="AK29" s="19">
        <f t="shared" si="34"/>
        <v>1.724092957182979E-2</v>
      </c>
      <c r="AL29" s="19">
        <f t="shared" si="34"/>
        <v>5.4751809996522682E-2</v>
      </c>
      <c r="AM29" s="174">
        <f t="shared" ref="AM29" si="35">+AM28/AM3</f>
        <v>6.0554046879518153E-2</v>
      </c>
    </row>
    <row r="30" spans="2:44" x14ac:dyDescent="0.25">
      <c r="M30" s="10"/>
    </row>
    <row r="31" spans="2:44" x14ac:dyDescent="0.25">
      <c r="W31" s="12" t="s">
        <v>29</v>
      </c>
      <c r="X31" s="16">
        <f t="shared" ref="X31:AI31" si="36">+X28/X47</f>
        <v>4.7749685406251059</v>
      </c>
      <c r="Y31" s="16">
        <f t="shared" si="36"/>
        <v>2.9718078654105589</v>
      </c>
      <c r="Z31" s="16">
        <f t="shared" si="36"/>
        <v>3.0425806890453355</v>
      </c>
      <c r="AA31" s="16">
        <f t="shared" si="36"/>
        <v>0.67279529299731322</v>
      </c>
      <c r="AB31" s="16">
        <f t="shared" si="36"/>
        <v>0.28805450690972578</v>
      </c>
      <c r="AC31" s="16">
        <f t="shared" si="36"/>
        <v>3.7182101599610018</v>
      </c>
      <c r="AD31" s="16">
        <f t="shared" si="36"/>
        <v>-5.53531725787618</v>
      </c>
      <c r="AE31" s="16">
        <f t="shared" si="36"/>
        <v>1.2111961364486616</v>
      </c>
      <c r="AF31" s="16">
        <f t="shared" si="36"/>
        <v>7.1966624720833474</v>
      </c>
      <c r="AG31" s="16">
        <f t="shared" si="36"/>
        <v>1.2614744527202439</v>
      </c>
      <c r="AH31" s="16">
        <f t="shared" si="36"/>
        <v>1.628634266344704</v>
      </c>
      <c r="AI31" s="177">
        <f t="shared" si="36"/>
        <v>1.9579725424843271</v>
      </c>
      <c r="AJ31" s="16">
        <f t="shared" ref="AJ31:AL31" si="37">+AJ28/AJ47</f>
        <v>1.4506569624414742</v>
      </c>
      <c r="AK31" s="16">
        <f t="shared" si="37"/>
        <v>0.44358965638426917</v>
      </c>
      <c r="AL31" s="16">
        <f t="shared" si="37"/>
        <v>1.6318584271446224</v>
      </c>
      <c r="AM31" s="177">
        <f t="shared" ref="AM31" si="38">+AM28/AM47</f>
        <v>1.6015327234182453</v>
      </c>
    </row>
    <row r="32" spans="2:44" x14ac:dyDescent="0.25">
      <c r="W32" s="12" t="s">
        <v>40</v>
      </c>
      <c r="AA32" s="17"/>
      <c r="AB32" s="18">
        <f t="shared" ref="AB32:AM32" si="39">+AB31/X31-1</f>
        <v>-0.93967405136620741</v>
      </c>
      <c r="AC32" s="18">
        <f t="shared" si="39"/>
        <v>0.25116101994276363</v>
      </c>
      <c r="AD32" s="18">
        <f t="shared" si="39"/>
        <v>-2.8192836356997275</v>
      </c>
      <c r="AE32" s="18">
        <f t="shared" si="39"/>
        <v>0.80024466439526432</v>
      </c>
      <c r="AF32" s="18">
        <f t="shared" si="39"/>
        <v>23.983682946987287</v>
      </c>
      <c r="AG32" s="18">
        <f t="shared" si="39"/>
        <v>-0.66073072837456959</v>
      </c>
      <c r="AH32" s="18">
        <f t="shared" si="39"/>
        <v>-1.2942260019563157</v>
      </c>
      <c r="AI32" s="173">
        <f t="shared" si="39"/>
        <v>0.61656108665049292</v>
      </c>
      <c r="AJ32" s="18">
        <f t="shared" si="39"/>
        <v>-0.79842642779639394</v>
      </c>
      <c r="AK32" s="18">
        <f t="shared" si="39"/>
        <v>-0.64835621091833273</v>
      </c>
      <c r="AL32" s="18">
        <f t="shared" si="39"/>
        <v>1.9796714747717381E-3</v>
      </c>
      <c r="AM32" s="173">
        <f t="shared" si="39"/>
        <v>-0.18204536137867466</v>
      </c>
    </row>
    <row r="33" spans="23:41" x14ac:dyDescent="0.25">
      <c r="W33" s="12" t="s">
        <v>41</v>
      </c>
      <c r="Y33" s="18">
        <f t="shared" ref="Y33:AD33" si="40">+Y31/X31-1</f>
        <v>-0.37762776024038258</v>
      </c>
      <c r="Z33" s="18">
        <f t="shared" si="40"/>
        <v>2.3814737304694189E-2</v>
      </c>
      <c r="AA33" s="18">
        <f t="shared" si="40"/>
        <v>-0.77887347559271636</v>
      </c>
      <c r="AB33" s="18">
        <f t="shared" si="40"/>
        <v>-0.57185415845221121</v>
      </c>
      <c r="AC33" s="18">
        <f t="shared" si="40"/>
        <v>11.908008973198472</v>
      </c>
      <c r="AD33" s="18">
        <f t="shared" si="40"/>
        <v>-2.4887047852976218</v>
      </c>
      <c r="AE33" s="18">
        <f>+AE31/AD31-1</f>
        <v>-1.2188124149027331</v>
      </c>
      <c r="AF33" s="18">
        <f>+AF31/AE31-1</f>
        <v>4.9417812322161323</v>
      </c>
      <c r="AG33" s="18">
        <f>+AG31/AF31-1</f>
        <v>-0.82471396183805434</v>
      </c>
      <c r="AH33" s="18">
        <f t="shared" ref="AH33" si="41">+AH31/AG31-1</f>
        <v>0.29105608348446266</v>
      </c>
      <c r="AI33" s="173">
        <f>+AI31/AH31-1</f>
        <v>0.20221745479958964</v>
      </c>
      <c r="AJ33" s="18">
        <f>+AJ31/AI31-1</f>
        <v>-0.25910249966996857</v>
      </c>
      <c r="AK33" s="18">
        <f>+AK31/AJ31-1</f>
        <v>-0.69421464352419882</v>
      </c>
      <c r="AL33" s="18">
        <f t="shared" ref="AL33:AM33" si="42">+AL31/AK31-1</f>
        <v>2.6787567150370828</v>
      </c>
      <c r="AM33" s="173">
        <f t="shared" si="42"/>
        <v>-1.8583538389074672E-2</v>
      </c>
      <c r="AN33" s="18"/>
    </row>
    <row r="34" spans="23:41" x14ac:dyDescent="0.25">
      <c r="Y34" s="18"/>
      <c r="Z34" s="18"/>
      <c r="AA34" s="18"/>
      <c r="AB34" s="18"/>
      <c r="AC34" s="18"/>
      <c r="AD34" s="18"/>
      <c r="AE34" s="18"/>
      <c r="AF34" s="18"/>
      <c r="AG34" s="18"/>
      <c r="AH34" s="18"/>
      <c r="AI34" s="173"/>
      <c r="AJ34" s="18"/>
      <c r="AK34" s="18"/>
      <c r="AL34" s="18"/>
      <c r="AM34" s="173"/>
    </row>
    <row r="35" spans="23:41" x14ac:dyDescent="0.25">
      <c r="W35" s="12" t="s">
        <v>88</v>
      </c>
      <c r="X35" s="18">
        <f t="shared" ref="X35:AI35" si="43">+X28*4/X40</f>
        <v>0.42214138770640514</v>
      </c>
      <c r="Y35" s="18">
        <f t="shared" si="43"/>
        <v>0.25371130165199668</v>
      </c>
      <c r="Z35" s="18">
        <f t="shared" si="43"/>
        <v>0.24417114770483461</v>
      </c>
      <c r="AA35" s="18">
        <f t="shared" si="43"/>
        <v>5.4337433091771983E-2</v>
      </c>
      <c r="AB35" s="18">
        <f t="shared" si="43"/>
        <v>2.3565067627496463E-2</v>
      </c>
      <c r="AC35" s="18">
        <f t="shared" si="43"/>
        <v>0.28268170787777341</v>
      </c>
      <c r="AD35" s="18">
        <f t="shared" si="43"/>
        <v>-0.46678387295068252</v>
      </c>
      <c r="AE35" s="18">
        <f t="shared" si="43"/>
        <v>9.998888163886889E-2</v>
      </c>
      <c r="AF35" s="18">
        <f t="shared" si="43"/>
        <v>0.51728129618725605</v>
      </c>
      <c r="AG35" s="18">
        <f t="shared" si="43"/>
        <v>8.8662385871183719E-2</v>
      </c>
      <c r="AH35" s="18">
        <f t="shared" si="43"/>
        <v>0.11139231397980512</v>
      </c>
      <c r="AI35" s="173">
        <f t="shared" si="43"/>
        <v>0.13257053115279832</v>
      </c>
      <c r="AJ35" s="18">
        <f t="shared" ref="AJ35:AL35" si="44">+AJ28*4/AJ40</f>
        <v>9.5867133207411928E-2</v>
      </c>
      <c r="AK35" s="18">
        <f t="shared" si="44"/>
        <v>2.9101489665812507E-2</v>
      </c>
      <c r="AL35" s="18">
        <f t="shared" si="44"/>
        <v>0.10461996036938809</v>
      </c>
      <c r="AM35" s="173">
        <f>+AM28*4/AM40</f>
        <v>0.10010612966299634</v>
      </c>
      <c r="AN35" s="14">
        <f>+AVERAGE(X35:AL35)</f>
        <v>0.13288721098547468</v>
      </c>
      <c r="AO35" s="50" t="s">
        <v>88</v>
      </c>
    </row>
    <row r="36" spans="23:41" x14ac:dyDescent="0.25">
      <c r="AN36" s="56">
        <f>AVERAGE(X35:AL35)*AL49</f>
        <v>8.2910799943236739</v>
      </c>
      <c r="AO36" s="50" t="s">
        <v>183</v>
      </c>
    </row>
    <row r="37" spans="23:41" x14ac:dyDescent="0.25">
      <c r="W37" s="12" t="s">
        <v>52</v>
      </c>
      <c r="X37" s="13">
        <f>5495389+269907+5552244+43518+431984</f>
        <v>11793042</v>
      </c>
      <c r="Y37" s="13">
        <f>4535678+251136+5278781+43201+536653</f>
        <v>10645449</v>
      </c>
      <c r="Z37" s="13">
        <f>3962571+425726+4212808+94559+436668</f>
        <v>9132332</v>
      </c>
      <c r="AA37" s="13">
        <f>3467745+402854+4308463+85070+937091</f>
        <v>9201223</v>
      </c>
      <c r="AB37" s="13">
        <f>3001972+368847+4129063+83754+541808</f>
        <v>8125444</v>
      </c>
      <c r="AC37" s="13">
        <f>2107624+352041+3082206+84155+770311</f>
        <v>6396337</v>
      </c>
      <c r="AD37" s="13">
        <f>1349873+333956+4187143+86149+982473</f>
        <v>6939594</v>
      </c>
      <c r="AE37" s="13">
        <f>1587549+318363+4693797+1201001+83774</f>
        <v>7884484</v>
      </c>
      <c r="AF37" s="13">
        <f>1201135+307620+6019307+59225+1450602</f>
        <v>9037889</v>
      </c>
      <c r="AG37" s="13">
        <f>890546+296818+9065455+56704+1245913</f>
        <v>11555436</v>
      </c>
      <c r="AH37" s="13">
        <f>1162434+284114+10646498+53808+689961</f>
        <v>12836815</v>
      </c>
      <c r="AI37" s="172">
        <f>1399044+276099+9202801+39978+724831</f>
        <v>11642753</v>
      </c>
      <c r="AJ37" s="13">
        <f>3189970+407014+53483+1233179+6843083</f>
        <v>11726729</v>
      </c>
      <c r="AK37" s="13">
        <f>4069810+409945+9199801+63575+737565</f>
        <v>14480696</v>
      </c>
      <c r="AL37" s="13">
        <f>4600166+429231+8325042+69459+380063</f>
        <v>13803961</v>
      </c>
      <c r="AM37" s="172">
        <f>4405066+410290+8232780+67885+686267</f>
        <v>13802288</v>
      </c>
      <c r="AN37" s="56">
        <f>X1/AN36</f>
        <v>5.8858435853242232</v>
      </c>
      <c r="AO37" s="50" t="s">
        <v>11</v>
      </c>
    </row>
    <row r="38" spans="23:41" x14ac:dyDescent="0.25">
      <c r="W38" s="12" t="s">
        <v>53</v>
      </c>
      <c r="X38" s="13">
        <f>1763985+7925</f>
        <v>1771910</v>
      </c>
      <c r="Y38" s="13">
        <f>1758369+7903</f>
        <v>1766272</v>
      </c>
      <c r="Z38" s="13">
        <f>7988+1489031</f>
        <v>1497019</v>
      </c>
      <c r="AA38" s="13">
        <f>1454052+8073</f>
        <v>1462125</v>
      </c>
      <c r="AB38" s="13">
        <f>8163+949259</f>
        <v>957422</v>
      </c>
      <c r="AC38" s="13">
        <f>8269+3356363</f>
        <v>3364632</v>
      </c>
      <c r="AD38" s="13">
        <f>8387+6349580</f>
        <v>6357967</v>
      </c>
      <c r="AE38" s="13">
        <f>8606+3446066</f>
        <v>3454672</v>
      </c>
      <c r="AF38" s="13">
        <f>8877+869880</f>
        <v>878757</v>
      </c>
      <c r="AG38" s="13">
        <f>9169+434297</f>
        <v>443466</v>
      </c>
      <c r="AH38" s="13">
        <f>1673752+9519</f>
        <v>1683271</v>
      </c>
      <c r="AI38" s="172">
        <f>1050439+9818</f>
        <v>1060257</v>
      </c>
      <c r="AJ38" s="13">
        <f>749684+10086</f>
        <v>759770</v>
      </c>
      <c r="AK38" s="13">
        <f>1479290+10341</f>
        <v>1489631</v>
      </c>
      <c r="AL38" s="13">
        <f>2221584+10561</f>
        <v>2232145</v>
      </c>
      <c r="AM38" s="172">
        <f>10757+3011007</f>
        <v>3021764</v>
      </c>
    </row>
    <row r="39" spans="23:41" x14ac:dyDescent="0.25">
      <c r="W39" s="12" t="s">
        <v>50</v>
      </c>
      <c r="X39" s="13">
        <f t="shared" ref="X39:AI39" si="45">+X37-X38</f>
        <v>10021132</v>
      </c>
      <c r="Y39" s="13">
        <f t="shared" si="45"/>
        <v>8879177</v>
      </c>
      <c r="Z39" s="13">
        <f t="shared" si="45"/>
        <v>7635313</v>
      </c>
      <c r="AA39" s="13">
        <f t="shared" si="45"/>
        <v>7739098</v>
      </c>
      <c r="AB39" s="13">
        <f t="shared" si="45"/>
        <v>7168022</v>
      </c>
      <c r="AC39" s="13">
        <f t="shared" si="45"/>
        <v>3031705</v>
      </c>
      <c r="AD39" s="13">
        <f t="shared" si="45"/>
        <v>581627</v>
      </c>
      <c r="AE39" s="13">
        <f t="shared" si="45"/>
        <v>4429812</v>
      </c>
      <c r="AF39" s="13">
        <f t="shared" si="45"/>
        <v>8159132</v>
      </c>
      <c r="AG39" s="13">
        <f t="shared" si="45"/>
        <v>11111970</v>
      </c>
      <c r="AH39" s="13">
        <f t="shared" si="45"/>
        <v>11153544</v>
      </c>
      <c r="AI39" s="172">
        <f t="shared" si="45"/>
        <v>10582496</v>
      </c>
      <c r="AJ39" s="13">
        <f t="shared" ref="AJ39:AL39" si="46">+AJ37-AJ38</f>
        <v>10966959</v>
      </c>
      <c r="AK39" s="13">
        <f t="shared" si="46"/>
        <v>12991065</v>
      </c>
      <c r="AL39" s="13">
        <f t="shared" si="46"/>
        <v>11571816</v>
      </c>
      <c r="AM39" s="172">
        <f>+AM37-AM38</f>
        <v>10780524</v>
      </c>
    </row>
    <row r="40" spans="23:41" x14ac:dyDescent="0.25">
      <c r="W40" s="12" t="s">
        <v>54</v>
      </c>
      <c r="X40" s="13">
        <v>19955172</v>
      </c>
      <c r="Y40" s="13">
        <v>20664448</v>
      </c>
      <c r="Z40" s="13">
        <v>21983187</v>
      </c>
      <c r="AA40" s="13">
        <v>21843726</v>
      </c>
      <c r="AB40" s="13">
        <v>21564971</v>
      </c>
      <c r="AC40" s="13">
        <v>23204869</v>
      </c>
      <c r="AD40" s="13">
        <v>20920380</v>
      </c>
      <c r="AE40" s="13">
        <v>21370056</v>
      </c>
      <c r="AF40" s="13">
        <v>24544108</v>
      </c>
      <c r="AG40" s="13">
        <v>25100475</v>
      </c>
      <c r="AH40" s="13">
        <v>25793557</v>
      </c>
      <c r="AI40" s="172">
        <v>26055685</v>
      </c>
      <c r="AJ40" s="13">
        <v>26695489</v>
      </c>
      <c r="AK40" s="13">
        <v>26891132</v>
      </c>
      <c r="AL40" s="13">
        <v>27517617</v>
      </c>
      <c r="AM40" s="172">
        <v>28223966</v>
      </c>
    </row>
    <row r="41" spans="23:41" x14ac:dyDescent="0.25">
      <c r="W41" s="12" t="s">
        <v>127</v>
      </c>
      <c r="X41" s="13">
        <v>2489349</v>
      </c>
      <c r="Y41" s="13">
        <v>2639271</v>
      </c>
      <c r="Z41" s="13">
        <v>3239785</v>
      </c>
      <c r="AA41" s="13">
        <v>3404981</v>
      </c>
      <c r="AB41" s="13">
        <v>3541658</v>
      </c>
      <c r="AC41" s="13">
        <v>4260580</v>
      </c>
      <c r="AD41" s="13">
        <v>5459542</v>
      </c>
      <c r="AE41" s="13">
        <v>2900404</v>
      </c>
      <c r="AF41" s="13">
        <v>5914021</v>
      </c>
      <c r="AG41" s="13">
        <v>7304513</v>
      </c>
      <c r="AH41" s="13">
        <v>8352187</v>
      </c>
      <c r="AI41" s="172">
        <v>6130666</v>
      </c>
      <c r="AJ41" s="13">
        <v>5129951</v>
      </c>
      <c r="AK41" s="13">
        <v>6196230</v>
      </c>
      <c r="AL41" s="13">
        <v>5685180</v>
      </c>
      <c r="AM41" s="172">
        <v>5915862</v>
      </c>
    </row>
    <row r="43" spans="23:41" x14ac:dyDescent="0.25">
      <c r="W43" s="12" t="s">
        <v>51</v>
      </c>
      <c r="X43" s="14">
        <f t="shared" ref="X43:AI43" si="47">+X37/X40</f>
        <v>0.59097671520947048</v>
      </c>
      <c r="Y43" s="14">
        <f t="shared" si="47"/>
        <v>0.51515767563691994</v>
      </c>
      <c r="Z43" s="14">
        <f t="shared" si="47"/>
        <v>0.4154234779515818</v>
      </c>
      <c r="AA43" s="14">
        <f t="shared" si="47"/>
        <v>0.42122955580014143</v>
      </c>
      <c r="AB43" s="14">
        <f t="shared" si="47"/>
        <v>0.37678900657923442</v>
      </c>
      <c r="AC43" s="14">
        <f t="shared" si="47"/>
        <v>0.27564633094890562</v>
      </c>
      <c r="AD43" s="14">
        <f t="shared" si="47"/>
        <v>0.33171452908599175</v>
      </c>
      <c r="AE43" s="14">
        <f t="shared" si="47"/>
        <v>0.36895008604563317</v>
      </c>
      <c r="AF43" s="14">
        <f t="shared" si="47"/>
        <v>0.36823049344469966</v>
      </c>
      <c r="AG43" s="14">
        <f t="shared" si="47"/>
        <v>0.46036722412623665</v>
      </c>
      <c r="AH43" s="14">
        <f t="shared" si="47"/>
        <v>0.49767525277727304</v>
      </c>
      <c r="AI43" s="176">
        <f t="shared" si="47"/>
        <v>0.44684117880608398</v>
      </c>
      <c r="AJ43" s="14">
        <f t="shared" ref="AJ43:AL43" si="48">+AJ37/AJ40</f>
        <v>0.4392775498512127</v>
      </c>
      <c r="AK43" s="14">
        <f t="shared" si="48"/>
        <v>0.53849335907465701</v>
      </c>
      <c r="AL43" s="14">
        <f t="shared" si="48"/>
        <v>0.50164085792748692</v>
      </c>
      <c r="AM43" s="176">
        <f>+AM37/AM40</f>
        <v>0.48902723309686524</v>
      </c>
    </row>
    <row r="45" spans="23:41" x14ac:dyDescent="0.25">
      <c r="W45" s="12" t="s">
        <v>63</v>
      </c>
      <c r="X45" s="16" t="e">
        <f t="shared" ref="X45:AI45" si="49">+(X3*1000)/X7</f>
        <v>#DIV/0!</v>
      </c>
      <c r="Y45" s="16" t="e">
        <f t="shared" si="49"/>
        <v>#DIV/0!</v>
      </c>
      <c r="Z45" s="16" t="e">
        <f t="shared" si="49"/>
        <v>#DIV/0!</v>
      </c>
      <c r="AA45" s="16" t="e">
        <f t="shared" si="49"/>
        <v>#DIV/0!</v>
      </c>
      <c r="AB45" s="16" t="e">
        <f t="shared" si="49"/>
        <v>#DIV/0!</v>
      </c>
      <c r="AC45" s="16" t="e">
        <f t="shared" si="49"/>
        <v>#DIV/0!</v>
      </c>
      <c r="AD45" s="16" t="e">
        <f t="shared" si="49"/>
        <v>#DIV/0!</v>
      </c>
      <c r="AE45" s="16" t="e">
        <f t="shared" si="49"/>
        <v>#DIV/0!</v>
      </c>
      <c r="AF45" s="16" t="e">
        <f t="shared" si="49"/>
        <v>#DIV/0!</v>
      </c>
      <c r="AG45" s="16" t="e">
        <f t="shared" si="49"/>
        <v>#DIV/0!</v>
      </c>
      <c r="AH45" s="16" t="e">
        <f t="shared" si="49"/>
        <v>#DIV/0!</v>
      </c>
      <c r="AI45" s="177" t="e">
        <f t="shared" si="49"/>
        <v>#DIV/0!</v>
      </c>
      <c r="AJ45" s="16" t="e">
        <f t="shared" ref="AJ45:AL45" si="50">+(AJ3*1000)/AJ7</f>
        <v>#DIV/0!</v>
      </c>
      <c r="AK45" s="16" t="e">
        <f t="shared" si="50"/>
        <v>#DIV/0!</v>
      </c>
      <c r="AL45" s="16" t="e">
        <f t="shared" si="50"/>
        <v>#DIV/0!</v>
      </c>
      <c r="AM45" s="177" t="e">
        <f t="shared" ref="AM45" si="51">+(AM3*1000)/AM7</f>
        <v>#DIV/0!</v>
      </c>
    </row>
    <row r="47" spans="23:41" x14ac:dyDescent="0.25">
      <c r="W47" s="12" t="s">
        <v>56</v>
      </c>
      <c r="X47" s="13">
        <f t="shared" ref="X47:AH47" si="52">Y47</f>
        <v>441045</v>
      </c>
      <c r="Y47" s="13">
        <f t="shared" si="52"/>
        <v>441045</v>
      </c>
      <c r="Z47" s="13">
        <f t="shared" si="52"/>
        <v>441045</v>
      </c>
      <c r="AA47" s="13">
        <f t="shared" si="52"/>
        <v>441045</v>
      </c>
      <c r="AB47" s="13">
        <f t="shared" si="52"/>
        <v>441045</v>
      </c>
      <c r="AC47" s="13">
        <f t="shared" si="52"/>
        <v>441045</v>
      </c>
      <c r="AD47" s="13">
        <f t="shared" si="52"/>
        <v>441045</v>
      </c>
      <c r="AE47" s="13">
        <f t="shared" si="52"/>
        <v>441045</v>
      </c>
      <c r="AF47" s="13">
        <f t="shared" si="52"/>
        <v>441045</v>
      </c>
      <c r="AG47" s="13">
        <f t="shared" si="52"/>
        <v>441045</v>
      </c>
      <c r="AH47" s="13">
        <f t="shared" si="52"/>
        <v>441045</v>
      </c>
      <c r="AI47" s="172">
        <f>AJ47</f>
        <v>441045</v>
      </c>
      <c r="AJ47" s="13">
        <f>294030+147015</f>
        <v>441045</v>
      </c>
      <c r="AK47" s="13">
        <f>294030+147015</f>
        <v>441045</v>
      </c>
      <c r="AL47" s="13">
        <f>294030+147015</f>
        <v>441045</v>
      </c>
      <c r="AM47" s="172">
        <f>294030+147015</f>
        <v>441045</v>
      </c>
    </row>
    <row r="49" spans="23:39" x14ac:dyDescent="0.25">
      <c r="W49" s="12" t="s">
        <v>57</v>
      </c>
      <c r="X49" s="16">
        <f t="shared" ref="X49:AI49" si="53">+X40/X47</f>
        <v>45.245206271468895</v>
      </c>
      <c r="Y49" s="16">
        <f t="shared" si="53"/>
        <v>46.853377773243096</v>
      </c>
      <c r="Z49" s="16">
        <f t="shared" si="53"/>
        <v>49.843410536339832</v>
      </c>
      <c r="AA49" s="16">
        <f t="shared" si="53"/>
        <v>49.527204707002689</v>
      </c>
      <c r="AB49" s="16">
        <f t="shared" si="53"/>
        <v>48.895171694498295</v>
      </c>
      <c r="AC49" s="16">
        <f t="shared" si="53"/>
        <v>52.613381854459298</v>
      </c>
      <c r="AD49" s="16">
        <f t="shared" si="53"/>
        <v>47.433663231643031</v>
      </c>
      <c r="AE49" s="16">
        <f t="shared" si="53"/>
        <v>48.453232663333672</v>
      </c>
      <c r="AF49" s="16">
        <f t="shared" si="53"/>
        <v>55.649895135417019</v>
      </c>
      <c r="AG49" s="16">
        <f t="shared" si="53"/>
        <v>56.911369588137262</v>
      </c>
      <c r="AH49" s="16">
        <f t="shared" si="53"/>
        <v>58.482823748143616</v>
      </c>
      <c r="AI49" s="177">
        <f t="shared" si="53"/>
        <v>59.077157659649245</v>
      </c>
      <c r="AJ49" s="16">
        <f t="shared" ref="AJ49:AL49" si="54">+AJ40/AJ47</f>
        <v>60.527812354748384</v>
      </c>
      <c r="AK49" s="16">
        <f t="shared" si="54"/>
        <v>60.971402011132653</v>
      </c>
      <c r="AL49" s="16">
        <f t="shared" si="54"/>
        <v>62.391857973676153</v>
      </c>
      <c r="AM49" s="177">
        <f>+AM40/AM47</f>
        <v>63.993392964436737</v>
      </c>
    </row>
    <row r="51" spans="23:39" x14ac:dyDescent="0.25">
      <c r="W51" s="12" t="s">
        <v>67</v>
      </c>
      <c r="X51" s="13"/>
      <c r="Y51" s="13">
        <f>+Y55-X55</f>
        <v>2280833</v>
      </c>
      <c r="Z51" s="13">
        <f>+Z55-Y55</f>
        <v>2573658</v>
      </c>
      <c r="AA51" s="13">
        <f>+AA55</f>
        <v>112504</v>
      </c>
      <c r="AB51" s="13">
        <f t="shared" ref="AB51:AD52" si="55">+AB55-AA55</f>
        <v>1473197</v>
      </c>
      <c r="AC51" s="13">
        <f t="shared" si="55"/>
        <v>4691536</v>
      </c>
      <c r="AD51" s="13">
        <f t="shared" si="55"/>
        <v>2861335</v>
      </c>
      <c r="AE51" s="13">
        <f>+AE55</f>
        <v>-3359752</v>
      </c>
      <c r="AF51" s="13">
        <f>+AF55-AE55</f>
        <v>-2980740</v>
      </c>
      <c r="AG51" s="13">
        <f>+AG55-AF55</f>
        <v>-1880281</v>
      </c>
      <c r="AH51" s="13">
        <f t="shared" ref="AH51:AH52" si="56">+AH55-AG55</f>
        <v>746335</v>
      </c>
      <c r="AI51" s="172">
        <f>+AI55</f>
        <v>1869707</v>
      </c>
      <c r="AJ51" s="13">
        <f>+AJ55-AI55</f>
        <v>2698598</v>
      </c>
      <c r="AK51" s="13">
        <f>+AK55-AJ55</f>
        <v>-1437034</v>
      </c>
      <c r="AL51" s="13">
        <f t="shared" ref="AL51:AM52" si="57">+AL55-AK55</f>
        <v>2430346</v>
      </c>
      <c r="AM51" s="172">
        <f t="shared" si="57"/>
        <v>-4090349</v>
      </c>
    </row>
    <row r="52" spans="23:39" x14ac:dyDescent="0.25">
      <c r="W52" s="12" t="s">
        <v>60</v>
      </c>
      <c r="Y52" s="13">
        <f>+Y56-X56</f>
        <v>-538861</v>
      </c>
      <c r="Z52" s="13">
        <f>+Z56-Y56</f>
        <v>-1108439</v>
      </c>
      <c r="AA52" s="13">
        <f>+AA56</f>
        <v>-291652</v>
      </c>
      <c r="AB52" s="13">
        <f t="shared" si="55"/>
        <v>-570043</v>
      </c>
      <c r="AC52" s="13">
        <f t="shared" si="55"/>
        <v>-551755</v>
      </c>
      <c r="AD52" s="13">
        <f t="shared" si="55"/>
        <v>-448964</v>
      </c>
      <c r="AE52" s="13">
        <f>+AE56</f>
        <v>-556178</v>
      </c>
      <c r="AF52" s="13">
        <f>+AF56-AE56</f>
        <v>-836419</v>
      </c>
      <c r="AG52" s="13">
        <f>+AG56-AF56</f>
        <v>-1067170</v>
      </c>
      <c r="AH52" s="13">
        <f t="shared" si="56"/>
        <v>-789709</v>
      </c>
      <c r="AI52" s="172">
        <f>+AI56</f>
        <v>-784435</v>
      </c>
      <c r="AJ52" s="13">
        <f>+AJ56-AI56</f>
        <v>-3122233</v>
      </c>
      <c r="AK52" s="13">
        <f>+AK56-AJ56</f>
        <v>-490675</v>
      </c>
      <c r="AL52" s="13">
        <f t="shared" si="57"/>
        <v>-999180</v>
      </c>
      <c r="AM52" s="172">
        <f t="shared" si="57"/>
        <v>6096358</v>
      </c>
    </row>
    <row r="53" spans="23:39" x14ac:dyDescent="0.25">
      <c r="W53" s="12" t="s">
        <v>68</v>
      </c>
      <c r="Y53" s="13">
        <f t="shared" ref="Y53:AI53" si="58">+Y51+Y52</f>
        <v>1741972</v>
      </c>
      <c r="Z53" s="13">
        <f t="shared" si="58"/>
        <v>1465219</v>
      </c>
      <c r="AA53" s="13">
        <f t="shared" si="58"/>
        <v>-179148</v>
      </c>
      <c r="AB53" s="13">
        <f t="shared" si="58"/>
        <v>903154</v>
      </c>
      <c r="AC53" s="13">
        <f t="shared" si="58"/>
        <v>4139781</v>
      </c>
      <c r="AD53" s="13">
        <f t="shared" si="58"/>
        <v>2412371</v>
      </c>
      <c r="AE53" s="13">
        <f t="shared" si="58"/>
        <v>-3915930</v>
      </c>
      <c r="AF53" s="13">
        <f t="shared" si="58"/>
        <v>-3817159</v>
      </c>
      <c r="AG53" s="13">
        <f t="shared" si="58"/>
        <v>-2947451</v>
      </c>
      <c r="AH53" s="13">
        <f t="shared" si="58"/>
        <v>-43374</v>
      </c>
      <c r="AI53" s="172">
        <f t="shared" si="58"/>
        <v>1085272</v>
      </c>
      <c r="AJ53" s="13">
        <f t="shared" ref="AJ53:AL53" si="59">+AJ51+AJ52</f>
        <v>-423635</v>
      </c>
      <c r="AK53" s="13">
        <f t="shared" si="59"/>
        <v>-1927709</v>
      </c>
      <c r="AL53" s="13">
        <f t="shared" si="59"/>
        <v>1431166</v>
      </c>
      <c r="AM53" s="172">
        <f t="shared" ref="AM53" si="60">+AM51+AM52</f>
        <v>2006009</v>
      </c>
    </row>
    <row r="55" spans="23:39" x14ac:dyDescent="0.25">
      <c r="W55" s="12" t="s">
        <v>67</v>
      </c>
      <c r="X55" s="13">
        <v>5234775</v>
      </c>
      <c r="Y55" s="13">
        <v>7515608</v>
      </c>
      <c r="Z55" s="13">
        <v>10089266</v>
      </c>
      <c r="AA55" s="13">
        <v>112504</v>
      </c>
      <c r="AB55" s="13">
        <v>1585701</v>
      </c>
      <c r="AC55" s="13">
        <v>6277237</v>
      </c>
      <c r="AD55" s="13">
        <v>9138572</v>
      </c>
      <c r="AE55" s="13">
        <v>-3359752</v>
      </c>
      <c r="AF55" s="13">
        <v>-6340492</v>
      </c>
      <c r="AG55" s="13">
        <v>-8220773</v>
      </c>
      <c r="AH55" s="13">
        <v>-7474438</v>
      </c>
      <c r="AI55" s="172">
        <v>1869707</v>
      </c>
      <c r="AJ55" s="13">
        <v>4568305</v>
      </c>
      <c r="AK55" s="13">
        <v>3131271</v>
      </c>
      <c r="AL55" s="13">
        <v>5561617</v>
      </c>
      <c r="AM55" s="172">
        <v>1471268</v>
      </c>
    </row>
    <row r="56" spans="23:39" x14ac:dyDescent="0.25">
      <c r="W56" s="12" t="s">
        <v>60</v>
      </c>
      <c r="X56" s="13">
        <v>-459608</v>
      </c>
      <c r="Y56" s="13">
        <v>-998469</v>
      </c>
      <c r="Z56" s="13">
        <v>-2106908</v>
      </c>
      <c r="AA56" s="13">
        <v>-291652</v>
      </c>
      <c r="AB56" s="13">
        <v>-861695</v>
      </c>
      <c r="AC56" s="13">
        <v>-1413450</v>
      </c>
      <c r="AD56" s="13">
        <v>-1862414</v>
      </c>
      <c r="AE56" s="13">
        <v>-556178</v>
      </c>
      <c r="AF56" s="13">
        <v>-1392597</v>
      </c>
      <c r="AG56" s="13">
        <v>-2459767</v>
      </c>
      <c r="AH56" s="13">
        <v>-3249476</v>
      </c>
      <c r="AI56" s="172">
        <v>-784435</v>
      </c>
      <c r="AJ56" s="13">
        <v>-3906668</v>
      </c>
      <c r="AK56" s="13">
        <v>-4397343</v>
      </c>
      <c r="AL56" s="13">
        <v>-5396523</v>
      </c>
      <c r="AM56" s="172">
        <v>699835</v>
      </c>
    </row>
    <row r="57" spans="23:39" x14ac:dyDescent="0.25">
      <c r="W57" s="12" t="s">
        <v>68</v>
      </c>
      <c r="X57" s="13">
        <f t="shared" ref="X57:AF57" si="61">+X55+X56</f>
        <v>4775167</v>
      </c>
      <c r="Y57" s="13">
        <f t="shared" si="61"/>
        <v>6517139</v>
      </c>
      <c r="Z57" s="13">
        <f t="shared" si="61"/>
        <v>7982358</v>
      </c>
      <c r="AA57" s="13">
        <f t="shared" si="61"/>
        <v>-179148</v>
      </c>
      <c r="AB57" s="13">
        <f t="shared" si="61"/>
        <v>724006</v>
      </c>
      <c r="AC57" s="13">
        <f t="shared" si="61"/>
        <v>4863787</v>
      </c>
      <c r="AD57" s="13">
        <f t="shared" si="61"/>
        <v>7276158</v>
      </c>
      <c r="AE57" s="13">
        <f t="shared" si="61"/>
        <v>-3915930</v>
      </c>
      <c r="AF57" s="13">
        <f t="shared" si="61"/>
        <v>-7733089</v>
      </c>
      <c r="AG57" s="13">
        <f>+AG55+AG56</f>
        <v>-10680540</v>
      </c>
      <c r="AH57" s="13">
        <f t="shared" ref="AH57:AJ57" si="62">+AH55+AH56</f>
        <v>-10723914</v>
      </c>
      <c r="AI57" s="172">
        <f t="shared" si="62"/>
        <v>1085272</v>
      </c>
      <c r="AJ57" s="13">
        <f t="shared" si="62"/>
        <v>661637</v>
      </c>
      <c r="AK57" s="13">
        <f>+AK55+AK56</f>
        <v>-1266072</v>
      </c>
      <c r="AL57" s="13">
        <f t="shared" ref="AL57" si="63">+AL55+AL56</f>
        <v>165094</v>
      </c>
      <c r="AM57" s="172">
        <f>+AM55+AM56</f>
        <v>2171103</v>
      </c>
    </row>
    <row r="59" spans="23:39" x14ac:dyDescent="0.25">
      <c r="W59" s="47" t="s">
        <v>76</v>
      </c>
    </row>
    <row r="60" spans="23:39" x14ac:dyDescent="0.25">
      <c r="W60" s="47" t="s">
        <v>90</v>
      </c>
      <c r="AC60" s="13"/>
      <c r="AG60" s="13"/>
      <c r="AK60" s="13"/>
    </row>
    <row r="61" spans="23:39" x14ac:dyDescent="0.25">
      <c r="W61" s="12" t="s">
        <v>78</v>
      </c>
      <c r="Z61" s="13"/>
      <c r="AA61" s="13"/>
      <c r="AB61" s="13"/>
      <c r="AC61" s="13"/>
      <c r="AD61" s="13"/>
      <c r="AE61" s="13"/>
      <c r="AF61" s="13"/>
      <c r="AG61" s="13"/>
      <c r="AH61" s="13"/>
      <c r="AI61" s="172"/>
      <c r="AJ61" s="13"/>
      <c r="AK61" s="13"/>
      <c r="AL61" s="13"/>
      <c r="AM61" s="172"/>
    </row>
    <row r="62" spans="23:39" x14ac:dyDescent="0.25">
      <c r="W62" s="12" t="s">
        <v>40</v>
      </c>
      <c r="X62" s="17"/>
      <c r="Y62" s="17"/>
      <c r="Z62" s="17"/>
      <c r="AA62" s="17"/>
      <c r="AB62" s="18"/>
      <c r="AC62" s="18"/>
      <c r="AD62" s="18" t="e">
        <f>+AD61/Z61-1</f>
        <v>#DIV/0!</v>
      </c>
      <c r="AE62" s="18" t="e">
        <f t="shared" ref="AE62:AM62" si="64">+AE61/AA61-1</f>
        <v>#DIV/0!</v>
      </c>
      <c r="AF62" s="18" t="e">
        <f t="shared" si="64"/>
        <v>#DIV/0!</v>
      </c>
      <c r="AG62" s="18" t="e">
        <f t="shared" si="64"/>
        <v>#DIV/0!</v>
      </c>
      <c r="AH62" s="18" t="e">
        <f t="shared" si="64"/>
        <v>#DIV/0!</v>
      </c>
      <c r="AI62" s="173" t="e">
        <f t="shared" si="64"/>
        <v>#DIV/0!</v>
      </c>
      <c r="AJ62" s="18" t="e">
        <f t="shared" si="64"/>
        <v>#DIV/0!</v>
      </c>
      <c r="AK62" s="18" t="e">
        <f t="shared" si="64"/>
        <v>#DIV/0!</v>
      </c>
      <c r="AL62" s="18" t="e">
        <f t="shared" si="64"/>
        <v>#DIV/0!</v>
      </c>
      <c r="AM62" s="173" t="e">
        <f t="shared" si="64"/>
        <v>#DIV/0!</v>
      </c>
    </row>
    <row r="63" spans="23:39" x14ac:dyDescent="0.25">
      <c r="W63" s="12" t="s">
        <v>41</v>
      </c>
      <c r="Y63" s="18"/>
      <c r="Z63" s="18"/>
      <c r="AA63" s="18" t="e">
        <f t="shared" ref="AA63:AC63" si="65">+AA61/Z61-1</f>
        <v>#DIV/0!</v>
      </c>
      <c r="AB63" s="18" t="e">
        <f t="shared" si="65"/>
        <v>#DIV/0!</v>
      </c>
      <c r="AC63" s="18" t="e">
        <f t="shared" si="65"/>
        <v>#DIV/0!</v>
      </c>
      <c r="AD63" s="18" t="e">
        <f>+AD61/AC61-1</f>
        <v>#DIV/0!</v>
      </c>
      <c r="AE63" s="18" t="e">
        <f>+AE61/AD61-1</f>
        <v>#DIV/0!</v>
      </c>
      <c r="AF63" s="18" t="e">
        <f>+AF61/AE61-1</f>
        <v>#DIV/0!</v>
      </c>
      <c r="AG63" s="18" t="e">
        <f>+AG61/AF61-1</f>
        <v>#DIV/0!</v>
      </c>
      <c r="AH63" s="18" t="e">
        <f t="shared" ref="AH63:AI63" si="66">+AH61/AG61-1</f>
        <v>#DIV/0!</v>
      </c>
      <c r="AI63" s="173" t="e">
        <f t="shared" si="66"/>
        <v>#DIV/0!</v>
      </c>
      <c r="AJ63" s="18" t="e">
        <f>+AJ61/AI61-1</f>
        <v>#DIV/0!</v>
      </c>
      <c r="AK63" s="18" t="e">
        <f>+AK61/AJ61-1</f>
        <v>#DIV/0!</v>
      </c>
      <c r="AL63" s="18" t="e">
        <f t="shared" ref="AL63:AM63" si="67">+AL61/AK61-1</f>
        <v>#DIV/0!</v>
      </c>
      <c r="AM63" s="173" t="e">
        <f t="shared" si="67"/>
        <v>#DIV/0!</v>
      </c>
    </row>
    <row r="64" spans="23:39" x14ac:dyDescent="0.25">
      <c r="W64" s="12" t="s">
        <v>89</v>
      </c>
      <c r="Z64" s="13"/>
      <c r="AA64" s="13"/>
      <c r="AB64" s="13"/>
      <c r="AC64" s="13"/>
      <c r="AD64" s="13"/>
      <c r="AE64" s="13"/>
      <c r="AF64" s="13"/>
      <c r="AG64" s="13"/>
      <c r="AH64" s="13"/>
      <c r="AI64" s="172"/>
      <c r="AJ64" s="13"/>
      <c r="AK64" s="13"/>
      <c r="AL64" s="13"/>
      <c r="AM64" s="172"/>
    </row>
    <row r="65" spans="23:39" x14ac:dyDescent="0.25">
      <c r="W65" s="12" t="s">
        <v>82</v>
      </c>
      <c r="X65" s="19"/>
      <c r="Y65" s="19"/>
      <c r="Z65" s="19" t="e">
        <f t="shared" ref="Z65:AF65" si="68">+Z64/Z61</f>
        <v>#DIV/0!</v>
      </c>
      <c r="AA65" s="19" t="e">
        <f t="shared" si="68"/>
        <v>#DIV/0!</v>
      </c>
      <c r="AB65" s="19" t="e">
        <f t="shared" si="68"/>
        <v>#DIV/0!</v>
      </c>
      <c r="AC65" s="19" t="e">
        <f t="shared" si="68"/>
        <v>#DIV/0!</v>
      </c>
      <c r="AD65" s="19" t="e">
        <f t="shared" si="68"/>
        <v>#DIV/0!</v>
      </c>
      <c r="AE65" s="19" t="e">
        <f t="shared" si="68"/>
        <v>#DIV/0!</v>
      </c>
      <c r="AF65" s="19" t="e">
        <f t="shared" si="68"/>
        <v>#DIV/0!</v>
      </c>
      <c r="AG65" s="19" t="e">
        <f>+AG64/AG61</f>
        <v>#DIV/0!</v>
      </c>
      <c r="AH65" s="19" t="e">
        <f t="shared" ref="AH65:AJ65" si="69">+AH64/AH61</f>
        <v>#DIV/0!</v>
      </c>
      <c r="AI65" s="174" t="e">
        <f t="shared" si="69"/>
        <v>#DIV/0!</v>
      </c>
      <c r="AJ65" s="19" t="e">
        <f t="shared" si="69"/>
        <v>#DIV/0!</v>
      </c>
      <c r="AK65" s="19" t="e">
        <f>+AK64/AK61</f>
        <v>#DIV/0!</v>
      </c>
      <c r="AL65" s="19" t="e">
        <f t="shared" ref="AL65:AM65" si="70">+AL64/AL61</f>
        <v>#DIV/0!</v>
      </c>
      <c r="AM65" s="174" t="e">
        <f t="shared" si="70"/>
        <v>#DIV/0!</v>
      </c>
    </row>
    <row r="66" spans="23:39" x14ac:dyDescent="0.25">
      <c r="W66" s="12" t="s">
        <v>21</v>
      </c>
      <c r="Z66" s="13"/>
      <c r="AA66" s="13"/>
      <c r="AB66" s="13"/>
      <c r="AC66" s="13"/>
      <c r="AD66" s="13"/>
      <c r="AE66" s="13"/>
      <c r="AF66" s="13"/>
      <c r="AG66" s="13"/>
      <c r="AH66" s="13"/>
      <c r="AI66" s="172"/>
      <c r="AJ66" s="13"/>
      <c r="AK66" s="13"/>
      <c r="AL66" s="13"/>
      <c r="AM66" s="172"/>
    </row>
    <row r="67" spans="23:39" x14ac:dyDescent="0.25">
      <c r="W67" s="12" t="s">
        <v>82</v>
      </c>
      <c r="Z67" s="19" t="e">
        <f t="shared" ref="Z67:AF67" si="71">+Z66/Z61</f>
        <v>#DIV/0!</v>
      </c>
      <c r="AA67" s="19" t="e">
        <f t="shared" si="71"/>
        <v>#DIV/0!</v>
      </c>
      <c r="AB67" s="19" t="e">
        <f t="shared" si="71"/>
        <v>#DIV/0!</v>
      </c>
      <c r="AC67" s="19" t="e">
        <f t="shared" si="71"/>
        <v>#DIV/0!</v>
      </c>
      <c r="AD67" s="19" t="e">
        <f t="shared" si="71"/>
        <v>#DIV/0!</v>
      </c>
      <c r="AE67" s="19" t="e">
        <f t="shared" si="71"/>
        <v>#DIV/0!</v>
      </c>
      <c r="AF67" s="19" t="e">
        <f t="shared" si="71"/>
        <v>#DIV/0!</v>
      </c>
      <c r="AG67" s="19" t="e">
        <f>+AG66/AG61</f>
        <v>#DIV/0!</v>
      </c>
      <c r="AH67" s="19" t="e">
        <f t="shared" ref="AH67:AJ67" si="72">+AH66/AH61</f>
        <v>#DIV/0!</v>
      </c>
      <c r="AI67" s="174" t="e">
        <f t="shared" si="72"/>
        <v>#DIV/0!</v>
      </c>
      <c r="AJ67" s="19" t="e">
        <f t="shared" si="72"/>
        <v>#DIV/0!</v>
      </c>
      <c r="AK67" s="19" t="e">
        <f>+AK66/AK61</f>
        <v>#DIV/0!</v>
      </c>
      <c r="AL67" s="19" t="e">
        <f t="shared" ref="AL67:AM67" si="73">+AL66/AL61</f>
        <v>#DIV/0!</v>
      </c>
      <c r="AM67" s="174" t="e">
        <f t="shared" si="73"/>
        <v>#DIV/0!</v>
      </c>
    </row>
    <row r="69" spans="23:39" x14ac:dyDescent="0.25">
      <c r="W69" s="47" t="s">
        <v>91</v>
      </c>
      <c r="AC69" s="13"/>
      <c r="AG69" s="13"/>
      <c r="AK69" s="13"/>
    </row>
    <row r="70" spans="23:39" x14ac:dyDescent="0.25">
      <c r="W70" s="12" t="s">
        <v>78</v>
      </c>
      <c r="Z70" s="13"/>
      <c r="AA70" s="13"/>
      <c r="AB70" s="13"/>
      <c r="AC70" s="13"/>
      <c r="AD70" s="13"/>
      <c r="AE70" s="13"/>
      <c r="AF70" s="13"/>
      <c r="AG70" s="13"/>
      <c r="AH70" s="13"/>
      <c r="AI70" s="172"/>
      <c r="AJ70" s="13"/>
      <c r="AK70" s="13"/>
      <c r="AL70" s="13"/>
      <c r="AM70" s="172"/>
    </row>
    <row r="71" spans="23:39" x14ac:dyDescent="0.25">
      <c r="W71" s="12" t="s">
        <v>40</v>
      </c>
      <c r="X71" s="17"/>
      <c r="Y71" s="17"/>
      <c r="Z71" s="17"/>
      <c r="AA71" s="17"/>
      <c r="AB71" s="18"/>
      <c r="AC71" s="18"/>
      <c r="AD71" s="18" t="e">
        <f t="shared" ref="AD71:AM71" si="74">+AD70/Z70-1</f>
        <v>#DIV/0!</v>
      </c>
      <c r="AE71" s="18" t="e">
        <f t="shared" si="74"/>
        <v>#DIV/0!</v>
      </c>
      <c r="AF71" s="18" t="e">
        <f t="shared" si="74"/>
        <v>#DIV/0!</v>
      </c>
      <c r="AG71" s="18" t="e">
        <f t="shared" si="74"/>
        <v>#DIV/0!</v>
      </c>
      <c r="AH71" s="18" t="e">
        <f t="shared" si="74"/>
        <v>#DIV/0!</v>
      </c>
      <c r="AI71" s="173" t="e">
        <f t="shared" si="74"/>
        <v>#DIV/0!</v>
      </c>
      <c r="AJ71" s="18" t="e">
        <f t="shared" si="74"/>
        <v>#DIV/0!</v>
      </c>
      <c r="AK71" s="18" t="e">
        <f t="shared" si="74"/>
        <v>#DIV/0!</v>
      </c>
      <c r="AL71" s="18" t="e">
        <f t="shared" si="74"/>
        <v>#DIV/0!</v>
      </c>
      <c r="AM71" s="173" t="e">
        <f t="shared" si="74"/>
        <v>#DIV/0!</v>
      </c>
    </row>
    <row r="72" spans="23:39" x14ac:dyDescent="0.25">
      <c r="W72" s="12" t="s">
        <v>41</v>
      </c>
      <c r="Y72" s="18"/>
      <c r="Z72" s="18"/>
      <c r="AA72" s="18" t="e">
        <f t="shared" ref="AA72:AC72" si="75">+AA70/Z70-1</f>
        <v>#DIV/0!</v>
      </c>
      <c r="AB72" s="18" t="e">
        <f t="shared" si="75"/>
        <v>#DIV/0!</v>
      </c>
      <c r="AC72" s="18" t="e">
        <f t="shared" si="75"/>
        <v>#DIV/0!</v>
      </c>
      <c r="AD72" s="18" t="e">
        <f>+AD70/AC70-1</f>
        <v>#DIV/0!</v>
      </c>
      <c r="AE72" s="18" t="e">
        <f>+AE70/AD70-1</f>
        <v>#DIV/0!</v>
      </c>
      <c r="AF72" s="18" t="e">
        <f>+AF70/AE70-1</f>
        <v>#DIV/0!</v>
      </c>
      <c r="AG72" s="18" t="e">
        <f>+AG70/AF70-1</f>
        <v>#DIV/0!</v>
      </c>
      <c r="AH72" s="18" t="e">
        <f t="shared" ref="AH72:AI72" si="76">+AH70/AG70-1</f>
        <v>#DIV/0!</v>
      </c>
      <c r="AI72" s="173" t="e">
        <f t="shared" si="76"/>
        <v>#DIV/0!</v>
      </c>
      <c r="AJ72" s="18" t="e">
        <f>+AJ70/AI70-1</f>
        <v>#DIV/0!</v>
      </c>
      <c r="AK72" s="18" t="e">
        <f>+AK70/AJ70-1</f>
        <v>#DIV/0!</v>
      </c>
      <c r="AL72" s="18" t="e">
        <f t="shared" ref="AL72:AM72" si="77">+AL70/AK70-1</f>
        <v>#DIV/0!</v>
      </c>
      <c r="AM72" s="173" t="e">
        <f t="shared" si="77"/>
        <v>#DIV/0!</v>
      </c>
    </row>
    <row r="73" spans="23:39" x14ac:dyDescent="0.25">
      <c r="W73" s="12" t="s">
        <v>89</v>
      </c>
      <c r="Z73" s="13"/>
      <c r="AA73" s="13"/>
      <c r="AB73" s="13"/>
      <c r="AC73" s="13"/>
      <c r="AD73" s="13"/>
      <c r="AE73" s="13"/>
      <c r="AF73" s="13"/>
      <c r="AG73" s="13"/>
      <c r="AH73" s="13"/>
      <c r="AI73" s="172"/>
      <c r="AJ73" s="13"/>
      <c r="AK73" s="13"/>
      <c r="AL73" s="13"/>
      <c r="AM73" s="172"/>
    </row>
    <row r="74" spans="23:39" x14ac:dyDescent="0.25">
      <c r="W74" s="12" t="s">
        <v>82</v>
      </c>
      <c r="X74" s="19"/>
      <c r="Y74" s="19"/>
      <c r="Z74" s="19" t="e">
        <f t="shared" ref="Z74:AF74" si="78">+Z73/Z70</f>
        <v>#DIV/0!</v>
      </c>
      <c r="AA74" s="19" t="e">
        <f t="shared" si="78"/>
        <v>#DIV/0!</v>
      </c>
      <c r="AB74" s="19" t="e">
        <f t="shared" si="78"/>
        <v>#DIV/0!</v>
      </c>
      <c r="AC74" s="19" t="e">
        <f t="shared" si="78"/>
        <v>#DIV/0!</v>
      </c>
      <c r="AD74" s="19" t="e">
        <f t="shared" si="78"/>
        <v>#DIV/0!</v>
      </c>
      <c r="AE74" s="19" t="e">
        <f t="shared" si="78"/>
        <v>#DIV/0!</v>
      </c>
      <c r="AF74" s="19" t="e">
        <f t="shared" si="78"/>
        <v>#DIV/0!</v>
      </c>
      <c r="AG74" s="19" t="e">
        <f>+AG73/AG70</f>
        <v>#DIV/0!</v>
      </c>
      <c r="AH74" s="19" t="e">
        <f t="shared" ref="AH74:AJ74" si="79">+AH73/AH70</f>
        <v>#DIV/0!</v>
      </c>
      <c r="AI74" s="174" t="e">
        <f t="shared" si="79"/>
        <v>#DIV/0!</v>
      </c>
      <c r="AJ74" s="19" t="e">
        <f t="shared" si="79"/>
        <v>#DIV/0!</v>
      </c>
      <c r="AK74" s="19" t="e">
        <f>+AK73/AK70</f>
        <v>#DIV/0!</v>
      </c>
      <c r="AL74" s="19" t="e">
        <f t="shared" ref="AL74:AM74" si="80">+AL73/AL70</f>
        <v>#DIV/0!</v>
      </c>
      <c r="AM74" s="174" t="e">
        <f t="shared" si="80"/>
        <v>#DIV/0!</v>
      </c>
    </row>
    <row r="75" spans="23:39" x14ac:dyDescent="0.25">
      <c r="W75" s="12" t="s">
        <v>21</v>
      </c>
      <c r="Z75" s="13"/>
      <c r="AA75" s="13"/>
      <c r="AB75" s="13"/>
      <c r="AC75" s="13"/>
      <c r="AD75" s="13"/>
      <c r="AE75" s="13"/>
      <c r="AF75" s="13"/>
      <c r="AG75" s="13"/>
      <c r="AH75" s="13"/>
      <c r="AI75" s="172"/>
      <c r="AJ75" s="13"/>
      <c r="AK75" s="13"/>
      <c r="AL75" s="13"/>
      <c r="AM75" s="172"/>
    </row>
    <row r="76" spans="23:39" x14ac:dyDescent="0.25">
      <c r="W76" s="12" t="s">
        <v>82</v>
      </c>
      <c r="Z76" s="19" t="e">
        <f t="shared" ref="Z76:AF76" si="81">+Z75/Z70</f>
        <v>#DIV/0!</v>
      </c>
      <c r="AA76" s="19" t="e">
        <f t="shared" si="81"/>
        <v>#DIV/0!</v>
      </c>
      <c r="AB76" s="19" t="e">
        <f t="shared" si="81"/>
        <v>#DIV/0!</v>
      </c>
      <c r="AC76" s="19" t="e">
        <f t="shared" si="81"/>
        <v>#DIV/0!</v>
      </c>
      <c r="AD76" s="19" t="e">
        <f t="shared" si="81"/>
        <v>#DIV/0!</v>
      </c>
      <c r="AE76" s="19" t="e">
        <f t="shared" si="81"/>
        <v>#DIV/0!</v>
      </c>
      <c r="AF76" s="19" t="e">
        <f t="shared" si="81"/>
        <v>#DIV/0!</v>
      </c>
      <c r="AG76" s="19" t="e">
        <f>+AG75/AG70</f>
        <v>#DIV/0!</v>
      </c>
      <c r="AH76" s="19" t="e">
        <f t="shared" ref="AH76:AJ76" si="82">+AH75/AH70</f>
        <v>#DIV/0!</v>
      </c>
      <c r="AI76" s="174" t="e">
        <f t="shared" si="82"/>
        <v>#DIV/0!</v>
      </c>
      <c r="AJ76" s="19" t="e">
        <f t="shared" si="82"/>
        <v>#DIV/0!</v>
      </c>
      <c r="AK76" s="19" t="e">
        <f>+AK75/AK70</f>
        <v>#DIV/0!</v>
      </c>
      <c r="AL76" s="19" t="e">
        <f t="shared" ref="AL76:AM76" si="83">+AL75/AL70</f>
        <v>#DIV/0!</v>
      </c>
      <c r="AM76" s="174" t="e">
        <f t="shared" si="83"/>
        <v>#DIV/0!</v>
      </c>
    </row>
  </sheetData>
  <mergeCells count="4">
    <mergeCell ref="B13:H13"/>
    <mergeCell ref="AP2:AT2"/>
    <mergeCell ref="AU2:AY2"/>
    <mergeCell ref="AZ2:BD2"/>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C4307-7995-40B4-82E1-F9E1CF15955A}">
  <sheetPr>
    <tabColor rgb="FF92D050"/>
  </sheetPr>
  <dimension ref="B1:BA79"/>
  <sheetViews>
    <sheetView topLeftCell="X1" zoomScale="85" zoomScaleNormal="85" workbookViewId="0">
      <selection activeCell="AH3" sqref="AH3"/>
    </sheetView>
  </sheetViews>
  <sheetFormatPr defaultRowHeight="15" x14ac:dyDescent="0.25"/>
  <cols>
    <col min="2" max="2" width="28.28515625" customWidth="1"/>
    <col min="3" max="3" width="8.7109375" hidden="1" customWidth="1"/>
    <col min="8" max="9" width="9.42578125" bestFit="1" customWidth="1"/>
    <col min="10" max="10" width="14.28515625" customWidth="1"/>
    <col min="13" max="13" width="19.85546875" customWidth="1"/>
    <col min="23" max="23" width="34.7109375" style="12" customWidth="1"/>
    <col min="24" max="34" width="12" style="12" customWidth="1"/>
    <col min="35" max="35" width="12" style="170" customWidth="1"/>
    <col min="36" max="38" width="12" style="12" customWidth="1"/>
    <col min="39" max="39" width="12" style="170" customWidth="1"/>
    <col min="40" max="40" width="8.85546875" style="12"/>
    <col min="41" max="41" width="14.28515625" style="12" bestFit="1" customWidth="1"/>
    <col min="42" max="53" width="8.85546875" style="12"/>
  </cols>
  <sheetData>
    <row r="1" spans="2:53" ht="15.75" thickBot="1" x14ac:dyDescent="0.3">
      <c r="W1" s="20" t="s">
        <v>194</v>
      </c>
      <c r="X1" s="59">
        <f>+'Valuation Sheet'!C12</f>
        <v>48.9</v>
      </c>
    </row>
    <row r="2" spans="2:53"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370</v>
      </c>
      <c r="X2" s="11" t="s">
        <v>14</v>
      </c>
      <c r="Y2" s="11" t="s">
        <v>16</v>
      </c>
      <c r="Z2" s="11" t="s">
        <v>18</v>
      </c>
      <c r="AA2" s="11" t="s">
        <v>20</v>
      </c>
      <c r="AB2" s="11" t="s">
        <v>22</v>
      </c>
      <c r="AC2" s="11" t="s">
        <v>24</v>
      </c>
      <c r="AD2" s="11" t="s">
        <v>26</v>
      </c>
      <c r="AE2" s="11" t="s">
        <v>39</v>
      </c>
      <c r="AF2" s="11" t="s">
        <v>38</v>
      </c>
      <c r="AG2" s="11" t="s">
        <v>71</v>
      </c>
      <c r="AH2" s="11" t="s">
        <v>83</v>
      </c>
      <c r="AI2" s="171" t="s">
        <v>84</v>
      </c>
      <c r="AJ2" s="11" t="s">
        <v>365</v>
      </c>
      <c r="AK2" s="11" t="s">
        <v>948</v>
      </c>
      <c r="AL2" s="11" t="s">
        <v>1018</v>
      </c>
      <c r="AM2" s="171" t="s">
        <v>1074</v>
      </c>
      <c r="AO2" s="71" t="str">
        <f>+W2</f>
        <v>TILE</v>
      </c>
      <c r="AP2" s="189" t="s">
        <v>190</v>
      </c>
      <c r="AQ2" s="190"/>
      <c r="AR2" s="190"/>
      <c r="AS2" s="190"/>
      <c r="AT2" s="191"/>
      <c r="AU2" s="192" t="s">
        <v>191</v>
      </c>
      <c r="AV2" s="192"/>
      <c r="AW2" s="192"/>
      <c r="AX2" s="192"/>
      <c r="AY2" s="192"/>
    </row>
    <row r="3" spans="2:53" ht="18" thickTop="1" thickBot="1" x14ac:dyDescent="0.4">
      <c r="B3" s="25" t="s">
        <v>10</v>
      </c>
      <c r="C3" s="26">
        <v>17820.179</v>
      </c>
      <c r="D3" s="26"/>
      <c r="E3" s="26"/>
      <c r="F3" s="26"/>
      <c r="G3" s="26"/>
      <c r="H3" s="26"/>
      <c r="I3" s="27"/>
      <c r="J3" s="21"/>
      <c r="M3" s="1" t="s">
        <v>11</v>
      </c>
      <c r="N3" s="2">
        <f>'[1]LT Portfolio'!W294</f>
        <v>0</v>
      </c>
      <c r="W3" s="12" t="s">
        <v>62</v>
      </c>
      <c r="X3" s="13"/>
      <c r="Y3" s="13"/>
      <c r="Z3" s="13"/>
      <c r="AA3" s="13"/>
      <c r="AB3" s="13"/>
      <c r="AC3" s="13"/>
      <c r="AD3" s="13">
        <v>4063882</v>
      </c>
      <c r="AE3" s="13">
        <v>4120322</v>
      </c>
      <c r="AF3" s="13">
        <v>5456099</v>
      </c>
      <c r="AG3" s="13">
        <v>4646839</v>
      </c>
      <c r="AH3" s="13">
        <v>5065672</v>
      </c>
      <c r="AI3" s="172">
        <v>3453359</v>
      </c>
      <c r="AJ3" s="10">
        <v>4399270</v>
      </c>
      <c r="AK3" s="13">
        <v>5669179</v>
      </c>
      <c r="AL3" s="13">
        <v>2609728</v>
      </c>
      <c r="AM3" s="172">
        <v>2428970</v>
      </c>
      <c r="AO3" s="69"/>
      <c r="AP3" s="66" t="s">
        <v>78</v>
      </c>
      <c r="AQ3" s="67" t="s">
        <v>17</v>
      </c>
      <c r="AR3" s="67" t="s">
        <v>184</v>
      </c>
      <c r="AS3" s="67" t="s">
        <v>29</v>
      </c>
      <c r="AT3" s="68" t="s">
        <v>30</v>
      </c>
      <c r="AU3" s="66" t="s">
        <v>78</v>
      </c>
      <c r="AV3" s="67" t="s">
        <v>17</v>
      </c>
      <c r="AW3" s="67" t="s">
        <v>184</v>
      </c>
      <c r="AX3" s="67" t="s">
        <v>29</v>
      </c>
      <c r="AY3" s="68" t="s">
        <v>30</v>
      </c>
    </row>
    <row r="4" spans="2:53"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M4" si="1">+AB3/X3-1</f>
        <v>#DIV/0!</v>
      </c>
      <c r="AC4" s="18" t="e">
        <f t="shared" si="1"/>
        <v>#DIV/0!</v>
      </c>
      <c r="AD4" s="18" t="e">
        <f t="shared" si="1"/>
        <v>#DIV/0!</v>
      </c>
      <c r="AE4" s="18" t="e">
        <f t="shared" si="1"/>
        <v>#DIV/0!</v>
      </c>
      <c r="AF4" s="18" t="e">
        <f t="shared" si="1"/>
        <v>#DIV/0!</v>
      </c>
      <c r="AG4" s="18" t="e">
        <f t="shared" si="1"/>
        <v>#DIV/0!</v>
      </c>
      <c r="AH4" s="18">
        <f t="shared" si="1"/>
        <v>0.24651060242398781</v>
      </c>
      <c r="AI4" s="173">
        <f t="shared" si="1"/>
        <v>-0.16187157217324277</v>
      </c>
      <c r="AJ4" s="18">
        <f t="shared" si="1"/>
        <v>-0.19369681525206928</v>
      </c>
      <c r="AK4" s="18">
        <f t="shared" si="1"/>
        <v>0.22000762238588423</v>
      </c>
      <c r="AL4" s="18">
        <f t="shared" si="1"/>
        <v>-0.48482096748466941</v>
      </c>
      <c r="AM4" s="173">
        <f t="shared" si="1"/>
        <v>-0.29663553658915853</v>
      </c>
      <c r="AO4" s="69" t="s">
        <v>185</v>
      </c>
      <c r="AP4" s="60"/>
      <c r="AQ4" s="61"/>
      <c r="AR4" s="61"/>
      <c r="AS4" s="74"/>
      <c r="AT4" s="64"/>
      <c r="AU4" s="60"/>
      <c r="AV4" s="61"/>
      <c r="AW4" s="61"/>
      <c r="AX4" s="58"/>
      <c r="AY4" s="64"/>
    </row>
    <row r="5" spans="2:53"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M5" si="2">+Y3/X3-1</f>
        <v>#DIV/0!</v>
      </c>
      <c r="Z5" s="18" t="e">
        <f t="shared" si="2"/>
        <v>#DIV/0!</v>
      </c>
      <c r="AA5" s="18" t="e">
        <f t="shared" si="2"/>
        <v>#DIV/0!</v>
      </c>
      <c r="AB5" s="18" t="e">
        <f t="shared" si="2"/>
        <v>#DIV/0!</v>
      </c>
      <c r="AC5" s="18" t="e">
        <f t="shared" si="2"/>
        <v>#DIV/0!</v>
      </c>
      <c r="AD5" s="18" t="e">
        <f t="shared" si="2"/>
        <v>#DIV/0!</v>
      </c>
      <c r="AE5" s="18">
        <f t="shared" si="2"/>
        <v>1.3888198525449313E-2</v>
      </c>
      <c r="AF5" s="18">
        <f t="shared" si="2"/>
        <v>0.32419238108089621</v>
      </c>
      <c r="AG5" s="18">
        <f t="shared" si="2"/>
        <v>-0.14832208873042807</v>
      </c>
      <c r="AH5" s="18">
        <f t="shared" si="2"/>
        <v>9.0132883880848835E-2</v>
      </c>
      <c r="AI5" s="173">
        <f t="shared" si="2"/>
        <v>-0.31828215486513933</v>
      </c>
      <c r="AJ5" s="18">
        <f t="shared" si="2"/>
        <v>0.27391041591679288</v>
      </c>
      <c r="AK5" s="18">
        <f t="shared" si="2"/>
        <v>0.28866357372927776</v>
      </c>
      <c r="AL5" s="18">
        <f t="shared" si="2"/>
        <v>-0.53966385608921508</v>
      </c>
      <c r="AM5" s="173">
        <f t="shared" si="2"/>
        <v>-6.9263156926698821E-2</v>
      </c>
      <c r="AO5" s="69" t="s">
        <v>186</v>
      </c>
      <c r="AP5" s="60"/>
      <c r="AQ5" s="61"/>
      <c r="AR5" s="61"/>
      <c r="AS5" s="58"/>
      <c r="AT5" s="64"/>
      <c r="AU5" s="60"/>
      <c r="AV5" s="61"/>
      <c r="AW5" s="61"/>
      <c r="AX5" s="58"/>
      <c r="AY5" s="64"/>
    </row>
    <row r="6" spans="2:53"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O6" s="69" t="s">
        <v>187</v>
      </c>
      <c r="AP6" s="60"/>
      <c r="AQ6" s="61"/>
      <c r="AR6" s="61"/>
      <c r="AS6" s="74"/>
      <c r="AT6" s="64"/>
      <c r="AU6" s="60"/>
      <c r="AV6" s="61"/>
      <c r="AW6" s="61"/>
      <c r="AX6" s="58"/>
      <c r="AY6" s="64"/>
    </row>
    <row r="7" spans="2:53"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72"/>
      <c r="AJ7" s="13"/>
      <c r="AK7" s="13"/>
      <c r="AL7" s="13"/>
      <c r="AM7" s="172"/>
      <c r="AO7" s="69" t="s">
        <v>188</v>
      </c>
      <c r="AP7" s="60"/>
      <c r="AQ7" s="61"/>
      <c r="AR7" s="61"/>
      <c r="AS7" s="74"/>
      <c r="AT7" s="64"/>
      <c r="AU7" s="60"/>
      <c r="AV7" s="61"/>
      <c r="AW7" s="61"/>
      <c r="AX7" s="58"/>
      <c r="AY7" s="64"/>
    </row>
    <row r="8" spans="2:53"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M8" si="5">+AB7/X7-1</f>
        <v>#DIV/0!</v>
      </c>
      <c r="AC8" s="18" t="e">
        <f t="shared" si="5"/>
        <v>#DIV/0!</v>
      </c>
      <c r="AD8" s="18" t="e">
        <f t="shared" si="5"/>
        <v>#DIV/0!</v>
      </c>
      <c r="AE8" s="18" t="e">
        <f t="shared" si="5"/>
        <v>#DIV/0!</v>
      </c>
      <c r="AF8" s="18" t="e">
        <f t="shared" si="5"/>
        <v>#DIV/0!</v>
      </c>
      <c r="AG8" s="18" t="e">
        <f t="shared" si="5"/>
        <v>#DIV/0!</v>
      </c>
      <c r="AH8" s="18" t="e">
        <f t="shared" si="5"/>
        <v>#DIV/0!</v>
      </c>
      <c r="AI8" s="173" t="e">
        <f t="shared" si="5"/>
        <v>#DIV/0!</v>
      </c>
      <c r="AJ8" s="18" t="e">
        <f t="shared" si="5"/>
        <v>#DIV/0!</v>
      </c>
      <c r="AK8" s="18" t="e">
        <f t="shared" si="5"/>
        <v>#DIV/0!</v>
      </c>
      <c r="AL8" s="18" t="e">
        <f t="shared" si="5"/>
        <v>#DIV/0!</v>
      </c>
      <c r="AM8" s="173" t="e">
        <f t="shared" si="5"/>
        <v>#DIV/0!</v>
      </c>
      <c r="AO8" s="69" t="s">
        <v>189</v>
      </c>
      <c r="AP8" s="60"/>
      <c r="AQ8" s="61"/>
      <c r="AR8" s="61"/>
      <c r="AS8" s="74"/>
      <c r="AT8" s="64"/>
      <c r="AU8" s="60"/>
      <c r="AV8" s="61"/>
      <c r="AW8" s="61"/>
      <c r="AX8" s="58"/>
      <c r="AY8" s="64"/>
    </row>
    <row r="9" spans="2:53"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M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73" t="e">
        <f t="shared" si="6"/>
        <v>#DIV/0!</v>
      </c>
      <c r="AJ9" s="18" t="e">
        <f t="shared" si="6"/>
        <v>#DIV/0!</v>
      </c>
      <c r="AK9" s="18" t="e">
        <f t="shared" si="6"/>
        <v>#DIV/0!</v>
      </c>
      <c r="AL9" s="18" t="e">
        <f t="shared" si="6"/>
        <v>#DIV/0!</v>
      </c>
      <c r="AM9" s="173" t="e">
        <f t="shared" si="6"/>
        <v>#DIV/0!</v>
      </c>
      <c r="AO9" s="70" t="s">
        <v>192</v>
      </c>
      <c r="AP9" s="62" t="e">
        <f>+AVERAGE(AP4:AP8)</f>
        <v>#DIV/0!</v>
      </c>
      <c r="AQ9" s="63" t="e">
        <f t="shared" ref="AQ9:AY9" si="7">+AVERAGE(AQ4:AQ8)</f>
        <v>#DIV/0!</v>
      </c>
      <c r="AR9" s="63" t="e">
        <f t="shared" si="7"/>
        <v>#DIV/0!</v>
      </c>
      <c r="AS9" s="72" t="e">
        <f t="shared" si="7"/>
        <v>#DIV/0!</v>
      </c>
      <c r="AT9" s="65" t="e">
        <f t="shared" si="7"/>
        <v>#DIV/0!</v>
      </c>
      <c r="AU9" s="62" t="e">
        <f t="shared" si="7"/>
        <v>#DIV/0!</v>
      </c>
      <c r="AV9" s="63" t="e">
        <f t="shared" si="7"/>
        <v>#DIV/0!</v>
      </c>
      <c r="AW9" s="63" t="e">
        <f t="shared" si="7"/>
        <v>#DIV/0!</v>
      </c>
      <c r="AX9" s="72" t="e">
        <f t="shared" si="7"/>
        <v>#DIV/0!</v>
      </c>
      <c r="AY9" s="65" t="e">
        <f t="shared" si="7"/>
        <v>#DIV/0!</v>
      </c>
    </row>
    <row r="10" spans="2:53"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row>
    <row r="11" spans="2:53" ht="18" thickTop="1" thickBot="1" x14ac:dyDescent="0.4">
      <c r="B11" s="28" t="s">
        <v>25</v>
      </c>
      <c r="C11" s="30">
        <f t="shared" ref="C11:G11" si="8">C10/C$3*100</f>
        <v>12.180949473066461</v>
      </c>
      <c r="D11" s="30" t="e">
        <f t="shared" si="8"/>
        <v>#DIV/0!</v>
      </c>
      <c r="E11" s="30" t="e">
        <f t="shared" si="8"/>
        <v>#DIV/0!</v>
      </c>
      <c r="F11" s="30" t="e">
        <f t="shared" si="8"/>
        <v>#DIV/0!</v>
      </c>
      <c r="G11" s="30" t="e">
        <f t="shared" si="8"/>
        <v>#DIV/0!</v>
      </c>
      <c r="H11" s="30" t="e">
        <f>H10/H$3*100</f>
        <v>#DIV/0!</v>
      </c>
      <c r="I11" s="31" t="e">
        <f>I10/I$3*100</f>
        <v>#DIV/0!</v>
      </c>
      <c r="J11" s="23" t="e">
        <f>AVERAGE(D11:I11)</f>
        <v>#DIV/0!</v>
      </c>
      <c r="M11" s="1" t="s">
        <v>26</v>
      </c>
      <c r="N11" s="3">
        <f>'[1]LT Portfolio'!T294</f>
        <v>0</v>
      </c>
      <c r="O11" s="4" t="e">
        <f>N11/N7-1</f>
        <v>#DIV/0!</v>
      </c>
      <c r="W11" s="12" t="s">
        <v>42</v>
      </c>
      <c r="X11" s="13"/>
      <c r="Y11" s="13"/>
      <c r="Z11" s="13"/>
      <c r="AA11" s="13"/>
      <c r="AB11" s="13"/>
      <c r="AC11" s="13"/>
      <c r="AD11" s="13">
        <v>1865229</v>
      </c>
      <c r="AE11" s="13">
        <v>2086638</v>
      </c>
      <c r="AF11" s="13">
        <v>2164184</v>
      </c>
      <c r="AG11" s="13">
        <v>1970325</v>
      </c>
      <c r="AH11" s="13">
        <v>2206499</v>
      </c>
      <c r="AI11" s="172">
        <v>1439662</v>
      </c>
      <c r="AJ11" s="13">
        <v>2097597</v>
      </c>
      <c r="AK11" s="13">
        <v>2660721</v>
      </c>
      <c r="AL11" s="13">
        <v>1264154</v>
      </c>
      <c r="AM11" s="172">
        <v>834543</v>
      </c>
      <c r="AO11" s="12" t="s">
        <v>193</v>
      </c>
      <c r="AS11" s="58" t="e">
        <f>+$X$1/AS9</f>
        <v>#DIV/0!</v>
      </c>
      <c r="AT11" s="75" t="e">
        <f>+AT9/$X$1</f>
        <v>#DIV/0!</v>
      </c>
      <c r="AX11" s="58" t="e">
        <f>+$X$1/AX9</f>
        <v>#DIV/0!</v>
      </c>
      <c r="AY11" s="75" t="e">
        <f>+AY9/$X$1</f>
        <v>#DIV/0!</v>
      </c>
    </row>
    <row r="12" spans="2:53" ht="18" thickTop="1" thickBot="1" x14ac:dyDescent="0.4">
      <c r="B12" s="28" t="s">
        <v>27</v>
      </c>
      <c r="C12" s="29"/>
      <c r="D12" s="30">
        <f t="shared" ref="D12:I12" si="9">(D10/C10-1)*100</f>
        <v>-100</v>
      </c>
      <c r="E12" s="30" t="e">
        <f t="shared" si="9"/>
        <v>#DIV/0!</v>
      </c>
      <c r="F12" s="30" t="e">
        <f t="shared" si="9"/>
        <v>#DIV/0!</v>
      </c>
      <c r="G12" s="30" t="e">
        <f t="shared" si="9"/>
        <v>#DIV/0!</v>
      </c>
      <c r="H12" s="30" t="e">
        <f t="shared" si="9"/>
        <v>#DIV/0!</v>
      </c>
      <c r="I12" s="31" t="e">
        <f t="shared" si="9"/>
        <v>#DIV/0!</v>
      </c>
      <c r="J12" s="23" t="e">
        <f>AVERAGE(D12:I12)</f>
        <v>#DIV/0!</v>
      </c>
      <c r="S12" t="s">
        <v>20</v>
      </c>
      <c r="T12" t="s">
        <v>22</v>
      </c>
      <c r="W12" s="12" t="s">
        <v>43</v>
      </c>
      <c r="X12" s="19" t="e">
        <f t="shared" ref="X12:AJ12" si="10">+X11/X3</f>
        <v>#DIV/0!</v>
      </c>
      <c r="Y12" s="19" t="e">
        <f t="shared" si="10"/>
        <v>#DIV/0!</v>
      </c>
      <c r="Z12" s="19" t="e">
        <f t="shared" si="10"/>
        <v>#DIV/0!</v>
      </c>
      <c r="AA12" s="19" t="e">
        <f t="shared" si="10"/>
        <v>#DIV/0!</v>
      </c>
      <c r="AB12" s="19" t="e">
        <f t="shared" si="10"/>
        <v>#DIV/0!</v>
      </c>
      <c r="AC12" s="19" t="e">
        <f t="shared" si="10"/>
        <v>#DIV/0!</v>
      </c>
      <c r="AD12" s="19">
        <f t="shared" si="10"/>
        <v>0.45897715534063244</v>
      </c>
      <c r="AE12" s="19">
        <f t="shared" si="10"/>
        <v>0.50642595408805424</v>
      </c>
      <c r="AF12" s="19">
        <f t="shared" si="10"/>
        <v>0.39665409297008725</v>
      </c>
      <c r="AG12" s="19">
        <f t="shared" si="10"/>
        <v>0.42401404481627186</v>
      </c>
      <c r="AH12" s="19">
        <f t="shared" si="10"/>
        <v>0.43557873466738473</v>
      </c>
      <c r="AI12" s="174">
        <f t="shared" si="10"/>
        <v>0.41688744205279554</v>
      </c>
      <c r="AJ12" s="19">
        <f t="shared" si="10"/>
        <v>0.47680569730887168</v>
      </c>
      <c r="AK12" s="19">
        <f t="shared" ref="AK12:AL12" si="11">+AK11/AK3</f>
        <v>0.46933092075589783</v>
      </c>
      <c r="AL12" s="19">
        <f t="shared" si="11"/>
        <v>0.48440067317360275</v>
      </c>
      <c r="AM12" s="174">
        <f t="shared" ref="AM12" si="12">+AM11/AM3</f>
        <v>0.34357896556976825</v>
      </c>
    </row>
    <row r="13" spans="2:53" s="6" customFormat="1" ht="18" thickTop="1" thickBot="1" x14ac:dyDescent="0.3">
      <c r="B13" s="187"/>
      <c r="C13" s="188"/>
      <c r="D13" s="188"/>
      <c r="E13" s="188"/>
      <c r="F13" s="188"/>
      <c r="G13" s="188"/>
      <c r="H13" s="188"/>
      <c r="I13" s="41"/>
      <c r="J13" s="5"/>
      <c r="M13" s="1" t="s">
        <v>28</v>
      </c>
      <c r="N13" s="3">
        <f>SUM(N8:N11)</f>
        <v>0</v>
      </c>
      <c r="O13"/>
      <c r="P13"/>
      <c r="Q13" s="7" t="e">
        <f>N13*J21</f>
        <v>#DIV/0!</v>
      </c>
      <c r="R13"/>
      <c r="S13" s="7">
        <v>19.109573515092499</v>
      </c>
      <c r="T13" s="7">
        <v>18.873652854412345</v>
      </c>
      <c r="W13" s="12"/>
      <c r="X13" s="12"/>
      <c r="Y13" s="12"/>
      <c r="Z13" s="12"/>
      <c r="AA13" s="12"/>
      <c r="AB13" s="12"/>
      <c r="AC13" s="12"/>
      <c r="AD13" s="12"/>
      <c r="AE13" s="12"/>
      <c r="AF13" s="12"/>
      <c r="AG13" s="12"/>
      <c r="AH13" s="12"/>
      <c r="AI13" s="170"/>
      <c r="AJ13" s="12"/>
      <c r="AK13" s="12"/>
      <c r="AL13" s="12"/>
      <c r="AM13" s="170"/>
      <c r="AN13" s="12"/>
      <c r="AO13" s="12"/>
      <c r="AP13" s="12"/>
      <c r="AQ13" s="12"/>
      <c r="AR13" s="12"/>
      <c r="AS13" s="12"/>
      <c r="AT13" s="12"/>
      <c r="AU13" s="12"/>
      <c r="AV13" s="12"/>
      <c r="AW13" s="12"/>
      <c r="AX13" s="12"/>
      <c r="AY13" s="12"/>
      <c r="AZ13" s="12"/>
      <c r="BA13" s="12"/>
    </row>
    <row r="14" spans="2:53"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c r="Y14" s="13"/>
      <c r="Z14" s="13"/>
      <c r="AA14" s="13"/>
      <c r="AB14" s="13"/>
      <c r="AC14" s="13"/>
      <c r="AD14" s="13">
        <v>1407693</v>
      </c>
      <c r="AE14" s="13">
        <v>1434675</v>
      </c>
      <c r="AF14" s="13">
        <v>1402727</v>
      </c>
      <c r="AG14" s="13">
        <v>1211950</v>
      </c>
      <c r="AH14" s="13">
        <v>1248187</v>
      </c>
      <c r="AI14" s="172">
        <v>732739</v>
      </c>
      <c r="AJ14" s="13">
        <v>1241470</v>
      </c>
      <c r="AK14" s="13">
        <v>1599741</v>
      </c>
      <c r="AL14" s="13">
        <v>548427</v>
      </c>
      <c r="AM14" s="172">
        <v>224012</v>
      </c>
    </row>
    <row r="15" spans="2:53" ht="18" thickTop="1" thickBot="1" x14ac:dyDescent="0.4">
      <c r="B15" s="32" t="s">
        <v>30</v>
      </c>
      <c r="C15" s="34">
        <f>1+0.6</f>
        <v>1.6</v>
      </c>
      <c r="D15" s="34"/>
      <c r="E15" s="34"/>
      <c r="F15" s="34"/>
      <c r="G15" s="34"/>
      <c r="H15" s="34"/>
      <c r="I15" s="35"/>
      <c r="J15" s="24"/>
      <c r="R15" s="6"/>
      <c r="S15" s="6"/>
      <c r="W15" s="12" t="s">
        <v>55</v>
      </c>
      <c r="X15" s="19" t="e">
        <f t="shared" ref="X15:AJ15" si="13">+X14/X3</f>
        <v>#DIV/0!</v>
      </c>
      <c r="Y15" s="19" t="e">
        <f t="shared" si="13"/>
        <v>#DIV/0!</v>
      </c>
      <c r="Z15" s="19" t="e">
        <f t="shared" si="13"/>
        <v>#DIV/0!</v>
      </c>
      <c r="AA15" s="19" t="e">
        <f t="shared" si="13"/>
        <v>#DIV/0!</v>
      </c>
      <c r="AB15" s="19" t="e">
        <f t="shared" si="13"/>
        <v>#DIV/0!</v>
      </c>
      <c r="AC15" s="19" t="e">
        <f t="shared" si="13"/>
        <v>#DIV/0!</v>
      </c>
      <c r="AD15" s="19">
        <f t="shared" si="13"/>
        <v>0.34639120919357402</v>
      </c>
      <c r="AE15" s="19">
        <f t="shared" si="13"/>
        <v>0.34819487408993766</v>
      </c>
      <c r="AF15" s="19">
        <f t="shared" si="13"/>
        <v>0.25709339218368288</v>
      </c>
      <c r="AG15" s="19">
        <f t="shared" si="13"/>
        <v>0.26081170447265334</v>
      </c>
      <c r="AH15" s="19">
        <f t="shared" si="13"/>
        <v>0.24640106978896384</v>
      </c>
      <c r="AI15" s="174">
        <f t="shared" si="13"/>
        <v>0.21218153108321491</v>
      </c>
      <c r="AJ15" s="19">
        <f t="shared" si="13"/>
        <v>0.28219909212210209</v>
      </c>
      <c r="AK15" s="19">
        <f t="shared" ref="AK15:AL15" si="14">+AK14/AK3</f>
        <v>0.28218212901727041</v>
      </c>
      <c r="AL15" s="19">
        <f t="shared" si="14"/>
        <v>0.21014718775289992</v>
      </c>
      <c r="AM15" s="174">
        <f t="shared" ref="AM15" si="15">+AM14/AM3</f>
        <v>9.2225099527783377E-2</v>
      </c>
    </row>
    <row r="16" spans="2:53" ht="18" thickTop="1" thickBot="1" x14ac:dyDescent="0.4">
      <c r="B16" s="32" t="s">
        <v>8</v>
      </c>
      <c r="C16" s="34">
        <v>31.7</v>
      </c>
      <c r="D16" s="34"/>
      <c r="E16" s="34"/>
      <c r="F16" s="34"/>
      <c r="G16" s="34"/>
      <c r="H16" s="34"/>
      <c r="I16" s="35"/>
      <c r="J16" s="22" t="e">
        <f>((I16/D16)^(1/5)-1)*100</f>
        <v>#DIV/0!</v>
      </c>
    </row>
    <row r="17" spans="2:39" ht="18" thickTop="1" thickBot="1" x14ac:dyDescent="0.4">
      <c r="B17" s="32" t="s">
        <v>31</v>
      </c>
      <c r="C17" s="34">
        <v>14.6</v>
      </c>
      <c r="D17" s="34"/>
      <c r="E17" s="34"/>
      <c r="F17" s="34"/>
      <c r="G17" s="34"/>
      <c r="H17" s="34"/>
      <c r="I17" s="35"/>
      <c r="J17" s="22" t="e">
        <f>((I17/D17)^(1/6)-1)*100</f>
        <v>#DIV/0!</v>
      </c>
      <c r="W17" s="12" t="s">
        <v>44</v>
      </c>
      <c r="X17" s="13"/>
      <c r="Y17" s="13"/>
      <c r="Z17" s="13"/>
      <c r="AA17" s="13"/>
      <c r="AB17" s="13"/>
      <c r="AC17" s="13"/>
      <c r="AD17" s="13">
        <f>58593+122854</f>
        <v>181447</v>
      </c>
      <c r="AE17" s="13">
        <v>104306</v>
      </c>
      <c r="AF17" s="13">
        <v>96950</v>
      </c>
      <c r="AG17" s="13">
        <v>80304</v>
      </c>
      <c r="AH17" s="13">
        <f>-27749-87928</f>
        <v>-115677</v>
      </c>
      <c r="AI17" s="172">
        <v>-92966</v>
      </c>
      <c r="AJ17" s="13">
        <v>-27723</v>
      </c>
      <c r="AK17" s="13">
        <v>12363</v>
      </c>
      <c r="AL17" s="13">
        <v>125200</v>
      </c>
      <c r="AM17" s="172">
        <v>5884</v>
      </c>
    </row>
    <row r="18" spans="2:39" ht="18" thickTop="1" thickBot="1" x14ac:dyDescent="0.4">
      <c r="B18" s="32" t="s">
        <v>32</v>
      </c>
      <c r="C18" s="36">
        <f t="shared" ref="C18:G18" si="16">C14/AVERAGE(B17:C17)*100</f>
        <v>22.19178082191781</v>
      </c>
      <c r="D18" s="36">
        <f t="shared" si="16"/>
        <v>0</v>
      </c>
      <c r="E18" s="36" t="e">
        <f t="shared" si="16"/>
        <v>#DIV/0!</v>
      </c>
      <c r="F18" s="36" t="e">
        <f t="shared" si="16"/>
        <v>#DIV/0!</v>
      </c>
      <c r="G18" s="36" t="e">
        <f t="shared" si="16"/>
        <v>#DIV/0!</v>
      </c>
      <c r="H18" s="36" t="e">
        <f>H14/AVERAGE(G17:H17)*100</f>
        <v>#DIV/0!</v>
      </c>
      <c r="I18" s="37" t="e">
        <f>I14/AVERAGE(H17:I17)*100</f>
        <v>#DIV/0!</v>
      </c>
      <c r="J18" s="23" t="e">
        <f>AVERAGE(D18:I18)</f>
        <v>#DIV/0!</v>
      </c>
      <c r="M18" s="9" t="s">
        <v>33</v>
      </c>
      <c r="N18" s="6"/>
      <c r="O18" s="6"/>
      <c r="P18" s="6"/>
      <c r="Q18" s="6"/>
      <c r="W18" s="12" t="s">
        <v>45</v>
      </c>
      <c r="X18" s="15" t="e">
        <f t="shared" ref="X18:AJ18" si="17">+X17/X14</f>
        <v>#DIV/0!</v>
      </c>
      <c r="Y18" s="15" t="e">
        <f t="shared" si="17"/>
        <v>#DIV/0!</v>
      </c>
      <c r="Z18" s="15" t="e">
        <f t="shared" si="17"/>
        <v>#DIV/0!</v>
      </c>
      <c r="AA18" s="15" t="e">
        <f t="shared" si="17"/>
        <v>#DIV/0!</v>
      </c>
      <c r="AB18" s="15" t="e">
        <f t="shared" si="17"/>
        <v>#DIV/0!</v>
      </c>
      <c r="AC18" s="15" t="e">
        <f t="shared" si="17"/>
        <v>#DIV/0!</v>
      </c>
      <c r="AD18" s="15">
        <f t="shared" si="17"/>
        <v>0.12889671256445831</v>
      </c>
      <c r="AE18" s="15">
        <f t="shared" si="17"/>
        <v>7.2703573980169731E-2</v>
      </c>
      <c r="AF18" s="15">
        <f t="shared" si="17"/>
        <v>6.911537312677378E-2</v>
      </c>
      <c r="AG18" s="15">
        <f t="shared" si="17"/>
        <v>6.6260159247493705E-2</v>
      </c>
      <c r="AH18" s="15">
        <f t="shared" si="17"/>
        <v>-9.2676017295485372E-2</v>
      </c>
      <c r="AI18" s="175">
        <f t="shared" si="17"/>
        <v>-0.12687464431400539</v>
      </c>
      <c r="AJ18" s="15">
        <f t="shared" si="17"/>
        <v>-2.2330785278742136E-2</v>
      </c>
      <c r="AK18" s="15">
        <f t="shared" ref="AK18:AL18" si="18">+AK17/AK14</f>
        <v>7.7281259903946948E-3</v>
      </c>
      <c r="AL18" s="15">
        <f t="shared" si="18"/>
        <v>0.22828927095128432</v>
      </c>
      <c r="AM18" s="175">
        <f t="shared" ref="AM18" si="19">+AM17/AM14</f>
        <v>2.6266450011606522E-2</v>
      </c>
    </row>
    <row r="19" spans="2:39" ht="18" thickTop="1" thickBot="1" x14ac:dyDescent="0.4">
      <c r="B19" s="32" t="s">
        <v>34</v>
      </c>
      <c r="C19" s="30">
        <f t="shared" ref="C19:G19" si="20">C15/C16*100</f>
        <v>5.0473186119873823</v>
      </c>
      <c r="D19" s="30" t="e">
        <f t="shared" si="20"/>
        <v>#DIV/0!</v>
      </c>
      <c r="E19" s="30" t="e">
        <f t="shared" si="20"/>
        <v>#DIV/0!</v>
      </c>
      <c r="F19" s="30" t="e">
        <f t="shared" si="20"/>
        <v>#DIV/0!</v>
      </c>
      <c r="G19" s="30" t="e">
        <f t="shared" si="20"/>
        <v>#DIV/0!</v>
      </c>
      <c r="H19" s="30" t="e">
        <f>H15/H16*100</f>
        <v>#DIV/0!</v>
      </c>
      <c r="I19" s="31" t="e">
        <f>I15/I16*100</f>
        <v>#DIV/0!</v>
      </c>
      <c r="J19" s="23" t="e">
        <f>AVERAGE(D19:I19)</f>
        <v>#DIV/0!</v>
      </c>
    </row>
    <row r="20" spans="2:39" ht="18" thickTop="1" thickBot="1" x14ac:dyDescent="0.4">
      <c r="B20" s="32" t="s">
        <v>35</v>
      </c>
      <c r="C20" s="30">
        <f t="shared" ref="C20:G20" si="21">C15/C14*100</f>
        <v>49.382716049382715</v>
      </c>
      <c r="D20" s="30" t="e">
        <f t="shared" si="21"/>
        <v>#DIV/0!</v>
      </c>
      <c r="E20" s="30" t="e">
        <f t="shared" si="21"/>
        <v>#DIV/0!</v>
      </c>
      <c r="F20" s="30" t="e">
        <f t="shared" si="21"/>
        <v>#DIV/0!</v>
      </c>
      <c r="G20" s="30" t="e">
        <f t="shared" si="21"/>
        <v>#DIV/0!</v>
      </c>
      <c r="H20" s="30" t="e">
        <f>H15/H14*100</f>
        <v>#DIV/0!</v>
      </c>
      <c r="I20" s="31" t="e">
        <f>I15/I14*100</f>
        <v>#DIV/0!</v>
      </c>
      <c r="J20" s="23" t="e">
        <f>AVERAGE(D20:I20)</f>
        <v>#DIV/0!</v>
      </c>
      <c r="M20" t="s">
        <v>36</v>
      </c>
      <c r="N20" s="4" t="e">
        <f>N13/H14-1</f>
        <v>#DIV/0!</v>
      </c>
      <c r="W20" s="12" t="s">
        <v>21</v>
      </c>
      <c r="X20" s="13"/>
      <c r="Y20" s="13"/>
      <c r="Z20" s="13"/>
      <c r="AA20" s="13"/>
      <c r="AB20" s="13"/>
      <c r="AC20" s="13"/>
      <c r="AD20" s="13">
        <v>1589140</v>
      </c>
      <c r="AE20" s="13">
        <v>1521235</v>
      </c>
      <c r="AF20" s="13">
        <v>1514319</v>
      </c>
      <c r="AG20" s="13">
        <v>1116821</v>
      </c>
      <c r="AH20" s="13">
        <v>1132510</v>
      </c>
      <c r="AI20" s="172">
        <v>564095</v>
      </c>
      <c r="AJ20" s="13">
        <v>1185169</v>
      </c>
      <c r="AK20" s="13">
        <v>1592451</v>
      </c>
      <c r="AL20" s="13">
        <v>767020</v>
      </c>
      <c r="AM20" s="172">
        <v>267967</v>
      </c>
    </row>
    <row r="21" spans="2:39" ht="18" thickTop="1" thickBot="1" x14ac:dyDescent="0.4">
      <c r="B21" s="32" t="s">
        <v>11</v>
      </c>
      <c r="C21" s="38">
        <f t="shared" ref="C21:G21" si="22">C16/C14</f>
        <v>9.7839506172839492</v>
      </c>
      <c r="D21" s="38" t="e">
        <f t="shared" si="22"/>
        <v>#DIV/0!</v>
      </c>
      <c r="E21" s="38" t="e">
        <f t="shared" si="22"/>
        <v>#DIV/0!</v>
      </c>
      <c r="F21" s="38" t="e">
        <f t="shared" si="22"/>
        <v>#DIV/0!</v>
      </c>
      <c r="G21" s="38" t="e">
        <f t="shared" si="22"/>
        <v>#DIV/0!</v>
      </c>
      <c r="H21" s="38" t="e">
        <f>H16/H14</f>
        <v>#DIV/0!</v>
      </c>
      <c r="I21" s="39" t="e">
        <f>I16/I14</f>
        <v>#DIV/0!</v>
      </c>
      <c r="J21" s="23" t="e">
        <f>AVERAGE(D21:I21)</f>
        <v>#DIV/0!</v>
      </c>
      <c r="W21" s="12" t="s">
        <v>46</v>
      </c>
      <c r="X21" s="19" t="e">
        <f t="shared" ref="X21:AJ21" si="23">+X20/X3</f>
        <v>#DIV/0!</v>
      </c>
      <c r="Y21" s="19" t="e">
        <f t="shared" si="23"/>
        <v>#DIV/0!</v>
      </c>
      <c r="Z21" s="19" t="e">
        <f t="shared" si="23"/>
        <v>#DIV/0!</v>
      </c>
      <c r="AA21" s="19" t="e">
        <f t="shared" si="23"/>
        <v>#DIV/0!</v>
      </c>
      <c r="AB21" s="19" t="e">
        <f t="shared" si="23"/>
        <v>#DIV/0!</v>
      </c>
      <c r="AC21" s="19" t="e">
        <f t="shared" si="23"/>
        <v>#DIV/0!</v>
      </c>
      <c r="AD21" s="19">
        <f t="shared" si="23"/>
        <v>0.39103989731985328</v>
      </c>
      <c r="AE21" s="19">
        <f t="shared" si="23"/>
        <v>0.36920294093519873</v>
      </c>
      <c r="AF21" s="19">
        <f t="shared" si="23"/>
        <v>0.27754610024488191</v>
      </c>
      <c r="AG21" s="19">
        <f t="shared" si="23"/>
        <v>0.24033993861203282</v>
      </c>
      <c r="AH21" s="19">
        <f t="shared" si="23"/>
        <v>0.22356559998357572</v>
      </c>
      <c r="AI21" s="174">
        <f t="shared" si="23"/>
        <v>0.16334675890922432</v>
      </c>
      <c r="AJ21" s="19">
        <f t="shared" si="23"/>
        <v>0.26940128703171207</v>
      </c>
      <c r="AK21" s="19">
        <f t="shared" ref="AK21:AL21" si="24">+AK20/AK3</f>
        <v>0.28089622853679519</v>
      </c>
      <c r="AL21" s="19">
        <f t="shared" si="24"/>
        <v>0.29390802413125044</v>
      </c>
      <c r="AM21" s="174">
        <f t="shared" ref="AM21" si="25">+AM20/AM3</f>
        <v>0.11032124727765266</v>
      </c>
    </row>
    <row r="22" spans="2:39" ht="18" thickTop="1" thickBot="1" x14ac:dyDescent="0.4">
      <c r="B22" s="32" t="s">
        <v>37</v>
      </c>
      <c r="C22" s="38">
        <f t="shared" ref="C22:G22" si="26">C16/C17</f>
        <v>2.1712328767123288</v>
      </c>
      <c r="D22" s="38" t="e">
        <f t="shared" si="26"/>
        <v>#DIV/0!</v>
      </c>
      <c r="E22" s="38" t="e">
        <f t="shared" si="26"/>
        <v>#DIV/0!</v>
      </c>
      <c r="F22" s="38" t="e">
        <f t="shared" si="26"/>
        <v>#DIV/0!</v>
      </c>
      <c r="G22" s="38" t="e">
        <f t="shared" si="26"/>
        <v>#DIV/0!</v>
      </c>
      <c r="H22" s="38" t="e">
        <f>H16/H17</f>
        <v>#DIV/0!</v>
      </c>
      <c r="I22" s="39" t="e">
        <f>I16/I17</f>
        <v>#DIV/0!</v>
      </c>
      <c r="J22" s="23" t="e">
        <f>AVERAGE(D22:I22)</f>
        <v>#DIV/0!</v>
      </c>
    </row>
    <row r="23" spans="2:39" ht="15.75" thickTop="1" x14ac:dyDescent="0.25">
      <c r="W23" s="12" t="s">
        <v>47</v>
      </c>
      <c r="X23" s="13"/>
      <c r="Y23" s="13"/>
      <c r="Z23" s="13"/>
      <c r="AA23" s="13"/>
      <c r="AB23" s="13"/>
      <c r="AC23" s="13"/>
      <c r="AD23" s="13">
        <v>-313499</v>
      </c>
      <c r="AE23" s="13">
        <v>-365649</v>
      </c>
      <c r="AF23" s="13">
        <v>-278416</v>
      </c>
      <c r="AG23" s="13">
        <v>-672519</v>
      </c>
      <c r="AH23" s="13">
        <v>-280499</v>
      </c>
      <c r="AI23" s="172">
        <v>-177034</v>
      </c>
      <c r="AJ23" s="13">
        <v>-375631</v>
      </c>
      <c r="AK23" s="13">
        <v>-509106</v>
      </c>
      <c r="AL23" s="13">
        <v>-140092</v>
      </c>
      <c r="AM23" s="172">
        <v>-60810</v>
      </c>
    </row>
    <row r="24" spans="2:39" x14ac:dyDescent="0.25">
      <c r="G24" s="10">
        <v>701.95658000000003</v>
      </c>
      <c r="H24" s="10">
        <v>709.32254499999999</v>
      </c>
      <c r="I24" s="10">
        <v>716.73997499999996</v>
      </c>
      <c r="W24" s="12" t="s">
        <v>48</v>
      </c>
      <c r="X24" s="14" t="e">
        <f t="shared" ref="X24:AJ24" si="27">+X23/X20</f>
        <v>#DIV/0!</v>
      </c>
      <c r="Y24" s="14" t="e">
        <f t="shared" si="27"/>
        <v>#DIV/0!</v>
      </c>
      <c r="Z24" s="14" t="e">
        <f t="shared" si="27"/>
        <v>#DIV/0!</v>
      </c>
      <c r="AA24" s="14" t="e">
        <f t="shared" si="27"/>
        <v>#DIV/0!</v>
      </c>
      <c r="AB24" s="14" t="e">
        <f t="shared" si="27"/>
        <v>#DIV/0!</v>
      </c>
      <c r="AC24" s="14" t="e">
        <f t="shared" si="27"/>
        <v>#DIV/0!</v>
      </c>
      <c r="AD24" s="14">
        <f t="shared" si="27"/>
        <v>-0.19727588506991203</v>
      </c>
      <c r="AE24" s="14">
        <f t="shared" si="27"/>
        <v>-0.2403632574848725</v>
      </c>
      <c r="AF24" s="14">
        <f t="shared" si="27"/>
        <v>-0.18385558128769433</v>
      </c>
      <c r="AG24" s="14">
        <f t="shared" si="27"/>
        <v>-0.60217259525026845</v>
      </c>
      <c r="AH24" s="14">
        <f t="shared" si="27"/>
        <v>-0.24767904919161862</v>
      </c>
      <c r="AI24" s="176">
        <f t="shared" si="27"/>
        <v>-0.31383720827165634</v>
      </c>
      <c r="AJ24" s="14">
        <f t="shared" si="27"/>
        <v>-0.31694298450263214</v>
      </c>
      <c r="AK24" s="14">
        <f t="shared" ref="AK24:AL24" si="28">+AK23/AK20</f>
        <v>-0.31969963283014674</v>
      </c>
      <c r="AL24" s="14">
        <f t="shared" si="28"/>
        <v>-0.18264452035149017</v>
      </c>
      <c r="AM24" s="176">
        <f t="shared" ref="AM24" si="29">+AM23/AM20</f>
        <v>-0.22693092806203749</v>
      </c>
    </row>
    <row r="25" spans="2:39" x14ac:dyDescent="0.25">
      <c r="G25">
        <f>+G10/G24</f>
        <v>0</v>
      </c>
      <c r="H25">
        <f>+H10/H24</f>
        <v>0</v>
      </c>
      <c r="I25">
        <f>+I10/I24</f>
        <v>0</v>
      </c>
      <c r="M25" s="10"/>
    </row>
    <row r="26" spans="2:39" x14ac:dyDescent="0.25">
      <c r="M26" s="10"/>
      <c r="W26" s="12" t="s">
        <v>74</v>
      </c>
      <c r="X26" s="13"/>
      <c r="AB26" s="13"/>
      <c r="AC26" s="13"/>
      <c r="AD26" s="13">
        <v>56</v>
      </c>
      <c r="AE26" s="13">
        <v>25</v>
      </c>
      <c r="AF26" s="13">
        <v>109</v>
      </c>
      <c r="AG26" s="13">
        <v>-2</v>
      </c>
      <c r="AH26" s="13">
        <v>83</v>
      </c>
      <c r="AI26" s="172">
        <v>59</v>
      </c>
      <c r="AJ26" s="13">
        <v>-694</v>
      </c>
      <c r="AK26" s="13">
        <v>-994</v>
      </c>
      <c r="AL26" s="13">
        <v>-3777</v>
      </c>
      <c r="AM26" s="172">
        <v>-4651</v>
      </c>
    </row>
    <row r="28" spans="2:39" x14ac:dyDescent="0.25">
      <c r="W28" s="12" t="s">
        <v>49</v>
      </c>
      <c r="X28" s="13">
        <f t="shared" ref="X28:AH28" si="30">+X20+X23-X26</f>
        <v>0</v>
      </c>
      <c r="Y28" s="13">
        <f t="shared" si="30"/>
        <v>0</v>
      </c>
      <c r="Z28" s="13">
        <f t="shared" si="30"/>
        <v>0</v>
      </c>
      <c r="AA28" s="13">
        <f t="shared" si="30"/>
        <v>0</v>
      </c>
      <c r="AB28" s="13">
        <f t="shared" si="30"/>
        <v>0</v>
      </c>
      <c r="AC28" s="13">
        <f t="shared" si="30"/>
        <v>0</v>
      </c>
      <c r="AD28" s="13">
        <f t="shared" si="30"/>
        <v>1275585</v>
      </c>
      <c r="AE28" s="13">
        <f t="shared" si="30"/>
        <v>1155561</v>
      </c>
      <c r="AF28" s="13">
        <f t="shared" si="30"/>
        <v>1235794</v>
      </c>
      <c r="AG28" s="13">
        <f t="shared" si="30"/>
        <v>444304</v>
      </c>
      <c r="AH28" s="13">
        <f t="shared" si="30"/>
        <v>851928</v>
      </c>
      <c r="AI28" s="172">
        <f>+AI20+AI23-AI26</f>
        <v>387002</v>
      </c>
      <c r="AJ28" s="13">
        <f t="shared" ref="AJ28:AL28" si="31">+AJ20+AJ23-AJ26</f>
        <v>810232</v>
      </c>
      <c r="AK28" s="13">
        <f t="shared" si="31"/>
        <v>1084339</v>
      </c>
      <c r="AL28" s="13">
        <f t="shared" si="31"/>
        <v>630705</v>
      </c>
      <c r="AM28" s="172">
        <v>211808</v>
      </c>
    </row>
    <row r="29" spans="2:39" x14ac:dyDescent="0.25">
      <c r="M29" s="10"/>
      <c r="W29" s="12" t="s">
        <v>25</v>
      </c>
      <c r="X29" s="19" t="e">
        <f t="shared" ref="X29:AJ29" si="32">+X28/X3</f>
        <v>#DIV/0!</v>
      </c>
      <c r="Y29" s="19" t="e">
        <f t="shared" si="32"/>
        <v>#DIV/0!</v>
      </c>
      <c r="Z29" s="19" t="e">
        <f t="shared" si="32"/>
        <v>#DIV/0!</v>
      </c>
      <c r="AA29" s="19" t="e">
        <f t="shared" si="32"/>
        <v>#DIV/0!</v>
      </c>
      <c r="AB29" s="19" t="e">
        <f t="shared" si="32"/>
        <v>#DIV/0!</v>
      </c>
      <c r="AC29" s="19" t="e">
        <f t="shared" si="32"/>
        <v>#DIV/0!</v>
      </c>
      <c r="AD29" s="19">
        <f t="shared" si="32"/>
        <v>0.31388337555076651</v>
      </c>
      <c r="AE29" s="19">
        <f t="shared" si="32"/>
        <v>0.28045405189206085</v>
      </c>
      <c r="AF29" s="19">
        <f t="shared" si="32"/>
        <v>0.22649772300685894</v>
      </c>
      <c r="AG29" s="19">
        <f t="shared" si="32"/>
        <v>9.5614244435841225E-2</v>
      </c>
      <c r="AH29" s="19">
        <f t="shared" si="32"/>
        <v>0.16817669995214851</v>
      </c>
      <c r="AI29" s="174">
        <f t="shared" si="32"/>
        <v>0.11206538329782684</v>
      </c>
      <c r="AJ29" s="19">
        <f t="shared" si="32"/>
        <v>0.18417419253648901</v>
      </c>
      <c r="AK29" s="19">
        <f t="shared" ref="AK29:AL29" si="33">+AK28/AK3</f>
        <v>0.19126914144005683</v>
      </c>
      <c r="AL29" s="19">
        <f t="shared" si="33"/>
        <v>0.24167461130048801</v>
      </c>
      <c r="AM29" s="174">
        <f t="shared" ref="AM29" si="34">+AM28/AM3</f>
        <v>8.7200747642004639E-2</v>
      </c>
    </row>
    <row r="30" spans="2:39" ht="16.5" x14ac:dyDescent="0.25">
      <c r="I30" s="22"/>
      <c r="M30" s="10"/>
    </row>
    <row r="31" spans="2:39" x14ac:dyDescent="0.25">
      <c r="W31" s="12" t="s">
        <v>29</v>
      </c>
      <c r="X31" s="16">
        <f t="shared" ref="X31:AJ31" si="35">+X28/X47</f>
        <v>0</v>
      </c>
      <c r="Y31" s="16">
        <f t="shared" si="35"/>
        <v>0</v>
      </c>
      <c r="Z31" s="16">
        <f t="shared" si="35"/>
        <v>0</v>
      </c>
      <c r="AA31" s="16">
        <f t="shared" si="35"/>
        <v>0</v>
      </c>
      <c r="AB31" s="16">
        <f t="shared" si="35"/>
        <v>0</v>
      </c>
      <c r="AC31" s="16">
        <f t="shared" si="35"/>
        <v>0</v>
      </c>
      <c r="AD31" s="16">
        <f t="shared" si="35"/>
        <v>4.8089543511539308</v>
      </c>
      <c r="AE31" s="16">
        <f t="shared" si="35"/>
        <v>4.3564639745479816</v>
      </c>
      <c r="AF31" s="16">
        <f t="shared" si="35"/>
        <v>4.6589423154316814</v>
      </c>
      <c r="AG31" s="16">
        <f t="shared" si="35"/>
        <v>1.6750256972566282</v>
      </c>
      <c r="AH31" s="16">
        <f t="shared" si="35"/>
        <v>3.211767826111052</v>
      </c>
      <c r="AI31" s="177">
        <f t="shared" si="35"/>
        <v>1.4589972066191383</v>
      </c>
      <c r="AJ31" s="16">
        <f t="shared" si="35"/>
        <v>3.0545739420298545</v>
      </c>
      <c r="AK31" s="16">
        <f t="shared" ref="AK31:AL31" si="36">+AK28/AK47</f>
        <v>4.0879570959018041</v>
      </c>
      <c r="AL31" s="16">
        <f t="shared" si="36"/>
        <v>2.3777573066824553</v>
      </c>
      <c r="AM31" s="177">
        <f t="shared" ref="AM31" si="37">+AM28/AM47</f>
        <v>0.7985159775390992</v>
      </c>
    </row>
    <row r="32" spans="2:39" x14ac:dyDescent="0.25">
      <c r="W32" s="12" t="s">
        <v>40</v>
      </c>
      <c r="AA32" s="17"/>
      <c r="AB32" s="18" t="e">
        <f t="shared" ref="AB32:AM32" si="38">+AB31/X31-1</f>
        <v>#DIV/0!</v>
      </c>
      <c r="AC32" s="18" t="e">
        <f t="shared" si="38"/>
        <v>#DIV/0!</v>
      </c>
      <c r="AD32" s="18" t="e">
        <f t="shared" si="38"/>
        <v>#DIV/0!</v>
      </c>
      <c r="AE32" s="18" t="e">
        <f t="shared" si="38"/>
        <v>#DIV/0!</v>
      </c>
      <c r="AF32" s="18" t="e">
        <f t="shared" si="38"/>
        <v>#DIV/0!</v>
      </c>
      <c r="AG32" s="18" t="e">
        <f t="shared" si="38"/>
        <v>#DIV/0!</v>
      </c>
      <c r="AH32" s="18">
        <f t="shared" si="38"/>
        <v>-0.33212761203683006</v>
      </c>
      <c r="AI32" s="173">
        <f t="shared" si="38"/>
        <v>-0.66509600098999533</v>
      </c>
      <c r="AJ32" s="18">
        <f t="shared" si="38"/>
        <v>-0.34436321911257051</v>
      </c>
      <c r="AK32" s="18">
        <f t="shared" si="38"/>
        <v>1.4405339587309594</v>
      </c>
      <c r="AL32" s="18">
        <f t="shared" si="38"/>
        <v>-0.2596733526776912</v>
      </c>
      <c r="AM32" s="173">
        <f t="shared" si="38"/>
        <v>-0.45269533490782987</v>
      </c>
    </row>
    <row r="33" spans="23:53" x14ac:dyDescent="0.25">
      <c r="W33" s="12" t="s">
        <v>41</v>
      </c>
      <c r="Y33" s="18" t="e">
        <f t="shared" ref="Y33:AD33" si="39">+Y31/X31-1</f>
        <v>#DIV/0!</v>
      </c>
      <c r="Z33" s="18" t="e">
        <f t="shared" si="39"/>
        <v>#DIV/0!</v>
      </c>
      <c r="AA33" s="18" t="e">
        <f t="shared" si="39"/>
        <v>#DIV/0!</v>
      </c>
      <c r="AB33" s="18" t="e">
        <f t="shared" si="39"/>
        <v>#DIV/0!</v>
      </c>
      <c r="AC33" s="18" t="e">
        <f t="shared" si="39"/>
        <v>#DIV/0!</v>
      </c>
      <c r="AD33" s="18" t="e">
        <f t="shared" si="39"/>
        <v>#DIV/0!</v>
      </c>
      <c r="AE33" s="18">
        <f>+AE31/AD31-1</f>
        <v>-9.4093298368983724E-2</v>
      </c>
      <c r="AF33" s="18">
        <f>+AF31/AE31-1</f>
        <v>6.9432076714253999E-2</v>
      </c>
      <c r="AG33" s="18">
        <f>+AG31/AF31-1</f>
        <v>-0.64047082280703749</v>
      </c>
      <c r="AH33" s="18">
        <f t="shared" ref="AH33" si="40">+AH31/AG31-1</f>
        <v>0.91744391227627942</v>
      </c>
      <c r="AI33" s="173">
        <f>+AI31/AH31-1</f>
        <v>-0.54573391178597253</v>
      </c>
      <c r="AJ33" s="18">
        <f>+AJ31/AI31-1</f>
        <v>1.0936119193182465</v>
      </c>
      <c r="AK33" s="18">
        <f>+AK31/AJ31-1</f>
        <v>0.33830680595187546</v>
      </c>
      <c r="AL33" s="18">
        <f t="shared" ref="AL33:AM33" si="41">+AL31/AK31-1</f>
        <v>-0.41835071873279495</v>
      </c>
      <c r="AM33" s="173">
        <f t="shared" si="41"/>
        <v>-0.66417263221315825</v>
      </c>
      <c r="AN33" s="18"/>
      <c r="AO33" s="18"/>
      <c r="AP33" s="18"/>
      <c r="AQ33" s="18"/>
      <c r="AR33" s="18"/>
      <c r="AS33" s="18"/>
      <c r="AT33" s="18"/>
      <c r="AU33" s="18"/>
      <c r="AV33" s="18"/>
      <c r="AW33" s="18"/>
      <c r="AX33" s="18"/>
      <c r="AY33" s="18"/>
      <c r="AZ33" s="18"/>
      <c r="BA33" s="18"/>
    </row>
    <row r="34" spans="23:53" x14ac:dyDescent="0.25">
      <c r="Y34" s="18"/>
      <c r="Z34" s="18"/>
      <c r="AA34" s="18"/>
      <c r="AB34" s="18"/>
      <c r="AC34" s="18"/>
      <c r="AD34" s="18"/>
      <c r="AE34" s="18"/>
      <c r="AF34" s="18"/>
      <c r="AG34" s="18"/>
      <c r="AH34" s="18"/>
      <c r="AI34" s="173"/>
      <c r="AJ34" s="18"/>
      <c r="AK34" s="18"/>
      <c r="AL34" s="18"/>
      <c r="AM34" s="173"/>
    </row>
    <row r="35" spans="23:53" x14ac:dyDescent="0.25">
      <c r="W35" s="12" t="s">
        <v>88</v>
      </c>
      <c r="X35" s="18" t="e">
        <f t="shared" ref="X35:AJ35" si="42">+X28*4/X40</f>
        <v>#DIV/0!</v>
      </c>
      <c r="Y35" s="18" t="e">
        <f t="shared" si="42"/>
        <v>#DIV/0!</v>
      </c>
      <c r="Z35" s="18" t="e">
        <f t="shared" si="42"/>
        <v>#DIV/0!</v>
      </c>
      <c r="AA35" s="18" t="e">
        <f t="shared" si="42"/>
        <v>#DIV/0!</v>
      </c>
      <c r="AB35" s="18" t="e">
        <f t="shared" si="42"/>
        <v>#DIV/0!</v>
      </c>
      <c r="AC35" s="18">
        <f t="shared" si="42"/>
        <v>0</v>
      </c>
      <c r="AD35" s="18" t="e">
        <f t="shared" si="42"/>
        <v>#DIV/0!</v>
      </c>
      <c r="AE35" s="18" t="e">
        <f t="shared" si="42"/>
        <v>#DIV/0!</v>
      </c>
      <c r="AF35" s="18" t="e">
        <f t="shared" si="42"/>
        <v>#DIV/0!</v>
      </c>
      <c r="AG35" s="18" t="e">
        <f t="shared" si="42"/>
        <v>#DIV/0!</v>
      </c>
      <c r="AH35" s="18">
        <f t="shared" si="42"/>
        <v>0.26370864974790403</v>
      </c>
      <c r="AI35" s="173">
        <f t="shared" si="42"/>
        <v>0.1189255790159205</v>
      </c>
      <c r="AJ35" s="18">
        <f t="shared" si="42"/>
        <v>0.23438387275847813</v>
      </c>
      <c r="AK35" s="18">
        <f t="shared" ref="AK35:AL35" si="43">+AK28*4/AK40</f>
        <v>0.29089510675047942</v>
      </c>
      <c r="AL35" s="18">
        <f t="shared" si="43"/>
        <v>0.16891702335051104</v>
      </c>
      <c r="AM35" s="173">
        <f t="shared" ref="AM35" si="44">+AM28*4/AM40</f>
        <v>5.6622833524931651E-2</v>
      </c>
      <c r="AN35" s="14">
        <f>+AVERAGE(AH35:AL35)</f>
        <v>0.21536604632465864</v>
      </c>
      <c r="AO35" s="50" t="s">
        <v>88</v>
      </c>
      <c r="AP35" s="14"/>
      <c r="AQ35" s="14"/>
      <c r="AR35" s="14"/>
      <c r="AS35" s="14"/>
      <c r="AT35" s="14"/>
      <c r="AU35" s="14"/>
      <c r="AV35" s="14"/>
      <c r="AW35" s="14"/>
      <c r="AX35" s="14"/>
      <c r="AY35" s="14"/>
      <c r="AZ35" s="14"/>
      <c r="BA35" s="14"/>
    </row>
    <row r="36" spans="23:53" x14ac:dyDescent="0.25">
      <c r="AN36" s="56">
        <f>AVERAGE(AH35:AL35)*AL49</f>
        <v>12.126384424787345</v>
      </c>
      <c r="AO36" s="50" t="s">
        <v>183</v>
      </c>
      <c r="AP36" s="56"/>
      <c r="AQ36" s="56"/>
      <c r="AR36" s="56"/>
      <c r="AS36" s="56"/>
      <c r="AT36" s="56"/>
      <c r="AU36" s="56"/>
      <c r="AV36" s="56"/>
      <c r="AW36" s="56"/>
      <c r="AX36" s="56"/>
      <c r="AY36" s="56"/>
      <c r="AZ36" s="56"/>
      <c r="BA36" s="56"/>
    </row>
    <row r="37" spans="23:53" x14ac:dyDescent="0.25">
      <c r="W37" s="12" t="s">
        <v>52</v>
      </c>
      <c r="X37" s="13"/>
      <c r="Y37" s="13"/>
      <c r="Z37" s="13"/>
      <c r="AA37" s="13"/>
      <c r="AB37" s="13"/>
      <c r="AC37" s="13">
        <f>38753+666667+36753+232352+250000+475639</f>
        <v>1700164</v>
      </c>
      <c r="AD37" s="13"/>
      <c r="AE37" s="13"/>
      <c r="AF37" s="13"/>
      <c r="AG37" s="13"/>
      <c r="AH37" s="13">
        <f>17738+416667+20788+750000+545095</f>
        <v>1750288</v>
      </c>
      <c r="AI37" s="172">
        <f>375000+28672+163862+525000+470543</f>
        <v>1563077</v>
      </c>
      <c r="AJ37" s="13">
        <f>40871+291667+44678+260115+350000+102310</f>
        <v>1089641</v>
      </c>
      <c r="AK37" s="13">
        <f>33033+250000+39638+438921+229167+50770</f>
        <v>1041529</v>
      </c>
      <c r="AL37" s="13">
        <f>21623+166667+35712+132188+651623+277630</f>
        <v>1285443</v>
      </c>
      <c r="AM37" s="172">
        <f>8796+145833+34496+227956+1438213+574521</f>
        <v>2429815</v>
      </c>
      <c r="AN37" s="56">
        <f>X1/AN36</f>
        <v>4.0325292590959183</v>
      </c>
      <c r="AO37" s="50" t="s">
        <v>11</v>
      </c>
      <c r="AP37" s="56"/>
      <c r="AQ37" s="56"/>
      <c r="AR37" s="56"/>
      <c r="AS37" s="56"/>
      <c r="AT37" s="56"/>
      <c r="AU37" s="56"/>
      <c r="AV37" s="56"/>
      <c r="AW37" s="56"/>
      <c r="AX37" s="56"/>
      <c r="AY37" s="56"/>
      <c r="AZ37" s="56"/>
      <c r="BA37" s="56"/>
    </row>
    <row r="38" spans="23:53" x14ac:dyDescent="0.25">
      <c r="W38" s="12" t="s">
        <v>53</v>
      </c>
      <c r="X38" s="13"/>
      <c r="Y38" s="13"/>
      <c r="Z38" s="13"/>
      <c r="AA38" s="13"/>
      <c r="AB38" s="13"/>
      <c r="AC38" s="13">
        <v>4936501</v>
      </c>
      <c r="AD38" s="13"/>
      <c r="AE38" s="13"/>
      <c r="AF38" s="13"/>
      <c r="AG38" s="13"/>
      <c r="AH38" s="13">
        <v>810691</v>
      </c>
      <c r="AI38" s="172">
        <v>558116</v>
      </c>
      <c r="AJ38" s="13">
        <v>243130</v>
      </c>
      <c r="AK38" s="13">
        <v>1803802</v>
      </c>
      <c r="AL38" s="13">
        <f>306811+895532</f>
        <v>1202343</v>
      </c>
      <c r="AM38" s="172">
        <f>477566+788050</f>
        <v>1265616</v>
      </c>
    </row>
    <row r="39" spans="23:53" x14ac:dyDescent="0.25">
      <c r="W39" s="12" t="s">
        <v>50</v>
      </c>
      <c r="X39" s="13">
        <f t="shared" ref="X39:AJ39" si="45">+X37-X38</f>
        <v>0</v>
      </c>
      <c r="Y39" s="13">
        <f t="shared" si="45"/>
        <v>0</v>
      </c>
      <c r="Z39" s="13">
        <f t="shared" si="45"/>
        <v>0</v>
      </c>
      <c r="AA39" s="13">
        <f t="shared" si="45"/>
        <v>0</v>
      </c>
      <c r="AB39" s="13">
        <f t="shared" si="45"/>
        <v>0</v>
      </c>
      <c r="AC39" s="13">
        <f t="shared" si="45"/>
        <v>-3236337</v>
      </c>
      <c r="AD39" s="13">
        <f t="shared" si="45"/>
        <v>0</v>
      </c>
      <c r="AE39" s="13">
        <f t="shared" si="45"/>
        <v>0</v>
      </c>
      <c r="AF39" s="13">
        <f t="shared" si="45"/>
        <v>0</v>
      </c>
      <c r="AG39" s="13">
        <f t="shared" si="45"/>
        <v>0</v>
      </c>
      <c r="AH39" s="13">
        <f t="shared" si="45"/>
        <v>939597</v>
      </c>
      <c r="AI39" s="172">
        <f t="shared" si="45"/>
        <v>1004961</v>
      </c>
      <c r="AJ39" s="13">
        <f t="shared" si="45"/>
        <v>846511</v>
      </c>
      <c r="AK39" s="13">
        <f t="shared" ref="AK39:AL39" si="46">+AK37-AK38</f>
        <v>-762273</v>
      </c>
      <c r="AL39" s="13">
        <f t="shared" si="46"/>
        <v>83100</v>
      </c>
      <c r="AM39" s="172">
        <f t="shared" ref="AM39" si="47">+AM37-AM38</f>
        <v>1164199</v>
      </c>
    </row>
    <row r="40" spans="23:53" x14ac:dyDescent="0.25">
      <c r="W40" s="12" t="s">
        <v>54</v>
      </c>
      <c r="X40" s="13"/>
      <c r="Y40" s="13"/>
      <c r="Z40" s="13"/>
      <c r="AA40" s="13"/>
      <c r="AB40" s="13"/>
      <c r="AC40" s="13">
        <v>12219323</v>
      </c>
      <c r="AD40" s="13"/>
      <c r="AE40" s="13"/>
      <c r="AF40" s="13"/>
      <c r="AG40" s="13"/>
      <c r="AH40" s="13">
        <v>12922261</v>
      </c>
      <c r="AI40" s="172">
        <v>13016611</v>
      </c>
      <c r="AJ40" s="13">
        <v>13827436</v>
      </c>
      <c r="AK40" s="13">
        <v>14910378</v>
      </c>
      <c r="AL40" s="13">
        <v>14935262</v>
      </c>
      <c r="AM40" s="172">
        <v>14962727</v>
      </c>
    </row>
    <row r="41" spans="23:53" x14ac:dyDescent="0.25">
      <c r="W41" s="12" t="s">
        <v>127</v>
      </c>
      <c r="X41" s="13"/>
      <c r="Y41" s="13"/>
      <c r="Z41" s="13"/>
      <c r="AA41" s="13"/>
      <c r="AB41" s="13"/>
      <c r="AC41" s="13">
        <v>2473794</v>
      </c>
      <c r="AD41" s="13"/>
      <c r="AE41" s="13"/>
      <c r="AF41" s="13"/>
      <c r="AG41" s="13"/>
      <c r="AH41" s="13">
        <v>5036886</v>
      </c>
      <c r="AI41" s="172">
        <v>5388356</v>
      </c>
      <c r="AJ41" s="13">
        <v>6034080</v>
      </c>
      <c r="AK41" s="13">
        <v>6106452</v>
      </c>
      <c r="AL41" s="13">
        <v>7414063</v>
      </c>
      <c r="AM41" s="172">
        <v>7414063</v>
      </c>
    </row>
    <row r="43" spans="23:53" x14ac:dyDescent="0.25">
      <c r="W43" s="12" t="s">
        <v>51</v>
      </c>
      <c r="X43" s="14" t="e">
        <f t="shared" ref="X43:AJ43" si="48">+X37/X40</f>
        <v>#DIV/0!</v>
      </c>
      <c r="Y43" s="14" t="e">
        <f t="shared" si="48"/>
        <v>#DIV/0!</v>
      </c>
      <c r="Z43" s="14" t="e">
        <f t="shared" si="48"/>
        <v>#DIV/0!</v>
      </c>
      <c r="AA43" s="14" t="e">
        <f t="shared" si="48"/>
        <v>#DIV/0!</v>
      </c>
      <c r="AB43" s="14" t="e">
        <f t="shared" si="48"/>
        <v>#DIV/0!</v>
      </c>
      <c r="AC43" s="14">
        <f t="shared" si="48"/>
        <v>0.1391373319127418</v>
      </c>
      <c r="AD43" s="14" t="e">
        <f t="shared" si="48"/>
        <v>#DIV/0!</v>
      </c>
      <c r="AE43" s="14" t="e">
        <f t="shared" si="48"/>
        <v>#DIV/0!</v>
      </c>
      <c r="AF43" s="14" t="e">
        <f t="shared" si="48"/>
        <v>#DIV/0!</v>
      </c>
      <c r="AG43" s="14" t="e">
        <f t="shared" si="48"/>
        <v>#DIV/0!</v>
      </c>
      <c r="AH43" s="14">
        <f t="shared" si="48"/>
        <v>0.13544750411712006</v>
      </c>
      <c r="AI43" s="176">
        <f t="shared" si="48"/>
        <v>0.12008325362108463</v>
      </c>
      <c r="AJ43" s="14">
        <f t="shared" si="48"/>
        <v>7.8802823603739691E-2</v>
      </c>
      <c r="AK43" s="14">
        <f t="shared" ref="AK43:AL43" si="49">+AK37/AK40</f>
        <v>6.9852622113269022E-2</v>
      </c>
      <c r="AL43" s="14">
        <f t="shared" si="49"/>
        <v>8.6067656529895495E-2</v>
      </c>
      <c r="AM43" s="176">
        <f t="shared" ref="AM43" si="50">+AM37/AM40</f>
        <v>0.16239118711448788</v>
      </c>
    </row>
    <row r="45" spans="23:53" x14ac:dyDescent="0.25">
      <c r="W45" s="12" t="s">
        <v>63</v>
      </c>
      <c r="X45" s="16" t="e">
        <f t="shared" ref="X45:AJ45" si="51">+(X3*1000)/X7</f>
        <v>#DIV/0!</v>
      </c>
      <c r="Y45" s="16" t="e">
        <f t="shared" si="51"/>
        <v>#DIV/0!</v>
      </c>
      <c r="Z45" s="16" t="e">
        <f t="shared" si="51"/>
        <v>#DIV/0!</v>
      </c>
      <c r="AA45" s="16" t="e">
        <f t="shared" si="51"/>
        <v>#DIV/0!</v>
      </c>
      <c r="AB45" s="16" t="e">
        <f t="shared" si="51"/>
        <v>#DIV/0!</v>
      </c>
      <c r="AC45" s="16" t="e">
        <f t="shared" si="51"/>
        <v>#DIV/0!</v>
      </c>
      <c r="AD45" s="16" t="e">
        <f t="shared" si="51"/>
        <v>#DIV/0!</v>
      </c>
      <c r="AE45" s="16" t="e">
        <f t="shared" si="51"/>
        <v>#DIV/0!</v>
      </c>
      <c r="AF45" s="16" t="e">
        <f t="shared" si="51"/>
        <v>#DIV/0!</v>
      </c>
      <c r="AG45" s="16" t="e">
        <f t="shared" si="51"/>
        <v>#DIV/0!</v>
      </c>
      <c r="AH45" s="16" t="e">
        <f t="shared" si="51"/>
        <v>#DIV/0!</v>
      </c>
      <c r="AI45" s="177" t="e">
        <f t="shared" si="51"/>
        <v>#DIV/0!</v>
      </c>
      <c r="AJ45" s="16" t="e">
        <f t="shared" si="51"/>
        <v>#DIV/0!</v>
      </c>
      <c r="AK45" s="16" t="e">
        <f t="shared" ref="AK45:AL45" si="52">+(AK3*1000)/AK7</f>
        <v>#DIV/0!</v>
      </c>
      <c r="AL45" s="16" t="e">
        <f t="shared" si="52"/>
        <v>#DIV/0!</v>
      </c>
      <c r="AM45" s="177" t="e">
        <f t="shared" ref="AM45" si="53">+(AM3*1000)/AM7</f>
        <v>#DIV/0!</v>
      </c>
    </row>
    <row r="47" spans="23:53" x14ac:dyDescent="0.25">
      <c r="W47" s="12" t="s">
        <v>56</v>
      </c>
      <c r="X47" s="13">
        <f t="shared" ref="X47:AH47" si="54">Y47</f>
        <v>265252.05</v>
      </c>
      <c r="Y47" s="13">
        <f t="shared" si="54"/>
        <v>265252.05</v>
      </c>
      <c r="Z47" s="13">
        <f t="shared" si="54"/>
        <v>265252.05</v>
      </c>
      <c r="AA47" s="13">
        <f t="shared" si="54"/>
        <v>265252.05</v>
      </c>
      <c r="AB47" s="13">
        <f t="shared" si="54"/>
        <v>265252.05</v>
      </c>
      <c r="AC47" s="13">
        <f t="shared" si="54"/>
        <v>265252.05</v>
      </c>
      <c r="AD47" s="13">
        <f t="shared" si="54"/>
        <v>265252.05</v>
      </c>
      <c r="AE47" s="13">
        <f t="shared" si="54"/>
        <v>265252.05</v>
      </c>
      <c r="AF47" s="13">
        <f t="shared" si="54"/>
        <v>265252.05</v>
      </c>
      <c r="AG47" s="13">
        <f t="shared" si="54"/>
        <v>265252.05</v>
      </c>
      <c r="AH47" s="13">
        <f t="shared" si="54"/>
        <v>265252.05</v>
      </c>
      <c r="AI47" s="172">
        <f>AJ47</f>
        <v>265252.05</v>
      </c>
      <c r="AJ47" s="13">
        <v>265252.05</v>
      </c>
      <c r="AK47" s="13">
        <v>265252.05</v>
      </c>
      <c r="AL47" s="13">
        <v>265252.05</v>
      </c>
      <c r="AM47" s="172">
        <v>265252.05</v>
      </c>
    </row>
    <row r="49" spans="23:39" x14ac:dyDescent="0.25">
      <c r="W49" s="12" t="s">
        <v>57</v>
      </c>
      <c r="X49" s="16">
        <f t="shared" ref="X49:AJ49" si="55">+X40/X47</f>
        <v>0</v>
      </c>
      <c r="Y49" s="16">
        <f t="shared" si="55"/>
        <v>0</v>
      </c>
      <c r="Z49" s="16">
        <f t="shared" si="55"/>
        <v>0</v>
      </c>
      <c r="AA49" s="16">
        <f t="shared" si="55"/>
        <v>0</v>
      </c>
      <c r="AB49" s="16">
        <f t="shared" si="55"/>
        <v>0</v>
      </c>
      <c r="AC49" s="16">
        <f t="shared" si="55"/>
        <v>46.066837183727706</v>
      </c>
      <c r="AD49" s="16">
        <f t="shared" si="55"/>
        <v>0</v>
      </c>
      <c r="AE49" s="16">
        <f t="shared" si="55"/>
        <v>0</v>
      </c>
      <c r="AF49" s="16">
        <f t="shared" si="55"/>
        <v>0</v>
      </c>
      <c r="AG49" s="16">
        <f t="shared" si="55"/>
        <v>0</v>
      </c>
      <c r="AH49" s="16">
        <f t="shared" si="55"/>
        <v>48.716912838185415</v>
      </c>
      <c r="AI49" s="177">
        <f t="shared" si="55"/>
        <v>49.072612256908101</v>
      </c>
      <c r="AJ49" s="16">
        <f t="shared" si="55"/>
        <v>52.129421808427118</v>
      </c>
      <c r="AK49" s="16">
        <f t="shared" ref="AK49:AL49" si="56">+AK40/AK47</f>
        <v>56.212112215532365</v>
      </c>
      <c r="AL49" s="16">
        <f t="shared" si="56"/>
        <v>56.305924874096171</v>
      </c>
      <c r="AM49" s="177">
        <f t="shared" ref="AM49" si="57">+AM40/AM47</f>
        <v>56.409467900436589</v>
      </c>
    </row>
    <row r="51" spans="23:39" x14ac:dyDescent="0.25">
      <c r="W51" s="12" t="s">
        <v>67</v>
      </c>
      <c r="X51" s="13"/>
      <c r="Y51" s="13">
        <f>+Y55-X55</f>
        <v>0</v>
      </c>
      <c r="Z51" s="13">
        <f>+Z55-Y55</f>
        <v>0</v>
      </c>
      <c r="AA51" s="13">
        <f>+AA55</f>
        <v>0</v>
      </c>
      <c r="AB51" s="13">
        <f t="shared" ref="AB51:AD52" si="58">+AB55-AA55</f>
        <v>0</v>
      </c>
      <c r="AC51" s="13">
        <f t="shared" si="58"/>
        <v>0</v>
      </c>
      <c r="AD51" s="13">
        <f t="shared" si="58"/>
        <v>4802042</v>
      </c>
      <c r="AE51" s="13">
        <f>+AE55</f>
        <v>-496516</v>
      </c>
      <c r="AF51" s="13">
        <f>+AF55-AE55</f>
        <v>-852487</v>
      </c>
      <c r="AG51" s="13">
        <f>+AG55-AF55</f>
        <v>-706728</v>
      </c>
      <c r="AH51" s="13">
        <f t="shared" ref="AH51:AH52" si="59">+AH55-AG55</f>
        <v>833055</v>
      </c>
      <c r="AI51" s="172">
        <f>+AI55</f>
        <v>277961</v>
      </c>
      <c r="AJ51" s="13">
        <f>+AJ55-AI55</f>
        <v>850328</v>
      </c>
      <c r="AK51" s="13">
        <f>+AK55-AJ55</f>
        <v>2182931</v>
      </c>
      <c r="AL51" s="13">
        <f t="shared" ref="AL51:AM52" si="60">+AL55-AK55</f>
        <v>-582468</v>
      </c>
      <c r="AM51" s="172">
        <f t="shared" si="60"/>
        <v>-3441551</v>
      </c>
    </row>
    <row r="52" spans="23:39" x14ac:dyDescent="0.25">
      <c r="W52" s="12" t="s">
        <v>60</v>
      </c>
      <c r="Y52" s="13">
        <f>+Y56-X56</f>
        <v>0</v>
      </c>
      <c r="Z52" s="13">
        <f>+Z56-Y56</f>
        <v>0</v>
      </c>
      <c r="AA52" s="13">
        <f>+AA56</f>
        <v>0</v>
      </c>
      <c r="AB52" s="13">
        <f t="shared" si="58"/>
        <v>0</v>
      </c>
      <c r="AC52" s="13">
        <f t="shared" si="58"/>
        <v>0</v>
      </c>
      <c r="AD52" s="13">
        <f t="shared" si="58"/>
        <v>-700196</v>
      </c>
      <c r="AE52" s="13">
        <f>+AE56</f>
        <v>-66708</v>
      </c>
      <c r="AF52" s="13">
        <f>+AF56-AE56</f>
        <v>-87482</v>
      </c>
      <c r="AG52" s="13">
        <f>+AG56-AF56</f>
        <v>-179647</v>
      </c>
      <c r="AH52" s="13">
        <f t="shared" si="59"/>
        <v>-651776</v>
      </c>
      <c r="AI52" s="172">
        <f>+AI56</f>
        <v>-175678</v>
      </c>
      <c r="AJ52" s="13">
        <f>+AJ56-AI56</f>
        <v>-249334</v>
      </c>
      <c r="AK52" s="13">
        <f>+AK56-AJ56</f>
        <v>-447538</v>
      </c>
      <c r="AL52" s="13">
        <f t="shared" si="60"/>
        <v>-157921</v>
      </c>
      <c r="AM52" s="172">
        <f t="shared" si="60"/>
        <v>866681</v>
      </c>
    </row>
    <row r="53" spans="23:39" x14ac:dyDescent="0.25">
      <c r="W53" s="12" t="s">
        <v>68</v>
      </c>
      <c r="Y53" s="13">
        <f t="shared" ref="Y53:AJ53" si="61">+Y51+Y52</f>
        <v>0</v>
      </c>
      <c r="Z53" s="13">
        <f t="shared" si="61"/>
        <v>0</v>
      </c>
      <c r="AA53" s="13">
        <f t="shared" si="61"/>
        <v>0</v>
      </c>
      <c r="AB53" s="13">
        <f t="shared" si="61"/>
        <v>0</v>
      </c>
      <c r="AC53" s="13">
        <f t="shared" si="61"/>
        <v>0</v>
      </c>
      <c r="AD53" s="13">
        <f t="shared" si="61"/>
        <v>4101846</v>
      </c>
      <c r="AE53" s="13">
        <f t="shared" si="61"/>
        <v>-563224</v>
      </c>
      <c r="AF53" s="13">
        <f t="shared" si="61"/>
        <v>-939969</v>
      </c>
      <c r="AG53" s="13">
        <f t="shared" si="61"/>
        <v>-886375</v>
      </c>
      <c r="AH53" s="13">
        <f t="shared" si="61"/>
        <v>181279</v>
      </c>
      <c r="AI53" s="172">
        <f t="shared" si="61"/>
        <v>102283</v>
      </c>
      <c r="AJ53" s="13">
        <f t="shared" si="61"/>
        <v>600994</v>
      </c>
      <c r="AK53" s="13">
        <f t="shared" ref="AK53:AL53" si="62">+AK51+AK52</f>
        <v>1735393</v>
      </c>
      <c r="AL53" s="13">
        <f t="shared" si="62"/>
        <v>-740389</v>
      </c>
      <c r="AM53" s="172">
        <f t="shared" ref="AM53" si="63">+AM51+AM52</f>
        <v>-2574870</v>
      </c>
    </row>
    <row r="55" spans="23:39" x14ac:dyDescent="0.25">
      <c r="W55" s="12" t="s">
        <v>67</v>
      </c>
      <c r="X55" s="13"/>
      <c r="Y55" s="13"/>
      <c r="Z55" s="13"/>
      <c r="AA55" s="13"/>
      <c r="AB55" s="13"/>
      <c r="AC55" s="13"/>
      <c r="AD55" s="13">
        <v>4802042</v>
      </c>
      <c r="AE55" s="13">
        <v>-496516</v>
      </c>
      <c r="AF55" s="13">
        <v>-1349003</v>
      </c>
      <c r="AG55" s="13">
        <v>-2055731</v>
      </c>
      <c r="AH55" s="13">
        <v>-1222676</v>
      </c>
      <c r="AI55" s="172">
        <v>277961</v>
      </c>
      <c r="AJ55" s="13">
        <v>1128289</v>
      </c>
      <c r="AK55" s="13">
        <v>3311220</v>
      </c>
      <c r="AL55" s="13">
        <v>2728752</v>
      </c>
      <c r="AM55" s="172">
        <v>-712799</v>
      </c>
    </row>
    <row r="56" spans="23:39" x14ac:dyDescent="0.25">
      <c r="W56" s="12" t="s">
        <v>60</v>
      </c>
      <c r="X56" s="13"/>
      <c r="Y56" s="13"/>
      <c r="Z56" s="13"/>
      <c r="AA56" s="13"/>
      <c r="AB56" s="13"/>
      <c r="AC56" s="13"/>
      <c r="AD56" s="13">
        <v>-700196</v>
      </c>
      <c r="AE56" s="13">
        <v>-66708</v>
      </c>
      <c r="AF56" s="13">
        <v>-154190</v>
      </c>
      <c r="AG56" s="13">
        <v>-333837</v>
      </c>
      <c r="AH56" s="13">
        <v>-985613</v>
      </c>
      <c r="AI56" s="172">
        <v>-175678</v>
      </c>
      <c r="AJ56" s="13">
        <v>-425012</v>
      </c>
      <c r="AK56" s="13">
        <v>-872550</v>
      </c>
      <c r="AL56" s="13">
        <v>-1030471</v>
      </c>
      <c r="AM56" s="172">
        <v>-163790</v>
      </c>
    </row>
    <row r="57" spans="23:39" x14ac:dyDescent="0.25">
      <c r="W57" s="12" t="s">
        <v>68</v>
      </c>
      <c r="X57" s="13">
        <f t="shared" ref="X57:AF57" si="64">+X55+X56</f>
        <v>0</v>
      </c>
      <c r="Y57" s="13">
        <f t="shared" si="64"/>
        <v>0</v>
      </c>
      <c r="Z57" s="13">
        <f t="shared" si="64"/>
        <v>0</v>
      </c>
      <c r="AA57" s="13">
        <f t="shared" si="64"/>
        <v>0</v>
      </c>
      <c r="AB57" s="13">
        <f t="shared" si="64"/>
        <v>0</v>
      </c>
      <c r="AC57" s="13">
        <f t="shared" si="64"/>
        <v>0</v>
      </c>
      <c r="AD57" s="13">
        <f t="shared" si="64"/>
        <v>4101846</v>
      </c>
      <c r="AE57" s="13">
        <f t="shared" si="64"/>
        <v>-563224</v>
      </c>
      <c r="AF57" s="13">
        <f t="shared" si="64"/>
        <v>-1503193</v>
      </c>
      <c r="AG57" s="13">
        <f>+AG55+AG56</f>
        <v>-2389568</v>
      </c>
      <c r="AH57" s="13">
        <f t="shared" ref="AH57:AJ57" si="65">+AH55+AH56</f>
        <v>-2208289</v>
      </c>
      <c r="AI57" s="172">
        <f t="shared" si="65"/>
        <v>102283</v>
      </c>
      <c r="AJ57" s="13">
        <f t="shared" si="65"/>
        <v>703277</v>
      </c>
      <c r="AK57" s="13">
        <f>+AK55+AK56</f>
        <v>2438670</v>
      </c>
      <c r="AL57" s="13">
        <f t="shared" ref="AL57" si="66">+AL55+AL56</f>
        <v>1698281</v>
      </c>
      <c r="AM57" s="172">
        <f>+AM55+AM56</f>
        <v>-876589</v>
      </c>
    </row>
    <row r="59" spans="23:39" x14ac:dyDescent="0.25">
      <c r="W59" s="47" t="s">
        <v>371</v>
      </c>
    </row>
    <row r="60" spans="23:39" x14ac:dyDescent="0.25">
      <c r="W60" s="12" t="s">
        <v>78</v>
      </c>
      <c r="Z60" s="13"/>
      <c r="AA60" s="13"/>
      <c r="AB60" s="13"/>
      <c r="AC60" s="13"/>
      <c r="AD60" s="13">
        <v>4266833</v>
      </c>
      <c r="AE60" s="13">
        <v>4357355</v>
      </c>
      <c r="AF60" s="13">
        <v>5277908</v>
      </c>
      <c r="AG60" s="13">
        <v>4558365</v>
      </c>
      <c r="AH60" s="13">
        <v>5706476</v>
      </c>
      <c r="AI60" s="172">
        <v>3794176</v>
      </c>
      <c r="AJ60" s="13">
        <v>4907125</v>
      </c>
      <c r="AK60" s="13">
        <v>5585637</v>
      </c>
      <c r="AL60" s="13">
        <v>2482485</v>
      </c>
      <c r="AM60" s="172">
        <v>2287889</v>
      </c>
    </row>
    <row r="61" spans="23:39" x14ac:dyDescent="0.25">
      <c r="W61" s="12" t="s">
        <v>40</v>
      </c>
      <c r="X61" s="17"/>
      <c r="Y61" s="17"/>
      <c r="Z61" s="17"/>
      <c r="AA61" s="17"/>
      <c r="AB61" s="18"/>
      <c r="AC61" s="18"/>
      <c r="AD61" s="18" t="e">
        <f t="shared" ref="AD61:AM61" si="67">+AD60/Z60-1</f>
        <v>#DIV/0!</v>
      </c>
      <c r="AE61" s="18" t="e">
        <f t="shared" si="67"/>
        <v>#DIV/0!</v>
      </c>
      <c r="AF61" s="18" t="e">
        <f t="shared" si="67"/>
        <v>#DIV/0!</v>
      </c>
      <c r="AG61" s="18" t="e">
        <f t="shared" si="67"/>
        <v>#DIV/0!</v>
      </c>
      <c r="AH61" s="18">
        <f t="shared" si="67"/>
        <v>0.33740317467311232</v>
      </c>
      <c r="AI61" s="173">
        <f t="shared" si="67"/>
        <v>-0.12924790383156759</v>
      </c>
      <c r="AJ61" s="18">
        <f t="shared" si="67"/>
        <v>-7.0251887679739777E-2</v>
      </c>
      <c r="AK61" s="18">
        <f t="shared" si="67"/>
        <v>0.22535975070008663</v>
      </c>
      <c r="AL61" s="18">
        <f t="shared" si="67"/>
        <v>-0.56497057027839948</v>
      </c>
      <c r="AM61" s="173">
        <f t="shared" si="67"/>
        <v>-0.39699977017407728</v>
      </c>
    </row>
    <row r="62" spans="23:39" x14ac:dyDescent="0.25">
      <c r="W62" s="12" t="s">
        <v>41</v>
      </c>
      <c r="Y62" s="18"/>
      <c r="Z62" s="18"/>
      <c r="AA62" s="18" t="e">
        <f t="shared" ref="AA62:AM62" si="68">+AA60/Z60-1</f>
        <v>#DIV/0!</v>
      </c>
      <c r="AB62" s="18" t="e">
        <f t="shared" si="68"/>
        <v>#DIV/0!</v>
      </c>
      <c r="AC62" s="18" t="e">
        <f t="shared" si="68"/>
        <v>#DIV/0!</v>
      </c>
      <c r="AD62" s="18" t="e">
        <f t="shared" si="68"/>
        <v>#DIV/0!</v>
      </c>
      <c r="AE62" s="18">
        <f t="shared" si="68"/>
        <v>2.1215266686087864E-2</v>
      </c>
      <c r="AF62" s="18">
        <f t="shared" si="68"/>
        <v>0.21126417287551735</v>
      </c>
      <c r="AG62" s="18">
        <f t="shared" si="68"/>
        <v>-0.13633109936740084</v>
      </c>
      <c r="AH62" s="18">
        <f t="shared" si="68"/>
        <v>0.25186903637598124</v>
      </c>
      <c r="AI62" s="173">
        <f t="shared" si="68"/>
        <v>-0.33511049551421923</v>
      </c>
      <c r="AJ62" s="18">
        <f t="shared" si="68"/>
        <v>0.29333088396531948</v>
      </c>
      <c r="AK62" s="18">
        <f t="shared" si="68"/>
        <v>0.13827077973355073</v>
      </c>
      <c r="AL62" s="18">
        <f t="shared" si="68"/>
        <v>-0.55555919584462798</v>
      </c>
      <c r="AM62" s="173">
        <f t="shared" si="68"/>
        <v>-7.8387583409366024E-2</v>
      </c>
    </row>
    <row r="63" spans="23:39" x14ac:dyDescent="0.25">
      <c r="X63" s="13"/>
      <c r="Y63" s="13"/>
      <c r="Z63" s="13"/>
      <c r="AA63" s="13"/>
      <c r="AB63" s="13"/>
      <c r="AC63" s="13"/>
      <c r="AD63" s="13"/>
      <c r="AE63" s="13"/>
      <c r="AF63" s="13"/>
      <c r="AG63" s="13"/>
      <c r="AH63" s="13"/>
      <c r="AI63" s="172"/>
      <c r="AJ63" s="13"/>
      <c r="AK63" s="13"/>
      <c r="AL63" s="13"/>
      <c r="AM63" s="172"/>
    </row>
    <row r="64" spans="23:39" x14ac:dyDescent="0.25">
      <c r="W64" s="47" t="s">
        <v>372</v>
      </c>
    </row>
    <row r="65" spans="23:39" x14ac:dyDescent="0.25">
      <c r="W65" s="12" t="s">
        <v>78</v>
      </c>
      <c r="Z65" s="13"/>
      <c r="AA65" s="13"/>
      <c r="AB65" s="13"/>
      <c r="AC65" s="13"/>
      <c r="AD65" s="13">
        <v>115789</v>
      </c>
      <c r="AE65" s="13">
        <v>155315</v>
      </c>
      <c r="AF65" s="13">
        <v>178191</v>
      </c>
      <c r="AG65" s="13">
        <v>88474</v>
      </c>
      <c r="AH65" s="13">
        <v>103518</v>
      </c>
      <c r="AI65" s="172">
        <v>154075</v>
      </c>
      <c r="AJ65" s="13">
        <v>132206</v>
      </c>
      <c r="AK65" s="13">
        <v>83542</v>
      </c>
      <c r="AL65" s="13">
        <v>127243</v>
      </c>
      <c r="AM65" s="172">
        <v>141082</v>
      </c>
    </row>
    <row r="66" spans="23:39" x14ac:dyDescent="0.25">
      <c r="W66" s="12" t="s">
        <v>40</v>
      </c>
      <c r="X66" s="17"/>
      <c r="Y66" s="17"/>
      <c r="Z66" s="17"/>
      <c r="AA66" s="17"/>
      <c r="AB66" s="18"/>
      <c r="AC66" s="18"/>
      <c r="AD66" s="18" t="e">
        <f t="shared" ref="AD66" si="69">+AD65/Z65-1</f>
        <v>#DIV/0!</v>
      </c>
      <c r="AE66" s="18" t="e">
        <f t="shared" ref="AE66" si="70">+AE65/AA65-1</f>
        <v>#DIV/0!</v>
      </c>
      <c r="AF66" s="18" t="e">
        <f t="shared" ref="AF66" si="71">+AF65/AB65-1</f>
        <v>#DIV/0!</v>
      </c>
      <c r="AG66" s="18" t="e">
        <f t="shared" ref="AG66" si="72">+AG65/AC65-1</f>
        <v>#DIV/0!</v>
      </c>
      <c r="AH66" s="18">
        <f t="shared" ref="AH66" si="73">+AH65/AD65-1</f>
        <v>-0.10597725172512074</v>
      </c>
      <c r="AI66" s="173">
        <f t="shared" ref="AI66" si="74">+AI65/AE65-1</f>
        <v>-7.9837749090557741E-3</v>
      </c>
      <c r="AJ66" s="18">
        <f t="shared" ref="AJ66:AM66" si="75">+AJ65/AF65-1</f>
        <v>-0.25806578334483787</v>
      </c>
      <c r="AK66" s="18">
        <f t="shared" si="75"/>
        <v>-5.5745190677487177E-2</v>
      </c>
      <c r="AL66" s="18">
        <f t="shared" si="75"/>
        <v>0.22918719449757541</v>
      </c>
      <c r="AM66" s="173">
        <f t="shared" si="75"/>
        <v>-8.4329060522472798E-2</v>
      </c>
    </row>
    <row r="67" spans="23:39" x14ac:dyDescent="0.25">
      <c r="W67" s="12" t="s">
        <v>41</v>
      </c>
      <c r="Y67" s="18"/>
      <c r="Z67" s="18"/>
      <c r="AA67" s="18" t="e">
        <f t="shared" ref="AA67" si="76">+AA65/Z65-1</f>
        <v>#DIV/0!</v>
      </c>
      <c r="AB67" s="18" t="e">
        <f t="shared" ref="AB67" si="77">+AB65/AA65-1</f>
        <v>#DIV/0!</v>
      </c>
      <c r="AC67" s="18" t="e">
        <f t="shared" ref="AC67" si="78">+AC65/AB65-1</f>
        <v>#DIV/0!</v>
      </c>
      <c r="AD67" s="18" t="e">
        <f t="shared" ref="AD67" si="79">+AD65/AC65-1</f>
        <v>#DIV/0!</v>
      </c>
      <c r="AE67" s="18">
        <f t="shared" ref="AE67" si="80">+AE65/AD65-1</f>
        <v>0.34136230557306835</v>
      </c>
      <c r="AF67" s="18">
        <f t="shared" ref="AF67" si="81">+AF65/AE65-1</f>
        <v>0.14728777001577442</v>
      </c>
      <c r="AG67" s="18">
        <f t="shared" ref="AG67" si="82">+AG65/AF65-1</f>
        <v>-0.50348783047404189</v>
      </c>
      <c r="AH67" s="18">
        <f t="shared" ref="AH67" si="83">+AH65/AG65-1</f>
        <v>0.17003865542419239</v>
      </c>
      <c r="AI67" s="173">
        <f t="shared" ref="AI67" si="84">+AI65/AH65-1</f>
        <v>0.48838849282250441</v>
      </c>
      <c r="AJ67" s="18">
        <f t="shared" ref="AJ67:AM67" si="85">+AJ65/AI65-1</f>
        <v>-0.1419373681648548</v>
      </c>
      <c r="AK67" s="18">
        <f t="shared" si="85"/>
        <v>-0.36809221971771322</v>
      </c>
      <c r="AL67" s="18">
        <f t="shared" si="85"/>
        <v>0.52310215221086409</v>
      </c>
      <c r="AM67" s="173">
        <f t="shared" si="85"/>
        <v>0.10876040332277603</v>
      </c>
    </row>
    <row r="68" spans="23:39" x14ac:dyDescent="0.25">
      <c r="W68" s="12" t="s">
        <v>373</v>
      </c>
      <c r="Y68" s="18"/>
      <c r="Z68" s="18"/>
      <c r="AA68" s="18"/>
      <c r="AB68" s="18"/>
      <c r="AC68" s="18"/>
      <c r="AD68" s="18">
        <f t="shared" ref="AD68:AK68" si="86">+AD65/(AD65+AD60)</f>
        <v>2.6420028923324894E-2</v>
      </c>
      <c r="AE68" s="18">
        <f t="shared" si="86"/>
        <v>3.4417539948633516E-2</v>
      </c>
      <c r="AF68" s="18">
        <f t="shared" si="86"/>
        <v>3.2659048158766912E-2</v>
      </c>
      <c r="AG68" s="18">
        <f t="shared" si="86"/>
        <v>1.9039609506591469E-2</v>
      </c>
      <c r="AH68" s="18">
        <f t="shared" si="86"/>
        <v>1.7817230103852087E-2</v>
      </c>
      <c r="AI68" s="173">
        <f t="shared" si="86"/>
        <v>3.9023608174860211E-2</v>
      </c>
      <c r="AJ68" s="18">
        <f t="shared" si="86"/>
        <v>2.6234831567920426E-2</v>
      </c>
      <c r="AK68" s="18">
        <f t="shared" si="86"/>
        <v>1.4736172556908152E-2</v>
      </c>
      <c r="AL68" s="18">
        <f t="shared" ref="AL68:AM68" si="87">+AL65/(AL65+AL60)</f>
        <v>4.8757188488608771E-2</v>
      </c>
      <c r="AM68" s="173">
        <f t="shared" si="87"/>
        <v>5.8083031868227331E-2</v>
      </c>
    </row>
    <row r="69" spans="23:39" x14ac:dyDescent="0.25">
      <c r="X69" s="13"/>
      <c r="Y69" s="13"/>
      <c r="Z69" s="13"/>
      <c r="AA69" s="13"/>
      <c r="AB69" s="13"/>
      <c r="AC69" s="13"/>
      <c r="AD69" s="13"/>
      <c r="AE69" s="13"/>
      <c r="AF69" s="13"/>
      <c r="AG69" s="13"/>
      <c r="AH69" s="13"/>
      <c r="AI69" s="172"/>
      <c r="AJ69" s="13"/>
      <c r="AK69" s="13"/>
      <c r="AL69" s="13"/>
      <c r="AM69" s="172"/>
    </row>
    <row r="70" spans="23:39" x14ac:dyDescent="0.25">
      <c r="X70" s="17"/>
      <c r="Y70" s="17"/>
      <c r="Z70" s="17"/>
      <c r="AA70" s="17"/>
      <c r="AB70" s="18"/>
      <c r="AC70" s="18"/>
      <c r="AD70" s="18"/>
      <c r="AE70" s="18"/>
      <c r="AF70" s="18"/>
      <c r="AG70" s="18"/>
      <c r="AH70" s="18"/>
      <c r="AI70" s="173"/>
      <c r="AJ70" s="18"/>
      <c r="AK70" s="18"/>
      <c r="AL70" s="18"/>
      <c r="AM70" s="173"/>
    </row>
    <row r="71" spans="23:39" x14ac:dyDescent="0.25">
      <c r="Y71" s="18"/>
      <c r="Z71" s="18"/>
      <c r="AA71" s="18"/>
      <c r="AB71" s="18"/>
      <c r="AC71" s="18"/>
      <c r="AD71" s="18"/>
      <c r="AE71" s="18"/>
      <c r="AF71" s="18"/>
      <c r="AG71" s="18"/>
      <c r="AH71" s="18"/>
      <c r="AI71" s="173"/>
      <c r="AJ71" s="18"/>
      <c r="AK71" s="18"/>
      <c r="AL71" s="18"/>
      <c r="AM71" s="173"/>
    </row>
    <row r="72" spans="23:39" x14ac:dyDescent="0.25">
      <c r="W72" s="47"/>
      <c r="AC72" s="13"/>
      <c r="AG72" s="13"/>
      <c r="AK72" s="13"/>
    </row>
    <row r="73" spans="23:39" x14ac:dyDescent="0.25">
      <c r="Z73" s="13"/>
      <c r="AA73" s="13"/>
      <c r="AB73" s="13"/>
      <c r="AC73" s="13"/>
      <c r="AD73" s="13"/>
      <c r="AE73" s="13"/>
      <c r="AF73" s="13"/>
      <c r="AG73" s="13"/>
      <c r="AH73" s="13"/>
      <c r="AI73" s="172"/>
      <c r="AJ73" s="13"/>
      <c r="AK73" s="13"/>
      <c r="AL73" s="13"/>
      <c r="AM73" s="172"/>
    </row>
    <row r="74" spans="23:39" x14ac:dyDescent="0.25">
      <c r="X74" s="17"/>
      <c r="Y74" s="17"/>
      <c r="Z74" s="17"/>
      <c r="AA74" s="17"/>
      <c r="AB74" s="18"/>
      <c r="AC74" s="18"/>
      <c r="AD74" s="18"/>
      <c r="AE74" s="18"/>
      <c r="AF74" s="18"/>
      <c r="AG74" s="18"/>
      <c r="AH74" s="18"/>
      <c r="AI74" s="173"/>
      <c r="AJ74" s="18"/>
      <c r="AK74" s="18"/>
      <c r="AL74" s="18"/>
      <c r="AM74" s="173"/>
    </row>
    <row r="75" spans="23:39" x14ac:dyDescent="0.25">
      <c r="Y75" s="18"/>
      <c r="Z75" s="18"/>
      <c r="AA75" s="18"/>
      <c r="AB75" s="18"/>
      <c r="AC75" s="18"/>
      <c r="AD75" s="18"/>
      <c r="AE75" s="18"/>
      <c r="AF75" s="18"/>
      <c r="AG75" s="18"/>
      <c r="AH75" s="18"/>
      <c r="AI75" s="173"/>
      <c r="AJ75" s="18"/>
      <c r="AK75" s="18"/>
      <c r="AL75" s="18"/>
      <c r="AM75" s="173"/>
    </row>
    <row r="76" spans="23:39" x14ac:dyDescent="0.25">
      <c r="Z76" s="13"/>
      <c r="AA76" s="13"/>
      <c r="AB76" s="13"/>
      <c r="AC76" s="13"/>
      <c r="AD76" s="13"/>
      <c r="AE76" s="13"/>
      <c r="AF76" s="13"/>
      <c r="AG76" s="13"/>
      <c r="AH76" s="13"/>
      <c r="AI76" s="172"/>
      <c r="AJ76" s="13"/>
      <c r="AK76" s="13"/>
      <c r="AL76" s="13"/>
      <c r="AM76" s="172"/>
    </row>
    <row r="77" spans="23:39" x14ac:dyDescent="0.25">
      <c r="X77" s="19"/>
      <c r="Y77" s="19"/>
      <c r="Z77" s="19"/>
      <c r="AA77" s="19"/>
      <c r="AB77" s="19"/>
      <c r="AC77" s="19"/>
      <c r="AD77" s="19"/>
      <c r="AE77" s="19"/>
      <c r="AF77" s="19"/>
      <c r="AG77" s="19"/>
      <c r="AH77" s="19"/>
      <c r="AI77" s="174"/>
      <c r="AJ77" s="19"/>
      <c r="AK77" s="19"/>
      <c r="AL77" s="19"/>
      <c r="AM77" s="174"/>
    </row>
    <row r="78" spans="23:39" x14ac:dyDescent="0.25">
      <c r="Z78" s="13"/>
      <c r="AA78" s="13"/>
      <c r="AB78" s="13"/>
      <c r="AC78" s="13"/>
      <c r="AD78" s="13"/>
      <c r="AE78" s="13"/>
      <c r="AF78" s="13"/>
      <c r="AG78" s="13"/>
      <c r="AH78" s="13"/>
      <c r="AI78" s="172"/>
      <c r="AJ78" s="13"/>
      <c r="AK78" s="13"/>
      <c r="AL78" s="13"/>
      <c r="AM78" s="172"/>
    </row>
    <row r="79" spans="23:39" x14ac:dyDescent="0.25">
      <c r="Z79" s="19"/>
      <c r="AA79" s="19"/>
      <c r="AB79" s="19"/>
      <c r="AC79" s="19"/>
      <c r="AD79" s="19"/>
      <c r="AE79" s="19"/>
      <c r="AF79" s="19"/>
      <c r="AG79" s="19"/>
      <c r="AH79" s="19"/>
      <c r="AI79" s="174"/>
      <c r="AJ79" s="19"/>
      <c r="AK79" s="19"/>
      <c r="AL79" s="19"/>
      <c r="AM79" s="174"/>
    </row>
  </sheetData>
  <mergeCells count="3">
    <mergeCell ref="AP2:AT2"/>
    <mergeCell ref="AU2:AY2"/>
    <mergeCell ref="B13:H13"/>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71BD-A4AE-4545-954F-7DFD19E06DE9}">
  <sheetPr>
    <tabColor rgb="FF92D050"/>
  </sheetPr>
  <dimension ref="A1:AY69"/>
  <sheetViews>
    <sheetView topLeftCell="Z7" zoomScale="85" zoomScaleNormal="85" workbookViewId="0">
      <selection activeCell="AI28" sqref="AI28"/>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8" width="12" style="12" customWidth="1"/>
    <col min="39" max="40" width="8.85546875" style="12"/>
    <col min="41" max="41" width="14.28515625" style="50" bestFit="1" customWidth="1"/>
    <col min="42" max="16384" width="8.85546875" style="50"/>
  </cols>
  <sheetData>
    <row r="1" spans="1:51" ht="15.75" thickBot="1" x14ac:dyDescent="0.3">
      <c r="W1" s="20" t="s">
        <v>194</v>
      </c>
      <c r="X1" s="59">
        <f>+'Valuation Sheet'!C13</f>
        <v>17.899999999999999</v>
      </c>
    </row>
    <row r="2" spans="1:51"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383</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c r="AL2" s="11" t="s">
        <v>1018</v>
      </c>
      <c r="AO2" s="71" t="str">
        <f>+W2</f>
        <v>JAT</v>
      </c>
      <c r="AP2" s="189" t="s">
        <v>190</v>
      </c>
      <c r="AQ2" s="190"/>
      <c r="AR2" s="190"/>
      <c r="AS2" s="190"/>
      <c r="AT2" s="191"/>
      <c r="AU2" s="192" t="s">
        <v>191</v>
      </c>
      <c r="AV2" s="192"/>
      <c r="AW2" s="192"/>
      <c r="AX2" s="192"/>
      <c r="AY2" s="192"/>
    </row>
    <row r="3" spans="1:51" ht="18" thickTop="1" thickBot="1" x14ac:dyDescent="0.4">
      <c r="B3" s="25" t="s">
        <v>10</v>
      </c>
      <c r="C3" s="26">
        <v>17820.179</v>
      </c>
      <c r="D3" s="26"/>
      <c r="E3" s="26"/>
      <c r="F3" s="26"/>
      <c r="G3" s="26"/>
      <c r="H3" s="26"/>
      <c r="I3" s="27"/>
      <c r="J3" s="21"/>
      <c r="M3" s="1" t="s">
        <v>11</v>
      </c>
      <c r="N3" s="2">
        <f>'[1]LT Portfolio'!W294</f>
        <v>0</v>
      </c>
      <c r="W3" s="12" t="s">
        <v>62</v>
      </c>
      <c r="X3" s="13"/>
      <c r="Y3" s="13"/>
      <c r="Z3" s="13"/>
      <c r="AA3" s="13"/>
      <c r="AB3" s="13"/>
      <c r="AC3" s="13">
        <v>2302721.9449999998</v>
      </c>
      <c r="AD3" s="13">
        <v>3465047.1179999998</v>
      </c>
      <c r="AE3" s="13">
        <v>1935037.3740000001</v>
      </c>
      <c r="AF3" s="13">
        <v>2456773.8429999999</v>
      </c>
      <c r="AG3" s="13">
        <v>2552879.3960000002</v>
      </c>
      <c r="AH3" s="13">
        <v>3222636.3220000002</v>
      </c>
      <c r="AI3" s="13">
        <v>2137381.534</v>
      </c>
      <c r="AJ3" s="13">
        <v>2740546.32</v>
      </c>
      <c r="AK3" s="13">
        <v>3009495.3840000001</v>
      </c>
      <c r="AL3" s="13">
        <v>3673053.0959999999</v>
      </c>
      <c r="AO3" s="69"/>
      <c r="AP3" s="66" t="s">
        <v>78</v>
      </c>
      <c r="AQ3" s="67" t="s">
        <v>17</v>
      </c>
      <c r="AR3" s="67" t="s">
        <v>184</v>
      </c>
      <c r="AS3" s="67" t="s">
        <v>29</v>
      </c>
      <c r="AT3" s="68" t="s">
        <v>30</v>
      </c>
      <c r="AU3" s="66" t="s">
        <v>78</v>
      </c>
      <c r="AV3" s="67" t="s">
        <v>17</v>
      </c>
      <c r="AW3" s="67" t="s">
        <v>184</v>
      </c>
      <c r="AX3" s="67" t="s">
        <v>29</v>
      </c>
      <c r="AY3" s="68" t="s">
        <v>30</v>
      </c>
    </row>
    <row r="4" spans="1:51"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L4" si="1">+AB3/X3-1</f>
        <v>#DIV/0!</v>
      </c>
      <c r="AC4" s="18" t="e">
        <f t="shared" si="1"/>
        <v>#DIV/0!</v>
      </c>
      <c r="AD4" s="18" t="e">
        <f t="shared" si="1"/>
        <v>#DIV/0!</v>
      </c>
      <c r="AE4" s="18" t="e">
        <f t="shared" si="1"/>
        <v>#DIV/0!</v>
      </c>
      <c r="AF4" s="18" t="e">
        <f t="shared" si="1"/>
        <v>#DIV/0!</v>
      </c>
      <c r="AG4" s="18">
        <f t="shared" si="1"/>
        <v>0.10863554392365016</v>
      </c>
      <c r="AH4" s="18">
        <f t="shared" si="1"/>
        <v>-6.9958874365875112E-2</v>
      </c>
      <c r="AI4" s="18">
        <f t="shared" si="1"/>
        <v>0.10456860560875136</v>
      </c>
      <c r="AJ4" s="18">
        <f t="shared" si="1"/>
        <v>0.11550614551214911</v>
      </c>
      <c r="AK4" s="18">
        <f t="shared" si="1"/>
        <v>0.17886312558104089</v>
      </c>
      <c r="AL4" s="18">
        <f t="shared" si="1"/>
        <v>0.13976655414858197</v>
      </c>
      <c r="AM4" s="46"/>
      <c r="AO4" s="69" t="s">
        <v>185</v>
      </c>
      <c r="AP4" s="60"/>
      <c r="AQ4" s="61"/>
      <c r="AR4" s="61"/>
      <c r="AS4" s="74"/>
      <c r="AT4" s="64"/>
      <c r="AU4" s="60"/>
      <c r="AV4" s="61"/>
      <c r="AW4" s="61"/>
      <c r="AX4" s="58"/>
      <c r="AY4" s="64"/>
    </row>
    <row r="5" spans="1:51"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L5" si="2">+Y3/X3-1</f>
        <v>#DIV/0!</v>
      </c>
      <c r="Z5" s="18" t="e">
        <f t="shared" si="2"/>
        <v>#DIV/0!</v>
      </c>
      <c r="AA5" s="18" t="e">
        <f t="shared" si="2"/>
        <v>#DIV/0!</v>
      </c>
      <c r="AB5" s="18" t="e">
        <f t="shared" si="2"/>
        <v>#DIV/0!</v>
      </c>
      <c r="AC5" s="18" t="e">
        <f t="shared" si="2"/>
        <v>#DIV/0!</v>
      </c>
      <c r="AD5" s="18">
        <f t="shared" si="2"/>
        <v>0.50476140878572284</v>
      </c>
      <c r="AE5" s="18">
        <f t="shared" si="2"/>
        <v>-0.44155524929286105</v>
      </c>
      <c r="AF5" s="18">
        <f t="shared" si="2"/>
        <v>0.26962604237534471</v>
      </c>
      <c r="AG5" s="18">
        <f t="shared" si="2"/>
        <v>3.911859989629507E-2</v>
      </c>
      <c r="AH5" s="18">
        <f t="shared" si="2"/>
        <v>0.262353531878323</v>
      </c>
      <c r="AI5" s="18">
        <f t="shared" si="2"/>
        <v>-0.33675993179599006</v>
      </c>
      <c r="AJ5" s="18">
        <f t="shared" si="2"/>
        <v>0.28219799619546992</v>
      </c>
      <c r="AK5" s="18">
        <f t="shared" si="2"/>
        <v>9.8137025467243344E-2</v>
      </c>
      <c r="AL5" s="18">
        <f t="shared" si="2"/>
        <v>0.22048803115891391</v>
      </c>
      <c r="AO5" s="69" t="s">
        <v>186</v>
      </c>
      <c r="AP5" s="60"/>
      <c r="AQ5" s="61"/>
      <c r="AR5" s="61"/>
      <c r="AS5" s="58"/>
      <c r="AT5" s="64"/>
      <c r="AU5" s="60"/>
      <c r="AV5" s="61"/>
      <c r="AW5" s="61"/>
      <c r="AX5" s="58"/>
      <c r="AY5" s="64"/>
    </row>
    <row r="6" spans="1:51"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O6" s="69" t="s">
        <v>187</v>
      </c>
      <c r="AP6" s="60"/>
      <c r="AQ6" s="61"/>
      <c r="AR6" s="61"/>
      <c r="AS6" s="58"/>
      <c r="AT6" s="64"/>
      <c r="AU6" s="60"/>
      <c r="AV6" s="61"/>
      <c r="AW6" s="61"/>
      <c r="AX6" s="58"/>
      <c r="AY6" s="64"/>
    </row>
    <row r="7" spans="1:51"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K7" s="13"/>
      <c r="AL7" s="13"/>
      <c r="AO7" s="69" t="s">
        <v>188</v>
      </c>
      <c r="AP7" s="60"/>
      <c r="AQ7" s="61"/>
      <c r="AR7" s="61"/>
      <c r="AS7" s="74"/>
      <c r="AT7" s="64"/>
      <c r="AU7" s="60"/>
      <c r="AV7" s="61"/>
      <c r="AW7" s="61"/>
      <c r="AX7" s="58"/>
      <c r="AY7" s="64"/>
    </row>
    <row r="8" spans="1:51"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L8" si="5">+AB7/X7-1</f>
        <v>#DIV/0!</v>
      </c>
      <c r="AC8" s="18" t="e">
        <f t="shared" si="5"/>
        <v>#DIV/0!</v>
      </c>
      <c r="AD8" s="18" t="e">
        <f t="shared" si="5"/>
        <v>#DIV/0!</v>
      </c>
      <c r="AE8" s="18" t="e">
        <f t="shared" si="5"/>
        <v>#DIV/0!</v>
      </c>
      <c r="AF8" s="18" t="e">
        <f t="shared" si="5"/>
        <v>#DIV/0!</v>
      </c>
      <c r="AG8" s="18" t="e">
        <f t="shared" si="5"/>
        <v>#DIV/0!</v>
      </c>
      <c r="AH8" s="18" t="e">
        <f t="shared" si="5"/>
        <v>#DIV/0!</v>
      </c>
      <c r="AI8" s="18" t="e">
        <f t="shared" si="5"/>
        <v>#DIV/0!</v>
      </c>
      <c r="AJ8" s="18" t="e">
        <f t="shared" si="5"/>
        <v>#DIV/0!</v>
      </c>
      <c r="AK8" s="18" t="e">
        <f t="shared" si="5"/>
        <v>#DIV/0!</v>
      </c>
      <c r="AL8" s="18" t="e">
        <f t="shared" si="5"/>
        <v>#DIV/0!</v>
      </c>
      <c r="AO8" s="69" t="s">
        <v>197</v>
      </c>
      <c r="AP8" s="60"/>
      <c r="AQ8" s="61"/>
      <c r="AR8" s="61"/>
      <c r="AS8" s="58"/>
      <c r="AT8" s="64"/>
      <c r="AU8" s="60"/>
      <c r="AV8" s="61"/>
      <c r="AW8" s="61"/>
      <c r="AX8" s="58"/>
      <c r="AY8" s="64"/>
    </row>
    <row r="9" spans="1:51"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L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8" t="e">
        <f t="shared" si="6"/>
        <v>#DIV/0!</v>
      </c>
      <c r="AJ9" s="18" t="e">
        <f t="shared" si="6"/>
        <v>#DIV/0!</v>
      </c>
      <c r="AK9" s="18" t="e">
        <f t="shared" si="6"/>
        <v>#DIV/0!</v>
      </c>
      <c r="AL9" s="18" t="e">
        <f t="shared" si="6"/>
        <v>#DIV/0!</v>
      </c>
      <c r="AO9" s="69" t="s">
        <v>195</v>
      </c>
      <c r="AP9" s="60"/>
      <c r="AQ9" s="61"/>
      <c r="AR9" s="61"/>
      <c r="AS9" s="74"/>
      <c r="AT9" s="64"/>
      <c r="AU9" s="60"/>
      <c r="AV9" s="61"/>
      <c r="AW9" s="61"/>
      <c r="AX9" s="58"/>
      <c r="AY9" s="64"/>
    </row>
    <row r="10" spans="1:51"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O10" s="69" t="s">
        <v>376</v>
      </c>
      <c r="AP10" s="60"/>
      <c r="AQ10" s="61"/>
      <c r="AR10" s="61"/>
      <c r="AS10" s="58"/>
      <c r="AT10" s="64"/>
      <c r="AU10" s="60"/>
      <c r="AV10" s="61"/>
      <c r="AW10" s="61"/>
      <c r="AX10" s="58"/>
      <c r="AY10" s="64"/>
    </row>
    <row r="11" spans="1:51" ht="18" thickTop="1" thickBot="1" x14ac:dyDescent="0.4">
      <c r="B11" s="28" t="s">
        <v>25</v>
      </c>
      <c r="C11" s="30">
        <f t="shared" ref="C11:G11" si="7">C10/C$3*100</f>
        <v>12.180949473066461</v>
      </c>
      <c r="D11" s="30" t="e">
        <f t="shared" si="7"/>
        <v>#DIV/0!</v>
      </c>
      <c r="E11" s="30" t="e">
        <f t="shared" si="7"/>
        <v>#DIV/0!</v>
      </c>
      <c r="F11" s="30" t="e">
        <f t="shared" si="7"/>
        <v>#DIV/0!</v>
      </c>
      <c r="G11" s="30" t="e">
        <f t="shared" si="7"/>
        <v>#DIV/0!</v>
      </c>
      <c r="H11" s="30" t="e">
        <f>H10/H$3*100</f>
        <v>#DIV/0!</v>
      </c>
      <c r="I11" s="31" t="e">
        <f>I10/I$3*100</f>
        <v>#DIV/0!</v>
      </c>
      <c r="J11" s="23" t="e">
        <f>AVERAGE(D11:I11)</f>
        <v>#DIV/0!</v>
      </c>
      <c r="M11" s="1" t="s">
        <v>26</v>
      </c>
      <c r="N11" s="3">
        <f>'[1]LT Portfolio'!T294</f>
        <v>0</v>
      </c>
      <c r="O11" s="4" t="e">
        <f>N11/N7-1</f>
        <v>#DIV/0!</v>
      </c>
      <c r="W11" s="12" t="s">
        <v>42</v>
      </c>
      <c r="X11" s="13"/>
      <c r="Y11" s="13"/>
      <c r="Z11" s="13"/>
      <c r="AA11" s="13"/>
      <c r="AB11" s="13"/>
      <c r="AC11" s="13">
        <v>677041.32400000002</v>
      </c>
      <c r="AD11" s="13">
        <v>1011910.9080000001</v>
      </c>
      <c r="AE11" s="13">
        <v>525581.26500000001</v>
      </c>
      <c r="AF11" s="13">
        <v>857330.98800000001</v>
      </c>
      <c r="AG11" s="13">
        <v>1026537.826</v>
      </c>
      <c r="AH11" s="13">
        <v>1014380.916</v>
      </c>
      <c r="AI11" s="13">
        <v>623353.17200000002</v>
      </c>
      <c r="AJ11" s="13">
        <v>793390.12800000003</v>
      </c>
      <c r="AK11" s="13">
        <v>877759.39099999995</v>
      </c>
      <c r="AL11" s="13">
        <v>1098174.6780000001</v>
      </c>
      <c r="AO11" s="70" t="s">
        <v>192</v>
      </c>
      <c r="AP11" s="62" t="e">
        <f>+AVERAGE(AP4:AP10)</f>
        <v>#DIV/0!</v>
      </c>
      <c r="AQ11" s="63" t="e">
        <f t="shared" ref="AQ11:AY11" si="8">+AVERAGE(AQ4:AQ10)</f>
        <v>#DIV/0!</v>
      </c>
      <c r="AR11" s="63" t="e">
        <f t="shared" si="8"/>
        <v>#DIV/0!</v>
      </c>
      <c r="AS11" s="72" t="e">
        <f t="shared" si="8"/>
        <v>#DIV/0!</v>
      </c>
      <c r="AT11" s="65" t="e">
        <f t="shared" si="8"/>
        <v>#DIV/0!</v>
      </c>
      <c r="AU11" s="62" t="e">
        <f t="shared" si="8"/>
        <v>#DIV/0!</v>
      </c>
      <c r="AV11" s="63" t="e">
        <f t="shared" si="8"/>
        <v>#DIV/0!</v>
      </c>
      <c r="AW11" s="63" t="e">
        <f t="shared" si="8"/>
        <v>#DIV/0!</v>
      </c>
      <c r="AX11" s="72" t="e">
        <f t="shared" si="8"/>
        <v>#DIV/0!</v>
      </c>
      <c r="AY11" s="65" t="e">
        <f t="shared" si="8"/>
        <v>#DIV/0!</v>
      </c>
    </row>
    <row r="12" spans="1:51" ht="18" thickTop="1" thickBot="1" x14ac:dyDescent="0.4">
      <c r="B12" s="28" t="s">
        <v>27</v>
      </c>
      <c r="C12" s="29"/>
      <c r="D12" s="30">
        <f t="shared" ref="D12:I12" si="9">(D10/C10-1)*100</f>
        <v>-100</v>
      </c>
      <c r="E12" s="30" t="e">
        <f t="shared" si="9"/>
        <v>#DIV/0!</v>
      </c>
      <c r="F12" s="30" t="e">
        <f t="shared" si="9"/>
        <v>#DIV/0!</v>
      </c>
      <c r="G12" s="30" t="e">
        <f t="shared" si="9"/>
        <v>#DIV/0!</v>
      </c>
      <c r="H12" s="30" t="e">
        <f t="shared" si="9"/>
        <v>#DIV/0!</v>
      </c>
      <c r="I12" s="31" t="e">
        <f t="shared" si="9"/>
        <v>#DIV/0!</v>
      </c>
      <c r="J12" s="23" t="e">
        <f>AVERAGE(D12:I12)</f>
        <v>#DIV/0!</v>
      </c>
      <c r="S12" t="s">
        <v>20</v>
      </c>
      <c r="T12" t="s">
        <v>22</v>
      </c>
      <c r="W12" s="12" t="s">
        <v>43</v>
      </c>
      <c r="X12" s="19" t="e">
        <f t="shared" ref="X12:AJ12" si="10">+X11/X3</f>
        <v>#DIV/0!</v>
      </c>
      <c r="Y12" s="19" t="e">
        <f t="shared" si="10"/>
        <v>#DIV/0!</v>
      </c>
      <c r="Z12" s="19" t="e">
        <f t="shared" si="10"/>
        <v>#DIV/0!</v>
      </c>
      <c r="AA12" s="19" t="e">
        <f t="shared" si="10"/>
        <v>#DIV/0!</v>
      </c>
      <c r="AB12" s="19" t="e">
        <f t="shared" si="10"/>
        <v>#DIV/0!</v>
      </c>
      <c r="AC12" s="19">
        <f t="shared" si="10"/>
        <v>0.29401783635670353</v>
      </c>
      <c r="AD12" s="19">
        <f t="shared" si="10"/>
        <v>0.29203380893246489</v>
      </c>
      <c r="AE12" s="19">
        <f t="shared" si="10"/>
        <v>0.27161297867521189</v>
      </c>
      <c r="AF12" s="19">
        <f t="shared" si="10"/>
        <v>0.34896618198812368</v>
      </c>
      <c r="AG12" s="19">
        <f t="shared" si="10"/>
        <v>0.40210980103816857</v>
      </c>
      <c r="AH12" s="19">
        <f t="shared" si="10"/>
        <v>0.31476741854956353</v>
      </c>
      <c r="AI12" s="19">
        <f t="shared" si="10"/>
        <v>0.29164337863134177</v>
      </c>
      <c r="AJ12" s="19">
        <f t="shared" si="10"/>
        <v>0.2895007182363552</v>
      </c>
      <c r="AK12" s="19">
        <f t="shared" ref="AK12:AL12" si="11">+AK11/AK3</f>
        <v>0.29166331195143641</v>
      </c>
      <c r="AL12" s="19">
        <f t="shared" si="11"/>
        <v>0.29898143296537855</v>
      </c>
      <c r="AO12" s="12"/>
      <c r="AP12" s="12"/>
      <c r="AQ12" s="12"/>
      <c r="AR12" s="12"/>
      <c r="AS12" s="12"/>
      <c r="AT12" s="12"/>
      <c r="AU12" s="12"/>
      <c r="AV12" s="12"/>
      <c r="AW12" s="12"/>
      <c r="AX12" s="12"/>
      <c r="AY12" s="12"/>
    </row>
    <row r="13" spans="1:51"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c r="AN13" s="12"/>
      <c r="AO13" s="12" t="s">
        <v>193</v>
      </c>
      <c r="AP13" s="12"/>
      <c r="AQ13" s="12"/>
      <c r="AR13" s="12"/>
      <c r="AS13" s="58" t="e">
        <f>+$X$1/AS11</f>
        <v>#DIV/0!</v>
      </c>
      <c r="AT13" s="75" t="e">
        <f>+AT11/$X$1</f>
        <v>#DIV/0!</v>
      </c>
      <c r="AU13" s="12"/>
      <c r="AV13" s="12"/>
      <c r="AW13" s="12"/>
      <c r="AX13" s="58" t="e">
        <f>+$X$1/AX11</f>
        <v>#DIV/0!</v>
      </c>
      <c r="AY13" s="75" t="e">
        <f>+AY11/$X$1</f>
        <v>#DIV/0!</v>
      </c>
    </row>
    <row r="14" spans="1:51"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c r="Y14" s="13"/>
      <c r="Z14" s="13"/>
      <c r="AA14" s="13"/>
      <c r="AB14" s="13"/>
      <c r="AC14" s="13">
        <v>339582.28399999999</v>
      </c>
      <c r="AD14" s="13">
        <v>404669.94</v>
      </c>
      <c r="AE14" s="13">
        <v>280214.90399999998</v>
      </c>
      <c r="AF14" s="13">
        <v>539125.78599999996</v>
      </c>
      <c r="AG14" s="13">
        <v>582065.06400000001</v>
      </c>
      <c r="AH14" s="13">
        <v>547632.47199999995</v>
      </c>
      <c r="AI14" s="13">
        <v>224662.69899999999</v>
      </c>
      <c r="AJ14" s="13">
        <v>293763.989</v>
      </c>
      <c r="AK14" s="13">
        <v>353033.55099999998</v>
      </c>
      <c r="AL14" s="13">
        <v>495062.40600000002</v>
      </c>
    </row>
    <row r="15" spans="1:51" ht="18" thickTop="1" thickBot="1" x14ac:dyDescent="0.4">
      <c r="B15" s="32" t="s">
        <v>30</v>
      </c>
      <c r="C15" s="34">
        <f>1+0.6</f>
        <v>1.6</v>
      </c>
      <c r="D15" s="34"/>
      <c r="E15" s="34"/>
      <c r="F15" s="34"/>
      <c r="G15" s="34"/>
      <c r="H15" s="34"/>
      <c r="I15" s="35"/>
      <c r="J15" s="24"/>
      <c r="R15" s="6"/>
      <c r="S15" s="6"/>
      <c r="W15" s="12" t="s">
        <v>55</v>
      </c>
      <c r="X15" s="19" t="e">
        <f t="shared" ref="X15:AJ15" si="12">+X14/X3</f>
        <v>#DIV/0!</v>
      </c>
      <c r="Y15" s="19" t="e">
        <f t="shared" si="12"/>
        <v>#DIV/0!</v>
      </c>
      <c r="Z15" s="19" t="e">
        <f t="shared" si="12"/>
        <v>#DIV/0!</v>
      </c>
      <c r="AA15" s="19" t="e">
        <f t="shared" si="12"/>
        <v>#DIV/0!</v>
      </c>
      <c r="AB15" s="19" t="e">
        <f t="shared" si="12"/>
        <v>#DIV/0!</v>
      </c>
      <c r="AC15" s="19">
        <f t="shared" si="12"/>
        <v>0.14746994735397809</v>
      </c>
      <c r="AD15" s="19">
        <f t="shared" si="12"/>
        <v>0.11678627338077081</v>
      </c>
      <c r="AE15" s="19">
        <f t="shared" si="12"/>
        <v>0.14481110688872925</v>
      </c>
      <c r="AF15" s="19">
        <f t="shared" si="12"/>
        <v>0.21944461332332738</v>
      </c>
      <c r="AG15" s="19">
        <f t="shared" si="12"/>
        <v>0.22800335374715053</v>
      </c>
      <c r="AH15" s="19">
        <f t="shared" si="12"/>
        <v>0.16993306637223457</v>
      </c>
      <c r="AI15" s="19">
        <f t="shared" si="12"/>
        <v>0.10511118180176061</v>
      </c>
      <c r="AJ15" s="19">
        <f t="shared" si="12"/>
        <v>0.10719176204254049</v>
      </c>
      <c r="AK15" s="19">
        <f t="shared" ref="AK15:AL15" si="13">+AK14/AK3</f>
        <v>0.11730656005551793</v>
      </c>
      <c r="AL15" s="19">
        <f t="shared" si="13"/>
        <v>0.13478226234712726</v>
      </c>
    </row>
    <row r="16" spans="1:51" ht="18" thickTop="1" thickBot="1" x14ac:dyDescent="0.4">
      <c r="B16" s="32" t="s">
        <v>8</v>
      </c>
      <c r="C16" s="34">
        <v>31.7</v>
      </c>
      <c r="D16" s="34"/>
      <c r="E16" s="34"/>
      <c r="F16" s="34"/>
      <c r="G16" s="34"/>
      <c r="H16" s="34"/>
      <c r="I16" s="35"/>
      <c r="J16" s="22" t="e">
        <f>((I16/D16)^(1/5)-1)*100</f>
        <v>#DIV/0!</v>
      </c>
    </row>
    <row r="17" spans="2:38" ht="18" thickTop="1" thickBot="1" x14ac:dyDescent="0.4">
      <c r="B17" s="32" t="s">
        <v>31</v>
      </c>
      <c r="C17" s="34">
        <v>14.6</v>
      </c>
      <c r="D17" s="34"/>
      <c r="E17" s="34"/>
      <c r="F17" s="34"/>
      <c r="G17" s="34"/>
      <c r="H17" s="34"/>
      <c r="I17" s="35"/>
      <c r="J17" s="22" t="e">
        <f>((I17/D17)^(1/6)-1)*100</f>
        <v>#DIV/0!</v>
      </c>
      <c r="W17" s="12" t="s">
        <v>44</v>
      </c>
      <c r="X17" s="13"/>
      <c r="Y17" s="13"/>
      <c r="Z17" s="13"/>
      <c r="AA17" s="13"/>
      <c r="AB17" s="13"/>
      <c r="AC17" s="13">
        <v>-20359.650000000001</v>
      </c>
      <c r="AD17" s="13">
        <f>-7393.311+98560.061</f>
        <v>91166.75</v>
      </c>
      <c r="AE17" s="13">
        <f>-96726.245+15277.903</f>
        <v>-81448.34199999999</v>
      </c>
      <c r="AF17" s="13">
        <f>-61982.984+31363.41</f>
        <v>-30619.573999999997</v>
      </c>
      <c r="AG17" s="13">
        <v>-126720.693</v>
      </c>
      <c r="AH17" s="13">
        <f>-306032.396+56901.116</f>
        <v>-249131.28</v>
      </c>
      <c r="AI17" s="13">
        <f>-137903.65+16210.792</f>
        <v>-121692.85799999999</v>
      </c>
      <c r="AJ17" s="13">
        <f>-17298.882+39593.201</f>
        <v>22294.319</v>
      </c>
      <c r="AK17" s="13">
        <f>-54722.244+39515.02</f>
        <v>-15207.224000000002</v>
      </c>
      <c r="AL17" s="13">
        <f>-55669.408+20996.04</f>
        <v>-34673.368000000002</v>
      </c>
    </row>
    <row r="18" spans="2:38" ht="18" thickTop="1" thickBot="1" x14ac:dyDescent="0.4">
      <c r="B18" s="32" t="s">
        <v>32</v>
      </c>
      <c r="C18" s="36">
        <f t="shared" ref="C18:G18" si="14">C14/AVERAGE(B17:C17)*100</f>
        <v>22.19178082191781</v>
      </c>
      <c r="D18" s="36">
        <f t="shared" si="14"/>
        <v>0</v>
      </c>
      <c r="E18" s="36" t="e">
        <f t="shared" si="14"/>
        <v>#DIV/0!</v>
      </c>
      <c r="F18" s="36" t="e">
        <f t="shared" si="14"/>
        <v>#DIV/0!</v>
      </c>
      <c r="G18" s="36" t="e">
        <f t="shared" si="14"/>
        <v>#DIV/0!</v>
      </c>
      <c r="H18" s="36" t="e">
        <f>H14/AVERAGE(G17:H17)*100</f>
        <v>#DIV/0!</v>
      </c>
      <c r="I18" s="37" t="e">
        <f>I14/AVERAGE(H17:I17)*100</f>
        <v>#DIV/0!</v>
      </c>
      <c r="J18" s="23" t="e">
        <f>AVERAGE(D18:I18)</f>
        <v>#DIV/0!</v>
      </c>
      <c r="M18" s="9" t="s">
        <v>33</v>
      </c>
      <c r="N18" s="6"/>
      <c r="O18" s="6"/>
      <c r="P18" s="6"/>
      <c r="Q18" s="6"/>
      <c r="W18" s="12" t="s">
        <v>45</v>
      </c>
      <c r="X18" s="15" t="e">
        <f t="shared" ref="X18:AJ18" si="15">+X17/X14</f>
        <v>#DIV/0!</v>
      </c>
      <c r="Y18" s="15" t="e">
        <f t="shared" si="15"/>
        <v>#DIV/0!</v>
      </c>
      <c r="Z18" s="15" t="e">
        <f t="shared" si="15"/>
        <v>#DIV/0!</v>
      </c>
      <c r="AA18" s="15" t="e">
        <f t="shared" si="15"/>
        <v>#DIV/0!</v>
      </c>
      <c r="AB18" s="15" t="e">
        <f t="shared" si="15"/>
        <v>#DIV/0!</v>
      </c>
      <c r="AC18" s="15">
        <f t="shared" si="15"/>
        <v>-5.9954982810587379E-2</v>
      </c>
      <c r="AD18" s="15">
        <f t="shared" si="15"/>
        <v>0.22528668672548299</v>
      </c>
      <c r="AE18" s="15">
        <f t="shared" si="15"/>
        <v>-0.29066384705932702</v>
      </c>
      <c r="AF18" s="15">
        <f t="shared" si="15"/>
        <v>-5.6794860856460683E-2</v>
      </c>
      <c r="AG18" s="15">
        <f t="shared" si="15"/>
        <v>-0.21770881098612027</v>
      </c>
      <c r="AH18" s="15">
        <f t="shared" si="15"/>
        <v>-0.45492422881746142</v>
      </c>
      <c r="AI18" s="15">
        <f t="shared" si="15"/>
        <v>-0.54166917134739845</v>
      </c>
      <c r="AJ18" s="15">
        <f t="shared" si="15"/>
        <v>7.5891939906902614E-2</v>
      </c>
      <c r="AK18" s="15">
        <f t="shared" ref="AK18:AL18" si="16">+AK17/AK14</f>
        <v>-4.3075860515025106E-2</v>
      </c>
      <c r="AL18" s="15">
        <f t="shared" si="16"/>
        <v>-7.0038378151460773E-2</v>
      </c>
    </row>
    <row r="19" spans="2:38" ht="18" thickTop="1" thickBot="1" x14ac:dyDescent="0.4">
      <c r="B19" s="32" t="s">
        <v>34</v>
      </c>
      <c r="C19" s="30">
        <f t="shared" ref="C19:G19" si="17">C15/C16*100</f>
        <v>5.0473186119873823</v>
      </c>
      <c r="D19" s="30" t="e">
        <f t="shared" si="17"/>
        <v>#DIV/0!</v>
      </c>
      <c r="E19" s="30" t="e">
        <f t="shared" si="17"/>
        <v>#DIV/0!</v>
      </c>
      <c r="F19" s="30" t="e">
        <f t="shared" si="17"/>
        <v>#DIV/0!</v>
      </c>
      <c r="G19" s="30" t="e">
        <f t="shared" si="17"/>
        <v>#DIV/0!</v>
      </c>
      <c r="H19" s="30" t="e">
        <f>H15/H16*100</f>
        <v>#DIV/0!</v>
      </c>
      <c r="I19" s="31" t="e">
        <f>I15/I16*100</f>
        <v>#DIV/0!</v>
      </c>
      <c r="J19" s="23" t="e">
        <f>AVERAGE(D19:I19)</f>
        <v>#DIV/0!</v>
      </c>
    </row>
    <row r="20" spans="2:38" ht="18" thickTop="1" thickBot="1" x14ac:dyDescent="0.4">
      <c r="B20" s="32" t="s">
        <v>35</v>
      </c>
      <c r="C20" s="30">
        <f t="shared" ref="C20:G20" si="18">C15/C14*100</f>
        <v>49.382716049382715</v>
      </c>
      <c r="D20" s="30" t="e">
        <f t="shared" si="18"/>
        <v>#DIV/0!</v>
      </c>
      <c r="E20" s="30" t="e">
        <f t="shared" si="18"/>
        <v>#DIV/0!</v>
      </c>
      <c r="F20" s="30" t="e">
        <f t="shared" si="18"/>
        <v>#DIV/0!</v>
      </c>
      <c r="G20" s="30" t="e">
        <f t="shared" si="18"/>
        <v>#DIV/0!</v>
      </c>
      <c r="H20" s="30" t="e">
        <f>H15/H14*100</f>
        <v>#DIV/0!</v>
      </c>
      <c r="I20" s="31" t="e">
        <f>I15/I14*100</f>
        <v>#DIV/0!</v>
      </c>
      <c r="J20" s="23" t="e">
        <f>AVERAGE(D20:I20)</f>
        <v>#DIV/0!</v>
      </c>
      <c r="M20" t="s">
        <v>36</v>
      </c>
      <c r="N20" s="4" t="e">
        <f>N13/H14-1</f>
        <v>#DIV/0!</v>
      </c>
      <c r="W20" s="12" t="s">
        <v>21</v>
      </c>
      <c r="X20" s="13"/>
      <c r="Y20" s="13"/>
      <c r="Z20" s="13"/>
      <c r="AA20" s="13"/>
      <c r="AB20" s="13"/>
      <c r="AC20" s="13">
        <v>338762.25</v>
      </c>
      <c r="AD20" s="13">
        <v>495836.69</v>
      </c>
      <c r="AE20" s="13">
        <v>198766.56200000001</v>
      </c>
      <c r="AF20" s="13">
        <v>508506.212</v>
      </c>
      <c r="AG20" s="13">
        <v>480229.82500000001</v>
      </c>
      <c r="AH20" s="13">
        <v>298501.19199999998</v>
      </c>
      <c r="AI20" s="13">
        <v>102969.841</v>
      </c>
      <c r="AJ20" s="13">
        <v>317225.09600000002</v>
      </c>
      <c r="AK20" s="13">
        <v>334672.07699999999</v>
      </c>
      <c r="AL20" s="13">
        <v>460389.03899999999</v>
      </c>
    </row>
    <row r="21" spans="2:38" ht="18" thickTop="1" thickBot="1" x14ac:dyDescent="0.4">
      <c r="B21" s="32" t="s">
        <v>11</v>
      </c>
      <c r="C21" s="38">
        <f t="shared" ref="C21:G21" si="19">C16/C14</f>
        <v>9.7839506172839492</v>
      </c>
      <c r="D21" s="38" t="e">
        <f t="shared" si="19"/>
        <v>#DIV/0!</v>
      </c>
      <c r="E21" s="38" t="e">
        <f t="shared" si="19"/>
        <v>#DIV/0!</v>
      </c>
      <c r="F21" s="38" t="e">
        <f t="shared" si="19"/>
        <v>#DIV/0!</v>
      </c>
      <c r="G21" s="38" t="e">
        <f t="shared" si="19"/>
        <v>#DIV/0!</v>
      </c>
      <c r="H21" s="38" t="e">
        <f>H16/H14</f>
        <v>#DIV/0!</v>
      </c>
      <c r="I21" s="39" t="e">
        <f>I16/I14</f>
        <v>#DIV/0!</v>
      </c>
      <c r="J21" s="23" t="e">
        <f>AVERAGE(D21:I21)</f>
        <v>#DIV/0!</v>
      </c>
      <c r="W21" s="12" t="s">
        <v>46</v>
      </c>
      <c r="X21" s="19" t="e">
        <f t="shared" ref="X21:AJ21" si="20">+X20/X3</f>
        <v>#DIV/0!</v>
      </c>
      <c r="Y21" s="19" t="e">
        <f t="shared" si="20"/>
        <v>#DIV/0!</v>
      </c>
      <c r="Z21" s="19" t="e">
        <f t="shared" si="20"/>
        <v>#DIV/0!</v>
      </c>
      <c r="AA21" s="19" t="e">
        <f t="shared" si="20"/>
        <v>#DIV/0!</v>
      </c>
      <c r="AB21" s="19" t="e">
        <f t="shared" si="20"/>
        <v>#DIV/0!</v>
      </c>
      <c r="AC21" s="19">
        <f t="shared" si="20"/>
        <v>0.14711383227817373</v>
      </c>
      <c r="AD21" s="19">
        <f t="shared" si="20"/>
        <v>0.14309666596574114</v>
      </c>
      <c r="AE21" s="19">
        <f t="shared" si="20"/>
        <v>0.10271975346353181</v>
      </c>
      <c r="AF21" s="19">
        <f t="shared" si="20"/>
        <v>0.20698128704392918</v>
      </c>
      <c r="AG21" s="19">
        <f t="shared" si="20"/>
        <v>0.18811300908004194</v>
      </c>
      <c r="AH21" s="19">
        <f t="shared" si="20"/>
        <v>9.2626397202259292E-2</v>
      </c>
      <c r="AI21" s="19">
        <f t="shared" si="20"/>
        <v>4.81756950558552E-2</v>
      </c>
      <c r="AJ21" s="19">
        <f t="shared" si="20"/>
        <v>0.11575250295349872</v>
      </c>
      <c r="AK21" s="19">
        <f t="shared" ref="AK21:AL21" si="21">+AK20/AK3</f>
        <v>0.11120537973883797</v>
      </c>
      <c r="AL21" s="19">
        <f t="shared" si="21"/>
        <v>0.12534233156100283</v>
      </c>
    </row>
    <row r="22" spans="2:38" ht="18" thickTop="1" thickBot="1" x14ac:dyDescent="0.4">
      <c r="B22" s="32" t="s">
        <v>37</v>
      </c>
      <c r="C22" s="38">
        <f t="shared" ref="C22:G22" si="22">C16/C17</f>
        <v>2.1712328767123288</v>
      </c>
      <c r="D22" s="38" t="e">
        <f t="shared" si="22"/>
        <v>#DIV/0!</v>
      </c>
      <c r="E22" s="38" t="e">
        <f t="shared" si="22"/>
        <v>#DIV/0!</v>
      </c>
      <c r="F22" s="38" t="e">
        <f t="shared" si="22"/>
        <v>#DIV/0!</v>
      </c>
      <c r="G22" s="38" t="e">
        <f t="shared" si="22"/>
        <v>#DIV/0!</v>
      </c>
      <c r="H22" s="38" t="e">
        <f>H16/H17</f>
        <v>#DIV/0!</v>
      </c>
      <c r="I22" s="39" t="e">
        <f>I16/I17</f>
        <v>#DIV/0!</v>
      </c>
      <c r="J22" s="23" t="e">
        <f>AVERAGE(D22:I22)</f>
        <v>#DIV/0!</v>
      </c>
    </row>
    <row r="23" spans="2:38" ht="15.75" thickTop="1" x14ac:dyDescent="0.25">
      <c r="W23" s="12" t="s">
        <v>47</v>
      </c>
      <c r="X23" s="13"/>
      <c r="Y23" s="13"/>
      <c r="Z23" s="13"/>
      <c r="AA23" s="13"/>
      <c r="AB23" s="13"/>
      <c r="AC23" s="13">
        <v>-21569.811000000002</v>
      </c>
      <c r="AD23" s="13">
        <v>-2524.009</v>
      </c>
      <c r="AE23" s="13">
        <v>-30890.812000000002</v>
      </c>
      <c r="AF23" s="13">
        <v>-75933.48</v>
      </c>
      <c r="AG23" s="13">
        <v>-93361.176000000007</v>
      </c>
      <c r="AH23" s="13">
        <v>15102.777</v>
      </c>
      <c r="AI23" s="13">
        <v>-32691.448</v>
      </c>
      <c r="AJ23" s="13">
        <v>-81372.959000000003</v>
      </c>
      <c r="AK23" s="13">
        <v>-64985.446000000004</v>
      </c>
      <c r="AL23" s="13">
        <v>-12962.334999999999</v>
      </c>
    </row>
    <row r="24" spans="2:38" x14ac:dyDescent="0.25">
      <c r="G24" s="10">
        <v>701.95658000000003</v>
      </c>
      <c r="H24" s="10">
        <v>709.32254499999999</v>
      </c>
      <c r="I24" s="10">
        <v>716.73997499999996</v>
      </c>
      <c r="W24" s="12" t="s">
        <v>48</v>
      </c>
      <c r="X24" s="14" t="e">
        <f t="shared" ref="X24:AJ24" si="23">+X23/X20</f>
        <v>#DIV/0!</v>
      </c>
      <c r="Y24" s="14" t="e">
        <f t="shared" si="23"/>
        <v>#DIV/0!</v>
      </c>
      <c r="Z24" s="14" t="e">
        <f t="shared" si="23"/>
        <v>#DIV/0!</v>
      </c>
      <c r="AA24" s="14" t="e">
        <f t="shared" si="23"/>
        <v>#DIV/0!</v>
      </c>
      <c r="AB24" s="14" t="e">
        <f t="shared" si="23"/>
        <v>#DIV/0!</v>
      </c>
      <c r="AC24" s="14">
        <f t="shared" si="23"/>
        <v>-6.3672416274245441E-2</v>
      </c>
      <c r="AD24" s="14">
        <f t="shared" si="23"/>
        <v>-5.0904038585769034E-3</v>
      </c>
      <c r="AE24" s="14">
        <f t="shared" si="23"/>
        <v>-0.15541251853015398</v>
      </c>
      <c r="AF24" s="14">
        <f t="shared" si="23"/>
        <v>-0.1493265533597847</v>
      </c>
      <c r="AG24" s="14">
        <f t="shared" si="23"/>
        <v>-0.19440936639035281</v>
      </c>
      <c r="AH24" s="14">
        <f t="shared" si="23"/>
        <v>5.059536579673022E-2</v>
      </c>
      <c r="AI24" s="14">
        <f t="shared" si="23"/>
        <v>-0.31748566068000433</v>
      </c>
      <c r="AJ24" s="14">
        <f t="shared" si="23"/>
        <v>-0.25651488493835933</v>
      </c>
      <c r="AK24" s="14">
        <f t="shared" ref="AK24:AL24" si="24">+AK23/AK20</f>
        <v>-0.19417648039994687</v>
      </c>
      <c r="AL24" s="14">
        <f t="shared" si="24"/>
        <v>-2.8155177256511531E-2</v>
      </c>
    </row>
    <row r="25" spans="2:38" x14ac:dyDescent="0.25">
      <c r="G25">
        <f>+G10/G24</f>
        <v>0</v>
      </c>
      <c r="H25">
        <f>+H10/H24</f>
        <v>0</v>
      </c>
      <c r="I25">
        <f>+I10/I24</f>
        <v>0</v>
      </c>
      <c r="M25" s="10"/>
    </row>
    <row r="26" spans="2:38" x14ac:dyDescent="0.25">
      <c r="M26" s="10"/>
      <c r="W26" s="12" t="s">
        <v>74</v>
      </c>
      <c r="X26" s="13"/>
      <c r="AB26" s="13"/>
      <c r="AC26" s="13">
        <v>-1853.204</v>
      </c>
      <c r="AD26" s="13">
        <v>-1409.395</v>
      </c>
      <c r="AE26" s="13">
        <v>-1091.665</v>
      </c>
      <c r="AF26" s="13">
        <v>-2358.6489999999999</v>
      </c>
      <c r="AG26" s="13">
        <v>487.44</v>
      </c>
      <c r="AH26" s="13">
        <v>-1382.604</v>
      </c>
      <c r="AI26" s="13">
        <v>108.34399999999999</v>
      </c>
      <c r="AJ26" s="13">
        <v>163.34200000000001</v>
      </c>
      <c r="AK26" s="13">
        <v>-217.73500000000001</v>
      </c>
      <c r="AL26" s="13">
        <v>1988.2470000000001</v>
      </c>
    </row>
    <row r="28" spans="2:38" x14ac:dyDescent="0.25">
      <c r="W28" s="12" t="s">
        <v>49</v>
      </c>
      <c r="X28" s="13">
        <f t="shared" ref="X28:AH28" si="25">+X20+X23-X26</f>
        <v>0</v>
      </c>
      <c r="Y28" s="13">
        <f t="shared" si="25"/>
        <v>0</v>
      </c>
      <c r="Z28" s="13">
        <f t="shared" si="25"/>
        <v>0</v>
      </c>
      <c r="AA28" s="13">
        <f t="shared" si="25"/>
        <v>0</v>
      </c>
      <c r="AB28" s="13">
        <f t="shared" si="25"/>
        <v>0</v>
      </c>
      <c r="AC28" s="13">
        <f t="shared" si="25"/>
        <v>319045.64300000004</v>
      </c>
      <c r="AD28" s="13">
        <f t="shared" si="25"/>
        <v>494722.076</v>
      </c>
      <c r="AE28" s="13">
        <f t="shared" si="25"/>
        <v>168967.41500000001</v>
      </c>
      <c r="AF28" s="13">
        <f t="shared" si="25"/>
        <v>434931.38099999999</v>
      </c>
      <c r="AG28" s="13">
        <f t="shared" si="25"/>
        <v>386381.20899999997</v>
      </c>
      <c r="AH28" s="13">
        <f t="shared" si="25"/>
        <v>314986.57299999997</v>
      </c>
      <c r="AI28" s="13">
        <f>+AI20+AI23-AI26</f>
        <v>70170.048999999999</v>
      </c>
      <c r="AJ28" s="13">
        <f t="shared" ref="AJ28:AL28" si="26">+AJ20+AJ23-AJ26</f>
        <v>235688.79500000001</v>
      </c>
      <c r="AK28" s="13">
        <f t="shared" si="26"/>
        <v>269904.36599999998</v>
      </c>
      <c r="AL28" s="13">
        <f t="shared" si="26"/>
        <v>445438.45699999999</v>
      </c>
    </row>
    <row r="29" spans="2:38" x14ac:dyDescent="0.25">
      <c r="M29" s="10"/>
      <c r="W29" s="12" t="s">
        <v>25</v>
      </c>
      <c r="X29" s="19" t="e">
        <f t="shared" ref="X29:AJ29" si="27">+X28/X3</f>
        <v>#DIV/0!</v>
      </c>
      <c r="Y29" s="19" t="e">
        <f t="shared" si="27"/>
        <v>#DIV/0!</v>
      </c>
      <c r="Z29" s="19" t="e">
        <f t="shared" si="27"/>
        <v>#DIV/0!</v>
      </c>
      <c r="AA29" s="19" t="e">
        <f t="shared" si="27"/>
        <v>#DIV/0!</v>
      </c>
      <c r="AB29" s="19" t="e">
        <f t="shared" si="27"/>
        <v>#DIV/0!</v>
      </c>
      <c r="AC29" s="19">
        <f t="shared" si="27"/>
        <v>0.13855152754884614</v>
      </c>
      <c r="AD29" s="19">
        <f t="shared" si="27"/>
        <v>0.14277499241786645</v>
      </c>
      <c r="AE29" s="19">
        <f t="shared" si="27"/>
        <v>8.7319974937083572E-2</v>
      </c>
      <c r="AF29" s="19">
        <f t="shared" si="27"/>
        <v>0.17703354431228369</v>
      </c>
      <c r="AG29" s="19">
        <f t="shared" si="27"/>
        <v>0.15135114083548346</v>
      </c>
      <c r="AH29" s="19">
        <f t="shared" si="27"/>
        <v>9.7741892515043768E-2</v>
      </c>
      <c r="AI29" s="19">
        <f t="shared" si="27"/>
        <v>3.2829912621487073E-2</v>
      </c>
      <c r="AJ29" s="19">
        <f t="shared" si="27"/>
        <v>8.600066099229442E-2</v>
      </c>
      <c r="AK29" s="19">
        <f t="shared" ref="AK29:AL29" si="28">+AK28/AK3</f>
        <v>8.9684259838027372E-2</v>
      </c>
      <c r="AL29" s="19">
        <f t="shared" si="28"/>
        <v>0.12127198963856198</v>
      </c>
    </row>
    <row r="30" spans="2:38" x14ac:dyDescent="0.25">
      <c r="M30" s="10"/>
    </row>
    <row r="31" spans="2:38" x14ac:dyDescent="0.25">
      <c r="W31" s="12" t="s">
        <v>29</v>
      </c>
      <c r="X31" s="16">
        <f t="shared" ref="X31:AJ31" si="29">+X28/X47</f>
        <v>0</v>
      </c>
      <c r="Y31" s="16">
        <f t="shared" si="29"/>
        <v>0</v>
      </c>
      <c r="Z31" s="16">
        <f t="shared" si="29"/>
        <v>0</v>
      </c>
      <c r="AA31" s="16">
        <f t="shared" si="29"/>
        <v>0</v>
      </c>
      <c r="AB31" s="16">
        <f t="shared" si="29"/>
        <v>0</v>
      </c>
      <c r="AC31" s="16">
        <f t="shared" si="29"/>
        <v>0.62507990645354072</v>
      </c>
      <c r="AD31" s="16">
        <f t="shared" si="29"/>
        <v>0.96926830305148981</v>
      </c>
      <c r="AE31" s="16">
        <f t="shared" si="29"/>
        <v>0.33104396903453898</v>
      </c>
      <c r="AF31" s="16">
        <f t="shared" si="29"/>
        <v>0.85212530844431322</v>
      </c>
      <c r="AG31" s="16">
        <f t="shared" si="29"/>
        <v>0.75700494670953999</v>
      </c>
      <c r="AH31" s="16">
        <f t="shared" si="29"/>
        <v>0.61712730421133299</v>
      </c>
      <c r="AI31" s="16">
        <f t="shared" si="29"/>
        <v>0.13747840983605084</v>
      </c>
      <c r="AJ31" s="16">
        <f t="shared" si="29"/>
        <v>0.46176568513975202</v>
      </c>
      <c r="AK31" s="16">
        <f t="shared" ref="AK31:AL31" si="30">+AK28/AK47</f>
        <v>0.52880144127428874</v>
      </c>
      <c r="AL31" s="16">
        <f t="shared" si="30"/>
        <v>0.87271095889051054</v>
      </c>
    </row>
    <row r="32" spans="2:38" x14ac:dyDescent="0.25">
      <c r="W32" s="12" t="s">
        <v>40</v>
      </c>
      <c r="AA32" s="17"/>
      <c r="AB32" s="18" t="e">
        <f t="shared" ref="AB32:AL32" si="31">+AB31/X31-1</f>
        <v>#DIV/0!</v>
      </c>
      <c r="AC32" s="18" t="e">
        <f t="shared" si="31"/>
        <v>#DIV/0!</v>
      </c>
      <c r="AD32" s="18" t="e">
        <f t="shared" si="31"/>
        <v>#DIV/0!</v>
      </c>
      <c r="AE32" s="18" t="e">
        <f t="shared" si="31"/>
        <v>#DIV/0!</v>
      </c>
      <c r="AF32" s="18" t="e">
        <f t="shared" si="31"/>
        <v>#DIV/0!</v>
      </c>
      <c r="AG32" s="18">
        <f t="shared" si="31"/>
        <v>0.21105308120443422</v>
      </c>
      <c r="AH32" s="18">
        <f t="shared" si="31"/>
        <v>-0.36330600900858123</v>
      </c>
      <c r="AI32" s="18">
        <f t="shared" si="31"/>
        <v>-0.58471253762152897</v>
      </c>
      <c r="AJ32" s="18">
        <f t="shared" si="31"/>
        <v>-0.45810119642758074</v>
      </c>
      <c r="AK32" s="18">
        <f t="shared" si="31"/>
        <v>-0.30145576515342387</v>
      </c>
      <c r="AL32" s="18">
        <f t="shared" si="31"/>
        <v>0.41415061841382061</v>
      </c>
    </row>
    <row r="33" spans="23:41" x14ac:dyDescent="0.25">
      <c r="W33" s="12" t="s">
        <v>41</v>
      </c>
      <c r="Y33" s="18" t="e">
        <f t="shared" ref="Y33:AD33" si="32">+Y31/X31-1</f>
        <v>#DIV/0!</v>
      </c>
      <c r="Z33" s="18" t="e">
        <f t="shared" si="32"/>
        <v>#DIV/0!</v>
      </c>
      <c r="AA33" s="18" t="e">
        <f t="shared" si="32"/>
        <v>#DIV/0!</v>
      </c>
      <c r="AB33" s="18" t="e">
        <f t="shared" si="32"/>
        <v>#DIV/0!</v>
      </c>
      <c r="AC33" s="18" t="e">
        <f t="shared" si="32"/>
        <v>#DIV/0!</v>
      </c>
      <c r="AD33" s="18">
        <f t="shared" si="32"/>
        <v>0.55063103619941911</v>
      </c>
      <c r="AE33" s="18">
        <f>+AE31/AD31-1</f>
        <v>-0.65845992488113669</v>
      </c>
      <c r="AF33" s="18">
        <f>+AF31/AE31-1</f>
        <v>1.5740547726317526</v>
      </c>
      <c r="AG33" s="18">
        <f>+AG31/AF31-1</f>
        <v>-0.11162719941792387</v>
      </c>
      <c r="AH33" s="18">
        <f t="shared" ref="AH33" si="33">+AH31/AG31-1</f>
        <v>-0.18477771262421816</v>
      </c>
      <c r="AI33" s="18">
        <f>+AI31/AH31-1</f>
        <v>-0.77722844395656188</v>
      </c>
      <c r="AJ33" s="18">
        <f>+AJ31/AI31-1</f>
        <v>2.3588232922567864</v>
      </c>
      <c r="AK33" s="18">
        <f>+AK31/AJ31-1</f>
        <v>0.14517266720295274</v>
      </c>
      <c r="AL33" s="18">
        <f t="shared" ref="AL33" si="34">+AL31/AK31-1</f>
        <v>0.65035661927751121</v>
      </c>
      <c r="AM33" s="18"/>
      <c r="AN33" s="18"/>
    </row>
    <row r="34" spans="23:41" x14ac:dyDescent="0.25">
      <c r="Y34" s="18"/>
      <c r="Z34" s="18"/>
      <c r="AA34" s="18"/>
      <c r="AB34" s="18"/>
      <c r="AC34" s="18"/>
      <c r="AD34" s="18"/>
      <c r="AE34" s="18"/>
      <c r="AF34" s="18"/>
      <c r="AG34" s="18"/>
      <c r="AH34" s="18"/>
      <c r="AI34" s="18"/>
      <c r="AJ34" s="18"/>
      <c r="AK34" s="18"/>
      <c r="AL34" s="18"/>
    </row>
    <row r="35" spans="23:41" x14ac:dyDescent="0.25">
      <c r="W35" s="12" t="s">
        <v>88</v>
      </c>
      <c r="X35" s="18" t="e">
        <f t="shared" ref="X35:AJ35" si="35">+X28*4/X40</f>
        <v>#DIV/0!</v>
      </c>
      <c r="Y35" s="18" t="e">
        <f t="shared" si="35"/>
        <v>#DIV/0!</v>
      </c>
      <c r="Z35" s="18" t="e">
        <f t="shared" si="35"/>
        <v>#DIV/0!</v>
      </c>
      <c r="AA35" s="18" t="e">
        <f t="shared" si="35"/>
        <v>#DIV/0!</v>
      </c>
      <c r="AB35" s="18" t="e">
        <f t="shared" si="35"/>
        <v>#DIV/0!</v>
      </c>
      <c r="AC35" s="18" t="e">
        <f t="shared" si="35"/>
        <v>#DIV/0!</v>
      </c>
      <c r="AD35" s="18" t="e">
        <f t="shared" si="35"/>
        <v>#DIV/0!</v>
      </c>
      <c r="AE35" s="18" t="e">
        <f t="shared" si="35"/>
        <v>#DIV/0!</v>
      </c>
      <c r="AF35" s="18" t="e">
        <f t="shared" si="35"/>
        <v>#DIV/0!</v>
      </c>
      <c r="AG35" s="18" t="e">
        <f t="shared" si="35"/>
        <v>#DIV/0!</v>
      </c>
      <c r="AH35" s="18">
        <f t="shared" si="35"/>
        <v>0.14579910427860246</v>
      </c>
      <c r="AI35" s="18">
        <f t="shared" si="35"/>
        <v>3.3287822439602023E-2</v>
      </c>
      <c r="AJ35" s="18">
        <f t="shared" si="35"/>
        <v>0.10871174882691706</v>
      </c>
      <c r="AK35" s="18">
        <f t="shared" ref="AK35:AL35" si="36">+AK28*4/AK40</f>
        <v>0.12067901595115187</v>
      </c>
      <c r="AL35" s="18">
        <f t="shared" si="36"/>
        <v>0.19484504982698517</v>
      </c>
      <c r="AN35" s="14">
        <f>+AVERAGE(AH35:AL35)</f>
        <v>0.12066454826465171</v>
      </c>
      <c r="AO35" s="50" t="s">
        <v>88</v>
      </c>
    </row>
    <row r="36" spans="23:41" x14ac:dyDescent="0.25">
      <c r="AN36" s="56">
        <f>AVERAGE(AH35:AL35)*AL49</f>
        <v>2.1618259989389816</v>
      </c>
      <c r="AO36" s="50" t="s">
        <v>183</v>
      </c>
    </row>
    <row r="37" spans="23:41" x14ac:dyDescent="0.25">
      <c r="W37" s="12" t="s">
        <v>52</v>
      </c>
      <c r="X37" s="13"/>
      <c r="Y37" s="13"/>
      <c r="Z37" s="13"/>
      <c r="AA37" s="13"/>
      <c r="AB37" s="13"/>
      <c r="AC37" s="13"/>
      <c r="AD37" s="13"/>
      <c r="AE37" s="13"/>
      <c r="AF37" s="13"/>
      <c r="AG37" s="13"/>
      <c r="AH37" s="13">
        <f>57376.938+1557543.932</f>
        <v>1614920.87</v>
      </c>
      <c r="AI37" s="13">
        <f>80796.087+1305838.077+14.79</f>
        <v>1386648.9540000001</v>
      </c>
      <c r="AJ37" s="13">
        <f>77533.118+1394042.648</f>
        <v>1471575.7660000001</v>
      </c>
      <c r="AK37" s="13">
        <f>60363.245+15798.878+2160168.873</f>
        <v>2236330.9960000003</v>
      </c>
      <c r="AL37" s="13">
        <f>114115.43+2672622.663</f>
        <v>2786738.0930000003</v>
      </c>
      <c r="AN37" s="56">
        <f>X1/AN36</f>
        <v>8.2800373428690701</v>
      </c>
      <c r="AO37" s="50" t="s">
        <v>11</v>
      </c>
    </row>
    <row r="38" spans="23:41" x14ac:dyDescent="0.25">
      <c r="W38" s="12" t="s">
        <v>53</v>
      </c>
      <c r="X38" s="13"/>
      <c r="Y38" s="13"/>
      <c r="Z38" s="13"/>
      <c r="AA38" s="13"/>
      <c r="AB38" s="13"/>
      <c r="AC38" s="13"/>
      <c r="AD38" s="13"/>
      <c r="AE38" s="13"/>
      <c r="AF38" s="13"/>
      <c r="AG38" s="13"/>
      <c r="AH38" s="13">
        <f>275833.478+887203.46</f>
        <v>1163036.9380000001</v>
      </c>
      <c r="AI38" s="13">
        <f>200527.631+606477.033</f>
        <v>807004.66400000011</v>
      </c>
      <c r="AJ38" s="13">
        <f>700657.006+458387.992</f>
        <v>1159044.9980000001</v>
      </c>
      <c r="AK38" s="13">
        <f>248831.403+961192.092</f>
        <v>1210023.4949999999</v>
      </c>
      <c r="AL38" s="13">
        <f>223003.436+1052518.05</f>
        <v>1275521.486</v>
      </c>
    </row>
    <row r="39" spans="23:41" x14ac:dyDescent="0.25">
      <c r="W39" s="12" t="s">
        <v>50</v>
      </c>
      <c r="X39" s="13">
        <f t="shared" ref="X39:AJ39" si="37">+X37-X38</f>
        <v>0</v>
      </c>
      <c r="Y39" s="13">
        <f t="shared" si="37"/>
        <v>0</v>
      </c>
      <c r="Z39" s="13">
        <f t="shared" si="37"/>
        <v>0</v>
      </c>
      <c r="AA39" s="13">
        <f t="shared" si="37"/>
        <v>0</v>
      </c>
      <c r="AB39" s="13">
        <f t="shared" si="37"/>
        <v>0</v>
      </c>
      <c r="AC39" s="13">
        <f t="shared" si="37"/>
        <v>0</v>
      </c>
      <c r="AD39" s="13">
        <f t="shared" si="37"/>
        <v>0</v>
      </c>
      <c r="AE39" s="13">
        <f t="shared" si="37"/>
        <v>0</v>
      </c>
      <c r="AF39" s="13">
        <f t="shared" si="37"/>
        <v>0</v>
      </c>
      <c r="AG39" s="13">
        <f t="shared" si="37"/>
        <v>0</v>
      </c>
      <c r="AH39" s="13">
        <f t="shared" si="37"/>
        <v>451883.93200000003</v>
      </c>
      <c r="AI39" s="13">
        <f t="shared" si="37"/>
        <v>579644.29</v>
      </c>
      <c r="AJ39" s="13">
        <f t="shared" si="37"/>
        <v>312530.76799999992</v>
      </c>
      <c r="AK39" s="13">
        <f t="shared" ref="AK39:AL39" si="38">+AK37-AK38</f>
        <v>1026307.5010000004</v>
      </c>
      <c r="AL39" s="13">
        <f t="shared" si="38"/>
        <v>1511216.6070000003</v>
      </c>
    </row>
    <row r="40" spans="23:41" x14ac:dyDescent="0.25">
      <c r="W40" s="12" t="s">
        <v>54</v>
      </c>
      <c r="X40" s="13"/>
      <c r="Y40" s="13"/>
      <c r="Z40" s="13"/>
      <c r="AA40" s="13"/>
      <c r="AB40" s="13"/>
      <c r="AC40" s="13"/>
      <c r="AD40" s="13"/>
      <c r="AE40" s="13"/>
      <c r="AF40" s="13"/>
      <c r="AG40" s="13"/>
      <c r="AH40" s="13">
        <v>8641660.0309999995</v>
      </c>
      <c r="AI40" s="13">
        <v>8431918.2039999999</v>
      </c>
      <c r="AJ40" s="13">
        <v>8672063.4169999994</v>
      </c>
      <c r="AK40" s="13">
        <v>8946190.4829999991</v>
      </c>
      <c r="AL40" s="13">
        <v>9144465.4590000007</v>
      </c>
    </row>
    <row r="41" spans="23:41" x14ac:dyDescent="0.25">
      <c r="W41" s="12" t="s">
        <v>127</v>
      </c>
      <c r="X41" s="13"/>
      <c r="Y41" s="13"/>
      <c r="Z41" s="13"/>
      <c r="AA41" s="13"/>
      <c r="AB41" s="13"/>
      <c r="AC41" s="13"/>
      <c r="AD41" s="13"/>
      <c r="AE41" s="13"/>
      <c r="AF41" s="13"/>
      <c r="AG41" s="13"/>
      <c r="AH41" s="13">
        <v>3511755.8160000001</v>
      </c>
      <c r="AI41" s="13">
        <v>3638737.7480000001</v>
      </c>
      <c r="AJ41" s="13">
        <v>3302101.4339999999</v>
      </c>
      <c r="AK41" s="13">
        <v>3500189.3769999999</v>
      </c>
      <c r="AL41" s="13">
        <v>2884605.0159999998</v>
      </c>
    </row>
    <row r="43" spans="23:41" x14ac:dyDescent="0.25">
      <c r="W43" s="12" t="s">
        <v>51</v>
      </c>
      <c r="X43" s="14" t="e">
        <f t="shared" ref="X43:AJ43" si="39">+X37/X40</f>
        <v>#DIV/0!</v>
      </c>
      <c r="Y43" s="14" t="e">
        <f t="shared" si="39"/>
        <v>#DIV/0!</v>
      </c>
      <c r="Z43" s="14" t="e">
        <f t="shared" si="39"/>
        <v>#DIV/0!</v>
      </c>
      <c r="AA43" s="14" t="e">
        <f t="shared" si="39"/>
        <v>#DIV/0!</v>
      </c>
      <c r="AB43" s="14" t="e">
        <f t="shared" si="39"/>
        <v>#DIV/0!</v>
      </c>
      <c r="AC43" s="14" t="e">
        <f t="shared" si="39"/>
        <v>#DIV/0!</v>
      </c>
      <c r="AD43" s="14" t="e">
        <f t="shared" si="39"/>
        <v>#DIV/0!</v>
      </c>
      <c r="AE43" s="14" t="e">
        <f t="shared" si="39"/>
        <v>#DIV/0!</v>
      </c>
      <c r="AF43" s="14" t="e">
        <f t="shared" si="39"/>
        <v>#DIV/0!</v>
      </c>
      <c r="AG43" s="14" t="e">
        <f t="shared" si="39"/>
        <v>#DIV/0!</v>
      </c>
      <c r="AH43" s="14">
        <f t="shared" si="39"/>
        <v>0.18687623259962055</v>
      </c>
      <c r="AI43" s="14">
        <f t="shared" si="39"/>
        <v>0.16445237257427267</v>
      </c>
      <c r="AJ43" s="14">
        <f t="shared" si="39"/>
        <v>0.16969153651658545</v>
      </c>
      <c r="AK43" s="14">
        <f t="shared" ref="AK43:AL43" si="40">+AK37/AK40</f>
        <v>0.24997578581068544</v>
      </c>
      <c r="AL43" s="14">
        <f t="shared" si="40"/>
        <v>0.30474587120423613</v>
      </c>
    </row>
    <row r="45" spans="23:41" x14ac:dyDescent="0.25">
      <c r="W45" s="12" t="s">
        <v>63</v>
      </c>
      <c r="X45" s="16" t="e">
        <f t="shared" ref="X45:AJ45" si="41">+(X3*1000)/X7</f>
        <v>#DIV/0!</v>
      </c>
      <c r="Y45" s="16" t="e">
        <f t="shared" si="41"/>
        <v>#DIV/0!</v>
      </c>
      <c r="Z45" s="16" t="e">
        <f t="shared" si="41"/>
        <v>#DIV/0!</v>
      </c>
      <c r="AA45" s="16" t="e">
        <f t="shared" si="41"/>
        <v>#DIV/0!</v>
      </c>
      <c r="AB45" s="16" t="e">
        <f t="shared" si="41"/>
        <v>#DIV/0!</v>
      </c>
      <c r="AC45" s="16" t="e">
        <f t="shared" si="41"/>
        <v>#DIV/0!</v>
      </c>
      <c r="AD45" s="16" t="e">
        <f t="shared" si="41"/>
        <v>#DIV/0!</v>
      </c>
      <c r="AE45" s="16" t="e">
        <f t="shared" si="41"/>
        <v>#DIV/0!</v>
      </c>
      <c r="AF45" s="16" t="e">
        <f t="shared" si="41"/>
        <v>#DIV/0!</v>
      </c>
      <c r="AG45" s="16" t="e">
        <f t="shared" si="41"/>
        <v>#DIV/0!</v>
      </c>
      <c r="AH45" s="16" t="e">
        <f t="shared" si="41"/>
        <v>#DIV/0!</v>
      </c>
      <c r="AI45" s="16" t="e">
        <f t="shared" si="41"/>
        <v>#DIV/0!</v>
      </c>
      <c r="AJ45" s="16" t="e">
        <f t="shared" si="41"/>
        <v>#DIV/0!</v>
      </c>
      <c r="AK45" s="16" t="e">
        <f t="shared" ref="AK45:AL45" si="42">+(AK3*1000)/AK7</f>
        <v>#DIV/0!</v>
      </c>
      <c r="AL45" s="16" t="e">
        <f t="shared" si="42"/>
        <v>#DIV/0!</v>
      </c>
    </row>
    <row r="47" spans="23:41" x14ac:dyDescent="0.25">
      <c r="W47" s="12" t="s">
        <v>56</v>
      </c>
      <c r="X47" s="13">
        <f t="shared" ref="X47:AH47" si="43">Y47</f>
        <v>510407.77299999999</v>
      </c>
      <c r="Y47" s="13">
        <f t="shared" si="43"/>
        <v>510407.77299999999</v>
      </c>
      <c r="Z47" s="13">
        <f t="shared" si="43"/>
        <v>510407.77299999999</v>
      </c>
      <c r="AA47" s="13">
        <f t="shared" si="43"/>
        <v>510407.77299999999</v>
      </c>
      <c r="AB47" s="13">
        <f t="shared" si="43"/>
        <v>510407.77299999999</v>
      </c>
      <c r="AC47" s="13">
        <f t="shared" si="43"/>
        <v>510407.77299999999</v>
      </c>
      <c r="AD47" s="13">
        <f t="shared" si="43"/>
        <v>510407.77299999999</v>
      </c>
      <c r="AE47" s="13">
        <f t="shared" si="43"/>
        <v>510407.77299999999</v>
      </c>
      <c r="AF47" s="13">
        <f t="shared" si="43"/>
        <v>510407.77299999999</v>
      </c>
      <c r="AG47" s="13">
        <f t="shared" si="43"/>
        <v>510407.77299999999</v>
      </c>
      <c r="AH47" s="13">
        <f t="shared" si="43"/>
        <v>510407.77299999999</v>
      </c>
      <c r="AI47" s="13">
        <f>AJ47</f>
        <v>510407.77299999999</v>
      </c>
      <c r="AJ47" s="13">
        <v>510407.77299999999</v>
      </c>
      <c r="AK47" s="13">
        <v>510407.77299999999</v>
      </c>
      <c r="AL47" s="13">
        <v>510407.77299999999</v>
      </c>
    </row>
    <row r="49" spans="23:38" x14ac:dyDescent="0.25">
      <c r="W49" s="12" t="s">
        <v>57</v>
      </c>
      <c r="X49" s="16">
        <f t="shared" ref="X49:AJ49" si="44">+X40/X47</f>
        <v>0</v>
      </c>
      <c r="Y49" s="16">
        <f t="shared" si="44"/>
        <v>0</v>
      </c>
      <c r="Z49" s="16">
        <f t="shared" si="44"/>
        <v>0</v>
      </c>
      <c r="AA49" s="16">
        <f t="shared" si="44"/>
        <v>0</v>
      </c>
      <c r="AB49" s="16">
        <f t="shared" si="44"/>
        <v>0</v>
      </c>
      <c r="AC49" s="16">
        <f t="shared" si="44"/>
        <v>0</v>
      </c>
      <c r="AD49" s="16">
        <f t="shared" si="44"/>
        <v>0</v>
      </c>
      <c r="AE49" s="16">
        <f t="shared" si="44"/>
        <v>0</v>
      </c>
      <c r="AF49" s="16">
        <f t="shared" si="44"/>
        <v>0</v>
      </c>
      <c r="AG49" s="16">
        <f t="shared" si="44"/>
        <v>0</v>
      </c>
      <c r="AH49" s="16">
        <f t="shared" si="44"/>
        <v>16.930894253838098</v>
      </c>
      <c r="AI49" s="16">
        <f t="shared" si="44"/>
        <v>16.519964330558892</v>
      </c>
      <c r="AJ49" s="16">
        <f t="shared" si="44"/>
        <v>16.990461109219822</v>
      </c>
      <c r="AK49" s="16">
        <f t="shared" ref="AK49:AL49" si="45">+AK40/AK47</f>
        <v>17.527535739546817</v>
      </c>
      <c r="AL49" s="16">
        <f t="shared" si="45"/>
        <v>17.915999604104776</v>
      </c>
    </row>
    <row r="51" spans="23:38" x14ac:dyDescent="0.25">
      <c r="W51" s="12" t="s">
        <v>67</v>
      </c>
      <c r="X51" s="13"/>
      <c r="Y51" s="13">
        <f>+Y55-X55</f>
        <v>0</v>
      </c>
      <c r="Z51" s="13">
        <f>+Z55-Y55</f>
        <v>0</v>
      </c>
      <c r="AA51" s="13">
        <f>+AA55</f>
        <v>0</v>
      </c>
      <c r="AB51" s="13">
        <f t="shared" ref="AB51:AD52" si="46">+AB55-AA55</f>
        <v>0</v>
      </c>
      <c r="AC51" s="13">
        <f t="shared" si="46"/>
        <v>-428212.22600000002</v>
      </c>
      <c r="AD51" s="13">
        <f t="shared" si="46"/>
        <v>-367599.00199999998</v>
      </c>
      <c r="AE51" s="13">
        <f>+AE55</f>
        <v>-222078.598</v>
      </c>
      <c r="AF51" s="13">
        <f>+AF55-AE55</f>
        <v>48814.557000000001</v>
      </c>
      <c r="AG51" s="13">
        <f>+AG55-AF55</f>
        <v>656557.51800000004</v>
      </c>
      <c r="AH51" s="13">
        <f t="shared" ref="AH51:AH52" si="47">+AH55-AG55</f>
        <v>-210662.81</v>
      </c>
      <c r="AI51" s="13">
        <f>+AI55</f>
        <v>210544.60399999999</v>
      </c>
      <c r="AJ51" s="13">
        <f>+AJ55-AI55</f>
        <v>237451.592</v>
      </c>
      <c r="AK51" s="13">
        <f>+AK55-AJ55</f>
        <v>-464749.065</v>
      </c>
      <c r="AL51" s="13">
        <f t="shared" ref="AL51:AL52" si="48">+AL55-AK55</f>
        <v>1263273.754</v>
      </c>
    </row>
    <row r="52" spans="23:38" x14ac:dyDescent="0.25">
      <c r="W52" s="12" t="s">
        <v>60</v>
      </c>
      <c r="Y52" s="13">
        <f>+Y56-X56</f>
        <v>0</v>
      </c>
      <c r="Z52" s="13">
        <f>+Z56-Y56</f>
        <v>0</v>
      </c>
      <c r="AA52" s="13">
        <f>+AA56</f>
        <v>0</v>
      </c>
      <c r="AB52" s="13">
        <f t="shared" si="46"/>
        <v>0</v>
      </c>
      <c r="AC52" s="13">
        <f t="shared" si="46"/>
        <v>-230610.95</v>
      </c>
      <c r="AD52" s="13">
        <f t="shared" si="46"/>
        <v>-33810.011999999988</v>
      </c>
      <c r="AE52" s="13">
        <f>+AE56</f>
        <v>-47883.163999999997</v>
      </c>
      <c r="AF52" s="13">
        <f>+AF56-AE56</f>
        <v>-264639.603</v>
      </c>
      <c r="AG52" s="13">
        <f>+AG56-AF56</f>
        <v>-46822.330000000016</v>
      </c>
      <c r="AH52" s="13">
        <f t="shared" si="47"/>
        <v>-29828.393999999971</v>
      </c>
      <c r="AI52" s="13">
        <f>+AI56</f>
        <v>-70437.831999999995</v>
      </c>
      <c r="AJ52" s="13">
        <f>+AJ56-AI56</f>
        <v>-71127.926000000007</v>
      </c>
      <c r="AK52" s="13">
        <f>+AK56-AJ56</f>
        <v>-214260.20800000001</v>
      </c>
      <c r="AL52" s="13">
        <f t="shared" si="48"/>
        <v>-1460735.7619999999</v>
      </c>
    </row>
    <row r="53" spans="23:38" x14ac:dyDescent="0.25">
      <c r="W53" s="12" t="s">
        <v>68</v>
      </c>
      <c r="Y53" s="13">
        <f t="shared" ref="Y53:AJ53" si="49">+Y51+Y52</f>
        <v>0</v>
      </c>
      <c r="Z53" s="13">
        <f t="shared" si="49"/>
        <v>0</v>
      </c>
      <c r="AA53" s="13">
        <f t="shared" si="49"/>
        <v>0</v>
      </c>
      <c r="AB53" s="13">
        <f t="shared" si="49"/>
        <v>0</v>
      </c>
      <c r="AC53" s="13">
        <f t="shared" si="49"/>
        <v>-658823.17599999998</v>
      </c>
      <c r="AD53" s="13">
        <f t="shared" si="49"/>
        <v>-401409.01399999997</v>
      </c>
      <c r="AE53" s="13">
        <f t="shared" si="49"/>
        <v>-269961.76199999999</v>
      </c>
      <c r="AF53" s="13">
        <f t="shared" si="49"/>
        <v>-215825.046</v>
      </c>
      <c r="AG53" s="13">
        <f t="shared" si="49"/>
        <v>609735.18800000008</v>
      </c>
      <c r="AH53" s="13">
        <f t="shared" si="49"/>
        <v>-240491.20399999997</v>
      </c>
      <c r="AI53" s="13">
        <f t="shared" si="49"/>
        <v>140106.772</v>
      </c>
      <c r="AJ53" s="13">
        <f t="shared" si="49"/>
        <v>166323.666</v>
      </c>
      <c r="AK53" s="13">
        <f t="shared" ref="AK53:AL53" si="50">+AK51+AK52</f>
        <v>-679009.27300000004</v>
      </c>
      <c r="AL53" s="13">
        <f t="shared" si="50"/>
        <v>-197462.00799999991</v>
      </c>
    </row>
    <row r="55" spans="23:38" x14ac:dyDescent="0.25">
      <c r="W55" s="12" t="s">
        <v>67</v>
      </c>
      <c r="X55" s="13"/>
      <c r="Y55" s="13"/>
      <c r="Z55" s="13"/>
      <c r="AA55" s="13"/>
      <c r="AB55" s="13"/>
      <c r="AC55" s="13">
        <v>-428212.22600000002</v>
      </c>
      <c r="AD55" s="13">
        <v>-795811.228</v>
      </c>
      <c r="AE55" s="13">
        <v>-222078.598</v>
      </c>
      <c r="AF55" s="13">
        <v>-173264.041</v>
      </c>
      <c r="AG55" s="13">
        <v>483293.47700000001</v>
      </c>
      <c r="AH55" s="13">
        <v>272630.66700000002</v>
      </c>
      <c r="AI55" s="13">
        <v>210544.60399999999</v>
      </c>
      <c r="AJ55" s="13">
        <v>447996.196</v>
      </c>
      <c r="AK55" s="13">
        <v>-16752.868999999999</v>
      </c>
      <c r="AL55" s="13">
        <v>1246520.885</v>
      </c>
    </row>
    <row r="56" spans="23:38" x14ac:dyDescent="0.25">
      <c r="W56" s="12" t="s">
        <v>60</v>
      </c>
      <c r="X56" s="13"/>
      <c r="Y56" s="13"/>
      <c r="Z56" s="13"/>
      <c r="AA56" s="13"/>
      <c r="AB56" s="13"/>
      <c r="AC56" s="13">
        <v>-230610.95</v>
      </c>
      <c r="AD56" s="13">
        <v>-264420.962</v>
      </c>
      <c r="AE56" s="13">
        <v>-47883.163999999997</v>
      </c>
      <c r="AF56" s="13">
        <v>-312522.76699999999</v>
      </c>
      <c r="AG56" s="13">
        <v>-359345.09700000001</v>
      </c>
      <c r="AH56" s="13">
        <v>-389173.49099999998</v>
      </c>
      <c r="AI56" s="13">
        <v>-70437.831999999995</v>
      </c>
      <c r="AJ56" s="13">
        <v>-141565.758</v>
      </c>
      <c r="AK56" s="13">
        <v>-355825.96600000001</v>
      </c>
      <c r="AL56" s="13">
        <v>-1816561.7279999999</v>
      </c>
    </row>
    <row r="57" spans="23:38" x14ac:dyDescent="0.25">
      <c r="W57" s="12" t="s">
        <v>68</v>
      </c>
      <c r="X57" s="13">
        <f t="shared" ref="X57:AF57" si="51">+X55+X56</f>
        <v>0</v>
      </c>
      <c r="Y57" s="13">
        <f t="shared" si="51"/>
        <v>0</v>
      </c>
      <c r="Z57" s="13">
        <f t="shared" si="51"/>
        <v>0</v>
      </c>
      <c r="AA57" s="13">
        <f t="shared" si="51"/>
        <v>0</v>
      </c>
      <c r="AB57" s="13">
        <f t="shared" si="51"/>
        <v>0</v>
      </c>
      <c r="AC57" s="13">
        <f t="shared" si="51"/>
        <v>-658823.17599999998</v>
      </c>
      <c r="AD57" s="13">
        <f t="shared" si="51"/>
        <v>-1060232.19</v>
      </c>
      <c r="AE57" s="13">
        <f t="shared" si="51"/>
        <v>-269961.76199999999</v>
      </c>
      <c r="AF57" s="13">
        <f t="shared" si="51"/>
        <v>-485786.80799999996</v>
      </c>
      <c r="AG57" s="13">
        <f>+AG55+AG56</f>
        <v>123948.38</v>
      </c>
      <c r="AH57" s="13">
        <f t="shared" ref="AH57:AJ57" si="52">+AH55+AH56</f>
        <v>-116542.82399999996</v>
      </c>
      <c r="AI57" s="13">
        <f t="shared" si="52"/>
        <v>140106.772</v>
      </c>
      <c r="AJ57" s="13">
        <f t="shared" si="52"/>
        <v>306430.43799999997</v>
      </c>
      <c r="AK57" s="13">
        <f>+AK55+AK56</f>
        <v>-372578.83500000002</v>
      </c>
      <c r="AL57" s="13">
        <f t="shared" ref="AL57" si="53">+AL55+AL56</f>
        <v>-570040.84299999988</v>
      </c>
    </row>
    <row r="59" spans="23:38" x14ac:dyDescent="0.25">
      <c r="W59" s="47" t="s">
        <v>76</v>
      </c>
    </row>
    <row r="60" spans="23:38" x14ac:dyDescent="0.25">
      <c r="W60" s="47" t="s">
        <v>956</v>
      </c>
      <c r="AC60" s="13"/>
      <c r="AG60" s="13"/>
      <c r="AK60" s="13"/>
    </row>
    <row r="61" spans="23:38" x14ac:dyDescent="0.25">
      <c r="W61" s="12" t="s">
        <v>384</v>
      </c>
      <c r="Z61" s="13"/>
      <c r="AA61" s="13"/>
      <c r="AB61" s="13"/>
      <c r="AC61" s="13">
        <v>4239039.2580000004</v>
      </c>
      <c r="AD61" s="13">
        <v>6866989.7570000002</v>
      </c>
      <c r="AE61" s="13">
        <v>1575541.7479999999</v>
      </c>
      <c r="AF61" s="13">
        <f>3596341.898-AE61</f>
        <v>2020800.1500000001</v>
      </c>
      <c r="AG61" s="13">
        <f>5433276.533-AF61-AE61</f>
        <v>1836934.6349999995</v>
      </c>
      <c r="AH61" s="13">
        <f>7641764.424-AG61-AF61-AE61</f>
        <v>2208487.8909999998</v>
      </c>
      <c r="AI61" s="13">
        <v>1382553.0160000001</v>
      </c>
      <c r="AJ61" s="13">
        <f>3050550.371-AI61</f>
        <v>1667997.3549999997</v>
      </c>
      <c r="AK61" s="13">
        <f>5065514.854-AJ61-AI61</f>
        <v>2014964.4830000007</v>
      </c>
      <c r="AL61" s="13">
        <f>7562250.192-AK61-AJ61-AI61</f>
        <v>2496735.3379999995</v>
      </c>
    </row>
    <row r="62" spans="23:38" x14ac:dyDescent="0.25">
      <c r="W62" s="12" t="s">
        <v>40</v>
      </c>
      <c r="X62" s="17"/>
      <c r="Y62" s="17"/>
      <c r="Z62" s="17"/>
      <c r="AA62" s="17"/>
      <c r="AB62" s="18"/>
      <c r="AC62" s="18"/>
      <c r="AD62" s="18" t="e">
        <f t="shared" ref="AD62:AL62" si="54">+AD61/Z61-1</f>
        <v>#DIV/0!</v>
      </c>
      <c r="AE62" s="18" t="e">
        <f t="shared" si="54"/>
        <v>#DIV/0!</v>
      </c>
      <c r="AF62" s="18" t="e">
        <f t="shared" si="54"/>
        <v>#DIV/0!</v>
      </c>
      <c r="AG62" s="18">
        <f t="shared" si="54"/>
        <v>-0.56666250930955653</v>
      </c>
      <c r="AH62" s="18">
        <f t="shared" si="54"/>
        <v>-0.67839068221286714</v>
      </c>
      <c r="AI62" s="18">
        <f t="shared" si="54"/>
        <v>-0.12249039560200847</v>
      </c>
      <c r="AJ62" s="18">
        <f t="shared" si="54"/>
        <v>-0.17458569319682615</v>
      </c>
      <c r="AK62" s="18">
        <f t="shared" si="54"/>
        <v>9.6916811631678534E-2</v>
      </c>
      <c r="AL62" s="18">
        <f t="shared" si="54"/>
        <v>0.13051801106750993</v>
      </c>
    </row>
    <row r="63" spans="23:38" x14ac:dyDescent="0.25">
      <c r="W63" s="12" t="s">
        <v>41</v>
      </c>
      <c r="Y63" s="18"/>
      <c r="Z63" s="18"/>
      <c r="AA63" s="18" t="e">
        <f t="shared" ref="AA63:AC63" si="55">+AA61/Z61-1</f>
        <v>#DIV/0!</v>
      </c>
      <c r="AB63" s="18" t="e">
        <f t="shared" si="55"/>
        <v>#DIV/0!</v>
      </c>
      <c r="AC63" s="18" t="e">
        <f t="shared" si="55"/>
        <v>#DIV/0!</v>
      </c>
      <c r="AD63" s="18">
        <f>+AD61/AC61-1</f>
        <v>0.61994011828045203</v>
      </c>
      <c r="AE63" s="18">
        <f>+AE61/AD61-1</f>
        <v>-0.77056296809035718</v>
      </c>
      <c r="AF63" s="18">
        <f>+AF61/AE61-1</f>
        <v>0.2826065399823352</v>
      </c>
      <c r="AG63" s="18">
        <f>+AG61/AF61-1</f>
        <v>-9.0986491167867611E-2</v>
      </c>
      <c r="AH63" s="18">
        <f t="shared" ref="AH63:AI63" si="56">+AH61/AG61-1</f>
        <v>0.20226808778092442</v>
      </c>
      <c r="AI63" s="18">
        <f t="shared" si="56"/>
        <v>-0.37398207088471636</v>
      </c>
      <c r="AJ63" s="18">
        <f>+AJ61/AI61-1</f>
        <v>0.20646176724987142</v>
      </c>
      <c r="AK63" s="18">
        <f>+AK61/AJ61-1</f>
        <v>0.20801419556207934</v>
      </c>
      <c r="AL63" s="18">
        <f t="shared" ref="AL63" si="57">+AL61/AK61-1</f>
        <v>0.23909645011842051</v>
      </c>
    </row>
    <row r="64" spans="23:38" x14ac:dyDescent="0.25">
      <c r="W64" s="12" t="s">
        <v>385</v>
      </c>
      <c r="Z64" s="13"/>
      <c r="AA64" s="13"/>
      <c r="AB64" s="13"/>
      <c r="AC64" s="13">
        <v>1155499.3529999999</v>
      </c>
      <c r="AD64" s="13">
        <v>1965795.9010000001</v>
      </c>
      <c r="AE64" s="13">
        <v>306656.33199999999</v>
      </c>
      <c r="AF64" s="13">
        <f>668891.241-AE64</f>
        <v>362234.90900000004</v>
      </c>
      <c r="AG64" s="13">
        <f>1359511.33-AF64-AE64</f>
        <v>690620.08900000015</v>
      </c>
      <c r="AH64" s="13">
        <f>2289226.05-AG64-AF64-AE64</f>
        <v>929714.71999999974</v>
      </c>
      <c r="AI64" s="13">
        <v>690134.78899999999</v>
      </c>
      <c r="AJ64" s="13">
        <f>1715826.077-AI64</f>
        <v>1025691.2880000001</v>
      </c>
      <c r="AK64" s="13">
        <f>2662778.571-AJ64-AI64</f>
        <v>946952.49399999983</v>
      </c>
      <c r="AL64" s="13">
        <f>3608681.807-AK64-AJ64-AI64</f>
        <v>945903.23599999992</v>
      </c>
    </row>
    <row r="65" spans="23:38" x14ac:dyDescent="0.25">
      <c r="W65" s="12" t="s">
        <v>40</v>
      </c>
      <c r="X65" s="17"/>
      <c r="Y65" s="17"/>
      <c r="Z65" s="17"/>
      <c r="AA65" s="17"/>
      <c r="AB65" s="18"/>
      <c r="AC65" s="18"/>
      <c r="AD65" s="18" t="e">
        <f t="shared" ref="AD65" si="58">+AD64/Z64-1</f>
        <v>#DIV/0!</v>
      </c>
      <c r="AE65" s="18" t="e">
        <f t="shared" ref="AE65" si="59">+AE64/AA64-1</f>
        <v>#DIV/0!</v>
      </c>
      <c r="AF65" s="18" t="e">
        <f t="shared" ref="AF65" si="60">+AF64/AB64-1</f>
        <v>#DIV/0!</v>
      </c>
      <c r="AG65" s="18">
        <f t="shared" ref="AG65" si="61">+AG64/AC64-1</f>
        <v>-0.40231893059311807</v>
      </c>
      <c r="AH65" s="18">
        <f t="shared" ref="AH65" si="62">+AH64/AD64-1</f>
        <v>-0.52705429921435187</v>
      </c>
      <c r="AI65" s="18">
        <f t="shared" ref="AI65" si="63">+AI64/AE64-1</f>
        <v>1.2505153717158528</v>
      </c>
      <c r="AJ65" s="18">
        <f t="shared" ref="AJ65:AL65" si="64">+AJ64/AF64-1</f>
        <v>1.8315638899397184</v>
      </c>
      <c r="AK65" s="18">
        <f t="shared" si="64"/>
        <v>0.37116268275827635</v>
      </c>
      <c r="AL65" s="18">
        <f t="shared" si="64"/>
        <v>1.7412347736088574E-2</v>
      </c>
    </row>
    <row r="66" spans="23:38" x14ac:dyDescent="0.25">
      <c r="W66" s="12" t="s">
        <v>41</v>
      </c>
      <c r="Y66" s="18"/>
      <c r="Z66" s="18"/>
      <c r="AA66" s="18" t="e">
        <f t="shared" ref="AA66" si="65">+AA64/Z64-1</f>
        <v>#DIV/0!</v>
      </c>
      <c r="AB66" s="18" t="e">
        <f t="shared" ref="AB66" si="66">+AB64/AA64-1</f>
        <v>#DIV/0!</v>
      </c>
      <c r="AC66" s="18" t="e">
        <f t="shared" ref="AC66" si="67">+AC64/AB64-1</f>
        <v>#DIV/0!</v>
      </c>
      <c r="AD66" s="18">
        <f>+AD64/AC64-1</f>
        <v>0.70125227322390393</v>
      </c>
      <c r="AE66" s="18">
        <f>+AE64/AD64-1</f>
        <v>-0.84400398238494445</v>
      </c>
      <c r="AF66" s="18">
        <f>+AF64/AE64-1</f>
        <v>0.18124059802554493</v>
      </c>
      <c r="AG66" s="18">
        <f>+AG64/AF64-1</f>
        <v>0.90655310087742014</v>
      </c>
      <c r="AH66" s="18">
        <f t="shared" ref="AH66" si="68">+AH64/AG64-1</f>
        <v>0.34620283250984252</v>
      </c>
      <c r="AI66" s="18">
        <f t="shared" ref="AI66" si="69">+AI64/AH64-1</f>
        <v>-0.25769187670815819</v>
      </c>
      <c r="AJ66" s="18">
        <f>+AJ64/AI64-1</f>
        <v>0.48621878558856424</v>
      </c>
      <c r="AK66" s="18">
        <f>+AK64/AJ64-1</f>
        <v>-7.6766562143209094E-2</v>
      </c>
      <c r="AL66" s="18">
        <f t="shared" ref="AL66" si="70">+AL64/AK64-1</f>
        <v>-1.1080365769646772E-3</v>
      </c>
    </row>
    <row r="67" spans="23:38" x14ac:dyDescent="0.25">
      <c r="W67" s="12" t="s">
        <v>269</v>
      </c>
      <c r="Z67" s="13"/>
      <c r="AA67" s="13"/>
      <c r="AB67" s="13"/>
      <c r="AC67" s="13">
        <v>37222.389000000003</v>
      </c>
      <c r="AD67" s="13">
        <v>64022.46</v>
      </c>
      <c r="AE67" s="13">
        <v>52839.294000000002</v>
      </c>
      <c r="AF67" s="13">
        <f>126578.078-AE67</f>
        <v>73738.783999999985</v>
      </c>
      <c r="AG67" s="13">
        <f>151902.751-AF67-AE67</f>
        <v>25324.673000000003</v>
      </c>
      <c r="AH67" s="13">
        <f>236336.462-AG67-AF67-AE67</f>
        <v>84433.71100000001</v>
      </c>
      <c r="AI67" s="13">
        <v>64693.728999999999</v>
      </c>
      <c r="AJ67" s="13">
        <f>111551.405-AI67</f>
        <v>46857.675999999999</v>
      </c>
      <c r="AK67" s="13">
        <f>159129.813-AJ67-AI67</f>
        <v>47578.407999999989</v>
      </c>
      <c r="AL67" s="13">
        <f>279802.598-AK67-AJ67-AI67</f>
        <v>120672.785</v>
      </c>
    </row>
    <row r="68" spans="23:38" x14ac:dyDescent="0.25">
      <c r="W68" s="12" t="s">
        <v>40</v>
      </c>
      <c r="X68" s="17"/>
      <c r="Y68" s="17"/>
      <c r="Z68" s="17"/>
      <c r="AA68" s="17"/>
      <c r="AB68" s="18"/>
      <c r="AC68" s="18"/>
      <c r="AD68" s="18" t="e">
        <f t="shared" ref="AD68" si="71">+AD67/Z67-1</f>
        <v>#DIV/0!</v>
      </c>
      <c r="AE68" s="18" t="e">
        <f t="shared" ref="AE68" si="72">+AE67/AA67-1</f>
        <v>#DIV/0!</v>
      </c>
      <c r="AF68" s="18" t="e">
        <f t="shared" ref="AF68" si="73">+AF67/AB67-1</f>
        <v>#DIV/0!</v>
      </c>
      <c r="AG68" s="18">
        <f t="shared" ref="AG68" si="74">+AG67/AC67-1</f>
        <v>-0.31963869917108223</v>
      </c>
      <c r="AH68" s="18">
        <f t="shared" ref="AH68" si="75">+AH67/AD67-1</f>
        <v>0.31881391311736551</v>
      </c>
      <c r="AI68" s="18">
        <f t="shared" ref="AI68" si="76">+AI67/AE67-1</f>
        <v>0.2243488529578006</v>
      </c>
      <c r="AJ68" s="18">
        <f t="shared" ref="AJ68:AL68" si="77">+AJ67/AF67-1</f>
        <v>-0.36454504050405812</v>
      </c>
      <c r="AK68" s="18">
        <f t="shared" si="77"/>
        <v>0.87873730886870627</v>
      </c>
      <c r="AL68" s="18">
        <f t="shared" si="77"/>
        <v>0.42920148327958718</v>
      </c>
    </row>
    <row r="69" spans="23:38" x14ac:dyDescent="0.25">
      <c r="W69" s="12" t="s">
        <v>41</v>
      </c>
      <c r="Y69" s="18"/>
      <c r="Z69" s="18"/>
      <c r="AA69" s="18" t="e">
        <f t="shared" ref="AA69" si="78">+AA67/Z67-1</f>
        <v>#DIV/0!</v>
      </c>
      <c r="AB69" s="18" t="e">
        <f t="shared" ref="AB69" si="79">+AB67/AA67-1</f>
        <v>#DIV/0!</v>
      </c>
      <c r="AC69" s="18" t="e">
        <f t="shared" ref="AC69" si="80">+AC67/AB67-1</f>
        <v>#DIV/0!</v>
      </c>
      <c r="AD69" s="18">
        <f>+AD67/AC67-1</f>
        <v>0.71999868143874357</v>
      </c>
      <c r="AE69" s="18">
        <f>+AE67/AD67-1</f>
        <v>-0.17467566850758309</v>
      </c>
      <c r="AF69" s="18">
        <f>+AF67/AE67-1</f>
        <v>0.39552931952497294</v>
      </c>
      <c r="AG69" s="18">
        <f>+AG67/AF67-1</f>
        <v>-0.65656237292982744</v>
      </c>
      <c r="AH69" s="18">
        <f t="shared" ref="AH69" si="81">+AH67/AG67-1</f>
        <v>2.334049407074279</v>
      </c>
      <c r="AI69" s="18">
        <f t="shared" ref="AI69" si="82">+AI67/AH67-1</f>
        <v>-0.23379266132220589</v>
      </c>
      <c r="AJ69" s="18">
        <f>+AJ67/AI67-1</f>
        <v>-0.27569987502188964</v>
      </c>
      <c r="AK69" s="18">
        <f>+AK67/AJ67-1</f>
        <v>1.5381300600567416E-2</v>
      </c>
      <c r="AL69" s="18">
        <f t="shared" ref="AL69" si="83">+AL67/AK67-1</f>
        <v>1.5362930386405536</v>
      </c>
    </row>
  </sheetData>
  <mergeCells count="3">
    <mergeCell ref="AP2:AT2"/>
    <mergeCell ref="AU2:AY2"/>
    <mergeCell ref="B13:H13"/>
  </mergeCell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33BE0-D016-481B-B8C5-C1D18549474A}">
  <sheetPr codeName="Sheet9">
    <tabColor rgb="FF92D050"/>
  </sheetPr>
  <dimension ref="A1:AY87"/>
  <sheetViews>
    <sheetView topLeftCell="X1" zoomScale="85" zoomScaleNormal="85" workbookViewId="0">
      <selection activeCell="AL2" sqref="AL2"/>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8" width="12" style="12" customWidth="1"/>
    <col min="39" max="40" width="8.85546875" style="12"/>
    <col min="41" max="41" width="14.28515625" style="50" bestFit="1" customWidth="1"/>
    <col min="42" max="16384" width="8.85546875" style="50"/>
  </cols>
  <sheetData>
    <row r="1" spans="1:51" ht="15.75" thickBot="1" x14ac:dyDescent="0.3">
      <c r="W1" s="20" t="s">
        <v>194</v>
      </c>
      <c r="X1" s="59">
        <f>+'Valuation Sheet'!C14</f>
        <v>371</v>
      </c>
    </row>
    <row r="2" spans="1:51"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73</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c r="AL2" s="11" t="s">
        <v>1018</v>
      </c>
      <c r="AO2" s="71" t="str">
        <f>+W2</f>
        <v>CARG</v>
      </c>
      <c r="AP2" s="189" t="s">
        <v>190</v>
      </c>
      <c r="AQ2" s="190"/>
      <c r="AR2" s="190"/>
      <c r="AS2" s="190"/>
      <c r="AT2" s="191"/>
      <c r="AU2" s="192" t="s">
        <v>191</v>
      </c>
      <c r="AV2" s="192"/>
      <c r="AW2" s="192"/>
      <c r="AX2" s="192"/>
      <c r="AY2" s="192"/>
    </row>
    <row r="3" spans="1:51" ht="18" thickTop="1" thickBot="1" x14ac:dyDescent="0.4">
      <c r="B3" s="25" t="s">
        <v>10</v>
      </c>
      <c r="C3" s="26">
        <v>17820.179</v>
      </c>
      <c r="D3" s="26"/>
      <c r="E3" s="26"/>
      <c r="F3" s="26"/>
      <c r="G3" s="26"/>
      <c r="H3" s="26"/>
      <c r="I3" s="27"/>
      <c r="J3" s="21"/>
      <c r="M3" s="1" t="s">
        <v>11</v>
      </c>
      <c r="N3" s="2">
        <f>'[1]LT Portfolio'!W294</f>
        <v>0</v>
      </c>
      <c r="W3" s="12" t="s">
        <v>62</v>
      </c>
      <c r="X3" s="13"/>
      <c r="Y3" s="13"/>
      <c r="Z3" s="13">
        <v>30007304</v>
      </c>
      <c r="AA3" s="13">
        <v>29439346</v>
      </c>
      <c r="AB3" s="13">
        <v>28961388</v>
      </c>
      <c r="AC3" s="13">
        <v>37392885</v>
      </c>
      <c r="AD3" s="13">
        <v>40839877</v>
      </c>
      <c r="AE3" s="13">
        <v>47974504</v>
      </c>
      <c r="AF3" s="13">
        <v>49206388</v>
      </c>
      <c r="AG3" s="13">
        <v>49881655</v>
      </c>
      <c r="AH3" s="13">
        <v>48555352</v>
      </c>
      <c r="AI3" s="13">
        <v>56753468</v>
      </c>
      <c r="AJ3" s="13">
        <v>55579889</v>
      </c>
      <c r="AK3" s="13">
        <v>56703728</v>
      </c>
      <c r="AL3" s="13">
        <v>54403399</v>
      </c>
      <c r="AO3" s="69"/>
      <c r="AP3" s="66" t="s">
        <v>78</v>
      </c>
      <c r="AQ3" s="67" t="s">
        <v>17</v>
      </c>
      <c r="AR3" s="67" t="s">
        <v>184</v>
      </c>
      <c r="AS3" s="67" t="s">
        <v>29</v>
      </c>
      <c r="AT3" s="68" t="s">
        <v>30</v>
      </c>
      <c r="AU3" s="66" t="s">
        <v>78</v>
      </c>
      <c r="AV3" s="67" t="s">
        <v>17</v>
      </c>
      <c r="AW3" s="67" t="s">
        <v>184</v>
      </c>
      <c r="AX3" s="67" t="s">
        <v>29</v>
      </c>
      <c r="AY3" s="68" t="s">
        <v>30</v>
      </c>
    </row>
    <row r="4" spans="1:51"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L4" si="1">+AB3/X3-1</f>
        <v>#DIV/0!</v>
      </c>
      <c r="AC4" s="18" t="e">
        <f t="shared" si="1"/>
        <v>#DIV/0!</v>
      </c>
      <c r="AD4" s="18">
        <f t="shared" si="1"/>
        <v>0.36099787571719211</v>
      </c>
      <c r="AE4" s="18">
        <f t="shared" si="1"/>
        <v>0.62960495114259674</v>
      </c>
      <c r="AF4" s="18">
        <f t="shared" si="1"/>
        <v>0.69903417612443164</v>
      </c>
      <c r="AG4" s="18">
        <f t="shared" si="1"/>
        <v>0.33398786961744187</v>
      </c>
      <c r="AH4" s="18">
        <f t="shared" si="1"/>
        <v>0.18892013313360367</v>
      </c>
      <c r="AI4" s="18">
        <f t="shared" si="1"/>
        <v>0.182992282734179</v>
      </c>
      <c r="AJ4" s="18">
        <f t="shared" si="1"/>
        <v>0.12952588594797887</v>
      </c>
      <c r="AK4" s="18">
        <f t="shared" si="1"/>
        <v>0.13676516947964146</v>
      </c>
      <c r="AL4" s="18">
        <f t="shared" si="1"/>
        <v>0.12044083214554813</v>
      </c>
      <c r="AM4" s="46"/>
      <c r="AO4" s="69" t="s">
        <v>185</v>
      </c>
      <c r="AP4" s="60">
        <v>220301</v>
      </c>
      <c r="AQ4" s="61">
        <v>16355</v>
      </c>
      <c r="AR4" s="61">
        <v>7816</v>
      </c>
      <c r="AS4" s="74">
        <v>30.3</v>
      </c>
      <c r="AT4" s="64">
        <v>10</v>
      </c>
      <c r="AU4" s="60">
        <v>241481</v>
      </c>
      <c r="AV4" s="61">
        <v>18144</v>
      </c>
      <c r="AW4" s="61">
        <v>9679</v>
      </c>
      <c r="AX4" s="58">
        <v>37.6</v>
      </c>
      <c r="AY4" s="64">
        <v>12.4</v>
      </c>
    </row>
    <row r="5" spans="1:51"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C5" si="2">+Y3/X3-1</f>
        <v>#DIV/0!</v>
      </c>
      <c r="Z5" s="18" t="e">
        <f t="shared" si="2"/>
        <v>#DIV/0!</v>
      </c>
      <c r="AA5" s="18">
        <f t="shared" si="2"/>
        <v>-1.892732516056761E-2</v>
      </c>
      <c r="AB5" s="18">
        <f t="shared" si="2"/>
        <v>-1.6235347075984619E-2</v>
      </c>
      <c r="AC5" s="18">
        <f t="shared" si="2"/>
        <v>0.29112889893260641</v>
      </c>
      <c r="AD5" s="18">
        <f t="shared" ref="AD5:AL5" si="3">+AD3/AC3-1</f>
        <v>9.2183098469133862E-2</v>
      </c>
      <c r="AE5" s="18">
        <f t="shared" si="3"/>
        <v>0.17469756336435593</v>
      </c>
      <c r="AF5" s="18">
        <f t="shared" si="3"/>
        <v>2.5677889238834073E-2</v>
      </c>
      <c r="AG5" s="18">
        <f t="shared" si="3"/>
        <v>1.3723157245355999E-2</v>
      </c>
      <c r="AH5" s="18">
        <f t="shared" si="3"/>
        <v>-2.6588993488688373E-2</v>
      </c>
      <c r="AI5" s="18">
        <f t="shared" si="3"/>
        <v>0.16884062543712997</v>
      </c>
      <c r="AJ5" s="18">
        <f t="shared" si="3"/>
        <v>-2.067854249893597E-2</v>
      </c>
      <c r="AK5" s="18">
        <f t="shared" si="3"/>
        <v>2.0220245492033939E-2</v>
      </c>
      <c r="AL5" s="18">
        <f t="shared" si="3"/>
        <v>-4.0567509071008478E-2</v>
      </c>
      <c r="AO5" s="69" t="s">
        <v>186</v>
      </c>
      <c r="AP5" s="60">
        <v>226361</v>
      </c>
      <c r="AQ5" s="61">
        <v>15369</v>
      </c>
      <c r="AR5" s="61">
        <v>6637</v>
      </c>
      <c r="AS5" s="58">
        <v>25.76</v>
      </c>
      <c r="AT5" s="64">
        <v>10.3</v>
      </c>
      <c r="AU5" s="60">
        <v>257161</v>
      </c>
      <c r="AV5" s="61">
        <v>17868</v>
      </c>
      <c r="AW5" s="61">
        <v>8560</v>
      </c>
      <c r="AX5" s="58">
        <v>33.22</v>
      </c>
      <c r="AY5" s="64">
        <v>13.29</v>
      </c>
    </row>
    <row r="6" spans="1:51" ht="18" thickTop="1" thickBot="1" x14ac:dyDescent="0.4">
      <c r="B6" s="28" t="s">
        <v>15</v>
      </c>
      <c r="C6" s="30">
        <f t="shared" ref="C6:G6" si="4">C5/C$3*100</f>
        <v>16.806015248219449</v>
      </c>
      <c r="D6" s="30" t="e">
        <f t="shared" si="4"/>
        <v>#DIV/0!</v>
      </c>
      <c r="E6" s="30" t="e">
        <f t="shared" si="4"/>
        <v>#DIV/0!</v>
      </c>
      <c r="F6" s="30" t="e">
        <f t="shared" si="4"/>
        <v>#DIV/0!</v>
      </c>
      <c r="G6" s="30" t="e">
        <f t="shared" si="4"/>
        <v>#DIV/0!</v>
      </c>
      <c r="H6" s="30" t="e">
        <f>H5/H$3*100</f>
        <v>#DIV/0!</v>
      </c>
      <c r="I6" s="31" t="e">
        <f>I5/I$3*100</f>
        <v>#DIV/0!</v>
      </c>
      <c r="J6" s="23" t="e">
        <f>AVERAGE(D6:I6)</f>
        <v>#DIV/0!</v>
      </c>
      <c r="M6" s="1" t="s">
        <v>16</v>
      </c>
      <c r="N6" s="3">
        <f>261.001/415.481776</f>
        <v>0.62818880412218114</v>
      </c>
      <c r="AO6" s="69" t="s">
        <v>187</v>
      </c>
      <c r="AP6" s="60">
        <v>243043</v>
      </c>
      <c r="AQ6" s="61">
        <v>18585</v>
      </c>
      <c r="AR6" s="61">
        <v>9298</v>
      </c>
      <c r="AS6" s="58">
        <v>36.08</v>
      </c>
      <c r="AT6" s="64">
        <v>11</v>
      </c>
      <c r="AU6" s="60">
        <v>295426</v>
      </c>
      <c r="AV6" s="61">
        <v>26740</v>
      </c>
      <c r="AW6" s="61">
        <v>15566</v>
      </c>
      <c r="AX6" s="58">
        <v>60.41</v>
      </c>
      <c r="AY6" s="64">
        <v>18</v>
      </c>
    </row>
    <row r="7" spans="1:51"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K7" s="13"/>
      <c r="AL7" s="13"/>
      <c r="AO7" s="69" t="s">
        <v>188</v>
      </c>
      <c r="AP7" s="60"/>
      <c r="AQ7" s="61"/>
      <c r="AR7" s="61"/>
      <c r="AS7" s="74"/>
      <c r="AT7" s="64"/>
      <c r="AU7" s="60"/>
      <c r="AV7" s="61"/>
      <c r="AW7" s="61"/>
      <c r="AX7" s="58"/>
      <c r="AY7" s="64"/>
    </row>
    <row r="8" spans="1:51" ht="18" thickTop="1" thickBot="1" x14ac:dyDescent="0.4">
      <c r="B8" s="28" t="s">
        <v>19</v>
      </c>
      <c r="C8" s="30">
        <f t="shared" ref="C8:I8" si="5">C7/C$3*100</f>
        <v>12.16378353999699</v>
      </c>
      <c r="D8" s="30" t="e">
        <f t="shared" si="5"/>
        <v>#DIV/0!</v>
      </c>
      <c r="E8" s="30" t="e">
        <f t="shared" si="5"/>
        <v>#DIV/0!</v>
      </c>
      <c r="F8" s="30" t="e">
        <f t="shared" si="5"/>
        <v>#DIV/0!</v>
      </c>
      <c r="G8" s="30" t="e">
        <f t="shared" si="5"/>
        <v>#DIV/0!</v>
      </c>
      <c r="H8" s="30" t="e">
        <f t="shared" si="5"/>
        <v>#DIV/0!</v>
      </c>
      <c r="I8" s="31" t="e">
        <f t="shared" si="5"/>
        <v>#DIV/0!</v>
      </c>
      <c r="J8" s="23" t="e">
        <f>AVERAGE(D8:I8)</f>
        <v>#DIV/0!</v>
      </c>
      <c r="M8" s="1" t="s">
        <v>20</v>
      </c>
      <c r="N8" s="3">
        <f>'[1]LT Portfolio'!Q294</f>
        <v>0</v>
      </c>
      <c r="W8" s="12" t="s">
        <v>40</v>
      </c>
      <c r="AB8" s="18" t="e">
        <f t="shared" ref="AB8:AL8" si="6">+AB7/X7-1</f>
        <v>#DIV/0!</v>
      </c>
      <c r="AC8" s="18" t="e">
        <f t="shared" si="6"/>
        <v>#DIV/0!</v>
      </c>
      <c r="AD8" s="18" t="e">
        <f t="shared" si="6"/>
        <v>#DIV/0!</v>
      </c>
      <c r="AE8" s="18" t="e">
        <f t="shared" si="6"/>
        <v>#DIV/0!</v>
      </c>
      <c r="AF8" s="18" t="e">
        <f t="shared" si="6"/>
        <v>#DIV/0!</v>
      </c>
      <c r="AG8" s="18" t="e">
        <f t="shared" si="6"/>
        <v>#DIV/0!</v>
      </c>
      <c r="AH8" s="18" t="e">
        <f t="shared" si="6"/>
        <v>#DIV/0!</v>
      </c>
      <c r="AI8" s="18" t="e">
        <f t="shared" si="6"/>
        <v>#DIV/0!</v>
      </c>
      <c r="AJ8" s="18" t="e">
        <f t="shared" si="6"/>
        <v>#DIV/0!</v>
      </c>
      <c r="AK8" s="18" t="e">
        <f t="shared" si="6"/>
        <v>#DIV/0!</v>
      </c>
      <c r="AL8" s="18" t="e">
        <f t="shared" si="6"/>
        <v>#DIV/0!</v>
      </c>
      <c r="AO8" s="69" t="s">
        <v>189</v>
      </c>
      <c r="AP8" s="60"/>
      <c r="AQ8" s="61"/>
      <c r="AR8" s="61"/>
      <c r="AS8" s="74"/>
      <c r="AT8" s="64"/>
      <c r="AU8" s="60"/>
      <c r="AV8" s="61"/>
      <c r="AW8" s="61"/>
      <c r="AX8" s="58"/>
      <c r="AY8" s="64"/>
    </row>
    <row r="9" spans="1:51"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C9" si="7">+Y7/X7-1</f>
        <v>#DIV/0!</v>
      </c>
      <c r="Z9" s="18" t="e">
        <f t="shared" si="7"/>
        <v>#DIV/0!</v>
      </c>
      <c r="AA9" s="18" t="e">
        <f t="shared" si="7"/>
        <v>#DIV/0!</v>
      </c>
      <c r="AB9" s="18" t="e">
        <f t="shared" si="7"/>
        <v>#DIV/0!</v>
      </c>
      <c r="AC9" s="18" t="e">
        <f t="shared" si="7"/>
        <v>#DIV/0!</v>
      </c>
      <c r="AD9" s="18" t="e">
        <f t="shared" ref="AD9:AL9" si="8">+AD7/AC7-1</f>
        <v>#DIV/0!</v>
      </c>
      <c r="AE9" s="18" t="e">
        <f t="shared" si="8"/>
        <v>#DIV/0!</v>
      </c>
      <c r="AF9" s="18" t="e">
        <f t="shared" si="8"/>
        <v>#DIV/0!</v>
      </c>
      <c r="AG9" s="18" t="e">
        <f t="shared" si="8"/>
        <v>#DIV/0!</v>
      </c>
      <c r="AH9" s="18" t="e">
        <f t="shared" si="8"/>
        <v>#DIV/0!</v>
      </c>
      <c r="AI9" s="18" t="e">
        <f t="shared" si="8"/>
        <v>#DIV/0!</v>
      </c>
      <c r="AJ9" s="18" t="e">
        <f t="shared" si="8"/>
        <v>#DIV/0!</v>
      </c>
      <c r="AK9" s="18" t="e">
        <f t="shared" si="8"/>
        <v>#DIV/0!</v>
      </c>
      <c r="AL9" s="18" t="e">
        <f t="shared" si="8"/>
        <v>#DIV/0!</v>
      </c>
      <c r="AO9" s="69" t="s">
        <v>195</v>
      </c>
      <c r="AP9" s="60"/>
      <c r="AQ9" s="61"/>
      <c r="AR9" s="61"/>
      <c r="AS9" s="74"/>
      <c r="AT9" s="64"/>
      <c r="AU9" s="60"/>
      <c r="AV9" s="61"/>
      <c r="AW9" s="61"/>
      <c r="AX9" s="58"/>
      <c r="AY9" s="64"/>
    </row>
    <row r="10" spans="1:51"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O10" s="69" t="s">
        <v>196</v>
      </c>
      <c r="AP10" s="60"/>
      <c r="AQ10" s="61"/>
      <c r="AR10" s="61"/>
      <c r="AS10" s="58"/>
      <c r="AT10" s="64"/>
      <c r="AU10" s="60"/>
      <c r="AV10" s="61"/>
      <c r="AW10" s="61"/>
      <c r="AX10" s="58"/>
      <c r="AY10" s="64"/>
    </row>
    <row r="11" spans="1:51" ht="18" thickTop="1" thickBot="1" x14ac:dyDescent="0.4">
      <c r="B11" s="28" t="s">
        <v>25</v>
      </c>
      <c r="C11" s="30">
        <f t="shared" ref="C11:G11" si="9">C10/C$3*100</f>
        <v>12.180949473066461</v>
      </c>
      <c r="D11" s="30" t="e">
        <f t="shared" si="9"/>
        <v>#DIV/0!</v>
      </c>
      <c r="E11" s="30" t="e">
        <f t="shared" si="9"/>
        <v>#DIV/0!</v>
      </c>
      <c r="F11" s="30" t="e">
        <f t="shared" si="9"/>
        <v>#DIV/0!</v>
      </c>
      <c r="G11" s="30" t="e">
        <f t="shared" si="9"/>
        <v>#DIV/0!</v>
      </c>
      <c r="H11" s="30" t="e">
        <f>H10/H$3*100</f>
        <v>#DIV/0!</v>
      </c>
      <c r="I11" s="31" t="e">
        <f>I10/I$3*100</f>
        <v>#DIV/0!</v>
      </c>
      <c r="J11" s="23" t="e">
        <f>AVERAGE(D11:I11)</f>
        <v>#DIV/0!</v>
      </c>
      <c r="M11" s="1" t="s">
        <v>26</v>
      </c>
      <c r="N11" s="3">
        <f>'[1]LT Portfolio'!T294</f>
        <v>0</v>
      </c>
      <c r="O11" s="4" t="e">
        <f>N11/N7-1</f>
        <v>#DIV/0!</v>
      </c>
      <c r="W11" s="12" t="s">
        <v>42</v>
      </c>
      <c r="X11" s="13"/>
      <c r="Y11" s="13"/>
      <c r="Z11" s="13">
        <v>3367627</v>
      </c>
      <c r="AA11" s="13">
        <v>2909235</v>
      </c>
      <c r="AB11" s="13">
        <v>3093314</v>
      </c>
      <c r="AC11" s="13">
        <v>4717843</v>
      </c>
      <c r="AD11" s="13">
        <v>4837276</v>
      </c>
      <c r="AE11" s="13">
        <v>5230229</v>
      </c>
      <c r="AF11" s="13">
        <v>5588363</v>
      </c>
      <c r="AG11" s="13">
        <v>6045528</v>
      </c>
      <c r="AH11" s="13">
        <v>5805775</v>
      </c>
      <c r="AI11" s="13">
        <v>6549389</v>
      </c>
      <c r="AJ11" s="13">
        <v>6479018</v>
      </c>
      <c r="AK11" s="13">
        <v>5812728</v>
      </c>
      <c r="AL11" s="13">
        <v>5910950</v>
      </c>
      <c r="AO11" s="70" t="s">
        <v>192</v>
      </c>
      <c r="AP11" s="62">
        <f>+AVERAGE(AP4:AP10)</f>
        <v>229901.66666666666</v>
      </c>
      <c r="AQ11" s="63">
        <f t="shared" ref="AQ11:AY11" si="10">+AVERAGE(AQ4:AQ10)</f>
        <v>16769.666666666668</v>
      </c>
      <c r="AR11" s="63">
        <f t="shared" si="10"/>
        <v>7917</v>
      </c>
      <c r="AS11" s="72">
        <f t="shared" si="10"/>
        <v>30.713333333333335</v>
      </c>
      <c r="AT11" s="65">
        <f t="shared" si="10"/>
        <v>10.433333333333334</v>
      </c>
      <c r="AU11" s="62">
        <f t="shared" si="10"/>
        <v>264689.33333333331</v>
      </c>
      <c r="AV11" s="63">
        <f t="shared" si="10"/>
        <v>20917.333333333332</v>
      </c>
      <c r="AW11" s="63">
        <f t="shared" si="10"/>
        <v>11268.333333333334</v>
      </c>
      <c r="AX11" s="72">
        <f t="shared" si="10"/>
        <v>43.743333333333332</v>
      </c>
      <c r="AY11" s="65">
        <f t="shared" si="10"/>
        <v>14.563333333333333</v>
      </c>
    </row>
    <row r="12" spans="1:51" ht="18" thickTop="1" thickBot="1" x14ac:dyDescent="0.4">
      <c r="B12" s="28" t="s">
        <v>27</v>
      </c>
      <c r="C12" s="29"/>
      <c r="D12" s="30">
        <f t="shared" ref="D12:I12" si="11">(D10/C10-1)*100</f>
        <v>-100</v>
      </c>
      <c r="E12" s="30" t="e">
        <f t="shared" si="11"/>
        <v>#DIV/0!</v>
      </c>
      <c r="F12" s="30" t="e">
        <f t="shared" si="11"/>
        <v>#DIV/0!</v>
      </c>
      <c r="G12" s="30" t="e">
        <f t="shared" si="11"/>
        <v>#DIV/0!</v>
      </c>
      <c r="H12" s="30" t="e">
        <f t="shared" si="11"/>
        <v>#DIV/0!</v>
      </c>
      <c r="I12" s="31" t="e">
        <f t="shared" si="11"/>
        <v>#DIV/0!</v>
      </c>
      <c r="J12" s="23" t="e">
        <f>AVERAGE(D12:I12)</f>
        <v>#DIV/0!</v>
      </c>
      <c r="S12" t="s">
        <v>20</v>
      </c>
      <c r="T12" t="s">
        <v>22</v>
      </c>
      <c r="W12" s="12" t="s">
        <v>43</v>
      </c>
      <c r="X12" s="19" t="e">
        <f t="shared" ref="X12:AG12" si="12">+X11/X3</f>
        <v>#DIV/0!</v>
      </c>
      <c r="Y12" s="19" t="e">
        <f t="shared" si="12"/>
        <v>#DIV/0!</v>
      </c>
      <c r="Z12" s="19">
        <f t="shared" si="12"/>
        <v>0.11222690982168874</v>
      </c>
      <c r="AA12" s="19">
        <f t="shared" si="12"/>
        <v>9.8821318924679921E-2</v>
      </c>
      <c r="AB12" s="19">
        <f t="shared" si="12"/>
        <v>0.10680820960652852</v>
      </c>
      <c r="AC12" s="19">
        <f t="shared" si="12"/>
        <v>0.12616953733310496</v>
      </c>
      <c r="AD12" s="19">
        <f t="shared" si="12"/>
        <v>0.11844492087965887</v>
      </c>
      <c r="AE12" s="19">
        <f t="shared" si="12"/>
        <v>0.10902101249446998</v>
      </c>
      <c r="AF12" s="19">
        <f t="shared" si="12"/>
        <v>0.11356986820491681</v>
      </c>
      <c r="AG12" s="19">
        <f t="shared" si="12"/>
        <v>0.12119742217855442</v>
      </c>
      <c r="AH12" s="19">
        <f t="shared" ref="AH12:AK12" si="13">+AH11/AH3</f>
        <v>0.11957023810681056</v>
      </c>
      <c r="AI12" s="19">
        <f t="shared" si="13"/>
        <v>0.11540068353179757</v>
      </c>
      <c r="AJ12" s="19">
        <f t="shared" si="13"/>
        <v>0.11657126555254545</v>
      </c>
      <c r="AK12" s="19">
        <f t="shared" si="13"/>
        <v>0.10251050865650314</v>
      </c>
      <c r="AL12" s="19">
        <f t="shared" ref="AL12" si="14">+AL11/AL3</f>
        <v>0.10865038046611757</v>
      </c>
      <c r="AO12" s="12"/>
      <c r="AP12" s="12"/>
      <c r="AQ12" s="12"/>
      <c r="AR12" s="12"/>
      <c r="AS12" s="12"/>
      <c r="AT12" s="99" t="s">
        <v>34</v>
      </c>
      <c r="AU12" s="12"/>
      <c r="AV12" s="12"/>
      <c r="AW12" s="12"/>
      <c r="AX12" s="12"/>
      <c r="AY12" s="99" t="s">
        <v>34</v>
      </c>
    </row>
    <row r="13" spans="1:51"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c r="AN13" s="12"/>
      <c r="AO13" s="12" t="s">
        <v>193</v>
      </c>
      <c r="AP13" s="12"/>
      <c r="AQ13" s="12"/>
      <c r="AR13" s="12"/>
      <c r="AS13" s="58">
        <f>+$X$1/AS11</f>
        <v>12.079444323855002</v>
      </c>
      <c r="AT13" s="75">
        <f>+AT11/$X$1</f>
        <v>2.8122192273135671E-2</v>
      </c>
      <c r="AU13" s="12"/>
      <c r="AV13" s="12"/>
      <c r="AW13" s="12"/>
      <c r="AX13" s="58">
        <f>+$X$1/AX11</f>
        <v>8.4812923874114148</v>
      </c>
      <c r="AY13" s="75">
        <f>+AY11/$X$1</f>
        <v>3.925426774483378E-2</v>
      </c>
    </row>
    <row r="14" spans="1:51"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c r="Y14" s="13"/>
      <c r="Z14" s="13">
        <v>2040705</v>
      </c>
      <c r="AA14" s="13">
        <v>1599089</v>
      </c>
      <c r="AB14" s="13">
        <v>1626475</v>
      </c>
      <c r="AC14" s="13">
        <v>2712777</v>
      </c>
      <c r="AD14" s="13">
        <v>3120033</v>
      </c>
      <c r="AE14" s="13">
        <v>3006618</v>
      </c>
      <c r="AF14" s="13">
        <v>3520731</v>
      </c>
      <c r="AG14" s="13">
        <v>3798761</v>
      </c>
      <c r="AH14" s="13">
        <v>3433425</v>
      </c>
      <c r="AI14" s="13">
        <v>3912121</v>
      </c>
      <c r="AJ14" s="13">
        <v>3754771</v>
      </c>
      <c r="AK14" s="10">
        <v>3082779</v>
      </c>
      <c r="AL14" s="13">
        <v>2763074</v>
      </c>
    </row>
    <row r="15" spans="1:51" ht="18" thickTop="1" thickBot="1" x14ac:dyDescent="0.4">
      <c r="B15" s="32" t="s">
        <v>30</v>
      </c>
      <c r="C15" s="34">
        <f>1+0.6</f>
        <v>1.6</v>
      </c>
      <c r="D15" s="34"/>
      <c r="E15" s="34"/>
      <c r="F15" s="34"/>
      <c r="G15" s="34"/>
      <c r="H15" s="34"/>
      <c r="I15" s="35"/>
      <c r="J15" s="24"/>
      <c r="R15" s="6"/>
      <c r="S15" s="6"/>
      <c r="W15" s="12" t="s">
        <v>55</v>
      </c>
      <c r="X15" s="19" t="e">
        <f t="shared" ref="X15:AG15" si="15">+X14/X3</f>
        <v>#DIV/0!</v>
      </c>
      <c r="Y15" s="19" t="e">
        <f t="shared" si="15"/>
        <v>#DIV/0!</v>
      </c>
      <c r="Z15" s="19">
        <f t="shared" si="15"/>
        <v>6.8006942576380736E-2</v>
      </c>
      <c r="AA15" s="19">
        <f t="shared" si="15"/>
        <v>5.4318088452100802E-2</v>
      </c>
      <c r="AB15" s="19">
        <f t="shared" si="15"/>
        <v>5.6160119121362553E-2</v>
      </c>
      <c r="AC15" s="19">
        <f t="shared" si="15"/>
        <v>7.2547945952819631E-2</v>
      </c>
      <c r="AD15" s="19">
        <f t="shared" si="15"/>
        <v>7.63967286189427E-2</v>
      </c>
      <c r="AE15" s="19">
        <f t="shared" si="15"/>
        <v>6.2671163833189394E-2</v>
      </c>
      <c r="AF15" s="19">
        <f t="shared" si="15"/>
        <v>7.1550283268099257E-2</v>
      </c>
      <c r="AG15" s="19">
        <f t="shared" si="15"/>
        <v>7.6155472387594195E-2</v>
      </c>
      <c r="AH15" s="19">
        <f t="shared" ref="AH15:AK15" si="16">+AH14/AH3</f>
        <v>7.071156646130379E-2</v>
      </c>
      <c r="AI15" s="19">
        <f t="shared" si="16"/>
        <v>6.8931840429557537E-2</v>
      </c>
      <c r="AJ15" s="19">
        <f t="shared" si="16"/>
        <v>6.7556288210651155E-2</v>
      </c>
      <c r="AK15" s="19">
        <f t="shared" si="16"/>
        <v>5.4366425431498965E-2</v>
      </c>
      <c r="AL15" s="19">
        <f t="shared" ref="AL15" si="17">+AL14/AL3</f>
        <v>5.0788628114945542E-2</v>
      </c>
    </row>
    <row r="16" spans="1:51" ht="18" thickTop="1" thickBot="1" x14ac:dyDescent="0.4">
      <c r="B16" s="32" t="s">
        <v>8</v>
      </c>
      <c r="C16" s="34">
        <v>31.7</v>
      </c>
      <c r="D16" s="34"/>
      <c r="E16" s="34"/>
      <c r="F16" s="34"/>
      <c r="G16" s="34"/>
      <c r="H16" s="34"/>
      <c r="I16" s="35"/>
      <c r="J16" s="22" t="e">
        <f>((I16/D16)^(1/5)-1)*100</f>
        <v>#DIV/0!</v>
      </c>
    </row>
    <row r="17" spans="2:38" ht="18" thickTop="1" thickBot="1" x14ac:dyDescent="0.4">
      <c r="B17" s="32" t="s">
        <v>31</v>
      </c>
      <c r="C17" s="34">
        <v>14.6</v>
      </c>
      <c r="D17" s="34"/>
      <c r="E17" s="34"/>
      <c r="F17" s="34"/>
      <c r="G17" s="34"/>
      <c r="H17" s="34"/>
      <c r="I17" s="35"/>
      <c r="J17" s="22" t="e">
        <f>((I17/D17)^(1/6)-1)*100</f>
        <v>#DIV/0!</v>
      </c>
      <c r="W17" s="12" t="s">
        <v>44</v>
      </c>
      <c r="X17" s="13"/>
      <c r="Y17" s="13"/>
      <c r="Z17" s="13">
        <v>-612564</v>
      </c>
      <c r="AA17" s="13">
        <f>-683027+43320</f>
        <v>-639707</v>
      </c>
      <c r="AB17" s="13">
        <f>-735207-46461</f>
        <v>-781668</v>
      </c>
      <c r="AC17" s="13">
        <f>-786438+47882</f>
        <v>-738556</v>
      </c>
      <c r="AD17" s="13">
        <v>-1188213</v>
      </c>
      <c r="AE17" s="13">
        <f>-1178084+278680</f>
        <v>-899404</v>
      </c>
      <c r="AF17" s="13">
        <f>-1751900-188628</f>
        <v>-1940528</v>
      </c>
      <c r="AG17" s="13">
        <f>-2105904+123034</f>
        <v>-1982870</v>
      </c>
      <c r="AH17" s="13">
        <v>-1291818</v>
      </c>
      <c r="AI17" s="13">
        <v>-1458603</v>
      </c>
      <c r="AJ17" s="13">
        <f>414455-1796636</f>
        <v>-1382181</v>
      </c>
      <c r="AK17" s="13">
        <f>-1733423+548394</f>
        <v>-1185029</v>
      </c>
      <c r="AL17" s="13">
        <v>-1224540</v>
      </c>
    </row>
    <row r="18" spans="2:38" ht="18" thickTop="1" thickBot="1" x14ac:dyDescent="0.4">
      <c r="B18" s="32" t="s">
        <v>32</v>
      </c>
      <c r="C18" s="36">
        <f t="shared" ref="C18:G18" si="18">C14/AVERAGE(B17:C17)*100</f>
        <v>22.19178082191781</v>
      </c>
      <c r="D18" s="36">
        <f t="shared" si="18"/>
        <v>0</v>
      </c>
      <c r="E18" s="36" t="e">
        <f t="shared" si="18"/>
        <v>#DIV/0!</v>
      </c>
      <c r="F18" s="36" t="e">
        <f t="shared" si="18"/>
        <v>#DIV/0!</v>
      </c>
      <c r="G18" s="36" t="e">
        <f t="shared" si="18"/>
        <v>#DIV/0!</v>
      </c>
      <c r="H18" s="36" t="e">
        <f>H14/AVERAGE(G17:H17)*100</f>
        <v>#DIV/0!</v>
      </c>
      <c r="I18" s="37" t="e">
        <f>I14/AVERAGE(H17:I17)*100</f>
        <v>#DIV/0!</v>
      </c>
      <c r="J18" s="23" t="e">
        <f>AVERAGE(D18:I18)</f>
        <v>#DIV/0!</v>
      </c>
      <c r="M18" s="9" t="s">
        <v>33</v>
      </c>
      <c r="N18" s="6"/>
      <c r="O18" s="6"/>
      <c r="P18" s="6"/>
      <c r="Q18" s="6"/>
      <c r="W18" s="12" t="s">
        <v>45</v>
      </c>
      <c r="X18" s="15" t="e">
        <f t="shared" ref="X18:AG18" si="19">+X17/X14</f>
        <v>#DIV/0!</v>
      </c>
      <c r="Y18" s="15" t="e">
        <f t="shared" si="19"/>
        <v>#DIV/0!</v>
      </c>
      <c r="Z18" s="15">
        <f t="shared" si="19"/>
        <v>-0.30017273442266273</v>
      </c>
      <c r="AA18" s="15">
        <f t="shared" si="19"/>
        <v>-0.40004465042283449</v>
      </c>
      <c r="AB18" s="15">
        <f t="shared" si="19"/>
        <v>-0.48059023348037933</v>
      </c>
      <c r="AC18" s="15">
        <f t="shared" si="19"/>
        <v>-0.27225090746493352</v>
      </c>
      <c r="AD18" s="15">
        <f t="shared" si="19"/>
        <v>-0.38083347195366202</v>
      </c>
      <c r="AE18" s="15">
        <f t="shared" si="19"/>
        <v>-0.29914142734461113</v>
      </c>
      <c r="AF18" s="15">
        <f t="shared" si="19"/>
        <v>-0.55117190151704287</v>
      </c>
      <c r="AG18" s="15">
        <f t="shared" si="19"/>
        <v>-0.52197808706575644</v>
      </c>
      <c r="AH18" s="15">
        <f t="shared" ref="AH18:AK18" si="20">+AH17/AH14</f>
        <v>-0.37624762445662857</v>
      </c>
      <c r="AI18" s="15">
        <f t="shared" si="20"/>
        <v>-0.37284199542907798</v>
      </c>
      <c r="AJ18" s="15">
        <f t="shared" si="20"/>
        <v>-0.36811326176749526</v>
      </c>
      <c r="AK18" s="15">
        <f t="shared" si="20"/>
        <v>-0.38440283912664513</v>
      </c>
      <c r="AL18" s="15">
        <f t="shared" ref="AL18" si="21">+AL17/AL14</f>
        <v>-0.44318031294131099</v>
      </c>
    </row>
    <row r="19" spans="2:38" ht="18" thickTop="1" thickBot="1" x14ac:dyDescent="0.4">
      <c r="B19" s="32" t="s">
        <v>34</v>
      </c>
      <c r="C19" s="30">
        <f t="shared" ref="C19:G19" si="22">C15/C16*100</f>
        <v>5.0473186119873823</v>
      </c>
      <c r="D19" s="30" t="e">
        <f t="shared" si="22"/>
        <v>#DIV/0!</v>
      </c>
      <c r="E19" s="30" t="e">
        <f t="shared" si="22"/>
        <v>#DIV/0!</v>
      </c>
      <c r="F19" s="30" t="e">
        <f t="shared" si="22"/>
        <v>#DIV/0!</v>
      </c>
      <c r="G19" s="30" t="e">
        <f t="shared" si="22"/>
        <v>#DIV/0!</v>
      </c>
      <c r="H19" s="30" t="e">
        <f>H15/H16*100</f>
        <v>#DIV/0!</v>
      </c>
      <c r="I19" s="31" t="e">
        <f>I15/I16*100</f>
        <v>#DIV/0!</v>
      </c>
      <c r="J19" s="23" t="e">
        <f>AVERAGE(D19:I19)</f>
        <v>#DIV/0!</v>
      </c>
    </row>
    <row r="20" spans="2:38" ht="18" thickTop="1" thickBot="1" x14ac:dyDescent="0.4">
      <c r="B20" s="32" t="s">
        <v>35</v>
      </c>
      <c r="C20" s="30">
        <f t="shared" ref="C20:G20" si="23">C15/C14*100</f>
        <v>49.382716049382715</v>
      </c>
      <c r="D20" s="30" t="e">
        <f t="shared" si="23"/>
        <v>#DIV/0!</v>
      </c>
      <c r="E20" s="30" t="e">
        <f t="shared" si="23"/>
        <v>#DIV/0!</v>
      </c>
      <c r="F20" s="30" t="e">
        <f t="shared" si="23"/>
        <v>#DIV/0!</v>
      </c>
      <c r="G20" s="30" t="e">
        <f t="shared" si="23"/>
        <v>#DIV/0!</v>
      </c>
      <c r="H20" s="30" t="e">
        <f>H15/H14*100</f>
        <v>#DIV/0!</v>
      </c>
      <c r="I20" s="31" t="e">
        <f>I15/I14*100</f>
        <v>#DIV/0!</v>
      </c>
      <c r="J20" s="23" t="e">
        <f>AVERAGE(D20:I20)</f>
        <v>#DIV/0!</v>
      </c>
      <c r="M20" t="s">
        <v>36</v>
      </c>
      <c r="N20" s="4" t="e">
        <f>N13/H14-1</f>
        <v>#DIV/0!</v>
      </c>
      <c r="W20" s="12" t="s">
        <v>21</v>
      </c>
      <c r="X20" s="13"/>
      <c r="Y20" s="13"/>
      <c r="Z20" s="13">
        <v>1460068</v>
      </c>
      <c r="AA20" s="13">
        <v>890925</v>
      </c>
      <c r="AB20" s="13">
        <v>911851</v>
      </c>
      <c r="AC20" s="13">
        <v>1987218</v>
      </c>
      <c r="AD20" s="13">
        <v>2028440</v>
      </c>
      <c r="AE20" s="13">
        <v>2084060</v>
      </c>
      <c r="AF20" s="13">
        <v>1903139</v>
      </c>
      <c r="AG20" s="13">
        <v>1936116</v>
      </c>
      <c r="AH20" s="13">
        <v>2593327</v>
      </c>
      <c r="AI20" s="13">
        <v>2495796</v>
      </c>
      <c r="AJ20" s="13">
        <v>2430976</v>
      </c>
      <c r="AK20" s="13">
        <v>1971520</v>
      </c>
      <c r="AL20" s="13">
        <v>2347631</v>
      </c>
    </row>
    <row r="21" spans="2:38" ht="18" thickTop="1" thickBot="1" x14ac:dyDescent="0.4">
      <c r="B21" s="32" t="s">
        <v>11</v>
      </c>
      <c r="C21" s="38">
        <f t="shared" ref="C21:G21" si="24">C16/C14</f>
        <v>9.7839506172839492</v>
      </c>
      <c r="D21" s="38" t="e">
        <f t="shared" si="24"/>
        <v>#DIV/0!</v>
      </c>
      <c r="E21" s="38" t="e">
        <f t="shared" si="24"/>
        <v>#DIV/0!</v>
      </c>
      <c r="F21" s="38" t="e">
        <f t="shared" si="24"/>
        <v>#DIV/0!</v>
      </c>
      <c r="G21" s="38" t="e">
        <f t="shared" si="24"/>
        <v>#DIV/0!</v>
      </c>
      <c r="H21" s="38" t="e">
        <f>H16/H14</f>
        <v>#DIV/0!</v>
      </c>
      <c r="I21" s="39" t="e">
        <f>I16/I14</f>
        <v>#DIV/0!</v>
      </c>
      <c r="J21" s="23" t="e">
        <f>AVERAGE(D21:I21)</f>
        <v>#DIV/0!</v>
      </c>
      <c r="W21" s="12" t="s">
        <v>46</v>
      </c>
      <c r="X21" s="19" t="e">
        <f t="shared" ref="X21:AG21" si="25">+X20/X3</f>
        <v>#DIV/0!</v>
      </c>
      <c r="Y21" s="19" t="e">
        <f t="shared" si="25"/>
        <v>#DIV/0!</v>
      </c>
      <c r="Z21" s="19">
        <f t="shared" si="25"/>
        <v>4.8657086954562799E-2</v>
      </c>
      <c r="AA21" s="19">
        <f t="shared" si="25"/>
        <v>3.0263070382066232E-2</v>
      </c>
      <c r="AB21" s="19">
        <f t="shared" si="25"/>
        <v>3.1485058658100223E-2</v>
      </c>
      <c r="AC21" s="19">
        <f t="shared" si="25"/>
        <v>5.3144281325177234E-2</v>
      </c>
      <c r="AD21" s="19">
        <f t="shared" si="25"/>
        <v>4.9668122164031006E-2</v>
      </c>
      <c r="AE21" s="19">
        <f t="shared" si="25"/>
        <v>4.3440991073091656E-2</v>
      </c>
      <c r="AF21" s="19">
        <f t="shared" si="25"/>
        <v>3.8676665314267736E-2</v>
      </c>
      <c r="AG21" s="19">
        <f t="shared" si="25"/>
        <v>3.8814189304665209E-2</v>
      </c>
      <c r="AH21" s="19">
        <f t="shared" ref="AH21:AK21" si="26">+AH20/AH3</f>
        <v>5.3409704454413183E-2</v>
      </c>
      <c r="AI21" s="19">
        <f t="shared" si="26"/>
        <v>4.397609675588459E-2</v>
      </c>
      <c r="AJ21" s="19">
        <f t="shared" si="26"/>
        <v>4.3738410488729118E-2</v>
      </c>
      <c r="AK21" s="19">
        <f t="shared" si="26"/>
        <v>3.4768789805142968E-2</v>
      </c>
      <c r="AL21" s="19">
        <f t="shared" ref="AL21" si="27">+AL20/AL3</f>
        <v>4.3152285393050535E-2</v>
      </c>
    </row>
    <row r="22" spans="2:38" ht="18" thickTop="1" thickBot="1" x14ac:dyDescent="0.4">
      <c r="B22" s="32" t="s">
        <v>37</v>
      </c>
      <c r="C22" s="38">
        <f t="shared" ref="C22:G22" si="28">C16/C17</f>
        <v>2.1712328767123288</v>
      </c>
      <c r="D22" s="38" t="e">
        <f t="shared" si="28"/>
        <v>#DIV/0!</v>
      </c>
      <c r="E22" s="38" t="e">
        <f t="shared" si="28"/>
        <v>#DIV/0!</v>
      </c>
      <c r="F22" s="38" t="e">
        <f t="shared" si="28"/>
        <v>#DIV/0!</v>
      </c>
      <c r="G22" s="38" t="e">
        <f t="shared" si="28"/>
        <v>#DIV/0!</v>
      </c>
      <c r="H22" s="38" t="e">
        <f>H16/H17</f>
        <v>#DIV/0!</v>
      </c>
      <c r="I22" s="39" t="e">
        <f>I16/I17</f>
        <v>#DIV/0!</v>
      </c>
      <c r="J22" s="23" t="e">
        <f>AVERAGE(D22:I22)</f>
        <v>#DIV/0!</v>
      </c>
    </row>
    <row r="23" spans="2:38" ht="15.75" thickTop="1" x14ac:dyDescent="0.25">
      <c r="W23" s="12" t="s">
        <v>47</v>
      </c>
      <c r="X23" s="13"/>
      <c r="Y23" s="13"/>
      <c r="Z23" s="13">
        <v>292262</v>
      </c>
      <c r="AA23" s="13">
        <f>-206110-176437</f>
        <v>-382547</v>
      </c>
      <c r="AB23" s="13">
        <v>-212270</v>
      </c>
      <c r="AC23" s="13">
        <f>-484268-85435</f>
        <v>-569703</v>
      </c>
      <c r="AD23" s="13">
        <v>-115194</v>
      </c>
      <c r="AE23" s="13">
        <v>-532954</v>
      </c>
      <c r="AF23" s="13">
        <f>-507549-210044</f>
        <v>-717593</v>
      </c>
      <c r="AG23" s="13">
        <f>-1005229-148578</f>
        <v>-1153807</v>
      </c>
      <c r="AH23" s="13">
        <v>-731443</v>
      </c>
      <c r="AI23" s="13">
        <f>-799207-386517</f>
        <v>-1185724</v>
      </c>
      <c r="AJ23" s="13">
        <v>-857139</v>
      </c>
      <c r="AK23" s="13">
        <f>-666833-204642</f>
        <v>-871475</v>
      </c>
      <c r="AL23" s="13">
        <v>-395466</v>
      </c>
    </row>
    <row r="24" spans="2:38" x14ac:dyDescent="0.25">
      <c r="G24" s="10">
        <v>701.95658000000003</v>
      </c>
      <c r="H24" s="10">
        <v>709.32254499999999</v>
      </c>
      <c r="I24" s="10">
        <v>716.73997499999996</v>
      </c>
      <c r="W24" s="12" t="s">
        <v>48</v>
      </c>
      <c r="X24" s="14" t="e">
        <f t="shared" ref="X24:AG24" si="29">+X23/X20</f>
        <v>#DIV/0!</v>
      </c>
      <c r="Y24" s="14" t="e">
        <f t="shared" si="29"/>
        <v>#DIV/0!</v>
      </c>
      <c r="Z24" s="14">
        <f t="shared" si="29"/>
        <v>0.20017012906248202</v>
      </c>
      <c r="AA24" s="14">
        <f t="shared" si="29"/>
        <v>-0.42938182226337795</v>
      </c>
      <c r="AB24" s="14">
        <f t="shared" si="29"/>
        <v>-0.23279022559606777</v>
      </c>
      <c r="AC24" s="14">
        <f t="shared" si="29"/>
        <v>-0.28668369549792727</v>
      </c>
      <c r="AD24" s="14">
        <f t="shared" si="29"/>
        <v>-5.6789453964623059E-2</v>
      </c>
      <c r="AE24" s="14">
        <f t="shared" si="29"/>
        <v>-0.25572872182182854</v>
      </c>
      <c r="AF24" s="14">
        <f t="shared" si="29"/>
        <v>-0.377057587490982</v>
      </c>
      <c r="AG24" s="14">
        <f t="shared" si="29"/>
        <v>-0.59593898299482051</v>
      </c>
      <c r="AH24" s="14">
        <f t="shared" ref="AH24:AK24" si="30">+AH23/AH20</f>
        <v>-0.28204811811237074</v>
      </c>
      <c r="AI24" s="14">
        <f t="shared" si="30"/>
        <v>-0.47508850883645937</v>
      </c>
      <c r="AJ24" s="14">
        <f t="shared" si="30"/>
        <v>-0.35259048217670597</v>
      </c>
      <c r="AK24" s="14">
        <f t="shared" si="30"/>
        <v>-0.44203203619542281</v>
      </c>
      <c r="AL24" s="14">
        <f t="shared" ref="AL24" si="31">+AL23/AL20</f>
        <v>-0.16845321943695582</v>
      </c>
    </row>
    <row r="25" spans="2:38" x14ac:dyDescent="0.25">
      <c r="G25">
        <f>+G10/G24</f>
        <v>0</v>
      </c>
      <c r="H25">
        <f>+H10/H24</f>
        <v>0</v>
      </c>
      <c r="I25">
        <f>+I10/I24</f>
        <v>0</v>
      </c>
      <c r="M25" s="10"/>
    </row>
    <row r="26" spans="2:38" x14ac:dyDescent="0.25">
      <c r="M26" s="10"/>
      <c r="W26" s="12" t="s">
        <v>74</v>
      </c>
      <c r="Z26" s="12">
        <v>381</v>
      </c>
      <c r="AA26" s="12">
        <v>190</v>
      </c>
      <c r="AB26" s="12">
        <v>207</v>
      </c>
      <c r="AC26" s="13">
        <v>1458</v>
      </c>
      <c r="AD26" s="13">
        <v>-6179</v>
      </c>
      <c r="AE26" s="13">
        <v>-4599</v>
      </c>
      <c r="AF26" s="13">
        <v>-7040</v>
      </c>
      <c r="AG26" s="13">
        <v>-28363</v>
      </c>
      <c r="AH26" s="13">
        <v>54841</v>
      </c>
      <c r="AI26" s="13">
        <v>-13365</v>
      </c>
      <c r="AJ26" s="13">
        <v>-33685</v>
      </c>
      <c r="AK26" s="13">
        <v>-33077</v>
      </c>
      <c r="AL26" s="13">
        <v>129461</v>
      </c>
    </row>
    <row r="28" spans="2:38" x14ac:dyDescent="0.25">
      <c r="W28" s="12" t="s">
        <v>49</v>
      </c>
      <c r="X28" s="13">
        <f t="shared" ref="X28:AF28" si="32">+X20+X23-X26</f>
        <v>0</v>
      </c>
      <c r="Y28" s="13">
        <f t="shared" si="32"/>
        <v>0</v>
      </c>
      <c r="Z28" s="13">
        <f t="shared" si="32"/>
        <v>1751949</v>
      </c>
      <c r="AA28" s="13">
        <f t="shared" si="32"/>
        <v>508188</v>
      </c>
      <c r="AB28" s="13">
        <f t="shared" si="32"/>
        <v>699374</v>
      </c>
      <c r="AC28" s="13">
        <f t="shared" si="32"/>
        <v>1416057</v>
      </c>
      <c r="AD28" s="13">
        <f t="shared" si="32"/>
        <v>1919425</v>
      </c>
      <c r="AE28" s="13">
        <f t="shared" si="32"/>
        <v>1555705</v>
      </c>
      <c r="AF28" s="13">
        <f t="shared" si="32"/>
        <v>1192586</v>
      </c>
      <c r="AG28" s="13">
        <f>+AG20+AG23-AG26</f>
        <v>810672</v>
      </c>
      <c r="AH28" s="13">
        <f t="shared" ref="AH28:AJ28" si="33">+AH20+AH23-AH26</f>
        <v>1807043</v>
      </c>
      <c r="AI28" s="13">
        <f t="shared" si="33"/>
        <v>1323437</v>
      </c>
      <c r="AJ28" s="13">
        <f t="shared" si="33"/>
        <v>1607522</v>
      </c>
      <c r="AK28" s="13">
        <f>+AK20+AK23-AK26</f>
        <v>1133122</v>
      </c>
      <c r="AL28" s="13">
        <f t="shared" ref="AL28" si="34">+AL20+AL23-AL26</f>
        <v>1822704</v>
      </c>
    </row>
    <row r="29" spans="2:38" x14ac:dyDescent="0.25">
      <c r="M29" s="10"/>
      <c r="W29" s="12" t="s">
        <v>25</v>
      </c>
      <c r="X29" s="19" t="e">
        <f t="shared" ref="X29:AG29" si="35">+X28/X3</f>
        <v>#DIV/0!</v>
      </c>
      <c r="Y29" s="19" t="e">
        <f t="shared" si="35"/>
        <v>#DIV/0!</v>
      </c>
      <c r="Z29" s="19">
        <f t="shared" si="35"/>
        <v>5.8384085421336086E-2</v>
      </c>
      <c r="AA29" s="19">
        <f t="shared" si="35"/>
        <v>1.7262204126409601E-2</v>
      </c>
      <c r="AB29" s="19">
        <f t="shared" si="35"/>
        <v>2.4148497302684525E-2</v>
      </c>
      <c r="AC29" s="19">
        <f t="shared" si="35"/>
        <v>3.7869690985330495E-2</v>
      </c>
      <c r="AD29" s="19">
        <f t="shared" si="35"/>
        <v>4.6998794829866894E-2</v>
      </c>
      <c r="AE29" s="19">
        <f t="shared" si="35"/>
        <v>3.2427745370749432E-2</v>
      </c>
      <c r="AF29" s="19">
        <f t="shared" si="35"/>
        <v>2.4236406053620516E-2</v>
      </c>
      <c r="AG29" s="19">
        <f t="shared" si="35"/>
        <v>1.625190663782106E-2</v>
      </c>
      <c r="AH29" s="19">
        <f t="shared" ref="AH29:AK29" si="36">+AH28/AH3</f>
        <v>3.7216144576606096E-2</v>
      </c>
      <c r="AI29" s="19">
        <f t="shared" si="36"/>
        <v>2.3319050740652537E-2</v>
      </c>
      <c r="AJ29" s="19">
        <f t="shared" si="36"/>
        <v>2.8922727787383671E-2</v>
      </c>
      <c r="AK29" s="19">
        <f t="shared" si="36"/>
        <v>1.9983201104519972E-2</v>
      </c>
      <c r="AL29" s="19">
        <f t="shared" ref="AL29" si="37">+AL28/AL3</f>
        <v>3.3503494882737017E-2</v>
      </c>
    </row>
    <row r="30" spans="2:38" x14ac:dyDescent="0.25">
      <c r="M30" s="10"/>
    </row>
    <row r="31" spans="2:38" x14ac:dyDescent="0.25">
      <c r="W31" s="12" t="s">
        <v>29</v>
      </c>
      <c r="X31" s="16" t="e">
        <f t="shared" ref="X31:AI31" si="38">+X28/X47</f>
        <v>#DIV/0!</v>
      </c>
      <c r="Y31" s="16" t="e">
        <f t="shared" si="38"/>
        <v>#DIV/0!</v>
      </c>
      <c r="Z31" s="16">
        <f t="shared" si="38"/>
        <v>6.7989926533465166</v>
      </c>
      <c r="AA31" s="16">
        <f t="shared" si="38"/>
        <v>1.9721843949332198</v>
      </c>
      <c r="AB31" s="16">
        <f t="shared" si="38"/>
        <v>2.7141421856124617</v>
      </c>
      <c r="AC31" s="16">
        <f t="shared" si="38"/>
        <v>5.495457424685255</v>
      </c>
      <c r="AD31" s="16">
        <f t="shared" si="38"/>
        <v>7.4489362839041764</v>
      </c>
      <c r="AE31" s="16">
        <f t="shared" si="38"/>
        <v>6.0374056926168755</v>
      </c>
      <c r="AF31" s="16">
        <f t="shared" si="38"/>
        <v>4.6282074720690547</v>
      </c>
      <c r="AG31" s="16">
        <f t="shared" si="38"/>
        <v>3.1460693046850836</v>
      </c>
      <c r="AH31" s="16">
        <f t="shared" si="38"/>
        <v>7.0128023597041063</v>
      </c>
      <c r="AI31" s="16">
        <f t="shared" si="38"/>
        <v>5.1360161969138112</v>
      </c>
      <c r="AJ31" s="16">
        <f t="shared" ref="AJ31:AL31" si="39">+AJ28/AJ47</f>
        <v>6.2384979631786655</v>
      </c>
      <c r="AK31" s="16">
        <f t="shared" si="39"/>
        <v>4.3974385974393728</v>
      </c>
      <c r="AL31" s="16">
        <f t="shared" si="39"/>
        <v>7.073579827509425</v>
      </c>
    </row>
    <row r="32" spans="2:38" x14ac:dyDescent="0.25">
      <c r="W32" s="12" t="s">
        <v>40</v>
      </c>
      <c r="AA32" s="17"/>
      <c r="AB32" s="18" t="e">
        <f t="shared" ref="AB32:AL32" si="40">+AB31/X31-1</f>
        <v>#DIV/0!</v>
      </c>
      <c r="AC32" s="18" t="e">
        <f t="shared" si="40"/>
        <v>#DIV/0!</v>
      </c>
      <c r="AD32" s="18">
        <f t="shared" si="40"/>
        <v>9.5594106906079945E-2</v>
      </c>
      <c r="AE32" s="18">
        <f t="shared" si="40"/>
        <v>2.0612785032310876</v>
      </c>
      <c r="AF32" s="18">
        <f t="shared" si="40"/>
        <v>0.70521923891937632</v>
      </c>
      <c r="AG32" s="18">
        <f t="shared" si="40"/>
        <v>-0.4275145703880564</v>
      </c>
      <c r="AH32" s="18">
        <f t="shared" si="40"/>
        <v>-5.8549826119801529E-2</v>
      </c>
      <c r="AI32" s="18">
        <f t="shared" si="40"/>
        <v>-0.14930079931606566</v>
      </c>
      <c r="AJ32" s="18">
        <f t="shared" si="40"/>
        <v>0.34792962520103399</v>
      </c>
      <c r="AK32" s="18">
        <f t="shared" si="40"/>
        <v>0.39775642923401811</v>
      </c>
      <c r="AL32" s="18">
        <f t="shared" si="40"/>
        <v>8.6666448999830337E-3</v>
      </c>
    </row>
    <row r="33" spans="23:41" x14ac:dyDescent="0.25">
      <c r="W33" s="12" t="s">
        <v>41</v>
      </c>
      <c r="Y33" s="18" t="e">
        <f t="shared" ref="Y33:AD33" si="41">+Y31/X31-1</f>
        <v>#DIV/0!</v>
      </c>
      <c r="Z33" s="18" t="e">
        <f t="shared" si="41"/>
        <v>#DIV/0!</v>
      </c>
      <c r="AA33" s="18">
        <f t="shared" si="41"/>
        <v>-0.70992991234333869</v>
      </c>
      <c r="AB33" s="18">
        <f t="shared" si="41"/>
        <v>0.37621116594646065</v>
      </c>
      <c r="AC33" s="18">
        <f t="shared" si="41"/>
        <v>1.0247492757809127</v>
      </c>
      <c r="AD33" s="18">
        <f t="shared" si="41"/>
        <v>0.35547156646942901</v>
      </c>
      <c r="AE33" s="18">
        <f>+AE31/AD31-1</f>
        <v>-0.18949424957995231</v>
      </c>
      <c r="AF33" s="18">
        <f>+AF31/AE31-1</f>
        <v>-0.23341121870791703</v>
      </c>
      <c r="AG33" s="18">
        <f>+AG31/AF31-1</f>
        <v>-0.32024021747697851</v>
      </c>
      <c r="AH33" s="18">
        <f t="shared" ref="AH33" si="42">+AH31/AG31-1</f>
        <v>1.2290679831053741</v>
      </c>
      <c r="AI33" s="18">
        <f>+AI31/AH31-1</f>
        <v>-0.26762285125478469</v>
      </c>
      <c r="AJ33" s="18">
        <f>+AJ31/AI31-1</f>
        <v>0.21465698782790565</v>
      </c>
      <c r="AK33" s="18">
        <f>+AK31/AJ31-1</f>
        <v>-0.29511260188040978</v>
      </c>
      <c r="AL33" s="18">
        <f t="shared" ref="AL33" si="43">+AL31/AK31-1</f>
        <v>0.60856818594996831</v>
      </c>
    </row>
    <row r="34" spans="23:41" x14ac:dyDescent="0.25">
      <c r="Y34" s="18"/>
      <c r="Z34" s="18"/>
      <c r="AA34" s="18"/>
      <c r="AB34" s="18"/>
      <c r="AC34" s="18"/>
      <c r="AD34" s="18"/>
      <c r="AE34" s="18"/>
      <c r="AF34" s="18"/>
      <c r="AG34" s="18"/>
      <c r="AH34" s="18"/>
      <c r="AI34" s="18"/>
      <c r="AJ34" s="18"/>
      <c r="AK34" s="18"/>
      <c r="AL34" s="18"/>
    </row>
    <row r="35" spans="23:41" x14ac:dyDescent="0.25">
      <c r="W35" s="12" t="s">
        <v>88</v>
      </c>
      <c r="X35" s="18" t="e">
        <f>+X28*4/X39</f>
        <v>#DIV/0!</v>
      </c>
      <c r="Y35" s="18" t="e">
        <f>+Y28*4/Y39</f>
        <v>#DIV/0!</v>
      </c>
      <c r="Z35" s="18">
        <f t="shared" ref="Z35:AI35" si="44">+Z28*4/Z40</f>
        <v>0.30529938573700643</v>
      </c>
      <c r="AA35" s="18" t="e">
        <f t="shared" si="44"/>
        <v>#DIV/0!</v>
      </c>
      <c r="AB35" s="18" t="e">
        <f t="shared" si="44"/>
        <v>#DIV/0!</v>
      </c>
      <c r="AC35" s="18" t="e">
        <f t="shared" si="44"/>
        <v>#DIV/0!</v>
      </c>
      <c r="AD35" s="18">
        <f t="shared" si="44"/>
        <v>0.30114245233905007</v>
      </c>
      <c r="AE35" s="18">
        <f t="shared" si="44"/>
        <v>0.23964785111534212</v>
      </c>
      <c r="AF35" s="18">
        <f t="shared" si="44"/>
        <v>0.1839589775610912</v>
      </c>
      <c r="AG35" s="18">
        <f t="shared" si="44"/>
        <v>0.12701998044573692</v>
      </c>
      <c r="AH35" s="18">
        <f t="shared" si="44"/>
        <v>0.26694685324680051</v>
      </c>
      <c r="AI35" s="18">
        <f t="shared" si="44"/>
        <v>0.20157557046717153</v>
      </c>
      <c r="AJ35" s="18">
        <f t="shared" ref="AJ35:AL35" si="45">+AJ28*4/AJ40</f>
        <v>0.2296888779916165</v>
      </c>
      <c r="AK35" s="18">
        <f t="shared" si="45"/>
        <v>0.16027981588194179</v>
      </c>
      <c r="AL35" s="18">
        <f t="shared" si="45"/>
        <v>0.22480473084218985</v>
      </c>
      <c r="AN35" s="14">
        <f>+AVERAGE(AD35:AL35)</f>
        <v>0.21500723443232672</v>
      </c>
      <c r="AO35" s="50" t="s">
        <v>88</v>
      </c>
    </row>
    <row r="36" spans="23:41" x14ac:dyDescent="0.25">
      <c r="AN36" s="56">
        <f>AVERAGE(AD35:AL35)*AL49</f>
        <v>27.061189158278502</v>
      </c>
      <c r="AO36" s="50" t="s">
        <v>183</v>
      </c>
    </row>
    <row r="37" spans="23:41" x14ac:dyDescent="0.25">
      <c r="W37" s="12" t="s">
        <v>52</v>
      </c>
      <c r="X37" s="13"/>
      <c r="Y37" s="13"/>
      <c r="Z37" s="13">
        <f>2854988+15379383+8240+17942684+1113771</f>
        <v>37299066</v>
      </c>
      <c r="AA37" s="13"/>
      <c r="AB37" s="13"/>
      <c r="AC37" s="13"/>
      <c r="AD37" s="13">
        <f>7523412+18502079+4572+12482221+1139378</f>
        <v>39651662</v>
      </c>
      <c r="AE37" s="13">
        <f>6725152+20443706+1250+19593402+1052334</f>
        <v>47815844</v>
      </c>
      <c r="AF37" s="13">
        <f>4348730+21839953+26285889+1043883+2913</f>
        <v>53521368</v>
      </c>
      <c r="AG37" s="13">
        <f>4554134+22234325+6204+26832620+1333516</f>
        <v>54960799</v>
      </c>
      <c r="AH37" s="13">
        <f>4114873+22921256+24342847+1337820</f>
        <v>52716796</v>
      </c>
      <c r="AI37" s="13">
        <f>3444849+22748289+24044+33489729+1374640</f>
        <v>61081551</v>
      </c>
      <c r="AJ37" s="13">
        <f>2822611+23299527+77738+33807936+1398288</f>
        <v>61406100</v>
      </c>
      <c r="AK37" s="13">
        <f>2216386+24081591+10420+48322952+1437152</f>
        <v>76068501</v>
      </c>
      <c r="AL37" s="13">
        <f>1618351+23173280+9996+28461477+1352718</f>
        <v>54615822</v>
      </c>
      <c r="AN37" s="56">
        <f>+X1/AN36</f>
        <v>13.709670991546373</v>
      </c>
      <c r="AO37" s="50" t="s">
        <v>11</v>
      </c>
    </row>
    <row r="38" spans="23:41" x14ac:dyDescent="0.25">
      <c r="W38" s="12" t="s">
        <v>53</v>
      </c>
      <c r="X38" s="13"/>
      <c r="Y38" s="13"/>
      <c r="Z38" s="13">
        <f>3004701+954796</f>
        <v>3959497</v>
      </c>
      <c r="AA38" s="13"/>
      <c r="AB38" s="13"/>
      <c r="AC38" s="13"/>
      <c r="AD38" s="13">
        <f>3544099+1016556</f>
        <v>4560655</v>
      </c>
      <c r="AE38" s="13">
        <f>5291603+252760</f>
        <v>5544363</v>
      </c>
      <c r="AF38" s="13">
        <f>3431951+124156</f>
        <v>3556107</v>
      </c>
      <c r="AG38" s="13">
        <f>5289301+128734</f>
        <v>5418035</v>
      </c>
      <c r="AH38" s="13">
        <f>4841416+119667</f>
        <v>4961083</v>
      </c>
      <c r="AI38" s="13">
        <f>8831518+121920</f>
        <v>8953438</v>
      </c>
      <c r="AJ38" s="13">
        <f>128304+8795468</f>
        <v>8923772</v>
      </c>
      <c r="AK38" s="13">
        <f>25399257+132689</f>
        <v>25531946</v>
      </c>
      <c r="AL38" s="13">
        <f>7556646+131107</f>
        <v>7687753</v>
      </c>
    </row>
    <row r="39" spans="23:41" x14ac:dyDescent="0.25">
      <c r="W39" s="12" t="s">
        <v>50</v>
      </c>
      <c r="X39" s="13">
        <f t="shared" ref="X39:AG39" si="46">+X37-X38</f>
        <v>0</v>
      </c>
      <c r="Y39" s="13">
        <f t="shared" si="46"/>
        <v>0</v>
      </c>
      <c r="Z39" s="13">
        <f t="shared" si="46"/>
        <v>33339569</v>
      </c>
      <c r="AA39" s="13">
        <f t="shared" si="46"/>
        <v>0</v>
      </c>
      <c r="AB39" s="13">
        <f t="shared" si="46"/>
        <v>0</v>
      </c>
      <c r="AC39" s="13">
        <f t="shared" si="46"/>
        <v>0</v>
      </c>
      <c r="AD39" s="13">
        <f t="shared" si="46"/>
        <v>35091007</v>
      </c>
      <c r="AE39" s="13">
        <f t="shared" si="46"/>
        <v>42271481</v>
      </c>
      <c r="AF39" s="13">
        <f t="shared" si="46"/>
        <v>49965261</v>
      </c>
      <c r="AG39" s="13">
        <f t="shared" si="46"/>
        <v>49542764</v>
      </c>
      <c r="AH39" s="13">
        <f t="shared" ref="AH39:AK39" si="47">+AH37-AH38</f>
        <v>47755713</v>
      </c>
      <c r="AI39" s="13">
        <f t="shared" si="47"/>
        <v>52128113</v>
      </c>
      <c r="AJ39" s="13">
        <f t="shared" si="47"/>
        <v>52482328</v>
      </c>
      <c r="AK39" s="13">
        <f t="shared" si="47"/>
        <v>50536555</v>
      </c>
      <c r="AL39" s="13">
        <f t="shared" ref="AL39" si="48">+AL37-AL38</f>
        <v>46928069</v>
      </c>
    </row>
    <row r="40" spans="23:41" x14ac:dyDescent="0.25">
      <c r="W40" s="12" t="s">
        <v>54</v>
      </c>
      <c r="X40" s="13"/>
      <c r="Y40" s="13"/>
      <c r="Z40" s="13">
        <v>22953849</v>
      </c>
      <c r="AA40" s="13"/>
      <c r="AB40" s="13"/>
      <c r="AC40" s="13"/>
      <c r="AD40" s="13">
        <v>25495243</v>
      </c>
      <c r="AE40" s="13">
        <v>25966517</v>
      </c>
      <c r="AF40" s="13">
        <v>25931564</v>
      </c>
      <c r="AG40" s="13">
        <v>25528960</v>
      </c>
      <c r="AH40" s="13">
        <v>27077195</v>
      </c>
      <c r="AI40" s="13">
        <v>26261853</v>
      </c>
      <c r="AJ40" s="13">
        <v>27994773</v>
      </c>
      <c r="AK40" s="13">
        <v>28278595</v>
      </c>
      <c r="AL40" s="13">
        <v>32431773</v>
      </c>
    </row>
    <row r="41" spans="23:41" x14ac:dyDescent="0.25">
      <c r="W41" s="12" t="s">
        <v>75</v>
      </c>
      <c r="X41" s="13"/>
      <c r="Y41" s="13"/>
      <c r="Z41" s="13">
        <v>11778208</v>
      </c>
      <c r="AA41" s="13"/>
      <c r="AB41" s="13"/>
      <c r="AC41" s="13"/>
      <c r="AD41" s="13">
        <v>14802284</v>
      </c>
      <c r="AE41" s="13">
        <v>18901480</v>
      </c>
      <c r="AF41" s="13">
        <v>22744978</v>
      </c>
      <c r="AG41" s="13">
        <v>23573229</v>
      </c>
      <c r="AH41" s="13">
        <v>22872826</v>
      </c>
      <c r="AI41" s="13">
        <v>20846064</v>
      </c>
      <c r="AJ41" s="13">
        <v>21144230</v>
      </c>
      <c r="AK41" s="13">
        <v>23363858</v>
      </c>
      <c r="AL41" s="13">
        <v>23253390</v>
      </c>
    </row>
    <row r="43" spans="23:41" x14ac:dyDescent="0.25">
      <c r="W43" s="12" t="s">
        <v>51</v>
      </c>
      <c r="X43" s="14" t="e">
        <f t="shared" ref="X43:AG43" si="49">+X37/X40</f>
        <v>#DIV/0!</v>
      </c>
      <c r="Y43" s="14" t="e">
        <f t="shared" si="49"/>
        <v>#DIV/0!</v>
      </c>
      <c r="Z43" s="14">
        <f t="shared" si="49"/>
        <v>1.6249591081652581</v>
      </c>
      <c r="AA43" s="14" t="e">
        <f t="shared" si="49"/>
        <v>#DIV/0!</v>
      </c>
      <c r="AB43" s="14" t="e">
        <f t="shared" si="49"/>
        <v>#DIV/0!</v>
      </c>
      <c r="AC43" s="14" t="e">
        <f t="shared" si="49"/>
        <v>#DIV/0!</v>
      </c>
      <c r="AD43" s="14">
        <f t="shared" si="49"/>
        <v>1.555257268973667</v>
      </c>
      <c r="AE43" s="14">
        <f t="shared" si="49"/>
        <v>1.8414423466959393</v>
      </c>
      <c r="AF43" s="14">
        <f t="shared" si="49"/>
        <v>2.0639467792995441</v>
      </c>
      <c r="AG43" s="14">
        <f t="shared" si="49"/>
        <v>2.152880454197899</v>
      </c>
      <c r="AH43" s="14">
        <f t="shared" ref="AH43:AK43" si="50">+AH37/AH40</f>
        <v>1.9469075729594592</v>
      </c>
      <c r="AI43" s="14">
        <f t="shared" si="50"/>
        <v>2.32586600039228</v>
      </c>
      <c r="AJ43" s="14">
        <f t="shared" si="50"/>
        <v>2.1934844765485328</v>
      </c>
      <c r="AK43" s="14">
        <f t="shared" si="50"/>
        <v>2.6899674824721669</v>
      </c>
      <c r="AL43" s="14">
        <f t="shared" ref="AL43" si="51">+AL37/AL40</f>
        <v>1.6840220853790511</v>
      </c>
    </row>
    <row r="45" spans="23:41" x14ac:dyDescent="0.25">
      <c r="W45" s="12" t="s">
        <v>63</v>
      </c>
      <c r="X45" s="16" t="e">
        <f t="shared" ref="X45:AI45" si="52">+(X3*1000)/X7</f>
        <v>#DIV/0!</v>
      </c>
      <c r="Y45" s="16" t="e">
        <f t="shared" si="52"/>
        <v>#DIV/0!</v>
      </c>
      <c r="Z45" s="16" t="e">
        <f t="shared" si="52"/>
        <v>#DIV/0!</v>
      </c>
      <c r="AA45" s="16" t="e">
        <f t="shared" si="52"/>
        <v>#DIV/0!</v>
      </c>
      <c r="AB45" s="16" t="e">
        <f t="shared" si="52"/>
        <v>#DIV/0!</v>
      </c>
      <c r="AC45" s="16" t="e">
        <f t="shared" si="52"/>
        <v>#DIV/0!</v>
      </c>
      <c r="AD45" s="16" t="e">
        <f t="shared" si="52"/>
        <v>#DIV/0!</v>
      </c>
      <c r="AE45" s="16" t="e">
        <f t="shared" si="52"/>
        <v>#DIV/0!</v>
      </c>
      <c r="AF45" s="16" t="e">
        <f t="shared" si="52"/>
        <v>#DIV/0!</v>
      </c>
      <c r="AG45" s="16" t="e">
        <f t="shared" si="52"/>
        <v>#DIV/0!</v>
      </c>
      <c r="AH45" s="16" t="e">
        <f t="shared" si="52"/>
        <v>#DIV/0!</v>
      </c>
      <c r="AI45" s="16" t="e">
        <f t="shared" si="52"/>
        <v>#DIV/0!</v>
      </c>
      <c r="AJ45" s="16" t="e">
        <f t="shared" ref="AJ45:AL45" si="53">+(AJ3*1000)/AJ7</f>
        <v>#DIV/0!</v>
      </c>
      <c r="AK45" s="16" t="e">
        <f t="shared" si="53"/>
        <v>#DIV/0!</v>
      </c>
      <c r="AL45" s="16" t="e">
        <f t="shared" si="53"/>
        <v>#DIV/0!</v>
      </c>
    </row>
    <row r="47" spans="23:41" x14ac:dyDescent="0.25">
      <c r="W47" s="12" t="s">
        <v>56</v>
      </c>
      <c r="X47" s="13"/>
      <c r="Y47" s="13"/>
      <c r="Z47" s="13">
        <v>257677.731</v>
      </c>
      <c r="AA47" s="13">
        <v>257677.731</v>
      </c>
      <c r="AB47" s="13">
        <v>257677.731</v>
      </c>
      <c r="AC47" s="13">
        <v>257677.731</v>
      </c>
      <c r="AD47" s="13">
        <v>257677.731</v>
      </c>
      <c r="AE47" s="13">
        <v>257677.731</v>
      </c>
      <c r="AF47" s="13">
        <v>257677.731</v>
      </c>
      <c r="AG47" s="13">
        <v>257677.731</v>
      </c>
      <c r="AH47" s="13">
        <v>257677.731</v>
      </c>
      <c r="AI47" s="13">
        <v>257677.731</v>
      </c>
      <c r="AJ47" s="13">
        <v>257677.731</v>
      </c>
      <c r="AK47" s="13">
        <v>257677.731</v>
      </c>
      <c r="AL47" s="13">
        <v>257677.731</v>
      </c>
    </row>
    <row r="49" spans="23:38" x14ac:dyDescent="0.25">
      <c r="W49" s="12" t="s">
        <v>57</v>
      </c>
      <c r="X49" s="16" t="e">
        <f t="shared" ref="X49:AG49" si="54">+X40/X47</f>
        <v>#DIV/0!</v>
      </c>
      <c r="Y49" s="16" t="e">
        <f t="shared" si="54"/>
        <v>#DIV/0!</v>
      </c>
      <c r="Z49" s="16">
        <f t="shared" si="54"/>
        <v>89.079676815378349</v>
      </c>
      <c r="AA49" s="16">
        <f t="shared" si="54"/>
        <v>0</v>
      </c>
      <c r="AB49" s="16">
        <f t="shared" si="54"/>
        <v>0</v>
      </c>
      <c r="AC49" s="16">
        <f t="shared" si="54"/>
        <v>0</v>
      </c>
      <c r="AD49" s="16">
        <f t="shared" si="54"/>
        <v>98.942360680752813</v>
      </c>
      <c r="AE49" s="16">
        <f t="shared" si="54"/>
        <v>100.77128861399358</v>
      </c>
      <c r="AF49" s="16">
        <f t="shared" si="54"/>
        <v>100.63564243353261</v>
      </c>
      <c r="AG49" s="16">
        <f t="shared" si="54"/>
        <v>99.073210171972519</v>
      </c>
      <c r="AH49" s="16">
        <f t="shared" ref="AH49:AK49" si="55">+AH40/AH47</f>
        <v>105.08162616504877</v>
      </c>
      <c r="AI49" s="16">
        <f t="shared" si="55"/>
        <v>101.91743344713012</v>
      </c>
      <c r="AJ49" s="16">
        <f t="shared" si="55"/>
        <v>108.64257804257055</v>
      </c>
      <c r="AK49" s="16">
        <f t="shared" si="55"/>
        <v>109.74403915408584</v>
      </c>
      <c r="AL49" s="16">
        <f t="shared" ref="AL49" si="56">+AL40/AL47</f>
        <v>125.86176102272493</v>
      </c>
    </row>
    <row r="51" spans="23:38" x14ac:dyDescent="0.25">
      <c r="W51" s="12" t="s">
        <v>67</v>
      </c>
      <c r="X51" s="13"/>
      <c r="Y51" s="13">
        <f>+Y55-X55</f>
        <v>0</v>
      </c>
      <c r="Z51" s="13">
        <f>+Z55-Y55</f>
        <v>11630537</v>
      </c>
      <c r="AA51" s="13">
        <f>+AA55</f>
        <v>2052563</v>
      </c>
      <c r="AB51" s="13">
        <f t="shared" ref="AB51:AD52" si="57">+AB55-AA55</f>
        <v>860780</v>
      </c>
      <c r="AC51" s="13">
        <f t="shared" si="57"/>
        <v>4749739</v>
      </c>
      <c r="AD51" s="13">
        <f t="shared" si="57"/>
        <v>6503339</v>
      </c>
      <c r="AE51" s="13">
        <f>+AE55</f>
        <v>-2370183</v>
      </c>
      <c r="AF51" s="13">
        <f>+AF55-AE55</f>
        <v>-1812089</v>
      </c>
      <c r="AG51" s="13">
        <f>+AG55-AF55</f>
        <v>5186574</v>
      </c>
      <c r="AH51" s="13">
        <f t="shared" ref="AH51:AH52" si="58">+AH55-AG55</f>
        <v>6575744</v>
      </c>
      <c r="AI51" s="13">
        <f>+AI55</f>
        <v>608087</v>
      </c>
      <c r="AJ51" s="13">
        <f>+AJ55-AI55</f>
        <v>2540230</v>
      </c>
      <c r="AK51" s="13">
        <f>+AK55-AJ55</f>
        <v>5759065</v>
      </c>
      <c r="AL51" s="13">
        <f t="shared" ref="AL51:AL52" si="59">+AL55-AK55</f>
        <v>3877950</v>
      </c>
    </row>
    <row r="52" spans="23:38" x14ac:dyDescent="0.25">
      <c r="W52" s="12" t="s">
        <v>60</v>
      </c>
      <c r="Y52" s="13">
        <f>+Y56-X56</f>
        <v>0</v>
      </c>
      <c r="Z52" s="13">
        <f>+Z56-Y56</f>
        <v>-6403947</v>
      </c>
      <c r="AA52" s="13">
        <f>+AA56</f>
        <v>-1023687</v>
      </c>
      <c r="AB52" s="13">
        <f t="shared" si="57"/>
        <v>-1253956</v>
      </c>
      <c r="AC52" s="13">
        <f t="shared" si="57"/>
        <v>-2787802</v>
      </c>
      <c r="AD52" s="13">
        <f t="shared" si="57"/>
        <v>-3781103</v>
      </c>
      <c r="AE52" s="13">
        <f>+AE56</f>
        <v>-2499267</v>
      </c>
      <c r="AF52" s="13">
        <f>+AF56-AE56</f>
        <v>-2529581</v>
      </c>
      <c r="AG52" s="13">
        <f>+AG56-AF56</f>
        <v>-2505361</v>
      </c>
      <c r="AH52" s="13">
        <f t="shared" si="58"/>
        <v>-3297833</v>
      </c>
      <c r="AI52" s="13">
        <f>+AI56</f>
        <v>-856762</v>
      </c>
      <c r="AJ52" s="13">
        <f>+AJ56-AI56</f>
        <v>-1344312</v>
      </c>
      <c r="AK52" s="13">
        <f>+AK56-AJ56</f>
        <v>-1773265</v>
      </c>
      <c r="AL52" s="13">
        <f t="shared" si="59"/>
        <v>-1835313</v>
      </c>
    </row>
    <row r="53" spans="23:38" x14ac:dyDescent="0.25">
      <c r="W53" s="12" t="s">
        <v>68</v>
      </c>
      <c r="Y53" s="13">
        <f t="shared" ref="Y53:AG53" si="60">+Y51+Y52</f>
        <v>0</v>
      </c>
      <c r="Z53" s="13">
        <f t="shared" si="60"/>
        <v>5226590</v>
      </c>
      <c r="AA53" s="13">
        <f t="shared" si="60"/>
        <v>1028876</v>
      </c>
      <c r="AB53" s="13">
        <f t="shared" si="60"/>
        <v>-393176</v>
      </c>
      <c r="AC53" s="13">
        <f t="shared" si="60"/>
        <v>1961937</v>
      </c>
      <c r="AD53" s="13">
        <f t="shared" si="60"/>
        <v>2722236</v>
      </c>
      <c r="AE53" s="13">
        <f t="shared" si="60"/>
        <v>-4869450</v>
      </c>
      <c r="AF53" s="13">
        <f t="shared" si="60"/>
        <v>-4341670</v>
      </c>
      <c r="AG53" s="13">
        <f t="shared" si="60"/>
        <v>2681213</v>
      </c>
      <c r="AH53" s="13">
        <f t="shared" ref="AH53:AK53" si="61">+AH51+AH52</f>
        <v>3277911</v>
      </c>
      <c r="AI53" s="13">
        <f t="shared" si="61"/>
        <v>-248675</v>
      </c>
      <c r="AJ53" s="13">
        <f t="shared" si="61"/>
        <v>1195918</v>
      </c>
      <c r="AK53" s="13">
        <f t="shared" si="61"/>
        <v>3985800</v>
      </c>
      <c r="AL53" s="13">
        <f t="shared" ref="AL53" si="62">+AL51+AL52</f>
        <v>2042637</v>
      </c>
    </row>
    <row r="55" spans="23:38" x14ac:dyDescent="0.25">
      <c r="W55" s="12" t="s">
        <v>67</v>
      </c>
      <c r="X55" s="13"/>
      <c r="Y55" s="13"/>
      <c r="Z55" s="13">
        <v>11630537</v>
      </c>
      <c r="AA55" s="13">
        <v>2052563</v>
      </c>
      <c r="AB55" s="13">
        <v>2913343</v>
      </c>
      <c r="AC55" s="13">
        <v>7663082</v>
      </c>
      <c r="AD55" s="13">
        <v>14166421</v>
      </c>
      <c r="AE55" s="13">
        <v>-2370183</v>
      </c>
      <c r="AF55" s="13">
        <v>-4182272</v>
      </c>
      <c r="AG55" s="13">
        <v>1004302</v>
      </c>
      <c r="AH55" s="13">
        <v>7580046</v>
      </c>
      <c r="AI55" s="13">
        <v>608087</v>
      </c>
      <c r="AJ55" s="13">
        <v>3148317</v>
      </c>
      <c r="AK55" s="13">
        <v>8907382</v>
      </c>
      <c r="AL55" s="13">
        <v>12785332</v>
      </c>
    </row>
    <row r="56" spans="23:38" x14ac:dyDescent="0.25">
      <c r="W56" s="12" t="s">
        <v>60</v>
      </c>
      <c r="X56" s="13"/>
      <c r="Y56" s="13"/>
      <c r="Z56" s="13">
        <f>-6302611-1411-99925</f>
        <v>-6403947</v>
      </c>
      <c r="AA56" s="13">
        <f>-1012474-11213</f>
        <v>-1023687</v>
      </c>
      <c r="AB56" s="13">
        <f>-2236779-40864</f>
        <v>-2277643</v>
      </c>
      <c r="AC56" s="13">
        <f>-3929366-1079367-56712</f>
        <v>-5065445</v>
      </c>
      <c r="AD56" s="13">
        <f>-7593769-1100632-152147</f>
        <v>-8846548</v>
      </c>
      <c r="AE56" s="13">
        <f>-2399895-99372</f>
        <v>-2499267</v>
      </c>
      <c r="AF56" s="10">
        <f>-4540854-348186-139808</f>
        <v>-5028848</v>
      </c>
      <c r="AG56" s="13">
        <f>-6661438-691912-180859</f>
        <v>-7534209</v>
      </c>
      <c r="AH56" s="13">
        <v>-10832042</v>
      </c>
      <c r="AI56" s="13">
        <v>-856762</v>
      </c>
      <c r="AJ56" s="10">
        <v>-2201074</v>
      </c>
      <c r="AK56" s="13">
        <v>-3974339</v>
      </c>
      <c r="AL56" s="13">
        <v>-5809652</v>
      </c>
    </row>
    <row r="57" spans="23:38" x14ac:dyDescent="0.25">
      <c r="W57" s="12" t="s">
        <v>68</v>
      </c>
      <c r="X57" s="13">
        <f t="shared" ref="X57:AF57" si="63">+X55+X56</f>
        <v>0</v>
      </c>
      <c r="Y57" s="13">
        <f t="shared" si="63"/>
        <v>0</v>
      </c>
      <c r="Z57" s="13">
        <f t="shared" si="63"/>
        <v>5226590</v>
      </c>
      <c r="AA57" s="13">
        <f t="shared" si="63"/>
        <v>1028876</v>
      </c>
      <c r="AB57" s="13">
        <f t="shared" si="63"/>
        <v>635700</v>
      </c>
      <c r="AC57" s="13">
        <f t="shared" si="63"/>
        <v>2597637</v>
      </c>
      <c r="AD57" s="13">
        <f t="shared" si="63"/>
        <v>5319873</v>
      </c>
      <c r="AE57" s="13">
        <f t="shared" si="63"/>
        <v>-4869450</v>
      </c>
      <c r="AF57" s="13">
        <f t="shared" si="63"/>
        <v>-9211120</v>
      </c>
      <c r="AG57" s="13">
        <f>+AG55+AG56</f>
        <v>-6529907</v>
      </c>
      <c r="AH57" s="13">
        <f t="shared" ref="AH57:AJ57" si="64">+AH55+AH56</f>
        <v>-3251996</v>
      </c>
      <c r="AI57" s="13">
        <f t="shared" si="64"/>
        <v>-248675</v>
      </c>
      <c r="AJ57" s="13">
        <f t="shared" si="64"/>
        <v>947243</v>
      </c>
      <c r="AK57" s="13">
        <f>+AK55+AK56</f>
        <v>4933043</v>
      </c>
      <c r="AL57" s="13">
        <f t="shared" ref="AL57" si="65">+AL55+AL56</f>
        <v>6975680</v>
      </c>
    </row>
    <row r="59" spans="23:38" x14ac:dyDescent="0.25">
      <c r="W59" s="47" t="s">
        <v>76</v>
      </c>
    </row>
    <row r="60" spans="23:38" x14ac:dyDescent="0.25">
      <c r="W60" s="47" t="s">
        <v>77</v>
      </c>
      <c r="AC60" s="13"/>
      <c r="AG60" s="13"/>
      <c r="AK60" s="13"/>
    </row>
    <row r="61" spans="23:38" x14ac:dyDescent="0.25">
      <c r="W61" s="12" t="s">
        <v>78</v>
      </c>
      <c r="Z61" s="13">
        <v>22692882</v>
      </c>
      <c r="AA61" s="13">
        <v>22739297</v>
      </c>
      <c r="AB61" s="13">
        <v>21435708</v>
      </c>
      <c r="AC61" s="13">
        <v>28060339</v>
      </c>
      <c r="AD61" s="13">
        <v>30646633</v>
      </c>
      <c r="AE61" s="13">
        <v>36651048</v>
      </c>
      <c r="AF61" s="13">
        <v>35480402</v>
      </c>
      <c r="AG61" s="13">
        <v>37556007</v>
      </c>
      <c r="AH61" s="13">
        <v>35706368</v>
      </c>
      <c r="AI61" s="13">
        <v>42081397</v>
      </c>
      <c r="AJ61" s="13">
        <v>40769486</v>
      </c>
      <c r="AK61" s="13">
        <v>43099229</v>
      </c>
      <c r="AL61" s="13">
        <v>40895564</v>
      </c>
    </row>
    <row r="62" spans="23:38" x14ac:dyDescent="0.25">
      <c r="W62" s="12" t="s">
        <v>40</v>
      </c>
      <c r="X62" s="17"/>
      <c r="Y62" s="17"/>
      <c r="Z62" s="17"/>
      <c r="AA62" s="17"/>
      <c r="AB62" s="18"/>
      <c r="AC62" s="18"/>
      <c r="AD62" s="18">
        <f t="shared" ref="AD62" si="66">+AD61/Z61-1</f>
        <v>0.35049541085173752</v>
      </c>
      <c r="AE62" s="18">
        <f t="shared" ref="AE62" si="67">+AE61/AA61-1</f>
        <v>0.61179336370864945</v>
      </c>
      <c r="AF62" s="18">
        <f t="shared" ref="AF62" si="68">+AF61/AB61-1</f>
        <v>0.65520084524383337</v>
      </c>
      <c r="AG62" s="18">
        <f t="shared" ref="AG62:AL62" si="69">+AG61/AC61-1</f>
        <v>0.33840175630094849</v>
      </c>
      <c r="AH62" s="18">
        <f t="shared" si="69"/>
        <v>0.16509921334588373</v>
      </c>
      <c r="AI62" s="18">
        <f t="shared" si="69"/>
        <v>0.14816353955281159</v>
      </c>
      <c r="AJ62" s="18">
        <f t="shared" si="69"/>
        <v>0.1490705770470131</v>
      </c>
      <c r="AK62" s="18">
        <f t="shared" si="69"/>
        <v>0.14759881155629784</v>
      </c>
      <c r="AL62" s="18">
        <f t="shared" si="69"/>
        <v>0.14532970701472636</v>
      </c>
    </row>
    <row r="63" spans="23:38" x14ac:dyDescent="0.25">
      <c r="W63" s="12" t="s">
        <v>41</v>
      </c>
      <c r="Y63" s="18"/>
      <c r="Z63" s="18"/>
      <c r="AA63" s="18">
        <f t="shared" ref="AA63" si="70">+AA61/Z61-1</f>
        <v>2.0453550148455957E-3</v>
      </c>
      <c r="AB63" s="18">
        <f t="shared" ref="AB63" si="71">+AB61/AA61-1</f>
        <v>-5.7327585808831238E-2</v>
      </c>
      <c r="AC63" s="18">
        <f t="shared" ref="AC63" si="72">+AC61/AB61-1</f>
        <v>0.30904652181304204</v>
      </c>
      <c r="AD63" s="18">
        <f t="shared" ref="AD63:AL63" si="73">+AD61/AC61-1</f>
        <v>9.2169021906684634E-2</v>
      </c>
      <c r="AE63" s="18">
        <f t="shared" si="73"/>
        <v>0.19592413300345268</v>
      </c>
      <c r="AF63" s="18">
        <f t="shared" si="73"/>
        <v>-3.1940314503421607E-2</v>
      </c>
      <c r="AG63" s="18">
        <f t="shared" si="73"/>
        <v>5.8500041797722613E-2</v>
      </c>
      <c r="AH63" s="18">
        <f t="shared" si="73"/>
        <v>-4.9250150581769736E-2</v>
      </c>
      <c r="AI63" s="18">
        <f t="shared" si="73"/>
        <v>0.17854039369111985</v>
      </c>
      <c r="AJ63" s="18">
        <f t="shared" si="73"/>
        <v>-3.1175557218311889E-2</v>
      </c>
      <c r="AK63" s="18">
        <f t="shared" si="73"/>
        <v>5.7144281877873127E-2</v>
      </c>
      <c r="AL63" s="18">
        <f t="shared" si="73"/>
        <v>-5.1130032975763906E-2</v>
      </c>
    </row>
    <row r="64" spans="23:38" x14ac:dyDescent="0.25">
      <c r="W64" s="12" t="s">
        <v>79</v>
      </c>
      <c r="Z64" s="13">
        <v>680655</v>
      </c>
      <c r="AA64" s="13">
        <v>581392</v>
      </c>
      <c r="AB64" s="13">
        <v>517814</v>
      </c>
      <c r="AC64" s="13">
        <v>1276557</v>
      </c>
      <c r="AD64" s="13">
        <v>1374863</v>
      </c>
      <c r="AE64" s="13">
        <v>1543576</v>
      </c>
      <c r="AF64" s="13">
        <v>1762869</v>
      </c>
      <c r="AG64" s="13">
        <v>1767642</v>
      </c>
      <c r="AH64" s="13">
        <v>1348329</v>
      </c>
      <c r="AI64" s="13">
        <v>1690128</v>
      </c>
      <c r="AJ64" s="13">
        <v>1427313</v>
      </c>
      <c r="AK64" s="13">
        <v>1137589</v>
      </c>
      <c r="AL64" s="13">
        <v>1076575</v>
      </c>
    </row>
    <row r="65" spans="23:38" x14ac:dyDescent="0.25">
      <c r="W65" s="12" t="s">
        <v>82</v>
      </c>
      <c r="X65" s="19"/>
      <c r="Y65" s="19"/>
      <c r="Z65" s="19">
        <f t="shared" ref="Z65:AF65" si="74">+Z64/Z61</f>
        <v>2.999420699406977E-2</v>
      </c>
      <c r="AA65" s="19">
        <f t="shared" si="74"/>
        <v>2.5567720937019294E-2</v>
      </c>
      <c r="AB65" s="19">
        <f t="shared" si="74"/>
        <v>2.4156608216532899E-2</v>
      </c>
      <c r="AC65" s="19">
        <f t="shared" si="74"/>
        <v>4.5493285024104664E-2</v>
      </c>
      <c r="AD65" s="19">
        <f t="shared" si="74"/>
        <v>4.4861796073976543E-2</v>
      </c>
      <c r="AE65" s="19">
        <f t="shared" si="74"/>
        <v>4.2115466930168002E-2</v>
      </c>
      <c r="AF65" s="19">
        <f t="shared" si="74"/>
        <v>4.9685711001808831E-2</v>
      </c>
      <c r="AG65" s="19">
        <f>+AG64/AG61</f>
        <v>4.7066824755890579E-2</v>
      </c>
      <c r="AH65" s="19">
        <f t="shared" ref="AH65:AJ65" si="75">+AH64/AH61</f>
        <v>3.7761583592036019E-2</v>
      </c>
      <c r="AI65" s="19">
        <f t="shared" si="75"/>
        <v>4.016330541497945E-2</v>
      </c>
      <c r="AJ65" s="19">
        <f t="shared" si="75"/>
        <v>3.5009344979232755E-2</v>
      </c>
      <c r="AK65" s="19">
        <f>+AK64/AK61</f>
        <v>2.6394648498236476E-2</v>
      </c>
      <c r="AL65" s="19">
        <f t="shared" ref="AL65" si="76">+AL64/AL61</f>
        <v>2.6324982337937678E-2</v>
      </c>
    </row>
    <row r="66" spans="23:38" x14ac:dyDescent="0.25">
      <c r="W66" s="12" t="s">
        <v>21</v>
      </c>
      <c r="Z66" s="13">
        <v>197099</v>
      </c>
      <c r="AA66" s="13">
        <v>87986</v>
      </c>
      <c r="AB66" s="13">
        <v>-3823</v>
      </c>
      <c r="AC66" s="13">
        <v>743083</v>
      </c>
      <c r="AD66" s="13">
        <v>239283</v>
      </c>
      <c r="AE66" s="13">
        <v>924563</v>
      </c>
      <c r="AF66" s="13">
        <v>901522</v>
      </c>
      <c r="AG66" s="13">
        <v>672818</v>
      </c>
      <c r="AH66" s="13">
        <v>772348</v>
      </c>
      <c r="AI66" s="13">
        <v>797925</v>
      </c>
      <c r="AJ66" s="13">
        <v>490927</v>
      </c>
      <c r="AK66" s="13">
        <v>308629</v>
      </c>
      <c r="AL66" s="13">
        <v>255580</v>
      </c>
    </row>
    <row r="67" spans="23:38" x14ac:dyDescent="0.25">
      <c r="W67" s="12" t="s">
        <v>82</v>
      </c>
      <c r="Z67" s="19">
        <f t="shared" ref="Z67:AF67" si="77">+Z66/Z61</f>
        <v>8.6854988273415423E-3</v>
      </c>
      <c r="AA67" s="19">
        <f t="shared" si="77"/>
        <v>3.869336857687377E-3</v>
      </c>
      <c r="AB67" s="19">
        <f t="shared" si="77"/>
        <v>-1.7834726989190186E-4</v>
      </c>
      <c r="AC67" s="19">
        <f t="shared" si="77"/>
        <v>2.6481611644107363E-2</v>
      </c>
      <c r="AD67" s="19">
        <f t="shared" si="77"/>
        <v>7.8078071414892465E-3</v>
      </c>
      <c r="AE67" s="19">
        <f t="shared" si="77"/>
        <v>2.5226099946719122E-2</v>
      </c>
      <c r="AF67" s="19">
        <f t="shared" si="77"/>
        <v>2.5409013122230126E-2</v>
      </c>
      <c r="AG67" s="19">
        <f>+AG66/AG61</f>
        <v>1.7915056837645174E-2</v>
      </c>
      <c r="AH67" s="19">
        <f t="shared" ref="AH67:AJ67" si="78">+AH66/AH61</f>
        <v>2.1630539404063724E-2</v>
      </c>
      <c r="AI67" s="19">
        <f t="shared" si="78"/>
        <v>1.8961466512150249E-2</v>
      </c>
      <c r="AJ67" s="19">
        <f t="shared" si="78"/>
        <v>1.2041530275853859E-2</v>
      </c>
      <c r="AK67" s="19">
        <f>+AK66/AK61</f>
        <v>7.1608937598396484E-3</v>
      </c>
      <c r="AL67" s="19">
        <f t="shared" ref="AL67" si="79">+AL66/AL61</f>
        <v>6.2495775825466057E-3</v>
      </c>
    </row>
    <row r="70" spans="23:38" x14ac:dyDescent="0.25">
      <c r="W70" s="47" t="s">
        <v>80</v>
      </c>
      <c r="AC70" s="13"/>
      <c r="AG70" s="13"/>
      <c r="AK70" s="13"/>
    </row>
    <row r="71" spans="23:38" x14ac:dyDescent="0.25">
      <c r="W71" s="12" t="s">
        <v>78</v>
      </c>
      <c r="Z71" s="13">
        <v>6261538</v>
      </c>
      <c r="AA71" s="13">
        <v>5771626</v>
      </c>
      <c r="AB71" s="13">
        <v>6393021</v>
      </c>
      <c r="AC71" s="13">
        <v>7447037</v>
      </c>
      <c r="AD71" s="13">
        <v>8263863</v>
      </c>
      <c r="AE71" s="13">
        <v>9286548</v>
      </c>
      <c r="AF71" s="13">
        <v>11548207</v>
      </c>
      <c r="AG71" s="13">
        <v>9926398</v>
      </c>
      <c r="AH71" s="13">
        <v>10531463</v>
      </c>
      <c r="AI71" s="13">
        <v>12110626</v>
      </c>
      <c r="AJ71" s="13">
        <v>12037187</v>
      </c>
      <c r="AK71" s="13">
        <v>10797149</v>
      </c>
      <c r="AL71" s="13">
        <v>10958481</v>
      </c>
    </row>
    <row r="72" spans="23:38" x14ac:dyDescent="0.25">
      <c r="W72" s="12" t="s">
        <v>40</v>
      </c>
      <c r="X72" s="17"/>
      <c r="Y72" s="17"/>
      <c r="Z72" s="17"/>
      <c r="AA72" s="17"/>
      <c r="AB72" s="18"/>
      <c r="AC72" s="18"/>
      <c r="AD72" s="18">
        <f t="shared" ref="AD72" si="80">+AD71/Z71-1</f>
        <v>0.31978165747776344</v>
      </c>
      <c r="AE72" s="18">
        <f t="shared" ref="AE72" si="81">+AE71/AA71-1</f>
        <v>0.60900030597963206</v>
      </c>
      <c r="AF72" s="18">
        <f t="shared" ref="AF72" si="82">+AF71/AB71-1</f>
        <v>0.8063771415736003</v>
      </c>
      <c r="AG72" s="18">
        <f t="shared" ref="AG72:AL72" si="83">+AG71/AC71-1</f>
        <v>0.33293254753534862</v>
      </c>
      <c r="AH72" s="18">
        <f t="shared" si="83"/>
        <v>0.27439951509360694</v>
      </c>
      <c r="AI72" s="18">
        <f t="shared" si="83"/>
        <v>0.30410417304686299</v>
      </c>
      <c r="AJ72" s="18">
        <f t="shared" si="83"/>
        <v>4.2342503905584694E-2</v>
      </c>
      <c r="AK72" s="18">
        <f t="shared" si="83"/>
        <v>8.7720742206790492E-2</v>
      </c>
      <c r="AL72" s="18">
        <f t="shared" si="83"/>
        <v>4.054688318232702E-2</v>
      </c>
    </row>
    <row r="73" spans="23:38" x14ac:dyDescent="0.25">
      <c r="W73" s="12" t="s">
        <v>41</v>
      </c>
      <c r="Y73" s="18"/>
      <c r="Z73" s="18"/>
      <c r="AA73" s="18">
        <f t="shared" ref="AA73" si="84">+AA71/Z71-1</f>
        <v>-7.8241479968659489E-2</v>
      </c>
      <c r="AB73" s="18">
        <f t="shared" ref="AB73" si="85">+AB71/AA71-1</f>
        <v>0.10766376754141738</v>
      </c>
      <c r="AC73" s="18">
        <f t="shared" ref="AC73" si="86">+AC71/AB71-1</f>
        <v>0.16486978534874197</v>
      </c>
      <c r="AD73" s="18">
        <f t="shared" ref="AD73:AL73" si="87">+AD71/AC71-1</f>
        <v>0.10968469741724118</v>
      </c>
      <c r="AE73" s="18">
        <f t="shared" si="87"/>
        <v>0.12375386668438226</v>
      </c>
      <c r="AF73" s="18">
        <f t="shared" si="87"/>
        <v>0.24354141065119128</v>
      </c>
      <c r="AG73" s="18">
        <f t="shared" si="87"/>
        <v>-0.14043816498959538</v>
      </c>
      <c r="AH73" s="18">
        <f t="shared" si="87"/>
        <v>6.0955142036416499E-2</v>
      </c>
      <c r="AI73" s="18">
        <f t="shared" si="87"/>
        <v>0.14994716308645817</v>
      </c>
      <c r="AJ73" s="18">
        <f t="shared" si="87"/>
        <v>-6.0640135365421788E-3</v>
      </c>
      <c r="AK73" s="18">
        <f t="shared" si="87"/>
        <v>-0.10301725810191364</v>
      </c>
      <c r="AL73" s="18">
        <f t="shared" si="87"/>
        <v>1.4942092583884792E-2</v>
      </c>
    </row>
    <row r="74" spans="23:38" x14ac:dyDescent="0.25">
      <c r="W74" s="12" t="s">
        <v>79</v>
      </c>
      <c r="Z74" s="13">
        <v>382240</v>
      </c>
      <c r="AA74" s="13">
        <v>813332</v>
      </c>
      <c r="AB74" s="13">
        <v>888266</v>
      </c>
      <c r="AC74" s="13">
        <v>1083310</v>
      </c>
      <c r="AD74" s="13">
        <v>1208097</v>
      </c>
      <c r="AE74" s="13">
        <v>1137775</v>
      </c>
      <c r="AF74" s="13">
        <v>1403623</v>
      </c>
      <c r="AG74" s="13">
        <v>1526275</v>
      </c>
      <c r="AH74" s="13">
        <v>1457614</v>
      </c>
      <c r="AI74" s="13">
        <v>1694414</v>
      </c>
      <c r="AJ74" s="13">
        <v>1738693</v>
      </c>
      <c r="AK74" s="13">
        <v>1406148</v>
      </c>
      <c r="AL74" s="13">
        <v>1319759</v>
      </c>
    </row>
    <row r="75" spans="23:38" x14ac:dyDescent="0.25">
      <c r="W75" s="12" t="s">
        <v>82</v>
      </c>
      <c r="X75" s="19"/>
      <c r="Y75" s="19"/>
      <c r="Z75" s="19">
        <f t="shared" ref="Z75" si="88">+Z74/Z71</f>
        <v>6.1045704745383643E-2</v>
      </c>
      <c r="AA75" s="19">
        <f t="shared" ref="AA75" si="89">+AA74/AA71</f>
        <v>0.14091904083875151</v>
      </c>
      <c r="AB75" s="19">
        <f t="shared" ref="AB75" si="90">+AB74/AB71</f>
        <v>0.13894307558195101</v>
      </c>
      <c r="AC75" s="19">
        <f t="shared" ref="AC75" si="91">+AC74/AC71</f>
        <v>0.14546859375077631</v>
      </c>
      <c r="AD75" s="19">
        <f t="shared" ref="AD75" si="92">+AD74/AD71</f>
        <v>0.14619034705681835</v>
      </c>
      <c r="AE75" s="19">
        <f t="shared" ref="AE75" si="93">+AE74/AE71</f>
        <v>0.12251861509788137</v>
      </c>
      <c r="AF75" s="19">
        <f t="shared" ref="AF75" si="94">+AF74/AF71</f>
        <v>0.12154466922873829</v>
      </c>
      <c r="AG75" s="19">
        <f>+AG74/AG71</f>
        <v>0.15375919845244973</v>
      </c>
      <c r="AH75" s="19">
        <f t="shared" ref="AH75:AJ75" si="95">+AH74/AH71</f>
        <v>0.13840565171239741</v>
      </c>
      <c r="AI75" s="19">
        <f t="shared" si="95"/>
        <v>0.13991134727469909</v>
      </c>
      <c r="AJ75" s="19">
        <f t="shared" si="95"/>
        <v>0.14444346507203054</v>
      </c>
      <c r="AK75" s="19">
        <f>+AK74/AK71</f>
        <v>0.13023326805992952</v>
      </c>
      <c r="AL75" s="19">
        <f t="shared" ref="AL75" si="96">+AL74/AL71</f>
        <v>0.12043265850440403</v>
      </c>
    </row>
    <row r="76" spans="23:38" x14ac:dyDescent="0.25">
      <c r="W76" s="12" t="s">
        <v>21</v>
      </c>
      <c r="Z76" s="13">
        <v>368079</v>
      </c>
      <c r="AA76" s="13">
        <v>766380</v>
      </c>
      <c r="AB76" s="13">
        <v>820555</v>
      </c>
      <c r="AC76" s="13">
        <v>1001495</v>
      </c>
      <c r="AD76" s="13">
        <v>1177031</v>
      </c>
      <c r="AE76" s="13">
        <v>1044119</v>
      </c>
      <c r="AF76" s="13">
        <v>1032679</v>
      </c>
      <c r="AG76" s="13">
        <v>1024117</v>
      </c>
      <c r="AH76" s="13">
        <v>1117272</v>
      </c>
      <c r="AI76" s="13">
        <v>1406204</v>
      </c>
      <c r="AJ76" s="13">
        <v>1526950</v>
      </c>
      <c r="AK76" s="13">
        <v>1260626</v>
      </c>
      <c r="AL76" s="13">
        <v>1172156</v>
      </c>
    </row>
    <row r="77" spans="23:38" x14ac:dyDescent="0.25">
      <c r="W77" s="12" t="s">
        <v>82</v>
      </c>
      <c r="Z77" s="19">
        <f t="shared" ref="Z77" si="97">+Z76/Z71</f>
        <v>5.8784119812097281E-2</v>
      </c>
      <c r="AA77" s="19">
        <f t="shared" ref="AA77" si="98">+AA76/AA71</f>
        <v>0.13278407159438257</v>
      </c>
      <c r="AB77" s="19">
        <f t="shared" ref="AB77" si="99">+AB76/AB71</f>
        <v>0.12835168224850191</v>
      </c>
      <c r="AC77" s="19">
        <f t="shared" ref="AC77" si="100">+AC76/AC71</f>
        <v>0.1344823451259877</v>
      </c>
      <c r="AD77" s="19">
        <f t="shared" ref="AD77" si="101">+AD76/AD71</f>
        <v>0.14243108822108982</v>
      </c>
      <c r="AE77" s="19">
        <f t="shared" ref="AE77" si="102">+AE76/AE71</f>
        <v>0.11243348981774498</v>
      </c>
      <c r="AF77" s="19">
        <f t="shared" ref="AF77" si="103">+AF76/AF71</f>
        <v>8.942331913516964E-2</v>
      </c>
      <c r="AG77" s="19">
        <f>+AG76/AG71</f>
        <v>0.10317105963311163</v>
      </c>
      <c r="AH77" s="19">
        <f t="shared" ref="AH77:AJ77" si="104">+AH76/AH71</f>
        <v>0.10608896408789548</v>
      </c>
      <c r="AI77" s="19">
        <f t="shared" si="104"/>
        <v>0.11611323807704077</v>
      </c>
      <c r="AJ77" s="19">
        <f t="shared" si="104"/>
        <v>0.12685272730248354</v>
      </c>
      <c r="AK77" s="19">
        <f>+AK76/AK71</f>
        <v>0.11675545090653097</v>
      </c>
      <c r="AL77" s="19">
        <f t="shared" ref="AL77" si="105">+AL76/AL71</f>
        <v>0.1069633647218077</v>
      </c>
    </row>
    <row r="80" spans="23:38" x14ac:dyDescent="0.25">
      <c r="W80" s="47" t="s">
        <v>81</v>
      </c>
      <c r="AC80" s="13"/>
      <c r="AG80" s="13"/>
      <c r="AK80" s="13"/>
    </row>
    <row r="81" spans="23:38" x14ac:dyDescent="0.25">
      <c r="W81" s="12" t="s">
        <v>78</v>
      </c>
      <c r="Z81" s="13">
        <v>1052884</v>
      </c>
      <c r="AA81" s="13">
        <v>928423</v>
      </c>
      <c r="AB81" s="13">
        <v>1132659</v>
      </c>
      <c r="AC81" s="13">
        <v>1885509</v>
      </c>
      <c r="AD81" s="13">
        <v>1929381</v>
      </c>
      <c r="AE81" s="13">
        <v>2036908</v>
      </c>
      <c r="AF81" s="13">
        <v>2177779</v>
      </c>
      <c r="AG81" s="13">
        <v>2399250</v>
      </c>
      <c r="AH81" s="13">
        <v>2317521</v>
      </c>
      <c r="AI81" s="13">
        <v>2561445</v>
      </c>
      <c r="AJ81" s="13">
        <v>2773216</v>
      </c>
      <c r="AK81" s="13">
        <v>2807350</v>
      </c>
      <c r="AL81" s="13">
        <v>2549354</v>
      </c>
    </row>
    <row r="82" spans="23:38" x14ac:dyDescent="0.25">
      <c r="W82" s="12" t="s">
        <v>40</v>
      </c>
      <c r="X82" s="17"/>
      <c r="Y82" s="17"/>
      <c r="Z82" s="17"/>
      <c r="AA82" s="17"/>
      <c r="AB82" s="18"/>
      <c r="AC82" s="18"/>
      <c r="AD82" s="18">
        <f t="shared" ref="AD82" si="106">+AD81/Z81-1</f>
        <v>0.83247252308896336</v>
      </c>
      <c r="AE82" s="18">
        <f t="shared" ref="AE82" si="107">+AE81/AA81-1</f>
        <v>1.1939439242672791</v>
      </c>
      <c r="AF82" s="18">
        <f t="shared" ref="AF82" si="108">+AF81/AB81-1</f>
        <v>0.92271372054607781</v>
      </c>
      <c r="AG82" s="18">
        <f t="shared" ref="AG82:AL82" si="109">+AG81/AC81-1</f>
        <v>0.27246807095590642</v>
      </c>
      <c r="AH82" s="18">
        <f t="shared" si="109"/>
        <v>0.20117332968449464</v>
      </c>
      <c r="AI82" s="18">
        <f t="shared" si="109"/>
        <v>0.25751629430489742</v>
      </c>
      <c r="AJ82" s="18">
        <f t="shared" si="109"/>
        <v>0.2734147955325128</v>
      </c>
      <c r="AK82" s="18">
        <f t="shared" si="109"/>
        <v>0.17009482129832243</v>
      </c>
      <c r="AL82" s="18">
        <f t="shared" si="109"/>
        <v>0.10003490799004622</v>
      </c>
    </row>
    <row r="83" spans="23:38" x14ac:dyDescent="0.25">
      <c r="W83" s="12" t="s">
        <v>41</v>
      </c>
      <c r="Y83" s="18"/>
      <c r="Z83" s="18"/>
      <c r="AA83" s="18">
        <f t="shared" ref="AA83" si="110">+AA81/Z81-1</f>
        <v>-0.11820960333711972</v>
      </c>
      <c r="AB83" s="18">
        <f t="shared" ref="AB83" si="111">+AB81/AA81-1</f>
        <v>0.21998162475509542</v>
      </c>
      <c r="AC83" s="18">
        <f t="shared" ref="AC83" si="112">+AC81/AB81-1</f>
        <v>0.66467489332623497</v>
      </c>
      <c r="AD83" s="18">
        <f t="shared" ref="AD83:AL83" si="113">+AD81/AC81-1</f>
        <v>2.3267987583193817E-2</v>
      </c>
      <c r="AE83" s="18">
        <f t="shared" si="113"/>
        <v>5.5731345960180922E-2</v>
      </c>
      <c r="AF83" s="18">
        <f t="shared" si="113"/>
        <v>6.9159235468661429E-2</v>
      </c>
      <c r="AG83" s="18">
        <f t="shared" si="113"/>
        <v>0.10169581027275965</v>
      </c>
      <c r="AH83" s="18">
        <f t="shared" si="113"/>
        <v>-3.4064395123476032E-2</v>
      </c>
      <c r="AI83" s="18">
        <f t="shared" si="113"/>
        <v>0.10525212069275747</v>
      </c>
      <c r="AJ83" s="18">
        <f t="shared" si="113"/>
        <v>8.2676379933982469E-2</v>
      </c>
      <c r="AK83" s="18">
        <f t="shared" si="113"/>
        <v>1.2308453434568323E-2</v>
      </c>
      <c r="AL83" s="18">
        <f t="shared" si="113"/>
        <v>-9.1900190571179263E-2</v>
      </c>
    </row>
    <row r="84" spans="23:38" x14ac:dyDescent="0.25">
      <c r="W84" s="12" t="s">
        <v>79</v>
      </c>
      <c r="Z84" s="13">
        <v>183040</v>
      </c>
      <c r="AA84" s="13">
        <v>84241</v>
      </c>
      <c r="AB84" s="13">
        <v>141792</v>
      </c>
      <c r="AC84" s="13">
        <v>355434</v>
      </c>
      <c r="AD84" s="13">
        <v>382240</v>
      </c>
      <c r="AE84" s="13">
        <v>264669</v>
      </c>
      <c r="AF84" s="13">
        <v>310872</v>
      </c>
      <c r="AG84" s="13">
        <v>398609</v>
      </c>
      <c r="AH84" s="13">
        <v>508312</v>
      </c>
      <c r="AI84" s="13">
        <v>435707</v>
      </c>
      <c r="AJ84" s="13">
        <v>489228</v>
      </c>
      <c r="AK84" s="13">
        <v>441750</v>
      </c>
      <c r="AL84" s="13">
        <v>390828</v>
      </c>
    </row>
    <row r="85" spans="23:38" x14ac:dyDescent="0.25">
      <c r="W85" s="12" t="s">
        <v>82</v>
      </c>
      <c r="X85" s="19"/>
      <c r="Y85" s="19"/>
      <c r="Z85" s="19">
        <f t="shared" ref="Z85" si="114">+Z84/Z81</f>
        <v>0.17384631165446526</v>
      </c>
      <c r="AA85" s="19">
        <f t="shared" ref="AA85" si="115">+AA84/AA81</f>
        <v>9.0735580656661888E-2</v>
      </c>
      <c r="AB85" s="19">
        <f t="shared" ref="AB85" si="116">+AB84/AB81</f>
        <v>0.12518507335393972</v>
      </c>
      <c r="AC85" s="19">
        <f t="shared" ref="AC85" si="117">+AC84/AC81</f>
        <v>0.18850824896619428</v>
      </c>
      <c r="AD85" s="19">
        <f t="shared" ref="AD85" si="118">+AD84/AD81</f>
        <v>0.19811535409543268</v>
      </c>
      <c r="AE85" s="19">
        <f t="shared" ref="AE85" si="119">+AE84/AE81</f>
        <v>0.12993664907791613</v>
      </c>
      <c r="AF85" s="19">
        <f t="shared" ref="AF85" si="120">+AF84/AF81</f>
        <v>0.1427472668255135</v>
      </c>
      <c r="AG85" s="19">
        <f>+AG84/AG81</f>
        <v>0.16613900177138688</v>
      </c>
      <c r="AH85" s="19">
        <f t="shared" ref="AH85:AJ85" si="121">+AH84/AH81</f>
        <v>0.21933436633368156</v>
      </c>
      <c r="AI85" s="19">
        <f t="shared" si="121"/>
        <v>0.17010203225132689</v>
      </c>
      <c r="AJ85" s="19">
        <f t="shared" si="121"/>
        <v>0.1764117904988288</v>
      </c>
      <c r="AK85" s="19">
        <f>+AK84/AK81</f>
        <v>0.15735480079078135</v>
      </c>
      <c r="AL85" s="19">
        <f t="shared" ref="AL85" si="122">+AL84/AL81</f>
        <v>0.15330471954856015</v>
      </c>
    </row>
    <row r="86" spans="23:38" x14ac:dyDescent="0.25">
      <c r="W86" s="12" t="s">
        <v>21</v>
      </c>
      <c r="Z86" s="13">
        <v>149823</v>
      </c>
      <c r="AA86" s="13">
        <v>60599</v>
      </c>
      <c r="AB86" s="13">
        <v>119438</v>
      </c>
      <c r="AC86" s="13">
        <v>327903</v>
      </c>
      <c r="AD86" s="13">
        <v>368079</v>
      </c>
      <c r="AE86" s="13">
        <v>261875</v>
      </c>
      <c r="AF86" s="13">
        <v>317719</v>
      </c>
      <c r="AG86" s="13">
        <v>426556</v>
      </c>
      <c r="AH86" s="13">
        <v>503076</v>
      </c>
      <c r="AI86" s="13">
        <v>477893</v>
      </c>
      <c r="AJ86" s="13">
        <v>544665</v>
      </c>
      <c r="AK86" s="13">
        <v>449954</v>
      </c>
      <c r="AL86" s="13">
        <v>375519</v>
      </c>
    </row>
    <row r="87" spans="23:38" x14ac:dyDescent="0.25">
      <c r="W87" s="12" t="s">
        <v>82</v>
      </c>
      <c r="Z87" s="19">
        <f t="shared" ref="Z87" si="123">+Z86/Z81</f>
        <v>0.14229772700506418</v>
      </c>
      <c r="AA87" s="19">
        <f t="shared" ref="AA87" si="124">+AA86/AA81</f>
        <v>6.5270894839959806E-2</v>
      </c>
      <c r="AB87" s="19">
        <f t="shared" ref="AB87" si="125">+AB86/AB81</f>
        <v>0.10544921286989288</v>
      </c>
      <c r="AC87" s="19">
        <f t="shared" ref="AC87" si="126">+AC86/AC81</f>
        <v>0.17390688668152737</v>
      </c>
      <c r="AD87" s="19">
        <f t="shared" ref="AD87" si="127">+AD86/AD81</f>
        <v>0.19077569438073663</v>
      </c>
      <c r="AE87" s="19">
        <f t="shared" ref="AE87" si="128">+AE86/AE81</f>
        <v>0.1285649621877866</v>
      </c>
      <c r="AF87" s="19">
        <f t="shared" ref="AF87" si="129">+AF86/AF81</f>
        <v>0.14589129567325243</v>
      </c>
      <c r="AG87" s="19">
        <f>+AG86/AG81</f>
        <v>0.17778722517453371</v>
      </c>
      <c r="AH87" s="19">
        <f t="shared" ref="AH87:AJ87" si="130">+AH86/AH81</f>
        <v>0.21707505563056387</v>
      </c>
      <c r="AI87" s="19">
        <f t="shared" si="130"/>
        <v>0.18657164217853595</v>
      </c>
      <c r="AJ87" s="19">
        <f t="shared" si="130"/>
        <v>0.19640193912050125</v>
      </c>
      <c r="AK87" s="19">
        <f>+AK86/AK81</f>
        <v>0.16027712967745383</v>
      </c>
      <c r="AL87" s="19">
        <f t="shared" ref="AL87" si="131">+AL86/AL81</f>
        <v>0.14729966885728699</v>
      </c>
    </row>
  </sheetData>
  <mergeCells count="3">
    <mergeCell ref="B13:H13"/>
    <mergeCell ref="AP2:AT2"/>
    <mergeCell ref="AU2:AY2"/>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D11A-8838-461A-8E85-7980A85B2FDE}">
  <sheetPr>
    <tabColor rgb="FF92D050"/>
  </sheetPr>
  <dimension ref="A1:BC92"/>
  <sheetViews>
    <sheetView topLeftCell="V1" zoomScale="85" zoomScaleNormal="85" workbookViewId="0">
      <selection activeCell="AH1" sqref="AH1:AH1048576"/>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7" width="12" style="12" customWidth="1"/>
    <col min="38" max="39" width="8.85546875" style="12"/>
    <col min="40" max="40" width="14.28515625" style="50" bestFit="1" customWidth="1"/>
    <col min="41" max="16384" width="8.85546875" style="50"/>
  </cols>
  <sheetData>
    <row r="1" spans="1:55" ht="15.75" thickBot="1" x14ac:dyDescent="0.3">
      <c r="W1" s="20" t="s">
        <v>194</v>
      </c>
      <c r="X1" s="59">
        <f>+'Valuation Sheet'!C15</f>
        <v>55.5</v>
      </c>
    </row>
    <row r="2" spans="1:55"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353</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c r="AN2" s="71" t="str">
        <f>+W2</f>
        <v>CCS</v>
      </c>
      <c r="AO2" s="189" t="s">
        <v>190</v>
      </c>
      <c r="AP2" s="190"/>
      <c r="AQ2" s="190"/>
      <c r="AR2" s="190"/>
      <c r="AS2" s="191"/>
      <c r="AT2" s="192" t="s">
        <v>191</v>
      </c>
      <c r="AU2" s="192"/>
      <c r="AV2" s="192"/>
      <c r="AW2" s="192"/>
      <c r="AX2" s="192"/>
      <c r="AY2" s="192" t="s">
        <v>991</v>
      </c>
      <c r="AZ2" s="192"/>
      <c r="BA2" s="192"/>
      <c r="BB2" s="192"/>
      <c r="BC2" s="192"/>
    </row>
    <row r="3" spans="1:55" ht="18" thickTop="1" thickBot="1" x14ac:dyDescent="0.4">
      <c r="B3" s="25" t="s">
        <v>10</v>
      </c>
      <c r="C3" s="26">
        <v>17820.179</v>
      </c>
      <c r="D3" s="26"/>
      <c r="E3" s="26"/>
      <c r="F3" s="26"/>
      <c r="G3" s="26"/>
      <c r="H3" s="26"/>
      <c r="I3" s="27"/>
      <c r="J3" s="21"/>
      <c r="M3" s="1" t="s">
        <v>11</v>
      </c>
      <c r="N3" s="2">
        <f>'[1]LT Portfolio'!W294</f>
        <v>0</v>
      </c>
      <c r="W3" s="12" t="s">
        <v>62</v>
      </c>
      <c r="X3" s="13"/>
      <c r="Y3" s="13">
        <v>18970952</v>
      </c>
      <c r="Z3" s="13">
        <v>18963573</v>
      </c>
      <c r="AA3" s="13">
        <v>18146896</v>
      </c>
      <c r="AB3" s="13">
        <v>17735439</v>
      </c>
      <c r="AC3" s="13">
        <v>22896052</v>
      </c>
      <c r="AD3" s="13">
        <v>25764818</v>
      </c>
      <c r="AE3" s="13">
        <v>30313562</v>
      </c>
      <c r="AF3" s="13">
        <v>31910906</v>
      </c>
      <c r="AG3" s="13">
        <v>31742852</v>
      </c>
      <c r="AH3" s="13">
        <v>32181792</v>
      </c>
      <c r="AI3" s="13">
        <v>34594300</v>
      </c>
      <c r="AJ3" s="13">
        <v>34282372</v>
      </c>
      <c r="AK3" s="13">
        <v>34575595</v>
      </c>
      <c r="AN3" s="69"/>
      <c r="AO3" s="66" t="s">
        <v>78</v>
      </c>
      <c r="AP3" s="67" t="s">
        <v>17</v>
      </c>
      <c r="AQ3" s="67" t="s">
        <v>184</v>
      </c>
      <c r="AR3" s="67" t="s">
        <v>29</v>
      </c>
      <c r="AS3" s="68" t="s">
        <v>30</v>
      </c>
      <c r="AT3" s="66" t="s">
        <v>78</v>
      </c>
      <c r="AU3" s="67" t="s">
        <v>17</v>
      </c>
      <c r="AV3" s="67" t="s">
        <v>184</v>
      </c>
      <c r="AW3" s="67" t="s">
        <v>29</v>
      </c>
      <c r="AX3" s="68" t="s">
        <v>30</v>
      </c>
      <c r="AY3" s="66" t="s">
        <v>78</v>
      </c>
      <c r="AZ3" s="67" t="s">
        <v>17</v>
      </c>
      <c r="BA3" s="67" t="s">
        <v>184</v>
      </c>
      <c r="BB3" s="67" t="s">
        <v>29</v>
      </c>
      <c r="BC3" s="68" t="s">
        <v>30</v>
      </c>
    </row>
    <row r="4" spans="1:55"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K4" si="1">+AB3/X3-1</f>
        <v>#DIV/0!</v>
      </c>
      <c r="AC4" s="18">
        <f t="shared" si="1"/>
        <v>0.20690052876629483</v>
      </c>
      <c r="AD4" s="18">
        <f t="shared" si="1"/>
        <v>0.35864786662302506</v>
      </c>
      <c r="AE4" s="18">
        <f t="shared" si="1"/>
        <v>0.67045438514663891</v>
      </c>
      <c r="AF4" s="18">
        <f t="shared" si="1"/>
        <v>0.79927353362947495</v>
      </c>
      <c r="AG4" s="18">
        <f t="shared" si="1"/>
        <v>0.38638975837406386</v>
      </c>
      <c r="AH4" s="18">
        <f t="shared" si="1"/>
        <v>0.24905955089610954</v>
      </c>
      <c r="AI4" s="18">
        <f t="shared" si="1"/>
        <v>0.14121527519596677</v>
      </c>
      <c r="AJ4" s="18">
        <f t="shared" si="1"/>
        <v>7.4315220006602178E-2</v>
      </c>
      <c r="AK4" s="18">
        <f t="shared" si="1"/>
        <v>8.9240342991234733E-2</v>
      </c>
      <c r="AL4" s="46"/>
      <c r="AN4" s="69" t="s">
        <v>185</v>
      </c>
      <c r="AO4" s="60">
        <v>138742</v>
      </c>
      <c r="AP4" s="61"/>
      <c r="AQ4" s="61">
        <v>2569</v>
      </c>
      <c r="AR4" s="74">
        <v>2.7</v>
      </c>
      <c r="AS4" s="64">
        <v>1.4</v>
      </c>
      <c r="AT4" s="60">
        <v>153152</v>
      </c>
      <c r="AU4" s="61"/>
      <c r="AV4" s="61">
        <v>4952</v>
      </c>
      <c r="AW4" s="58">
        <v>5.2</v>
      </c>
      <c r="AX4" s="64">
        <v>3.4</v>
      </c>
      <c r="AY4" s="60">
        <v>174822</v>
      </c>
      <c r="AZ4" s="61"/>
      <c r="BA4" s="61">
        <v>6868</v>
      </c>
      <c r="BB4" s="58">
        <v>7.2</v>
      </c>
      <c r="BC4" s="64">
        <v>4.5</v>
      </c>
    </row>
    <row r="5" spans="1:55"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K5" si="2">+Y3/X3-1</f>
        <v>#DIV/0!</v>
      </c>
      <c r="Z5" s="18">
        <f t="shared" si="2"/>
        <v>-3.8896308419311687E-4</v>
      </c>
      <c r="AA5" s="18">
        <f t="shared" si="2"/>
        <v>-4.3065565755989077E-2</v>
      </c>
      <c r="AB5" s="18">
        <f t="shared" si="2"/>
        <v>-2.2673684799868754E-2</v>
      </c>
      <c r="AC5" s="18">
        <f t="shared" si="2"/>
        <v>0.29097746043951878</v>
      </c>
      <c r="AD5" s="18">
        <f t="shared" si="2"/>
        <v>0.12529522556989292</v>
      </c>
      <c r="AE5" s="18">
        <f t="shared" si="2"/>
        <v>0.17654865638872352</v>
      </c>
      <c r="AF5" s="18">
        <f t="shared" si="2"/>
        <v>5.2694038397731013E-2</v>
      </c>
      <c r="AG5" s="18">
        <f t="shared" si="2"/>
        <v>-5.2663500058569568E-3</v>
      </c>
      <c r="AH5" s="18">
        <f t="shared" si="2"/>
        <v>1.3827995039639163E-2</v>
      </c>
      <c r="AI5" s="18">
        <f t="shared" si="2"/>
        <v>7.4964998841581032E-2</v>
      </c>
      <c r="AJ5" s="18">
        <f t="shared" si="2"/>
        <v>-9.0167455332237356E-3</v>
      </c>
      <c r="AK5" s="18">
        <f t="shared" si="2"/>
        <v>8.5531712916480096E-3</v>
      </c>
      <c r="AN5" s="69" t="s">
        <v>186</v>
      </c>
      <c r="AO5" s="60">
        <v>137324</v>
      </c>
      <c r="AP5" s="61">
        <v>7445</v>
      </c>
      <c r="AQ5" s="61">
        <v>3431</v>
      </c>
      <c r="AR5" s="58">
        <f>+AQ5/950.4</f>
        <v>3.6100589225589226</v>
      </c>
      <c r="AS5" s="64">
        <f>+AR5/2</f>
        <v>1.8050294612794613</v>
      </c>
      <c r="AT5" s="60">
        <v>155528</v>
      </c>
      <c r="AU5" s="61">
        <v>9306</v>
      </c>
      <c r="AV5" s="61">
        <v>4849</v>
      </c>
      <c r="AW5" s="58">
        <f>+AV5/950.4</f>
        <v>5.1020622895622898</v>
      </c>
      <c r="AX5" s="64">
        <f>+AW5/2</f>
        <v>2.5510311447811449</v>
      </c>
      <c r="AY5" s="60"/>
      <c r="AZ5" s="61"/>
      <c r="BA5" s="61"/>
      <c r="BB5" s="58"/>
      <c r="BC5" s="64"/>
    </row>
    <row r="6" spans="1:55"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N6" s="69" t="s">
        <v>187</v>
      </c>
      <c r="AO6" s="60">
        <v>150148</v>
      </c>
      <c r="AP6" s="61">
        <v>8874</v>
      </c>
      <c r="AQ6" s="61">
        <v>4037</v>
      </c>
      <c r="AR6" s="58">
        <v>4.25</v>
      </c>
      <c r="AS6" s="64">
        <v>2.25</v>
      </c>
      <c r="AT6" s="60">
        <v>178910</v>
      </c>
      <c r="AU6" s="61">
        <v>11916</v>
      </c>
      <c r="AV6" s="61">
        <v>6652</v>
      </c>
      <c r="AW6" s="58">
        <v>7</v>
      </c>
      <c r="AX6" s="64">
        <v>3.5</v>
      </c>
      <c r="AY6" s="60"/>
      <c r="AZ6" s="61"/>
      <c r="BA6" s="61"/>
      <c r="BB6" s="58"/>
      <c r="BC6" s="64"/>
    </row>
    <row r="7" spans="1:55"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K7" s="13"/>
      <c r="AN7" s="69" t="s">
        <v>188</v>
      </c>
      <c r="AO7" s="60">
        <v>136270</v>
      </c>
      <c r="AP7" s="61">
        <v>6736</v>
      </c>
      <c r="AQ7" s="61">
        <v>2204</v>
      </c>
      <c r="AR7" s="58">
        <v>2.3199999999999998</v>
      </c>
      <c r="AS7" s="64">
        <v>1.2</v>
      </c>
      <c r="AT7" s="60">
        <v>142156</v>
      </c>
      <c r="AU7" s="61">
        <v>7685</v>
      </c>
      <c r="AV7" s="61">
        <v>3023</v>
      </c>
      <c r="AW7" s="58">
        <v>3.18</v>
      </c>
      <c r="AX7" s="64">
        <v>1.6</v>
      </c>
      <c r="AY7" s="60"/>
      <c r="AZ7" s="61"/>
      <c r="BA7" s="61"/>
      <c r="BB7" s="58"/>
      <c r="BC7" s="64"/>
    </row>
    <row r="8" spans="1:55"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K8" si="5">+AB7/X7-1</f>
        <v>#DIV/0!</v>
      </c>
      <c r="AC8" s="18" t="e">
        <f t="shared" si="5"/>
        <v>#DIV/0!</v>
      </c>
      <c r="AD8" s="18" t="e">
        <f t="shared" si="5"/>
        <v>#DIV/0!</v>
      </c>
      <c r="AE8" s="18" t="e">
        <f t="shared" si="5"/>
        <v>#DIV/0!</v>
      </c>
      <c r="AF8" s="18" t="e">
        <f t="shared" si="5"/>
        <v>#DIV/0!</v>
      </c>
      <c r="AG8" s="18" t="e">
        <f t="shared" si="5"/>
        <v>#DIV/0!</v>
      </c>
      <c r="AH8" s="18" t="e">
        <f t="shared" si="5"/>
        <v>#DIV/0!</v>
      </c>
      <c r="AI8" s="18" t="e">
        <f t="shared" si="5"/>
        <v>#DIV/0!</v>
      </c>
      <c r="AJ8" s="18" t="e">
        <f t="shared" si="5"/>
        <v>#DIV/0!</v>
      </c>
      <c r="AK8" s="18" t="e">
        <f t="shared" si="5"/>
        <v>#DIV/0!</v>
      </c>
      <c r="AN8" s="69" t="s">
        <v>189</v>
      </c>
      <c r="AO8" s="60"/>
      <c r="AP8" s="61"/>
      <c r="AQ8" s="61"/>
      <c r="AR8" s="74"/>
      <c r="AS8" s="64"/>
      <c r="AT8" s="60"/>
      <c r="AU8" s="61"/>
      <c r="AV8" s="61"/>
      <c r="AW8" s="58"/>
      <c r="AX8" s="64"/>
      <c r="AY8" s="60"/>
      <c r="AZ8" s="61"/>
      <c r="BA8" s="61"/>
      <c r="BB8" s="58"/>
      <c r="BC8" s="64"/>
    </row>
    <row r="9" spans="1:55"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K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8" t="e">
        <f t="shared" si="6"/>
        <v>#DIV/0!</v>
      </c>
      <c r="AJ9" s="18" t="e">
        <f t="shared" si="6"/>
        <v>#DIV/0!</v>
      </c>
      <c r="AK9" s="18" t="e">
        <f t="shared" si="6"/>
        <v>#DIV/0!</v>
      </c>
      <c r="AN9" s="69" t="s">
        <v>195</v>
      </c>
      <c r="AO9" s="60"/>
      <c r="AP9" s="61"/>
      <c r="AQ9" s="61"/>
      <c r="AR9" s="74"/>
      <c r="AS9" s="64"/>
      <c r="AT9" s="60"/>
      <c r="AU9" s="61"/>
      <c r="AV9" s="61"/>
      <c r="AW9" s="58"/>
      <c r="AX9" s="64"/>
      <c r="AY9" s="60"/>
      <c r="AZ9" s="61"/>
      <c r="BA9" s="61"/>
      <c r="BB9" s="58"/>
      <c r="BC9" s="64"/>
    </row>
    <row r="10" spans="1:55"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N10" s="69" t="s">
        <v>374</v>
      </c>
      <c r="AO10" s="60">
        <v>137115</v>
      </c>
      <c r="AP10" s="61">
        <v>6170</v>
      </c>
      <c r="AQ10" s="61">
        <v>2002</v>
      </c>
      <c r="AR10" s="58">
        <v>2.11</v>
      </c>
      <c r="AS10" s="64"/>
      <c r="AT10" s="60">
        <v>147632</v>
      </c>
      <c r="AU10" s="61">
        <v>8120</v>
      </c>
      <c r="AV10" s="61">
        <v>3870</v>
      </c>
      <c r="AW10" s="58">
        <v>4.07</v>
      </c>
      <c r="AX10" s="64"/>
      <c r="AY10" s="60"/>
      <c r="AZ10" s="61"/>
      <c r="BA10" s="61"/>
      <c r="BB10" s="58"/>
      <c r="BC10" s="64"/>
    </row>
    <row r="11" spans="1:55" ht="18" thickTop="1" thickBot="1" x14ac:dyDescent="0.4">
      <c r="B11" s="28" t="s">
        <v>25</v>
      </c>
      <c r="C11" s="30">
        <f t="shared" ref="C11:G11" si="7">C10/C$3*100</f>
        <v>12.180949473066461</v>
      </c>
      <c r="D11" s="30" t="e">
        <f t="shared" si="7"/>
        <v>#DIV/0!</v>
      </c>
      <c r="E11" s="30" t="e">
        <f t="shared" si="7"/>
        <v>#DIV/0!</v>
      </c>
      <c r="F11" s="30" t="e">
        <f t="shared" si="7"/>
        <v>#DIV/0!</v>
      </c>
      <c r="G11" s="30" t="e">
        <f t="shared" si="7"/>
        <v>#DIV/0!</v>
      </c>
      <c r="H11" s="30" t="e">
        <f>H10/H$3*100</f>
        <v>#DIV/0!</v>
      </c>
      <c r="I11" s="31" t="e">
        <f>I10/I$3*100</f>
        <v>#DIV/0!</v>
      </c>
      <c r="J11" s="23" t="e">
        <f>AVERAGE(D11:I11)</f>
        <v>#DIV/0!</v>
      </c>
      <c r="M11" s="1" t="s">
        <v>26</v>
      </c>
      <c r="N11" s="3">
        <f>'[1]LT Portfolio'!T294</f>
        <v>0</v>
      </c>
      <c r="O11" s="4" t="e">
        <f>N11/N7-1</f>
        <v>#DIV/0!</v>
      </c>
      <c r="W11" s="12" t="s">
        <v>42</v>
      </c>
      <c r="X11" s="13"/>
      <c r="Y11" s="13">
        <v>1950397</v>
      </c>
      <c r="Z11" s="13">
        <v>2642098</v>
      </c>
      <c r="AA11" s="13">
        <v>1590588</v>
      </c>
      <c r="AB11" s="13">
        <v>1518590</v>
      </c>
      <c r="AC11" s="13">
        <v>2665241</v>
      </c>
      <c r="AD11" s="13">
        <v>3361435</v>
      </c>
      <c r="AE11" s="13">
        <v>3376867</v>
      </c>
      <c r="AF11" s="13">
        <v>2990534</v>
      </c>
      <c r="AG11" s="13">
        <v>3235184</v>
      </c>
      <c r="AH11" s="13">
        <v>3146280</v>
      </c>
      <c r="AI11" s="13">
        <v>3880041</v>
      </c>
      <c r="AJ11" s="13">
        <v>4402001</v>
      </c>
      <c r="AK11" s="13">
        <v>4013769</v>
      </c>
      <c r="AN11" s="70" t="s">
        <v>192</v>
      </c>
      <c r="AO11" s="62">
        <f>+AVERAGE(AO4:AO10)</f>
        <v>139919.79999999999</v>
      </c>
      <c r="AP11" s="63">
        <f t="shared" ref="AP11:AX11" si="8">+AVERAGE(AP4:AP10)</f>
        <v>7306.25</v>
      </c>
      <c r="AQ11" s="63">
        <f t="shared" si="8"/>
        <v>2848.6</v>
      </c>
      <c r="AR11" s="72">
        <f t="shared" si="8"/>
        <v>2.9980117845117844</v>
      </c>
      <c r="AS11" s="65">
        <f t="shared" si="8"/>
        <v>1.6637573653198654</v>
      </c>
      <c r="AT11" s="62">
        <f t="shared" si="8"/>
        <v>155475.6</v>
      </c>
      <c r="AU11" s="63">
        <f t="shared" si="8"/>
        <v>9256.75</v>
      </c>
      <c r="AV11" s="63">
        <f t="shared" si="8"/>
        <v>4669.2</v>
      </c>
      <c r="AW11" s="72">
        <f t="shared" si="8"/>
        <v>4.9104124579124582</v>
      </c>
      <c r="AX11" s="65">
        <f t="shared" si="8"/>
        <v>2.7627577861952859</v>
      </c>
      <c r="AY11" s="62">
        <f t="shared" ref="AY11:BC11" si="9">+AVERAGE(AY4:AY10)</f>
        <v>174822</v>
      </c>
      <c r="AZ11" s="63" t="e">
        <f t="shared" si="9"/>
        <v>#DIV/0!</v>
      </c>
      <c r="BA11" s="63">
        <f t="shared" si="9"/>
        <v>6868</v>
      </c>
      <c r="BB11" s="72">
        <f t="shared" si="9"/>
        <v>7.2</v>
      </c>
      <c r="BC11" s="65">
        <f t="shared" si="9"/>
        <v>4.5</v>
      </c>
    </row>
    <row r="12" spans="1:55" ht="18" thickTop="1" thickBot="1" x14ac:dyDescent="0.4">
      <c r="B12" s="28" t="s">
        <v>27</v>
      </c>
      <c r="C12" s="29"/>
      <c r="D12" s="30">
        <f t="shared" ref="D12:I12" si="10">(D10/C10-1)*100</f>
        <v>-100</v>
      </c>
      <c r="E12" s="30" t="e">
        <f t="shared" si="10"/>
        <v>#DIV/0!</v>
      </c>
      <c r="F12" s="30" t="e">
        <f t="shared" si="10"/>
        <v>#DIV/0!</v>
      </c>
      <c r="G12" s="30" t="e">
        <f t="shared" si="10"/>
        <v>#DIV/0!</v>
      </c>
      <c r="H12" s="30" t="e">
        <f t="shared" si="10"/>
        <v>#DIV/0!</v>
      </c>
      <c r="I12" s="31" t="e">
        <f t="shared" si="10"/>
        <v>#DIV/0!</v>
      </c>
      <c r="J12" s="23" t="e">
        <f>AVERAGE(D12:I12)</f>
        <v>#DIV/0!</v>
      </c>
      <c r="S12" t="s">
        <v>20</v>
      </c>
      <c r="T12" t="s">
        <v>22</v>
      </c>
      <c r="W12" s="12" t="s">
        <v>43</v>
      </c>
      <c r="X12" s="19" t="e">
        <f t="shared" ref="X12:AI12" si="11">+X11/X3</f>
        <v>#DIV/0!</v>
      </c>
      <c r="Y12" s="19">
        <f t="shared" si="11"/>
        <v>0.10280965341117304</v>
      </c>
      <c r="Z12" s="19">
        <f t="shared" si="11"/>
        <v>0.13932490464745226</v>
      </c>
      <c r="AA12" s="19">
        <f t="shared" si="11"/>
        <v>8.7650692437979474E-2</v>
      </c>
      <c r="AB12" s="19">
        <f t="shared" si="11"/>
        <v>8.5624607318713672E-2</v>
      </c>
      <c r="AC12" s="19">
        <f t="shared" si="11"/>
        <v>0.11640613849060091</v>
      </c>
      <c r="AD12" s="19">
        <f t="shared" si="11"/>
        <v>0.13046608751515343</v>
      </c>
      <c r="AE12" s="19">
        <f t="shared" si="11"/>
        <v>0.11139789510714709</v>
      </c>
      <c r="AF12" s="19">
        <f t="shared" si="11"/>
        <v>9.3715107932065611E-2</v>
      </c>
      <c r="AG12" s="19">
        <f t="shared" si="11"/>
        <v>0.10191850436123383</v>
      </c>
      <c r="AH12" s="19">
        <f t="shared" si="11"/>
        <v>9.7765842250176746E-2</v>
      </c>
      <c r="AI12" s="19">
        <f t="shared" si="11"/>
        <v>0.11215839025504201</v>
      </c>
      <c r="AJ12" s="19">
        <f t="shared" ref="AJ12:AK12" si="12">+AJ11/AJ3</f>
        <v>0.12840421310404077</v>
      </c>
      <c r="AK12" s="19">
        <f t="shared" si="12"/>
        <v>0.11608676582427577</v>
      </c>
      <c r="AN12" s="12"/>
      <c r="AO12" s="12"/>
      <c r="AP12" s="12"/>
      <c r="AQ12" s="12"/>
      <c r="AR12" s="12"/>
      <c r="AS12" s="99" t="s">
        <v>34</v>
      </c>
      <c r="AT12" s="12"/>
      <c r="AU12" s="12"/>
      <c r="AV12" s="12"/>
      <c r="AW12" s="12"/>
      <c r="AX12" s="99" t="s">
        <v>34</v>
      </c>
      <c r="AY12" s="12"/>
      <c r="AZ12" s="12"/>
      <c r="BA12" s="12"/>
      <c r="BB12" s="12"/>
      <c r="BC12" s="99" t="s">
        <v>34</v>
      </c>
    </row>
    <row r="13" spans="1:55"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c r="AN13" s="12" t="s">
        <v>193</v>
      </c>
      <c r="AO13" s="12"/>
      <c r="AP13" s="12"/>
      <c r="AQ13" s="12"/>
      <c r="AR13" s="58">
        <f>+$X$1/AR11</f>
        <v>18.512268793178869</v>
      </c>
      <c r="AS13" s="75">
        <f>+AS11/$X$1</f>
        <v>2.9977610185943519E-2</v>
      </c>
      <c r="AT13" s="12"/>
      <c r="AU13" s="12"/>
      <c r="AV13" s="12"/>
      <c r="AW13" s="58">
        <f>+$X$1/AW11</f>
        <v>11.302512869477866</v>
      </c>
      <c r="AX13" s="75">
        <f>+AX11/$X$1</f>
        <v>4.9779419571086232E-2</v>
      </c>
      <c r="AY13" s="12"/>
      <c r="AZ13" s="12"/>
      <c r="BA13" s="12"/>
      <c r="BB13" s="58">
        <f>+$X$1/BB11</f>
        <v>7.708333333333333</v>
      </c>
      <c r="BC13" s="75">
        <f>+BC11/$X$1</f>
        <v>8.1081081081081086E-2</v>
      </c>
    </row>
    <row r="14" spans="1:55"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c r="Y14" s="13">
        <v>1075317</v>
      </c>
      <c r="Z14" s="13">
        <v>1872552</v>
      </c>
      <c r="AA14" s="13">
        <v>551230</v>
      </c>
      <c r="AB14" s="13">
        <v>254286</v>
      </c>
      <c r="AC14" s="13">
        <v>1512405</v>
      </c>
      <c r="AD14" s="13">
        <v>2426364</v>
      </c>
      <c r="AE14" s="13">
        <v>1895735</v>
      </c>
      <c r="AF14" s="13">
        <v>1520453</v>
      </c>
      <c r="AG14" s="13">
        <v>1282508</v>
      </c>
      <c r="AH14" s="13">
        <v>1486308</v>
      </c>
      <c r="AI14" s="13">
        <v>1377451</v>
      </c>
      <c r="AJ14" s="13">
        <v>1926550</v>
      </c>
      <c r="AK14" s="13">
        <v>1754717</v>
      </c>
    </row>
    <row r="15" spans="1:55" ht="18" thickTop="1" thickBot="1" x14ac:dyDescent="0.4">
      <c r="B15" s="32" t="s">
        <v>30</v>
      </c>
      <c r="C15" s="34">
        <f>1+0.6</f>
        <v>1.6</v>
      </c>
      <c r="D15" s="34"/>
      <c r="E15" s="34"/>
      <c r="F15" s="34"/>
      <c r="G15" s="34"/>
      <c r="H15" s="34"/>
      <c r="I15" s="35"/>
      <c r="J15" s="24"/>
      <c r="R15" s="6"/>
      <c r="S15" s="6"/>
      <c r="W15" s="12" t="s">
        <v>55</v>
      </c>
      <c r="X15" s="19" t="e">
        <f t="shared" ref="X15:AI15" si="13">+X14/X3</f>
        <v>#DIV/0!</v>
      </c>
      <c r="Y15" s="19">
        <f t="shared" si="13"/>
        <v>5.6682289850293228E-2</v>
      </c>
      <c r="Z15" s="19">
        <f t="shared" si="13"/>
        <v>9.874468276626984E-2</v>
      </c>
      <c r="AA15" s="19">
        <f t="shared" si="13"/>
        <v>3.037599377877076E-2</v>
      </c>
      <c r="AB15" s="19">
        <f t="shared" si="13"/>
        <v>1.4337733619111431E-2</v>
      </c>
      <c r="AC15" s="19">
        <f t="shared" si="13"/>
        <v>6.6055274507587594E-2</v>
      </c>
      <c r="AD15" s="19">
        <f t="shared" si="13"/>
        <v>9.4173535400094807E-2</v>
      </c>
      <c r="AE15" s="19">
        <f t="shared" si="13"/>
        <v>6.2537520334957672E-2</v>
      </c>
      <c r="AF15" s="19">
        <f t="shared" si="13"/>
        <v>4.7646813913713386E-2</v>
      </c>
      <c r="AG15" s="19">
        <f t="shared" si="13"/>
        <v>4.0403048850178931E-2</v>
      </c>
      <c r="AH15" s="19">
        <f t="shared" si="13"/>
        <v>4.6184749438440219E-2</v>
      </c>
      <c r="AI15" s="19">
        <f t="shared" si="13"/>
        <v>3.9817282037792355E-2</v>
      </c>
      <c r="AJ15" s="19">
        <f t="shared" ref="AJ15:AK15" si="14">+AJ14/AJ3</f>
        <v>5.6196519890747351E-2</v>
      </c>
      <c r="AK15" s="19">
        <f t="shared" si="14"/>
        <v>5.0750160626303033E-2</v>
      </c>
    </row>
    <row r="16" spans="1:55" ht="18" thickTop="1" thickBot="1" x14ac:dyDescent="0.4">
      <c r="B16" s="32" t="s">
        <v>8</v>
      </c>
      <c r="C16" s="34">
        <v>31.7</v>
      </c>
      <c r="D16" s="34"/>
      <c r="E16" s="34"/>
      <c r="F16" s="34"/>
      <c r="G16" s="34"/>
      <c r="H16" s="34"/>
      <c r="I16" s="35"/>
      <c r="J16" s="22" t="e">
        <f>((I16/D16)^(1/5)-1)*100</f>
        <v>#DIV/0!</v>
      </c>
    </row>
    <row r="17" spans="1:37" s="12" customFormat="1" ht="18" thickTop="1" thickBot="1" x14ac:dyDescent="0.4">
      <c r="A17"/>
      <c r="B17" s="32" t="s">
        <v>31</v>
      </c>
      <c r="C17" s="34">
        <v>14.6</v>
      </c>
      <c r="D17" s="34"/>
      <c r="E17" s="34"/>
      <c r="F17" s="34"/>
      <c r="G17" s="34"/>
      <c r="H17" s="34"/>
      <c r="I17" s="35"/>
      <c r="J17" s="22" t="e">
        <f>((I17/D17)^(1/6)-1)*100</f>
        <v>#DIV/0!</v>
      </c>
      <c r="K17"/>
      <c r="L17"/>
      <c r="M17"/>
      <c r="N17"/>
      <c r="O17"/>
      <c r="P17"/>
      <c r="Q17"/>
      <c r="R17"/>
      <c r="S17"/>
      <c r="T17"/>
      <c r="U17"/>
      <c r="V17"/>
      <c r="W17" s="12" t="s">
        <v>44</v>
      </c>
      <c r="X17" s="13"/>
      <c r="Y17" s="13">
        <v>-405528</v>
      </c>
      <c r="Z17" s="13">
        <v>-412716</v>
      </c>
      <c r="AA17" s="13">
        <v>-442571</v>
      </c>
      <c r="AB17" s="13">
        <v>-497697</v>
      </c>
      <c r="AC17" s="13">
        <v>-508977</v>
      </c>
      <c r="AD17" s="13">
        <v>-530219</v>
      </c>
      <c r="AE17" s="13">
        <v>-679398</v>
      </c>
      <c r="AF17" s="13">
        <v>-1047289</v>
      </c>
      <c r="AG17" s="13">
        <v>-1150963</v>
      </c>
      <c r="AH17" s="13">
        <v>-1089033</v>
      </c>
      <c r="AI17" s="13">
        <v>-962114</v>
      </c>
      <c r="AJ17" s="13">
        <v>-791194</v>
      </c>
      <c r="AK17" s="13">
        <v>-771811</v>
      </c>
    </row>
    <row r="18" spans="1:37" s="12" customFormat="1" ht="18" thickTop="1" thickBot="1" x14ac:dyDescent="0.4">
      <c r="A18"/>
      <c r="B18" s="32" t="s">
        <v>32</v>
      </c>
      <c r="C18" s="36">
        <f t="shared" ref="C18:G18" si="15">C14/AVERAGE(B17:C17)*100</f>
        <v>22.19178082191781</v>
      </c>
      <c r="D18" s="36">
        <f t="shared" si="15"/>
        <v>0</v>
      </c>
      <c r="E18" s="36" t="e">
        <f t="shared" si="15"/>
        <v>#DIV/0!</v>
      </c>
      <c r="F18" s="36" t="e">
        <f t="shared" si="15"/>
        <v>#DIV/0!</v>
      </c>
      <c r="G18" s="36" t="e">
        <f t="shared" si="15"/>
        <v>#DIV/0!</v>
      </c>
      <c r="H18" s="36" t="e">
        <f>H14/AVERAGE(G17:H17)*100</f>
        <v>#DIV/0!</v>
      </c>
      <c r="I18" s="37" t="e">
        <f>I14/AVERAGE(H17:I17)*100</f>
        <v>#DIV/0!</v>
      </c>
      <c r="J18" s="23" t="e">
        <f>AVERAGE(D18:I18)</f>
        <v>#DIV/0!</v>
      </c>
      <c r="K18"/>
      <c r="L18"/>
      <c r="M18" s="9" t="s">
        <v>33</v>
      </c>
      <c r="N18" s="6"/>
      <c r="O18" s="6"/>
      <c r="P18" s="6"/>
      <c r="Q18" s="6"/>
      <c r="R18"/>
      <c r="S18"/>
      <c r="T18"/>
      <c r="U18"/>
      <c r="V18"/>
      <c r="W18" s="12" t="s">
        <v>45</v>
      </c>
      <c r="X18" s="15" t="e">
        <f t="shared" ref="X18:AI18" si="16">+X17/X14</f>
        <v>#DIV/0!</v>
      </c>
      <c r="Y18" s="15">
        <f t="shared" si="16"/>
        <v>-0.37712414106723879</v>
      </c>
      <c r="Z18" s="15">
        <f t="shared" si="16"/>
        <v>-0.22040295810209809</v>
      </c>
      <c r="AA18" s="15">
        <f t="shared" si="16"/>
        <v>-0.8028790160187218</v>
      </c>
      <c r="AB18" s="15">
        <f t="shared" si="16"/>
        <v>-1.9572331941200065</v>
      </c>
      <c r="AC18" s="15">
        <f t="shared" si="16"/>
        <v>-0.33653485673480316</v>
      </c>
      <c r="AD18" s="15">
        <f t="shared" si="16"/>
        <v>-0.21852409613726548</v>
      </c>
      <c r="AE18" s="15">
        <f t="shared" si="16"/>
        <v>-0.35838236884374663</v>
      </c>
      <c r="AF18" s="15">
        <f t="shared" si="16"/>
        <v>-0.68880064033547894</v>
      </c>
      <c r="AG18" s="15">
        <f t="shared" si="16"/>
        <v>-0.897431439024162</v>
      </c>
      <c r="AH18" s="15">
        <f t="shared" si="16"/>
        <v>-0.7327101785094341</v>
      </c>
      <c r="AI18" s="15">
        <f t="shared" si="16"/>
        <v>-0.69847421069787596</v>
      </c>
      <c r="AJ18" s="15">
        <f t="shared" ref="AJ18:AK18" si="17">+AJ17/AJ14</f>
        <v>-0.41067919337676156</v>
      </c>
      <c r="AK18" s="15">
        <f t="shared" si="17"/>
        <v>-0.43984927484033037</v>
      </c>
    </row>
    <row r="19" spans="1:37" s="12" customFormat="1" ht="18" thickTop="1" thickBot="1" x14ac:dyDescent="0.4">
      <c r="A19"/>
      <c r="B19" s="32" t="s">
        <v>34</v>
      </c>
      <c r="C19" s="30">
        <f t="shared" ref="C19:G19" si="18">C15/C16*100</f>
        <v>5.0473186119873823</v>
      </c>
      <c r="D19" s="30" t="e">
        <f t="shared" si="18"/>
        <v>#DIV/0!</v>
      </c>
      <c r="E19" s="30" t="e">
        <f t="shared" si="18"/>
        <v>#DIV/0!</v>
      </c>
      <c r="F19" s="30" t="e">
        <f t="shared" si="18"/>
        <v>#DIV/0!</v>
      </c>
      <c r="G19" s="30" t="e">
        <f t="shared" si="18"/>
        <v>#DIV/0!</v>
      </c>
      <c r="H19" s="30" t="e">
        <f>H15/H16*100</f>
        <v>#DIV/0!</v>
      </c>
      <c r="I19" s="31" t="e">
        <f>I15/I16*100</f>
        <v>#DIV/0!</v>
      </c>
      <c r="J19" s="23" t="e">
        <f>AVERAGE(D19:I19)</f>
        <v>#DIV/0!</v>
      </c>
      <c r="K19"/>
      <c r="L19"/>
      <c r="M19"/>
      <c r="N19"/>
      <c r="O19"/>
      <c r="P19"/>
      <c r="Q19"/>
      <c r="R19"/>
      <c r="S19"/>
      <c r="T19"/>
      <c r="U19"/>
      <c r="V19"/>
    </row>
    <row r="20" spans="1:37" s="12" customFormat="1" ht="18" thickTop="1" thickBot="1" x14ac:dyDescent="0.4">
      <c r="A20"/>
      <c r="B20" s="32" t="s">
        <v>35</v>
      </c>
      <c r="C20" s="30">
        <f t="shared" ref="C20:G20" si="19">C15/C14*100</f>
        <v>49.382716049382715</v>
      </c>
      <c r="D20" s="30" t="e">
        <f t="shared" si="19"/>
        <v>#DIV/0!</v>
      </c>
      <c r="E20" s="30" t="e">
        <f t="shared" si="19"/>
        <v>#DIV/0!</v>
      </c>
      <c r="F20" s="30" t="e">
        <f t="shared" si="19"/>
        <v>#DIV/0!</v>
      </c>
      <c r="G20" s="30" t="e">
        <f t="shared" si="19"/>
        <v>#DIV/0!</v>
      </c>
      <c r="H20" s="30" t="e">
        <f>H15/H14*100</f>
        <v>#DIV/0!</v>
      </c>
      <c r="I20" s="31" t="e">
        <f>I15/I14*100</f>
        <v>#DIV/0!</v>
      </c>
      <c r="J20" s="23" t="e">
        <f>AVERAGE(D20:I20)</f>
        <v>#DIV/0!</v>
      </c>
      <c r="K20"/>
      <c r="L20"/>
      <c r="M20" t="s">
        <v>36</v>
      </c>
      <c r="N20" s="4" t="e">
        <f>N13/H14-1</f>
        <v>#DIV/0!</v>
      </c>
      <c r="O20"/>
      <c r="P20"/>
      <c r="Q20"/>
      <c r="R20"/>
      <c r="S20"/>
      <c r="T20"/>
      <c r="U20"/>
      <c r="V20"/>
      <c r="W20" s="12" t="s">
        <v>21</v>
      </c>
      <c r="X20" s="13"/>
      <c r="Y20" s="13">
        <v>669789</v>
      </c>
      <c r="Z20" s="13">
        <v>1463709</v>
      </c>
      <c r="AA20" s="13">
        <v>108659</v>
      </c>
      <c r="AB20" s="13">
        <v>-243411</v>
      </c>
      <c r="AC20" s="13">
        <v>1003428</v>
      </c>
      <c r="AD20" s="13">
        <v>1913100</v>
      </c>
      <c r="AE20" s="13">
        <v>1216337</v>
      </c>
      <c r="AF20" s="13">
        <v>473164</v>
      </c>
      <c r="AG20" s="13">
        <v>131545</v>
      </c>
      <c r="AH20" s="13">
        <v>418338</v>
      </c>
      <c r="AI20" s="13">
        <v>415337</v>
      </c>
      <c r="AJ20" s="13">
        <v>1135356</v>
      </c>
      <c r="AK20" s="13">
        <v>982906</v>
      </c>
    </row>
    <row r="21" spans="1:37" s="12" customFormat="1" ht="18" thickTop="1" thickBot="1" x14ac:dyDescent="0.4">
      <c r="A21"/>
      <c r="B21" s="32" t="s">
        <v>11</v>
      </c>
      <c r="C21" s="38">
        <f t="shared" ref="C21:G21" si="20">C16/C14</f>
        <v>9.7839506172839492</v>
      </c>
      <c r="D21" s="38" t="e">
        <f t="shared" si="20"/>
        <v>#DIV/0!</v>
      </c>
      <c r="E21" s="38" t="e">
        <f t="shared" si="20"/>
        <v>#DIV/0!</v>
      </c>
      <c r="F21" s="38" t="e">
        <f t="shared" si="20"/>
        <v>#DIV/0!</v>
      </c>
      <c r="G21" s="38" t="e">
        <f t="shared" si="20"/>
        <v>#DIV/0!</v>
      </c>
      <c r="H21" s="38" t="e">
        <f>H16/H14</f>
        <v>#DIV/0!</v>
      </c>
      <c r="I21" s="39" t="e">
        <f>I16/I14</f>
        <v>#DIV/0!</v>
      </c>
      <c r="J21" s="23" t="e">
        <f>AVERAGE(D21:I21)</f>
        <v>#DIV/0!</v>
      </c>
      <c r="K21"/>
      <c r="L21"/>
      <c r="M21"/>
      <c r="N21"/>
      <c r="O21"/>
      <c r="P21"/>
      <c r="Q21"/>
      <c r="R21"/>
      <c r="S21"/>
      <c r="T21"/>
      <c r="U21"/>
      <c r="V21"/>
      <c r="W21" s="12" t="s">
        <v>46</v>
      </c>
      <c r="X21" s="19" t="e">
        <f t="shared" ref="X21:AI21" si="21">+X20/X3</f>
        <v>#DIV/0!</v>
      </c>
      <c r="Y21" s="19">
        <f t="shared" si="21"/>
        <v>3.5306029976777127E-2</v>
      </c>
      <c r="Z21" s="19">
        <f t="shared" si="21"/>
        <v>7.7185296251924676E-2</v>
      </c>
      <c r="AA21" s="19">
        <f t="shared" si="21"/>
        <v>5.9877457830804781E-3</v>
      </c>
      <c r="AB21" s="19">
        <f t="shared" si="21"/>
        <v>-1.3724554548663837E-2</v>
      </c>
      <c r="AC21" s="19">
        <f t="shared" si="21"/>
        <v>4.382537216459851E-2</v>
      </c>
      <c r="AD21" s="19">
        <f t="shared" si="21"/>
        <v>7.4252416609346894E-2</v>
      </c>
      <c r="AE21" s="19">
        <f t="shared" si="21"/>
        <v>4.0125175655701562E-2</v>
      </c>
      <c r="AF21" s="19">
        <f t="shared" si="21"/>
        <v>1.4827657980002197E-2</v>
      </c>
      <c r="AG21" s="19">
        <f t="shared" si="21"/>
        <v>4.1440825795993376E-3</v>
      </c>
      <c r="AH21" s="19">
        <f t="shared" si="21"/>
        <v>1.2999213965462209E-2</v>
      </c>
      <c r="AI21" s="19">
        <f t="shared" si="21"/>
        <v>1.2005937394310624E-2</v>
      </c>
      <c r="AJ21" s="19">
        <f t="shared" ref="AJ21:AK21" si="22">+AJ20/AJ3</f>
        <v>3.311777843143409E-2</v>
      </c>
      <c r="AK21" s="19">
        <f t="shared" si="22"/>
        <v>2.8427739276793356E-2</v>
      </c>
    </row>
    <row r="22" spans="1:37" s="12" customFormat="1" ht="18" thickTop="1" thickBot="1" x14ac:dyDescent="0.4">
      <c r="A22"/>
      <c r="B22" s="32" t="s">
        <v>37</v>
      </c>
      <c r="C22" s="38">
        <f t="shared" ref="C22:G22" si="23">C16/C17</f>
        <v>2.1712328767123288</v>
      </c>
      <c r="D22" s="38" t="e">
        <f t="shared" si="23"/>
        <v>#DIV/0!</v>
      </c>
      <c r="E22" s="38" t="e">
        <f t="shared" si="23"/>
        <v>#DIV/0!</v>
      </c>
      <c r="F22" s="38" t="e">
        <f t="shared" si="23"/>
        <v>#DIV/0!</v>
      </c>
      <c r="G22" s="38" t="e">
        <f t="shared" si="23"/>
        <v>#DIV/0!</v>
      </c>
      <c r="H22" s="38" t="e">
        <f>H16/H17</f>
        <v>#DIV/0!</v>
      </c>
      <c r="I22" s="39" t="e">
        <f>I16/I17</f>
        <v>#DIV/0!</v>
      </c>
      <c r="J22" s="23" t="e">
        <f>AVERAGE(D22:I22)</f>
        <v>#DIV/0!</v>
      </c>
      <c r="K22"/>
      <c r="L22"/>
      <c r="M22"/>
      <c r="N22"/>
      <c r="O22"/>
      <c r="P22"/>
      <c r="Q22"/>
      <c r="R22"/>
      <c r="S22"/>
      <c r="T22"/>
      <c r="U22"/>
      <c r="V22"/>
    </row>
    <row r="23" spans="1:37" s="12" customFormat="1" ht="15.75" thickTop="1" x14ac:dyDescent="0.25">
      <c r="A23"/>
      <c r="B23"/>
      <c r="C23"/>
      <c r="D23"/>
      <c r="E23"/>
      <c r="F23"/>
      <c r="G23"/>
      <c r="H23"/>
      <c r="I23"/>
      <c r="J23"/>
      <c r="K23"/>
      <c r="L23"/>
      <c r="M23"/>
      <c r="N23"/>
      <c r="O23"/>
      <c r="P23"/>
      <c r="Q23"/>
      <c r="R23"/>
      <c r="S23"/>
      <c r="T23"/>
      <c r="U23"/>
      <c r="V23"/>
      <c r="W23" s="12" t="s">
        <v>47</v>
      </c>
      <c r="X23" s="13"/>
      <c r="Y23" s="13">
        <v>-161618</v>
      </c>
      <c r="Z23" s="13">
        <v>-103034</v>
      </c>
      <c r="AA23" s="13">
        <v>2577</v>
      </c>
      <c r="AB23" s="13">
        <v>166331</v>
      </c>
      <c r="AC23" s="13">
        <v>-187947</v>
      </c>
      <c r="AD23" s="13">
        <v>-694689</v>
      </c>
      <c r="AE23" s="13">
        <v>-297060</v>
      </c>
      <c r="AF23" s="13">
        <v>-36603</v>
      </c>
      <c r="AG23" s="13">
        <v>-447162</v>
      </c>
      <c r="AH23" s="13">
        <v>1054109</v>
      </c>
      <c r="AI23" s="13">
        <v>-93163</v>
      </c>
      <c r="AJ23" s="13">
        <v>-348677</v>
      </c>
      <c r="AK23" s="13">
        <v>-281997</v>
      </c>
    </row>
    <row r="24" spans="1:37" s="12" customFormat="1" x14ac:dyDescent="0.25">
      <c r="A24"/>
      <c r="B24"/>
      <c r="C24"/>
      <c r="D24"/>
      <c r="E24"/>
      <c r="F24"/>
      <c r="G24" s="10">
        <v>701.95658000000003</v>
      </c>
      <c r="H24" s="10">
        <v>709.32254499999999</v>
      </c>
      <c r="I24" s="10">
        <v>716.73997499999996</v>
      </c>
      <c r="J24"/>
      <c r="K24"/>
      <c r="L24"/>
      <c r="M24"/>
      <c r="N24"/>
      <c r="O24"/>
      <c r="P24"/>
      <c r="Q24"/>
      <c r="R24"/>
      <c r="S24"/>
      <c r="T24"/>
      <c r="U24"/>
      <c r="V24"/>
      <c r="W24" s="12" t="s">
        <v>48</v>
      </c>
      <c r="X24" s="14" t="e">
        <f t="shared" ref="X24:AI24" si="24">+X23/X20</f>
        <v>#DIV/0!</v>
      </c>
      <c r="Y24" s="14">
        <f t="shared" si="24"/>
        <v>-0.24129688603425856</v>
      </c>
      <c r="Z24" s="14">
        <f t="shared" si="24"/>
        <v>-7.0392407233951557E-2</v>
      </c>
      <c r="AA24" s="14">
        <f t="shared" si="24"/>
        <v>2.3716397169125429E-2</v>
      </c>
      <c r="AB24" s="14">
        <f t="shared" si="24"/>
        <v>-0.68333394957499871</v>
      </c>
      <c r="AC24" s="14">
        <f t="shared" si="24"/>
        <v>-0.1873049187385642</v>
      </c>
      <c r="AD24" s="14">
        <f t="shared" si="24"/>
        <v>-0.36312215775442996</v>
      </c>
      <c r="AE24" s="14">
        <f t="shared" si="24"/>
        <v>-0.24422507906936974</v>
      </c>
      <c r="AF24" s="14">
        <f t="shared" si="24"/>
        <v>-7.7357956226593735E-2</v>
      </c>
      <c r="AG24" s="14">
        <f t="shared" si="24"/>
        <v>-3.3993082215211525</v>
      </c>
      <c r="AH24" s="14">
        <f t="shared" si="24"/>
        <v>2.5197543613059294</v>
      </c>
      <c r="AI24" s="14">
        <f t="shared" si="24"/>
        <v>-0.22430700852560692</v>
      </c>
      <c r="AJ24" s="14">
        <f t="shared" ref="AJ24:AK24" si="25">+AJ23/AJ20</f>
        <v>-0.30710807887570069</v>
      </c>
      <c r="AK24" s="14">
        <f t="shared" si="25"/>
        <v>-0.28690129066258624</v>
      </c>
    </row>
    <row r="25" spans="1:37" s="12" customFormat="1" x14ac:dyDescent="0.25">
      <c r="A25"/>
      <c r="B25"/>
      <c r="C25"/>
      <c r="D25"/>
      <c r="E25"/>
      <c r="F25"/>
      <c r="G25">
        <f>+G10/G24</f>
        <v>0</v>
      </c>
      <c r="H25">
        <f>+H10/H24</f>
        <v>0</v>
      </c>
      <c r="I25">
        <f>+I10/I24</f>
        <v>0</v>
      </c>
      <c r="J25"/>
      <c r="K25"/>
      <c r="L25"/>
      <c r="M25" s="10"/>
      <c r="N25"/>
      <c r="O25"/>
      <c r="P25"/>
      <c r="Q25"/>
      <c r="R25"/>
      <c r="S25"/>
      <c r="T25"/>
      <c r="U25"/>
      <c r="V25"/>
    </row>
    <row r="26" spans="1:37" s="12" customFormat="1" x14ac:dyDescent="0.25">
      <c r="A26"/>
      <c r="B26"/>
      <c r="C26"/>
      <c r="D26"/>
      <c r="E26"/>
      <c r="F26"/>
      <c r="G26"/>
      <c r="H26"/>
      <c r="I26"/>
      <c r="J26"/>
      <c r="K26"/>
      <c r="L26"/>
      <c r="M26" s="10"/>
      <c r="N26"/>
      <c r="O26"/>
      <c r="P26"/>
      <c r="Q26"/>
      <c r="R26"/>
      <c r="S26"/>
      <c r="T26"/>
      <c r="U26"/>
      <c r="V26"/>
      <c r="W26" s="12" t="s">
        <v>74</v>
      </c>
      <c r="Y26" s="13">
        <v>0</v>
      </c>
      <c r="Z26" s="13">
        <v>0</v>
      </c>
      <c r="AA26" s="13">
        <v>0</v>
      </c>
      <c r="AB26" s="13">
        <v>0</v>
      </c>
      <c r="AC26" s="13">
        <v>0</v>
      </c>
      <c r="AD26" s="13">
        <v>0</v>
      </c>
      <c r="AE26" s="13">
        <v>0</v>
      </c>
      <c r="AF26" s="13">
        <v>0</v>
      </c>
      <c r="AG26" s="13">
        <v>0</v>
      </c>
      <c r="AH26" s="13">
        <v>0</v>
      </c>
      <c r="AI26" s="13">
        <v>0</v>
      </c>
      <c r="AJ26" s="13">
        <v>0</v>
      </c>
      <c r="AK26" s="13">
        <v>0</v>
      </c>
    </row>
    <row r="28" spans="1:37" s="12" customFormat="1" x14ac:dyDescent="0.25">
      <c r="A28"/>
      <c r="B28"/>
      <c r="C28"/>
      <c r="D28"/>
      <c r="E28"/>
      <c r="F28"/>
      <c r="G28"/>
      <c r="H28"/>
      <c r="I28"/>
      <c r="J28"/>
      <c r="K28"/>
      <c r="L28"/>
      <c r="M28"/>
      <c r="N28"/>
      <c r="O28"/>
      <c r="P28"/>
      <c r="Q28"/>
      <c r="R28"/>
      <c r="S28"/>
      <c r="T28"/>
      <c r="U28"/>
      <c r="V28"/>
      <c r="W28" s="12" t="s">
        <v>49</v>
      </c>
      <c r="X28" s="13">
        <f t="shared" ref="X28:AF28" si="26">+X20+X23-X26</f>
        <v>0</v>
      </c>
      <c r="Y28" s="13">
        <f t="shared" si="26"/>
        <v>508171</v>
      </c>
      <c r="Z28" s="13">
        <f t="shared" si="26"/>
        <v>1360675</v>
      </c>
      <c r="AA28" s="13">
        <f t="shared" si="26"/>
        <v>111236</v>
      </c>
      <c r="AB28" s="13">
        <f t="shared" si="26"/>
        <v>-77080</v>
      </c>
      <c r="AC28" s="13">
        <f t="shared" si="26"/>
        <v>815481</v>
      </c>
      <c r="AD28" s="13">
        <f t="shared" si="26"/>
        <v>1218411</v>
      </c>
      <c r="AE28" s="13">
        <f t="shared" si="26"/>
        <v>919277</v>
      </c>
      <c r="AF28" s="13">
        <f t="shared" si="26"/>
        <v>436561</v>
      </c>
      <c r="AG28" s="13">
        <f>+AG20+AG23-AG26</f>
        <v>-315617</v>
      </c>
      <c r="AH28" s="13">
        <f t="shared" ref="AH28:AJ28" si="27">+AH20+AH23-AH26</f>
        <v>1472447</v>
      </c>
      <c r="AI28" s="13">
        <f t="shared" si="27"/>
        <v>322174</v>
      </c>
      <c r="AJ28" s="13">
        <f t="shared" si="27"/>
        <v>786679</v>
      </c>
      <c r="AK28" s="13">
        <f>+AK20+AK23-AK26</f>
        <v>700909</v>
      </c>
    </row>
    <row r="29" spans="1:37" s="12" customFormat="1" x14ac:dyDescent="0.25">
      <c r="A29"/>
      <c r="B29"/>
      <c r="C29"/>
      <c r="D29"/>
      <c r="E29"/>
      <c r="F29"/>
      <c r="G29"/>
      <c r="H29"/>
      <c r="I29"/>
      <c r="J29"/>
      <c r="K29"/>
      <c r="L29"/>
      <c r="M29" s="10"/>
      <c r="N29"/>
      <c r="O29"/>
      <c r="P29"/>
      <c r="Q29"/>
      <c r="R29"/>
      <c r="S29"/>
      <c r="T29"/>
      <c r="U29"/>
      <c r="V29"/>
      <c r="W29" s="12" t="s">
        <v>25</v>
      </c>
      <c r="X29" s="19" t="e">
        <f t="shared" ref="X29:AI29" si="28">+X28/X3</f>
        <v>#DIV/0!</v>
      </c>
      <c r="Y29" s="19">
        <f t="shared" si="28"/>
        <v>2.678679488514862E-2</v>
      </c>
      <c r="Z29" s="19">
        <f t="shared" si="28"/>
        <v>7.1752037445686007E-2</v>
      </c>
      <c r="AA29" s="19">
        <f t="shared" si="28"/>
        <v>6.1297535402197708E-3</v>
      </c>
      <c r="AB29" s="19">
        <f t="shared" si="28"/>
        <v>-4.3461004827678642E-3</v>
      </c>
      <c r="AC29" s="19">
        <f t="shared" si="28"/>
        <v>3.5616664392621053E-2</v>
      </c>
      <c r="AD29" s="19">
        <f t="shared" si="28"/>
        <v>4.728971887167998E-2</v>
      </c>
      <c r="AE29" s="19">
        <f t="shared" si="28"/>
        <v>3.0325601458515497E-2</v>
      </c>
      <c r="AF29" s="19">
        <f t="shared" si="28"/>
        <v>1.3680620663042284E-2</v>
      </c>
      <c r="AG29" s="19">
        <f t="shared" si="28"/>
        <v>-9.9429314038952769E-3</v>
      </c>
      <c r="AH29" s="19">
        <f t="shared" si="28"/>
        <v>4.5754040048484559E-2</v>
      </c>
      <c r="AI29" s="19">
        <f t="shared" si="28"/>
        <v>9.3129214928470878E-3</v>
      </c>
      <c r="AJ29" s="19">
        <f t="shared" ref="AJ29:AK29" si="29">+AJ28/AJ3</f>
        <v>2.2947041120725251E-2</v>
      </c>
      <c r="AK29" s="19">
        <f t="shared" si="29"/>
        <v>2.0271784187661845E-2</v>
      </c>
    </row>
    <row r="30" spans="1:37" s="12" customFormat="1" x14ac:dyDescent="0.25">
      <c r="A30"/>
      <c r="B30"/>
      <c r="C30"/>
      <c r="D30"/>
      <c r="E30"/>
      <c r="F30"/>
      <c r="G30"/>
      <c r="H30"/>
      <c r="I30"/>
      <c r="J30"/>
      <c r="K30"/>
      <c r="L30"/>
      <c r="M30" s="10"/>
      <c r="N30"/>
      <c r="O30"/>
      <c r="P30"/>
      <c r="Q30"/>
      <c r="R30"/>
      <c r="S30"/>
      <c r="T30"/>
      <c r="U30"/>
      <c r="V30"/>
    </row>
    <row r="31" spans="1:37" s="12" customFormat="1" x14ac:dyDescent="0.25">
      <c r="A31"/>
      <c r="B31"/>
      <c r="C31"/>
      <c r="D31"/>
      <c r="E31"/>
      <c r="F31"/>
      <c r="G31"/>
      <c r="H31"/>
      <c r="I31"/>
      <c r="J31"/>
      <c r="K31"/>
      <c r="L31"/>
      <c r="M31"/>
      <c r="N31"/>
      <c r="O31"/>
      <c r="P31"/>
      <c r="Q31"/>
      <c r="R31"/>
      <c r="S31"/>
      <c r="T31"/>
      <c r="U31"/>
      <c r="V31"/>
      <c r="W31" s="12" t="s">
        <v>29</v>
      </c>
      <c r="X31" s="16">
        <f t="shared" ref="X31:AI31" si="30">+X28/X47</f>
        <v>0</v>
      </c>
      <c r="Y31" s="16">
        <f t="shared" si="30"/>
        <v>0.53469170875420879</v>
      </c>
      <c r="Z31" s="16">
        <f t="shared" si="30"/>
        <v>1.4316866582491583</v>
      </c>
      <c r="AA31" s="16">
        <f t="shared" si="30"/>
        <v>0.11704124579124579</v>
      </c>
      <c r="AB31" s="16">
        <f t="shared" si="30"/>
        <v>-8.1102693602693607E-2</v>
      </c>
      <c r="AC31" s="16">
        <f t="shared" si="30"/>
        <v>0.85803977272727272</v>
      </c>
      <c r="AD31" s="16">
        <f t="shared" si="30"/>
        <v>1.281998106060606</v>
      </c>
      <c r="AE31" s="16">
        <f t="shared" si="30"/>
        <v>0.96725273569023573</v>
      </c>
      <c r="AF31" s="16">
        <f t="shared" si="30"/>
        <v>0.45934448653198651</v>
      </c>
      <c r="AG31" s="16">
        <f t="shared" si="30"/>
        <v>-0.33208859427609427</v>
      </c>
      <c r="AH31" s="16">
        <f t="shared" si="30"/>
        <v>1.5492918771043771</v>
      </c>
      <c r="AI31" s="16">
        <f t="shared" si="30"/>
        <v>0.3389877946127946</v>
      </c>
      <c r="AJ31" s="16">
        <f t="shared" ref="AJ31:AK31" si="31">+AJ28/AJ47</f>
        <v>0.82773463804713809</v>
      </c>
      <c r="AK31" s="16">
        <f t="shared" si="31"/>
        <v>0.73748842592592589</v>
      </c>
    </row>
    <row r="32" spans="1:37" s="12" customFormat="1" x14ac:dyDescent="0.25">
      <c r="A32"/>
      <c r="B32"/>
      <c r="C32"/>
      <c r="D32"/>
      <c r="E32"/>
      <c r="F32"/>
      <c r="G32"/>
      <c r="H32"/>
      <c r="I32"/>
      <c r="J32"/>
      <c r="K32"/>
      <c r="L32"/>
      <c r="M32"/>
      <c r="N32"/>
      <c r="O32"/>
      <c r="P32"/>
      <c r="Q32"/>
      <c r="R32"/>
      <c r="S32"/>
      <c r="T32"/>
      <c r="U32"/>
      <c r="V32"/>
      <c r="W32" s="12" t="s">
        <v>40</v>
      </c>
      <c r="AA32" s="17"/>
      <c r="AB32" s="18" t="e">
        <f t="shared" ref="AB32:AK32" si="32">+AB31/X31-1</f>
        <v>#DIV/0!</v>
      </c>
      <c r="AC32" s="18">
        <f t="shared" si="32"/>
        <v>0.60473738170812563</v>
      </c>
      <c r="AD32" s="18">
        <f t="shared" si="32"/>
        <v>-0.10455398974773555</v>
      </c>
      <c r="AE32" s="18">
        <f t="shared" si="32"/>
        <v>7.2642040346650365</v>
      </c>
      <c r="AF32" s="18">
        <f t="shared" si="32"/>
        <v>-6.6637389724961071</v>
      </c>
      <c r="AG32" s="18">
        <f t="shared" si="32"/>
        <v>-1.3870317027619281</v>
      </c>
      <c r="AH32" s="18">
        <f t="shared" si="32"/>
        <v>0.20849778933381269</v>
      </c>
      <c r="AI32" s="18">
        <f t="shared" si="32"/>
        <v>-0.64953545014179626</v>
      </c>
      <c r="AJ32" s="18">
        <f t="shared" si="32"/>
        <v>0.80199101614665547</v>
      </c>
      <c r="AK32" s="18">
        <f t="shared" si="32"/>
        <v>-3.2207580706996137</v>
      </c>
    </row>
    <row r="33" spans="23:40" x14ac:dyDescent="0.25">
      <c r="W33" s="12" t="s">
        <v>41</v>
      </c>
      <c r="Y33" s="18" t="e">
        <f t="shared" ref="Y33:AD33" si="33">+Y31/X31-1</f>
        <v>#DIV/0!</v>
      </c>
      <c r="Z33" s="18">
        <f t="shared" si="33"/>
        <v>1.6775927788087079</v>
      </c>
      <c r="AA33" s="18">
        <f t="shared" si="33"/>
        <v>-0.91824939827659069</v>
      </c>
      <c r="AB33" s="18">
        <f t="shared" si="33"/>
        <v>-1.6929411341651983</v>
      </c>
      <c r="AC33" s="18">
        <f t="shared" si="33"/>
        <v>-11.579670472236637</v>
      </c>
      <c r="AD33" s="18">
        <f t="shared" si="33"/>
        <v>0.49410102749175033</v>
      </c>
      <c r="AE33" s="18">
        <f>+AE31/AD31-1</f>
        <v>-0.24551157203932006</v>
      </c>
      <c r="AF33" s="18">
        <f>+AF31/AE31-1</f>
        <v>-0.52510396757451783</v>
      </c>
      <c r="AG33" s="18">
        <f>+AG31/AF31-1</f>
        <v>-1.7229619686595918</v>
      </c>
      <c r="AH33" s="18">
        <f t="shared" ref="AH33" si="34">+AH31/AG31-1</f>
        <v>-5.665296862969992</v>
      </c>
      <c r="AI33" s="18">
        <f>+AI31/AH31-1</f>
        <v>-0.78119823667677002</v>
      </c>
      <c r="AJ33" s="18">
        <f>+AJ31/AI31-1</f>
        <v>1.4417830116645045</v>
      </c>
      <c r="AK33" s="18">
        <f>+AK31/AJ31-1</f>
        <v>-0.10902795168041868</v>
      </c>
    </row>
    <row r="34" spans="23:40" x14ac:dyDescent="0.25">
      <c r="Y34" s="18"/>
      <c r="Z34" s="18"/>
      <c r="AA34" s="18"/>
      <c r="AB34" s="18"/>
      <c r="AC34" s="18"/>
      <c r="AD34" s="18"/>
      <c r="AE34" s="18"/>
      <c r="AF34" s="18"/>
      <c r="AG34" s="18"/>
      <c r="AH34" s="18"/>
      <c r="AI34" s="18"/>
      <c r="AJ34" s="18"/>
      <c r="AK34" s="18"/>
    </row>
    <row r="35" spans="23:40" x14ac:dyDescent="0.25">
      <c r="W35" s="12" t="s">
        <v>88</v>
      </c>
      <c r="X35" s="18" t="e">
        <f>+X28*4/X39</f>
        <v>#DIV/0!</v>
      </c>
      <c r="Y35" s="18" t="e">
        <f>+Y28*4/Y39</f>
        <v>#DIV/0!</v>
      </c>
      <c r="Z35" s="18">
        <f t="shared" ref="Z35:AI35" si="35">+Z28*4/Z40</f>
        <v>0.32430477391261342</v>
      </c>
      <c r="AA35" s="18" t="e">
        <f t="shared" si="35"/>
        <v>#DIV/0!</v>
      </c>
      <c r="AB35" s="18" t="e">
        <f t="shared" si="35"/>
        <v>#DIV/0!</v>
      </c>
      <c r="AC35" s="18">
        <f t="shared" si="35"/>
        <v>0.19124546734164249</v>
      </c>
      <c r="AD35" s="18">
        <f t="shared" si="35"/>
        <v>0.26915571602251798</v>
      </c>
      <c r="AE35" s="18">
        <f t="shared" si="35"/>
        <v>0.21735291899293072</v>
      </c>
      <c r="AF35" s="18">
        <f t="shared" si="35"/>
        <v>9.5071648472644557E-2</v>
      </c>
      <c r="AG35" s="18">
        <f t="shared" si="35"/>
        <v>-7.010093124159808E-2</v>
      </c>
      <c r="AH35" s="18">
        <f t="shared" si="35"/>
        <v>0.30873014928662162</v>
      </c>
      <c r="AI35" s="18">
        <f t="shared" si="35"/>
        <v>7.0563389112002953E-2</v>
      </c>
      <c r="AJ35" s="18">
        <f t="shared" ref="AJ35:AK35" si="36">+AJ28*4/AJ40</f>
        <v>0.16193136351720935</v>
      </c>
      <c r="AK35" s="18">
        <f t="shared" si="36"/>
        <v>0.13796332897557342</v>
      </c>
      <c r="AM35" s="14">
        <f>+AVERAGE(AC35:AK35)</f>
        <v>0.15354589449772724</v>
      </c>
      <c r="AN35" s="50" t="s">
        <v>88</v>
      </c>
    </row>
    <row r="36" spans="23:40" x14ac:dyDescent="0.25">
      <c r="AM36" s="56">
        <f>AVERAGE(AC35:AK35)*AK49</f>
        <v>3.2831425823471143</v>
      </c>
      <c r="AN36" s="50" t="s">
        <v>183</v>
      </c>
    </row>
    <row r="37" spans="23:40" x14ac:dyDescent="0.25">
      <c r="W37" s="12" t="s">
        <v>52</v>
      </c>
      <c r="X37" s="13"/>
      <c r="Y37" s="13"/>
      <c r="Z37" s="13">
        <f>5141667+8827562+619345+3071103+1700000+337991+5404460</f>
        <v>25102128</v>
      </c>
      <c r="AA37" s="13"/>
      <c r="AB37" s="13"/>
      <c r="AC37" s="13">
        <f>8401715+9989944+775819+2000000+1880042+453850+5140253</f>
        <v>28641623</v>
      </c>
      <c r="AD37" s="13">
        <f>8307738+9927569+704069+2000000+2179283+477149+5425466</f>
        <v>29021274</v>
      </c>
      <c r="AE37" s="13">
        <f>7790123+10363193+641700+2251064+546710+8198162</f>
        <v>29790952</v>
      </c>
      <c r="AF37" s="13">
        <f>7985235+10312695+317145+3221820+2312618+625650+9858234</f>
        <v>34633397</v>
      </c>
      <c r="AG37" s="13">
        <f>7415761+10171578+566252+2598600+2270276+652199+9145707</f>
        <v>32820373</v>
      </c>
      <c r="AH37" s="13">
        <f>6850410+9963144+1185340+2170096+652711+12310257+1010338</f>
        <v>34142296</v>
      </c>
      <c r="AI37" s="13">
        <f>6285061+9833131+357473+1033317+2319398+640835+9568518</f>
        <v>30037733</v>
      </c>
      <c r="AJ37" s="13">
        <f>5719711+9643070+890641+415000+2365050+700668+9493423</f>
        <v>29227563</v>
      </c>
      <c r="AK37" s="13">
        <f>3866921+10315910+566252+1000000+4261400+666559+8292755</f>
        <v>28969797</v>
      </c>
      <c r="AM37" s="56">
        <f>+X1/AM36</f>
        <v>16.90453539800977</v>
      </c>
      <c r="AN37" s="50" t="s">
        <v>11</v>
      </c>
    </row>
    <row r="38" spans="23:40" x14ac:dyDescent="0.25">
      <c r="W38" s="12" t="s">
        <v>53</v>
      </c>
      <c r="X38" s="13"/>
      <c r="Y38" s="13"/>
      <c r="Z38" s="13">
        <f>562104+523534</f>
        <v>1085638</v>
      </c>
      <c r="AA38" s="13"/>
      <c r="AB38" s="13"/>
      <c r="AC38" s="13">
        <v>1173030</v>
      </c>
      <c r="AD38" s="13">
        <v>1345397</v>
      </c>
      <c r="AE38" s="13">
        <v>1029309</v>
      </c>
      <c r="AF38" s="13">
        <f>869795+962448</f>
        <v>1832243</v>
      </c>
      <c r="AG38" s="13">
        <f>528327+1246385</f>
        <v>1774712</v>
      </c>
      <c r="AH38" s="13">
        <f>1253061+243742</f>
        <v>1496803</v>
      </c>
      <c r="AI38" s="13">
        <f>123300+1544154</f>
        <v>1667454</v>
      </c>
      <c r="AJ38" s="13">
        <v>1680411</v>
      </c>
      <c r="AK38" s="13">
        <v>1676929</v>
      </c>
    </row>
    <row r="39" spans="23:40" x14ac:dyDescent="0.25">
      <c r="W39" s="12" t="s">
        <v>50</v>
      </c>
      <c r="X39" s="13">
        <f t="shared" ref="X39:AI39" si="37">+X37-X38</f>
        <v>0</v>
      </c>
      <c r="Y39" s="13">
        <f t="shared" si="37"/>
        <v>0</v>
      </c>
      <c r="Z39" s="13">
        <f t="shared" si="37"/>
        <v>24016490</v>
      </c>
      <c r="AA39" s="13">
        <f t="shared" si="37"/>
        <v>0</v>
      </c>
      <c r="AB39" s="13">
        <f t="shared" si="37"/>
        <v>0</v>
      </c>
      <c r="AC39" s="13">
        <f t="shared" si="37"/>
        <v>27468593</v>
      </c>
      <c r="AD39" s="13">
        <f t="shared" si="37"/>
        <v>27675877</v>
      </c>
      <c r="AE39" s="13">
        <f t="shared" si="37"/>
        <v>28761643</v>
      </c>
      <c r="AF39" s="13">
        <f t="shared" si="37"/>
        <v>32801154</v>
      </c>
      <c r="AG39" s="13">
        <f t="shared" si="37"/>
        <v>31045661</v>
      </c>
      <c r="AH39" s="13">
        <f t="shared" si="37"/>
        <v>32645493</v>
      </c>
      <c r="AI39" s="13">
        <f t="shared" si="37"/>
        <v>28370279</v>
      </c>
      <c r="AJ39" s="13">
        <f t="shared" ref="AJ39:AK39" si="38">+AJ37-AJ38</f>
        <v>27547152</v>
      </c>
      <c r="AK39" s="13">
        <f t="shared" si="38"/>
        <v>27292868</v>
      </c>
    </row>
    <row r="40" spans="23:40" x14ac:dyDescent="0.25">
      <c r="W40" s="12" t="s">
        <v>54</v>
      </c>
      <c r="X40" s="13"/>
      <c r="Y40" s="13"/>
      <c r="Z40" s="13">
        <v>16782670</v>
      </c>
      <c r="AA40" s="13"/>
      <c r="AB40" s="13"/>
      <c r="AC40" s="13">
        <v>17056216</v>
      </c>
      <c r="AD40" s="13">
        <v>18107154</v>
      </c>
      <c r="AE40" s="13">
        <v>16917684</v>
      </c>
      <c r="AF40" s="13">
        <v>18367663</v>
      </c>
      <c r="AG40" s="13">
        <v>18009290</v>
      </c>
      <c r="AH40" s="13">
        <v>19077463</v>
      </c>
      <c r="AI40" s="13">
        <v>18262955</v>
      </c>
      <c r="AJ40" s="13">
        <v>19432406</v>
      </c>
      <c r="AK40" s="13">
        <v>20321603</v>
      </c>
    </row>
    <row r="41" spans="23:40" x14ac:dyDescent="0.25">
      <c r="W41" s="12" t="s">
        <v>75</v>
      </c>
      <c r="X41" s="13"/>
      <c r="Y41" s="13"/>
      <c r="Z41" s="13">
        <v>7108717</v>
      </c>
      <c r="AA41" s="13"/>
      <c r="AB41" s="13"/>
      <c r="AC41" s="13">
        <v>8333179</v>
      </c>
      <c r="AD41" s="13">
        <v>9074881</v>
      </c>
      <c r="AE41" s="13">
        <v>12041886</v>
      </c>
      <c r="AF41" s="13">
        <v>13382677</v>
      </c>
      <c r="AG41" s="13">
        <v>15514157</v>
      </c>
      <c r="AH41" s="13">
        <v>14490380</v>
      </c>
      <c r="AI41" s="13">
        <v>12311344</v>
      </c>
      <c r="AJ41" s="13">
        <v>11003917</v>
      </c>
      <c r="AK41" s="13">
        <v>12490623</v>
      </c>
    </row>
    <row r="43" spans="23:40" x14ac:dyDescent="0.25">
      <c r="W43" s="12" t="s">
        <v>51</v>
      </c>
      <c r="X43" s="14" t="e">
        <f t="shared" ref="X43:AI43" si="39">+X37/X40</f>
        <v>#DIV/0!</v>
      </c>
      <c r="Y43" s="14" t="e">
        <f t="shared" si="39"/>
        <v>#DIV/0!</v>
      </c>
      <c r="Z43" s="14">
        <f t="shared" si="39"/>
        <v>1.4957171892195937</v>
      </c>
      <c r="AA43" s="14" t="e">
        <f t="shared" si="39"/>
        <v>#DIV/0!</v>
      </c>
      <c r="AB43" s="14" t="e">
        <f t="shared" si="39"/>
        <v>#DIV/0!</v>
      </c>
      <c r="AC43" s="14">
        <f t="shared" si="39"/>
        <v>1.6792483749033198</v>
      </c>
      <c r="AD43" s="14">
        <f t="shared" si="39"/>
        <v>1.6027518184249165</v>
      </c>
      <c r="AE43" s="14">
        <f t="shared" si="39"/>
        <v>1.7609355985133663</v>
      </c>
      <c r="AF43" s="14">
        <f t="shared" si="39"/>
        <v>1.8855636125292585</v>
      </c>
      <c r="AG43" s="14">
        <f t="shared" si="39"/>
        <v>1.822413487705512</v>
      </c>
      <c r="AH43" s="14">
        <f t="shared" si="39"/>
        <v>1.7896664771411168</v>
      </c>
      <c r="AI43" s="14">
        <f t="shared" si="39"/>
        <v>1.644735641083275</v>
      </c>
      <c r="AJ43" s="14">
        <f t="shared" ref="AJ43:AK43" si="40">+AJ37/AJ40</f>
        <v>1.5040630069174141</v>
      </c>
      <c r="AK43" s="14">
        <f t="shared" si="40"/>
        <v>1.4255665264201844</v>
      </c>
    </row>
    <row r="45" spans="23:40" x14ac:dyDescent="0.25">
      <c r="W45" s="12" t="s">
        <v>63</v>
      </c>
      <c r="X45" s="16" t="e">
        <f t="shared" ref="X45:AI45" si="41">+(X3*1000)/X7</f>
        <v>#DIV/0!</v>
      </c>
      <c r="Y45" s="16" t="e">
        <f t="shared" si="41"/>
        <v>#DIV/0!</v>
      </c>
      <c r="Z45" s="16" t="e">
        <f t="shared" si="41"/>
        <v>#DIV/0!</v>
      </c>
      <c r="AA45" s="16" t="e">
        <f t="shared" si="41"/>
        <v>#DIV/0!</v>
      </c>
      <c r="AB45" s="16" t="e">
        <f t="shared" si="41"/>
        <v>#DIV/0!</v>
      </c>
      <c r="AC45" s="16" t="e">
        <f t="shared" si="41"/>
        <v>#DIV/0!</v>
      </c>
      <c r="AD45" s="16" t="e">
        <f t="shared" si="41"/>
        <v>#DIV/0!</v>
      </c>
      <c r="AE45" s="16" t="e">
        <f t="shared" si="41"/>
        <v>#DIV/0!</v>
      </c>
      <c r="AF45" s="16" t="e">
        <f t="shared" si="41"/>
        <v>#DIV/0!</v>
      </c>
      <c r="AG45" s="16" t="e">
        <f t="shared" si="41"/>
        <v>#DIV/0!</v>
      </c>
      <c r="AH45" s="16" t="e">
        <f t="shared" si="41"/>
        <v>#DIV/0!</v>
      </c>
      <c r="AI45" s="16" t="e">
        <f t="shared" si="41"/>
        <v>#DIV/0!</v>
      </c>
      <c r="AJ45" s="16" t="e">
        <f t="shared" ref="AJ45:AK45" si="42">+(AJ3*1000)/AJ7</f>
        <v>#DIV/0!</v>
      </c>
      <c r="AK45" s="16" t="e">
        <f t="shared" si="42"/>
        <v>#DIV/0!</v>
      </c>
    </row>
    <row r="47" spans="23:40" x14ac:dyDescent="0.25">
      <c r="W47" s="12" t="s">
        <v>56</v>
      </c>
      <c r="X47" s="13">
        <v>950400</v>
      </c>
      <c r="Y47" s="13">
        <v>950400</v>
      </c>
      <c r="Z47" s="13">
        <v>950400</v>
      </c>
      <c r="AA47" s="13">
        <v>950400</v>
      </c>
      <c r="AB47" s="13">
        <v>950400</v>
      </c>
      <c r="AC47" s="13">
        <v>950400</v>
      </c>
      <c r="AD47" s="13">
        <v>950400</v>
      </c>
      <c r="AE47" s="13">
        <v>950400</v>
      </c>
      <c r="AF47" s="13">
        <v>950400</v>
      </c>
      <c r="AG47" s="13">
        <v>950400</v>
      </c>
      <c r="AH47" s="13">
        <v>950400</v>
      </c>
      <c r="AI47" s="13">
        <v>950400</v>
      </c>
      <c r="AJ47" s="13">
        <v>950400</v>
      </c>
      <c r="AK47" s="13">
        <v>950400</v>
      </c>
    </row>
    <row r="49" spans="1:37" s="12" customFormat="1" x14ac:dyDescent="0.25">
      <c r="A49"/>
      <c r="B49"/>
      <c r="C49"/>
      <c r="D49"/>
      <c r="E49"/>
      <c r="F49"/>
      <c r="G49"/>
      <c r="H49"/>
      <c r="I49"/>
      <c r="J49"/>
      <c r="K49"/>
      <c r="L49"/>
      <c r="M49"/>
      <c r="N49"/>
      <c r="O49"/>
      <c r="P49"/>
      <c r="Q49"/>
      <c r="R49"/>
      <c r="S49"/>
      <c r="T49"/>
      <c r="U49"/>
      <c r="V49"/>
      <c r="W49" s="12" t="s">
        <v>57</v>
      </c>
      <c r="X49" s="16">
        <f t="shared" ref="X49:AI49" si="43">+X40/X47</f>
        <v>0</v>
      </c>
      <c r="Y49" s="16">
        <f t="shared" si="43"/>
        <v>0</v>
      </c>
      <c r="Z49" s="16">
        <f t="shared" si="43"/>
        <v>17.65853324915825</v>
      </c>
      <c r="AA49" s="16">
        <f t="shared" si="43"/>
        <v>0</v>
      </c>
      <c r="AB49" s="16">
        <f t="shared" si="43"/>
        <v>0</v>
      </c>
      <c r="AC49" s="16">
        <f t="shared" si="43"/>
        <v>17.946355218855217</v>
      </c>
      <c r="AD49" s="16">
        <f t="shared" si="43"/>
        <v>19.05214015151515</v>
      </c>
      <c r="AE49" s="16">
        <f t="shared" si="43"/>
        <v>17.800593434343433</v>
      </c>
      <c r="AF49" s="16">
        <f t="shared" si="43"/>
        <v>19.326244739057238</v>
      </c>
      <c r="AG49" s="16">
        <f t="shared" si="43"/>
        <v>18.94916877104377</v>
      </c>
      <c r="AH49" s="16">
        <f t="shared" si="43"/>
        <v>20.073088173400674</v>
      </c>
      <c r="AI49" s="16">
        <f t="shared" si="43"/>
        <v>19.216072180134681</v>
      </c>
      <c r="AJ49" s="16">
        <f t="shared" ref="AJ49:AK49" si="44">+AJ40/AJ47</f>
        <v>20.446555134680136</v>
      </c>
      <c r="AK49" s="16">
        <f t="shared" si="44"/>
        <v>21.38215803872054</v>
      </c>
    </row>
    <row r="51" spans="1:37" s="12" customFormat="1" x14ac:dyDescent="0.25">
      <c r="A51"/>
      <c r="B51"/>
      <c r="C51"/>
      <c r="D51"/>
      <c r="E51"/>
      <c r="F51"/>
      <c r="G51"/>
      <c r="H51"/>
      <c r="I51"/>
      <c r="J51"/>
      <c r="K51"/>
      <c r="L51"/>
      <c r="M51"/>
      <c r="N51"/>
      <c r="O51"/>
      <c r="P51"/>
      <c r="Q51"/>
      <c r="R51"/>
      <c r="S51"/>
      <c r="T51"/>
      <c r="U51"/>
      <c r="V51"/>
      <c r="W51" s="12" t="s">
        <v>67</v>
      </c>
      <c r="X51" s="13"/>
      <c r="Y51" s="13">
        <f>+Y55-X55</f>
        <v>0</v>
      </c>
      <c r="Z51" s="13">
        <f>+Z55-Y55</f>
        <v>6494995</v>
      </c>
      <c r="AA51" s="13">
        <f>+AA55</f>
        <v>-249485</v>
      </c>
      <c r="AB51" s="13">
        <f t="shared" ref="AB51:AD52" si="45">+AB55-AA55</f>
        <v>1427511</v>
      </c>
      <c r="AC51" s="13">
        <f t="shared" si="45"/>
        <v>2546623</v>
      </c>
      <c r="AD51" s="13">
        <f t="shared" si="45"/>
        <v>2652649</v>
      </c>
      <c r="AE51" s="13">
        <f>+AE55</f>
        <v>945374</v>
      </c>
      <c r="AF51" s="13">
        <f>+AF55-AE55</f>
        <v>-3053918</v>
      </c>
      <c r="AG51" s="13">
        <f>+AG55-AF55</f>
        <v>3584275</v>
      </c>
      <c r="AH51" s="13">
        <f t="shared" ref="AH51:AH52" si="46">+AH55-AG55</f>
        <v>1649229</v>
      </c>
      <c r="AI51" s="13">
        <f>+AI55</f>
        <v>4847546</v>
      </c>
      <c r="AJ51" s="13">
        <f>+AJ55-AI55</f>
        <v>2731661</v>
      </c>
      <c r="AK51" s="13">
        <f>+AK55-AJ55</f>
        <v>2417139</v>
      </c>
    </row>
    <row r="52" spans="1:37" s="12" customFormat="1" x14ac:dyDescent="0.25">
      <c r="A52"/>
      <c r="B52"/>
      <c r="C52"/>
      <c r="D52"/>
      <c r="E52"/>
      <c r="F52"/>
      <c r="G52"/>
      <c r="H52"/>
      <c r="I52"/>
      <c r="J52"/>
      <c r="K52"/>
      <c r="L52"/>
      <c r="M52"/>
      <c r="N52"/>
      <c r="O52"/>
      <c r="P52"/>
      <c r="Q52"/>
      <c r="R52"/>
      <c r="S52"/>
      <c r="T52"/>
      <c r="U52"/>
      <c r="V52"/>
      <c r="W52" s="12" t="s">
        <v>60</v>
      </c>
      <c r="Y52" s="13">
        <f>+Y56-X56</f>
        <v>0</v>
      </c>
      <c r="Z52" s="13">
        <f>+Z56-Y56</f>
        <v>-2606182</v>
      </c>
      <c r="AA52" s="13">
        <f>+AA56</f>
        <v>-983580</v>
      </c>
      <c r="AB52" s="13">
        <f t="shared" si="45"/>
        <v>-1156057</v>
      </c>
      <c r="AC52" s="13">
        <f t="shared" si="45"/>
        <v>-1368231</v>
      </c>
      <c r="AD52" s="13">
        <f t="shared" si="45"/>
        <v>-1488833</v>
      </c>
      <c r="AE52" s="13">
        <f>+AE56</f>
        <v>-784319</v>
      </c>
      <c r="AF52" s="13">
        <f>+AF56-AE56</f>
        <v>-805754</v>
      </c>
      <c r="AG52" s="13">
        <f>+AG56-AF56</f>
        <v>-852509</v>
      </c>
      <c r="AH52" s="13">
        <f t="shared" si="46"/>
        <v>-1257606</v>
      </c>
      <c r="AI52" s="13">
        <f>+AI56</f>
        <v>-445655</v>
      </c>
      <c r="AJ52" s="13">
        <f>+AJ56-AI56</f>
        <v>-497691</v>
      </c>
      <c r="AK52" s="13">
        <f>+AK56-AJ56</f>
        <v>-574388</v>
      </c>
    </row>
    <row r="53" spans="1:37" s="12" customFormat="1" x14ac:dyDescent="0.25">
      <c r="A53"/>
      <c r="B53"/>
      <c r="C53"/>
      <c r="D53"/>
      <c r="E53"/>
      <c r="F53"/>
      <c r="G53"/>
      <c r="H53"/>
      <c r="I53"/>
      <c r="J53"/>
      <c r="K53"/>
      <c r="L53"/>
      <c r="M53"/>
      <c r="N53"/>
      <c r="O53"/>
      <c r="P53"/>
      <c r="Q53"/>
      <c r="R53"/>
      <c r="S53"/>
      <c r="T53"/>
      <c r="U53"/>
      <c r="V53"/>
      <c r="W53" s="12" t="s">
        <v>68</v>
      </c>
      <c r="Y53" s="13">
        <f t="shared" ref="Y53:AI53" si="47">+Y51+Y52</f>
        <v>0</v>
      </c>
      <c r="Z53" s="13">
        <f t="shared" si="47"/>
        <v>3888813</v>
      </c>
      <c r="AA53" s="13">
        <f t="shared" si="47"/>
        <v>-1233065</v>
      </c>
      <c r="AB53" s="13">
        <f t="shared" si="47"/>
        <v>271454</v>
      </c>
      <c r="AC53" s="13">
        <f t="shared" si="47"/>
        <v>1178392</v>
      </c>
      <c r="AD53" s="13">
        <f t="shared" si="47"/>
        <v>1163816</v>
      </c>
      <c r="AE53" s="13">
        <f t="shared" si="47"/>
        <v>161055</v>
      </c>
      <c r="AF53" s="13">
        <f t="shared" si="47"/>
        <v>-3859672</v>
      </c>
      <c r="AG53" s="13">
        <f t="shared" si="47"/>
        <v>2731766</v>
      </c>
      <c r="AH53" s="13">
        <f t="shared" si="47"/>
        <v>391623</v>
      </c>
      <c r="AI53" s="13">
        <f t="shared" si="47"/>
        <v>4401891</v>
      </c>
      <c r="AJ53" s="13">
        <f t="shared" ref="AJ53:AK53" si="48">+AJ51+AJ52</f>
        <v>2233970</v>
      </c>
      <c r="AK53" s="13">
        <f t="shared" si="48"/>
        <v>1842751</v>
      </c>
    </row>
    <row r="55" spans="1:37" s="12" customFormat="1" x14ac:dyDescent="0.25">
      <c r="A55"/>
      <c r="B55"/>
      <c r="C55"/>
      <c r="D55"/>
      <c r="E55"/>
      <c r="F55"/>
      <c r="G55"/>
      <c r="H55"/>
      <c r="I55"/>
      <c r="J55"/>
      <c r="K55"/>
      <c r="L55"/>
      <c r="M55"/>
      <c r="N55"/>
      <c r="O55"/>
      <c r="P55"/>
      <c r="Q55"/>
      <c r="R55"/>
      <c r="S55"/>
      <c r="T55"/>
      <c r="U55"/>
      <c r="V55"/>
      <c r="W55" s="12" t="s">
        <v>67</v>
      </c>
      <c r="X55" s="13"/>
      <c r="Y55" s="13"/>
      <c r="Z55" s="13">
        <v>6494995</v>
      </c>
      <c r="AA55" s="13">
        <v>-249485</v>
      </c>
      <c r="AB55" s="13">
        <v>1178026</v>
      </c>
      <c r="AC55" s="13">
        <v>3724649</v>
      </c>
      <c r="AD55" s="13">
        <v>6377298</v>
      </c>
      <c r="AE55" s="13">
        <v>945374</v>
      </c>
      <c r="AF55" s="13">
        <v>-2108544</v>
      </c>
      <c r="AG55" s="13">
        <v>1475731</v>
      </c>
      <c r="AH55" s="13">
        <v>3124960</v>
      </c>
      <c r="AI55" s="13">
        <v>4847546</v>
      </c>
      <c r="AJ55" s="13">
        <v>7579207</v>
      </c>
      <c r="AK55" s="13">
        <v>9996346</v>
      </c>
    </row>
    <row r="56" spans="1:37" s="12" customFormat="1" x14ac:dyDescent="0.25">
      <c r="A56"/>
      <c r="B56"/>
      <c r="C56"/>
      <c r="D56"/>
      <c r="E56"/>
      <c r="F56"/>
      <c r="G56"/>
      <c r="H56"/>
      <c r="I56"/>
      <c r="J56"/>
      <c r="K56"/>
      <c r="L56"/>
      <c r="M56"/>
      <c r="N56"/>
      <c r="O56"/>
      <c r="P56"/>
      <c r="Q56"/>
      <c r="R56"/>
      <c r="S56"/>
      <c r="T56"/>
      <c r="U56"/>
      <c r="V56"/>
      <c r="W56" s="12" t="s">
        <v>60</v>
      </c>
      <c r="X56" s="13"/>
      <c r="Y56" s="13"/>
      <c r="Z56" s="13">
        <v>-2606182</v>
      </c>
      <c r="AA56" s="13">
        <v>-983580</v>
      </c>
      <c r="AB56" s="13">
        <v>-2139637</v>
      </c>
      <c r="AC56" s="13">
        <v>-3507868</v>
      </c>
      <c r="AD56" s="13">
        <v>-4996701</v>
      </c>
      <c r="AE56" s="13">
        <v>-784319</v>
      </c>
      <c r="AF56" s="10">
        <v>-1590073</v>
      </c>
      <c r="AG56" s="13">
        <v>-2442582</v>
      </c>
      <c r="AH56" s="13">
        <v>-3700188</v>
      </c>
      <c r="AI56" s="13">
        <v>-445655</v>
      </c>
      <c r="AJ56" s="10">
        <v>-943346</v>
      </c>
      <c r="AK56" s="13">
        <v>-1517734</v>
      </c>
    </row>
    <row r="57" spans="1:37" s="12" customFormat="1" x14ac:dyDescent="0.25">
      <c r="A57"/>
      <c r="B57"/>
      <c r="C57"/>
      <c r="D57"/>
      <c r="E57"/>
      <c r="F57"/>
      <c r="G57"/>
      <c r="H57"/>
      <c r="I57"/>
      <c r="J57"/>
      <c r="K57"/>
      <c r="L57"/>
      <c r="M57"/>
      <c r="N57"/>
      <c r="O57"/>
      <c r="P57"/>
      <c r="Q57"/>
      <c r="R57"/>
      <c r="S57"/>
      <c r="T57"/>
      <c r="U57"/>
      <c r="V57"/>
      <c r="W57" s="12" t="s">
        <v>68</v>
      </c>
      <c r="X57" s="13">
        <f t="shared" ref="X57:AF57" si="49">+X55+X56</f>
        <v>0</v>
      </c>
      <c r="Y57" s="13">
        <f t="shared" si="49"/>
        <v>0</v>
      </c>
      <c r="Z57" s="13">
        <f t="shared" si="49"/>
        <v>3888813</v>
      </c>
      <c r="AA57" s="13">
        <f t="shared" si="49"/>
        <v>-1233065</v>
      </c>
      <c r="AB57" s="13">
        <f t="shared" si="49"/>
        <v>-961611</v>
      </c>
      <c r="AC57" s="13">
        <f t="shared" si="49"/>
        <v>216781</v>
      </c>
      <c r="AD57" s="13">
        <f t="shared" si="49"/>
        <v>1380597</v>
      </c>
      <c r="AE57" s="13">
        <f t="shared" si="49"/>
        <v>161055</v>
      </c>
      <c r="AF57" s="13">
        <f t="shared" si="49"/>
        <v>-3698617</v>
      </c>
      <c r="AG57" s="13">
        <f>+AG55+AG56</f>
        <v>-966851</v>
      </c>
      <c r="AH57" s="13">
        <f t="shared" ref="AH57:AJ57" si="50">+AH55+AH56</f>
        <v>-575228</v>
      </c>
      <c r="AI57" s="13">
        <f t="shared" si="50"/>
        <v>4401891</v>
      </c>
      <c r="AJ57" s="13">
        <f t="shared" si="50"/>
        <v>6635861</v>
      </c>
      <c r="AK57" s="13">
        <f>+AK55+AK56</f>
        <v>8478612</v>
      </c>
    </row>
    <row r="59" spans="1:37" s="12" customFormat="1" x14ac:dyDescent="0.25">
      <c r="A59"/>
      <c r="B59"/>
      <c r="C59"/>
      <c r="D59"/>
      <c r="E59"/>
      <c r="F59"/>
      <c r="G59"/>
      <c r="H59"/>
      <c r="I59"/>
      <c r="J59"/>
      <c r="K59"/>
      <c r="L59"/>
      <c r="M59"/>
      <c r="N59"/>
      <c r="O59"/>
      <c r="P59"/>
      <c r="Q59"/>
      <c r="R59"/>
      <c r="S59"/>
      <c r="T59"/>
      <c r="U59"/>
      <c r="V59"/>
      <c r="W59" s="47" t="s">
        <v>76</v>
      </c>
    </row>
    <row r="60" spans="1:37" s="12" customFormat="1" x14ac:dyDescent="0.25">
      <c r="A60"/>
      <c r="B60"/>
      <c r="C60"/>
      <c r="D60"/>
      <c r="E60"/>
      <c r="F60"/>
      <c r="G60"/>
      <c r="H60"/>
      <c r="I60"/>
      <c r="J60"/>
      <c r="K60"/>
      <c r="L60"/>
      <c r="M60"/>
      <c r="N60"/>
      <c r="O60"/>
      <c r="P60"/>
      <c r="Q60"/>
      <c r="R60"/>
      <c r="S60"/>
      <c r="T60"/>
      <c r="U60"/>
      <c r="V60"/>
      <c r="W60" s="47" t="s">
        <v>355</v>
      </c>
      <c r="AC60" s="13"/>
      <c r="AG60" s="13"/>
      <c r="AK60" s="13"/>
    </row>
    <row r="61" spans="1:37" s="12" customFormat="1" x14ac:dyDescent="0.25">
      <c r="A61"/>
      <c r="B61"/>
      <c r="C61"/>
      <c r="D61"/>
      <c r="E61"/>
      <c r="F61"/>
      <c r="G61"/>
      <c r="H61"/>
      <c r="I61"/>
      <c r="J61"/>
      <c r="K61"/>
      <c r="L61"/>
      <c r="M61"/>
      <c r="N61"/>
      <c r="O61"/>
      <c r="P61"/>
      <c r="Q61"/>
      <c r="R61"/>
      <c r="S61"/>
      <c r="T61"/>
      <c r="U61"/>
      <c r="V61"/>
      <c r="W61" s="12" t="s">
        <v>78</v>
      </c>
      <c r="Y61" s="13">
        <v>2966549</v>
      </c>
      <c r="Z61" s="13">
        <v>4486095</v>
      </c>
      <c r="AA61" s="13">
        <v>3051359</v>
      </c>
      <c r="AB61" s="13">
        <v>3705776</v>
      </c>
      <c r="AC61" s="13">
        <v>4471535</v>
      </c>
      <c r="AD61" s="13">
        <v>6305701</v>
      </c>
      <c r="AE61" s="13">
        <v>6406568</v>
      </c>
      <c r="AF61" s="13">
        <v>7044817</v>
      </c>
      <c r="AG61" s="13">
        <v>5944686</v>
      </c>
      <c r="AH61" s="13">
        <v>6980258</v>
      </c>
      <c r="AI61" s="13">
        <v>6980330</v>
      </c>
      <c r="AJ61" s="13">
        <v>7016489</v>
      </c>
      <c r="AK61" s="13">
        <v>5802490</v>
      </c>
    </row>
    <row r="62" spans="1:37" s="12" customFormat="1" x14ac:dyDescent="0.25">
      <c r="A62"/>
      <c r="B62"/>
      <c r="C62"/>
      <c r="D62"/>
      <c r="E62"/>
      <c r="F62"/>
      <c r="G62"/>
      <c r="H62"/>
      <c r="I62"/>
      <c r="J62"/>
      <c r="K62"/>
      <c r="L62"/>
      <c r="M62"/>
      <c r="N62"/>
      <c r="O62"/>
      <c r="P62"/>
      <c r="Q62"/>
      <c r="R62"/>
      <c r="S62"/>
      <c r="T62"/>
      <c r="U62"/>
      <c r="V62"/>
      <c r="W62" s="12" t="s">
        <v>40</v>
      </c>
      <c r="X62" s="17"/>
      <c r="Y62" s="17"/>
      <c r="Z62" s="17"/>
      <c r="AA62" s="17"/>
      <c r="AB62" s="18"/>
      <c r="AC62" s="18">
        <f t="shared" ref="AC62:AK62" si="51">+AC61/Y61-1</f>
        <v>0.50731877343000242</v>
      </c>
      <c r="AD62" s="18">
        <f t="shared" si="51"/>
        <v>0.40561022448253992</v>
      </c>
      <c r="AE62" s="18">
        <f t="shared" si="51"/>
        <v>1.0995785812157797</v>
      </c>
      <c r="AF62" s="18">
        <f t="shared" si="51"/>
        <v>0.90103692182150241</v>
      </c>
      <c r="AG62" s="18">
        <f t="shared" si="51"/>
        <v>0.32945084853411633</v>
      </c>
      <c r="AH62" s="18">
        <f t="shared" si="51"/>
        <v>0.10697573513238257</v>
      </c>
      <c r="AI62" s="18">
        <f t="shared" si="51"/>
        <v>8.9558403188727542E-2</v>
      </c>
      <c r="AJ62" s="18">
        <f t="shared" si="51"/>
        <v>-4.0211122588421633E-3</v>
      </c>
      <c r="AK62" s="18">
        <f t="shared" si="51"/>
        <v>-2.3919850434488854E-2</v>
      </c>
    </row>
    <row r="63" spans="1:37" s="12" customFormat="1" x14ac:dyDescent="0.25">
      <c r="A63"/>
      <c r="B63"/>
      <c r="C63"/>
      <c r="D63"/>
      <c r="E63"/>
      <c r="F63"/>
      <c r="G63"/>
      <c r="H63"/>
      <c r="I63"/>
      <c r="J63"/>
      <c r="K63"/>
      <c r="L63"/>
      <c r="M63"/>
      <c r="N63"/>
      <c r="O63"/>
      <c r="P63"/>
      <c r="Q63"/>
      <c r="R63"/>
      <c r="S63"/>
      <c r="T63"/>
      <c r="U63"/>
      <c r="V63"/>
      <c r="W63" s="12" t="s">
        <v>41</v>
      </c>
      <c r="Y63" s="18"/>
      <c r="Z63" s="18"/>
      <c r="AA63" s="18">
        <f t="shared" ref="AA63:AK63" si="52">+AA61/Z61-1</f>
        <v>-0.31981846126753888</v>
      </c>
      <c r="AB63" s="18">
        <f t="shared" si="52"/>
        <v>0.21446738977616198</v>
      </c>
      <c r="AC63" s="18">
        <f t="shared" si="52"/>
        <v>0.20663931117261281</v>
      </c>
      <c r="AD63" s="18">
        <f t="shared" si="52"/>
        <v>0.41018710577016626</v>
      </c>
      <c r="AE63" s="18">
        <f t="shared" si="52"/>
        <v>1.5996159665673915E-2</v>
      </c>
      <c r="AF63" s="18">
        <f t="shared" si="52"/>
        <v>9.9624166948668824E-2</v>
      </c>
      <c r="AG63" s="18">
        <f t="shared" si="52"/>
        <v>-0.1561617569342113</v>
      </c>
      <c r="AH63" s="18">
        <f t="shared" si="52"/>
        <v>0.17420129507260773</v>
      </c>
      <c r="AI63" s="18">
        <f t="shared" si="52"/>
        <v>1.0314804982813897E-5</v>
      </c>
      <c r="AJ63" s="18">
        <f t="shared" si="52"/>
        <v>5.1801275870910768E-3</v>
      </c>
      <c r="AK63" s="18">
        <f t="shared" si="52"/>
        <v>-0.17302086556395946</v>
      </c>
    </row>
    <row r="64" spans="1:37" s="12" customFormat="1" x14ac:dyDescent="0.25">
      <c r="A64"/>
      <c r="B64"/>
      <c r="C64"/>
      <c r="D64"/>
      <c r="E64"/>
      <c r="F64"/>
      <c r="G64"/>
      <c r="H64"/>
      <c r="I64"/>
      <c r="J64"/>
      <c r="K64"/>
      <c r="L64"/>
      <c r="M64"/>
      <c r="N64"/>
      <c r="O64"/>
      <c r="P64"/>
      <c r="Q64"/>
      <c r="R64"/>
      <c r="S64"/>
      <c r="T64"/>
      <c r="U64"/>
      <c r="V64"/>
      <c r="W64" s="12" t="s">
        <v>79</v>
      </c>
      <c r="Y64" s="13">
        <v>285869</v>
      </c>
      <c r="Z64" s="13">
        <v>1483851</v>
      </c>
      <c r="AA64" s="13">
        <v>44684</v>
      </c>
      <c r="AB64" s="13">
        <v>251690</v>
      </c>
      <c r="AC64" s="13">
        <v>581872</v>
      </c>
      <c r="AD64" s="13">
        <v>1774123</v>
      </c>
      <c r="AE64" s="13">
        <v>942670</v>
      </c>
      <c r="AF64" s="13">
        <v>606382</v>
      </c>
      <c r="AG64" s="13">
        <v>88827</v>
      </c>
      <c r="AH64" s="13">
        <v>1004138</v>
      </c>
      <c r="AI64" s="13">
        <v>576664</v>
      </c>
      <c r="AJ64" s="13">
        <v>984785</v>
      </c>
      <c r="AK64" s="13">
        <v>572808</v>
      </c>
    </row>
    <row r="65" spans="1:37" s="12" customFormat="1" x14ac:dyDescent="0.25">
      <c r="A65"/>
      <c r="B65"/>
      <c r="C65"/>
      <c r="D65"/>
      <c r="E65"/>
      <c r="F65"/>
      <c r="G65"/>
      <c r="H65"/>
      <c r="I65"/>
      <c r="J65"/>
      <c r="K65"/>
      <c r="L65"/>
      <c r="M65"/>
      <c r="N65"/>
      <c r="O65"/>
      <c r="P65"/>
      <c r="Q65"/>
      <c r="R65"/>
      <c r="S65"/>
      <c r="T65"/>
      <c r="U65"/>
      <c r="V65"/>
      <c r="W65" s="12" t="s">
        <v>82</v>
      </c>
      <c r="X65" s="19"/>
      <c r="Y65" s="19">
        <f t="shared" ref="Y65:AF65" si="53">+Y64/Y61</f>
        <v>9.6364159162717358E-2</v>
      </c>
      <c r="Z65" s="19">
        <f t="shared" si="53"/>
        <v>0.33076673588053751</v>
      </c>
      <c r="AA65" s="19">
        <f t="shared" si="53"/>
        <v>1.4643966835760722E-2</v>
      </c>
      <c r="AB65" s="19">
        <f t="shared" si="53"/>
        <v>6.7918298353705137E-2</v>
      </c>
      <c r="AC65" s="19">
        <f t="shared" si="53"/>
        <v>0.13012802091451817</v>
      </c>
      <c r="AD65" s="19">
        <f t="shared" si="53"/>
        <v>0.28135222396367987</v>
      </c>
      <c r="AE65" s="19">
        <f t="shared" si="53"/>
        <v>0.14714118386006361</v>
      </c>
      <c r="AF65" s="19">
        <f t="shared" si="53"/>
        <v>8.6074911527155351E-2</v>
      </c>
      <c r="AG65" s="19">
        <f>+AG64/AG61</f>
        <v>1.4942252626968019E-2</v>
      </c>
      <c r="AH65" s="19">
        <f t="shared" ref="AH65:AJ65" si="54">+AH64/AH61</f>
        <v>0.14385399508155716</v>
      </c>
      <c r="AI65" s="19">
        <f t="shared" si="54"/>
        <v>8.2612713152530035E-2</v>
      </c>
      <c r="AJ65" s="19">
        <f t="shared" si="54"/>
        <v>0.1403529600060657</v>
      </c>
      <c r="AK65" s="19">
        <f>+AK64/AK61</f>
        <v>9.8717619504729862E-2</v>
      </c>
    </row>
    <row r="66" spans="1:37" s="12" customFormat="1" x14ac:dyDescent="0.25">
      <c r="A66"/>
      <c r="B66"/>
      <c r="C66"/>
      <c r="D66"/>
      <c r="E66"/>
      <c r="F66"/>
      <c r="G66"/>
      <c r="H66"/>
      <c r="I66"/>
      <c r="J66"/>
      <c r="K66"/>
      <c r="L66"/>
      <c r="M66"/>
      <c r="N66"/>
      <c r="O66"/>
      <c r="P66"/>
      <c r="Q66"/>
      <c r="R66"/>
      <c r="S66"/>
      <c r="T66"/>
      <c r="U66"/>
      <c r="V66"/>
      <c r="W66" s="12" t="s">
        <v>21</v>
      </c>
      <c r="Y66" s="13">
        <v>264982</v>
      </c>
      <c r="Z66" s="13">
        <v>1466542</v>
      </c>
      <c r="AA66" s="13">
        <v>21854</v>
      </c>
      <c r="AB66" s="13">
        <v>217960</v>
      </c>
      <c r="AC66" s="13">
        <v>536178</v>
      </c>
      <c r="AD66" s="10">
        <v>1755164</v>
      </c>
      <c r="AE66" s="13">
        <v>872894</v>
      </c>
      <c r="AF66" s="13">
        <v>442398</v>
      </c>
      <c r="AG66" s="13">
        <v>-161450</v>
      </c>
      <c r="AH66" s="13">
        <v>783475</v>
      </c>
      <c r="AI66" s="13">
        <v>399359</v>
      </c>
      <c r="AJ66" s="13">
        <v>872348</v>
      </c>
      <c r="AK66" s="13">
        <v>439877</v>
      </c>
    </row>
    <row r="67" spans="1:37" s="12" customFormat="1" x14ac:dyDescent="0.25">
      <c r="A67"/>
      <c r="B67"/>
      <c r="C67"/>
      <c r="D67"/>
      <c r="E67"/>
      <c r="F67"/>
      <c r="G67"/>
      <c r="H67"/>
      <c r="I67"/>
      <c r="J67"/>
      <c r="K67"/>
      <c r="L67"/>
      <c r="M67"/>
      <c r="N67"/>
      <c r="O67"/>
      <c r="P67"/>
      <c r="Q67"/>
      <c r="R67"/>
      <c r="S67"/>
      <c r="T67"/>
      <c r="U67"/>
      <c r="V67"/>
      <c r="W67" s="12" t="s">
        <v>82</v>
      </c>
      <c r="Y67" s="19">
        <f t="shared" ref="Y67:AF67" si="55">+Y66/Y61</f>
        <v>8.9323318104639435E-2</v>
      </c>
      <c r="Z67" s="19">
        <f t="shared" si="55"/>
        <v>0.32690836908268772</v>
      </c>
      <c r="AA67" s="19">
        <f t="shared" si="55"/>
        <v>7.1620546779320293E-3</v>
      </c>
      <c r="AB67" s="19">
        <f t="shared" si="55"/>
        <v>5.8816291108798803E-2</v>
      </c>
      <c r="AC67" s="19">
        <f t="shared" si="55"/>
        <v>0.11990915871171756</v>
      </c>
      <c r="AD67" s="19">
        <f t="shared" si="55"/>
        <v>0.27834557965878814</v>
      </c>
      <c r="AE67" s="19">
        <f t="shared" si="55"/>
        <v>0.13624986108006659</v>
      </c>
      <c r="AF67" s="19">
        <f t="shared" si="55"/>
        <v>6.2797656773767155E-2</v>
      </c>
      <c r="AG67" s="19">
        <f>+AG66/AG61</f>
        <v>-2.7158709475992509E-2</v>
      </c>
      <c r="AH67" s="19">
        <f t="shared" ref="AH67:AJ67" si="56">+AH66/AH61</f>
        <v>0.11224155324917789</v>
      </c>
      <c r="AI67" s="19">
        <f t="shared" si="56"/>
        <v>5.7212051579223329E-2</v>
      </c>
      <c r="AJ67" s="19">
        <f t="shared" si="56"/>
        <v>0.1243282787160359</v>
      </c>
      <c r="AK67" s="19">
        <f>+AK66/AK61</f>
        <v>7.5808316774350321E-2</v>
      </c>
    </row>
    <row r="68" spans="1:37" x14ac:dyDescent="0.25">
      <c r="W68" s="12" t="s">
        <v>354</v>
      </c>
      <c r="Y68" s="13">
        <v>226421</v>
      </c>
      <c r="Z68" s="13">
        <v>1542649</v>
      </c>
      <c r="AA68" s="13">
        <v>36324</v>
      </c>
      <c r="AB68" s="13">
        <v>226061</v>
      </c>
      <c r="AC68" s="13">
        <v>458882</v>
      </c>
      <c r="AD68" s="13">
        <v>1447437</v>
      </c>
      <c r="AE68" s="13">
        <v>706473</v>
      </c>
      <c r="AF68" s="13">
        <v>397537</v>
      </c>
      <c r="AG68" s="13">
        <v>-513167</v>
      </c>
      <c r="AH68" s="13">
        <v>1982562</v>
      </c>
      <c r="AI68" s="13">
        <v>296532</v>
      </c>
      <c r="AJ68" s="13">
        <v>595079</v>
      </c>
      <c r="AK68" s="13">
        <v>318807</v>
      </c>
    </row>
    <row r="69" spans="1:37" x14ac:dyDescent="0.25">
      <c r="W69" s="12" t="s">
        <v>82</v>
      </c>
      <c r="Y69" s="19">
        <f>+Y68/Y61</f>
        <v>7.6324712654333368E-2</v>
      </c>
      <c r="Z69" s="19">
        <f>+Z68/Z61</f>
        <v>0.3438734578737187</v>
      </c>
      <c r="AA69" s="19">
        <f t="shared" ref="AA69:AJ69" si="57">+AA68/AA61</f>
        <v>1.1904203995662261E-2</v>
      </c>
      <c r="AB69" s="19">
        <f t="shared" si="57"/>
        <v>6.1002337971857987E-2</v>
      </c>
      <c r="AC69" s="19">
        <f t="shared" si="57"/>
        <v>0.10262292478980932</v>
      </c>
      <c r="AD69" s="19">
        <f t="shared" si="57"/>
        <v>0.22954418549182715</v>
      </c>
      <c r="AE69" s="19">
        <f t="shared" si="57"/>
        <v>0.11027323833915444</v>
      </c>
      <c r="AF69" s="19">
        <f t="shared" si="57"/>
        <v>5.6429712794526812E-2</v>
      </c>
      <c r="AG69" s="19">
        <f t="shared" si="57"/>
        <v>-8.6323651072571367E-2</v>
      </c>
      <c r="AH69" s="19">
        <f t="shared" si="57"/>
        <v>0.28402417217243259</v>
      </c>
      <c r="AI69" s="19">
        <f t="shared" si="57"/>
        <v>4.2481086137761394E-2</v>
      </c>
      <c r="AJ69" s="19">
        <f t="shared" si="57"/>
        <v>8.4811506153576244E-2</v>
      </c>
      <c r="AK69" s="19">
        <f t="shared" ref="AK69" si="58">+AK68/AK61</f>
        <v>5.4943136481062443E-2</v>
      </c>
    </row>
    <row r="72" spans="1:37" x14ac:dyDescent="0.25">
      <c r="W72" s="47" t="s">
        <v>356</v>
      </c>
      <c r="AC72" s="13"/>
      <c r="AG72" s="13"/>
      <c r="AK72" s="13"/>
    </row>
    <row r="73" spans="1:37" x14ac:dyDescent="0.25">
      <c r="W73" s="12" t="s">
        <v>78</v>
      </c>
      <c r="Y73" s="13">
        <v>16004403</v>
      </c>
      <c r="Z73" s="13">
        <v>14477478</v>
      </c>
      <c r="AA73" s="13">
        <v>15095537</v>
      </c>
      <c r="AB73" s="13">
        <v>14029663</v>
      </c>
      <c r="AC73" s="13">
        <v>18424517</v>
      </c>
      <c r="AD73" s="13">
        <v>19459117</v>
      </c>
      <c r="AE73" s="13">
        <v>23906994</v>
      </c>
      <c r="AF73" s="13">
        <v>24866089</v>
      </c>
      <c r="AG73" s="13">
        <v>25798166</v>
      </c>
      <c r="AH73" s="13">
        <v>25201534</v>
      </c>
      <c r="AI73" s="13">
        <v>27613970</v>
      </c>
      <c r="AJ73" s="13">
        <v>27265883</v>
      </c>
      <c r="AK73" s="13">
        <v>27219595</v>
      </c>
    </row>
    <row r="74" spans="1:37" x14ac:dyDescent="0.25">
      <c r="W74" s="12" t="s">
        <v>40</v>
      </c>
      <c r="X74" s="17"/>
      <c r="Y74" s="17"/>
      <c r="Z74" s="17"/>
      <c r="AA74" s="17"/>
      <c r="AB74" s="18"/>
      <c r="AC74" s="18">
        <f t="shared" ref="AC74:AD74" si="59">+AC73/Y73-1</f>
        <v>0.15121551238118669</v>
      </c>
      <c r="AD74" s="18">
        <f t="shared" si="59"/>
        <v>0.34409577413966708</v>
      </c>
      <c r="AE74" s="18">
        <f t="shared" ref="AE74" si="60">+AE73/AA73-1</f>
        <v>0.58371272250864603</v>
      </c>
      <c r="AF74" s="18">
        <f t="shared" ref="AF74" si="61">+AF73/AB73-1</f>
        <v>0.77239389142846848</v>
      </c>
      <c r="AG74" s="18">
        <f t="shared" ref="AG74" si="62">+AG73/AC73-1</f>
        <v>0.40020853735270245</v>
      </c>
      <c r="AH74" s="18">
        <f t="shared" ref="AH74" si="63">+AH73/AD73-1</f>
        <v>0.29510162254536021</v>
      </c>
      <c r="AI74" s="18">
        <f t="shared" ref="AI74:AK74" si="64">+AI73/AE73-1</f>
        <v>0.15505822271089365</v>
      </c>
      <c r="AJ74" s="18">
        <f t="shared" si="64"/>
        <v>9.650870307751247E-2</v>
      </c>
      <c r="AK74" s="18">
        <f t="shared" si="64"/>
        <v>5.5098063947646603E-2</v>
      </c>
    </row>
    <row r="75" spans="1:37" x14ac:dyDescent="0.25">
      <c r="W75" s="12" t="s">
        <v>41</v>
      </c>
      <c r="Y75" s="18"/>
      <c r="Z75" s="18">
        <f t="shared" ref="Z75:AA75" si="65">+Z73/Y73-1</f>
        <v>-9.5406557807873216E-2</v>
      </c>
      <c r="AA75" s="18">
        <f t="shared" si="65"/>
        <v>4.2691068154273815E-2</v>
      </c>
      <c r="AB75" s="18">
        <f t="shared" ref="AB75" si="66">+AB73/AA73-1</f>
        <v>-7.0608551388400387E-2</v>
      </c>
      <c r="AC75" s="18">
        <f t="shared" ref="AC75" si="67">+AC73/AB73-1</f>
        <v>0.31325442385893365</v>
      </c>
      <c r="AD75" s="18">
        <f t="shared" ref="AD75" si="68">+AD73/AC73-1</f>
        <v>5.615343946329765E-2</v>
      </c>
      <c r="AE75" s="18">
        <f t="shared" ref="AE75" si="69">+AE73/AD73-1</f>
        <v>0.22857547955541868</v>
      </c>
      <c r="AF75" s="18">
        <f t="shared" ref="AF75" si="70">+AF73/AE73-1</f>
        <v>4.0117758008388682E-2</v>
      </c>
      <c r="AG75" s="18">
        <f t="shared" ref="AG75" si="71">+AG73/AF73-1</f>
        <v>3.7483860047311746E-2</v>
      </c>
      <c r="AH75" s="18">
        <f t="shared" ref="AH75" si="72">+AH73/AG73-1</f>
        <v>-2.3126915300878403E-2</v>
      </c>
      <c r="AI75" s="18">
        <f t="shared" ref="AI75:AK75" si="73">+AI73/AH73-1</f>
        <v>9.5725760185868092E-2</v>
      </c>
      <c r="AJ75" s="18">
        <f t="shared" si="73"/>
        <v>-1.2605467449990027E-2</v>
      </c>
      <c r="AK75" s="18">
        <f t="shared" si="73"/>
        <v>-1.6976527039304079E-3</v>
      </c>
    </row>
    <row r="76" spans="1:37" x14ac:dyDescent="0.25">
      <c r="W76" s="12" t="s">
        <v>79</v>
      </c>
      <c r="Y76" s="13">
        <v>796935</v>
      </c>
      <c r="Z76" s="13">
        <v>915221</v>
      </c>
      <c r="AA76" s="13">
        <v>486037</v>
      </c>
      <c r="AB76" s="13">
        <v>7942</v>
      </c>
      <c r="AC76" s="13">
        <v>931054</v>
      </c>
      <c r="AD76" s="13">
        <v>1247074</v>
      </c>
      <c r="AE76" s="13">
        <v>1138408</v>
      </c>
      <c r="AF76" s="13">
        <v>900543</v>
      </c>
      <c r="AG76" s="13">
        <v>1193231</v>
      </c>
      <c r="AH76" s="13">
        <v>1260776</v>
      </c>
      <c r="AI76" s="13">
        <v>927529</v>
      </c>
      <c r="AJ76" s="13">
        <v>950649</v>
      </c>
      <c r="AK76" s="13">
        <v>1175117</v>
      </c>
    </row>
    <row r="77" spans="1:37" x14ac:dyDescent="0.25">
      <c r="W77" s="12" t="s">
        <v>82</v>
      </c>
      <c r="X77" s="19"/>
      <c r="Y77" s="19">
        <f t="shared" ref="Y77:AF77" si="74">+Y76/Y73</f>
        <v>4.9794734611469105E-2</v>
      </c>
      <c r="Z77" s="19">
        <f t="shared" si="74"/>
        <v>6.3216880730193478E-2</v>
      </c>
      <c r="AA77" s="19">
        <f t="shared" si="74"/>
        <v>3.219739715122423E-2</v>
      </c>
      <c r="AB77" s="19">
        <f t="shared" si="74"/>
        <v>5.660862987229273E-4</v>
      </c>
      <c r="AC77" s="19">
        <f t="shared" si="74"/>
        <v>5.0533427823372522E-2</v>
      </c>
      <c r="AD77" s="19">
        <f t="shared" si="74"/>
        <v>6.4086875062213763E-2</v>
      </c>
      <c r="AE77" s="19">
        <f t="shared" si="74"/>
        <v>4.7618199092700653E-2</v>
      </c>
      <c r="AF77" s="19">
        <f t="shared" si="74"/>
        <v>3.621570726301189E-2</v>
      </c>
      <c r="AG77" s="19">
        <f>+AG76/AG73</f>
        <v>4.6252551441059803E-2</v>
      </c>
      <c r="AH77" s="19">
        <f t="shared" ref="AH77:AJ77" si="75">+AH76/AH73</f>
        <v>5.0027748310876634E-2</v>
      </c>
      <c r="AI77" s="19">
        <f t="shared" si="75"/>
        <v>3.3589121738018833E-2</v>
      </c>
      <c r="AJ77" s="19">
        <f t="shared" si="75"/>
        <v>3.486587982498128E-2</v>
      </c>
      <c r="AK77" s="19">
        <f>+AK76/AK73</f>
        <v>4.3171729777757531E-2</v>
      </c>
    </row>
    <row r="78" spans="1:37" x14ac:dyDescent="0.25">
      <c r="W78" s="12" t="s">
        <v>21</v>
      </c>
      <c r="Y78" s="13">
        <v>412294</v>
      </c>
      <c r="Z78" s="13">
        <v>523687</v>
      </c>
      <c r="AA78" s="13">
        <v>66296</v>
      </c>
      <c r="AB78" s="13">
        <v>-456025</v>
      </c>
      <c r="AC78" s="13">
        <v>467771</v>
      </c>
      <c r="AD78" s="13">
        <v>752769</v>
      </c>
      <c r="AE78" s="13">
        <v>528786</v>
      </c>
      <c r="AF78" s="13">
        <v>17238</v>
      </c>
      <c r="AG78" s="13">
        <v>292545</v>
      </c>
      <c r="AH78" s="13">
        <v>413469</v>
      </c>
      <c r="AI78" s="13">
        <v>142720</v>
      </c>
      <c r="AJ78" s="13">
        <v>271892</v>
      </c>
      <c r="AK78" s="13">
        <v>536237</v>
      </c>
    </row>
    <row r="79" spans="1:37" x14ac:dyDescent="0.25">
      <c r="W79" s="12" t="s">
        <v>82</v>
      </c>
      <c r="Y79" s="19">
        <f t="shared" ref="Y79:AF79" si="76">+Y78/Y73</f>
        <v>2.5761285816159465E-2</v>
      </c>
      <c r="Z79" s="19">
        <f t="shared" si="76"/>
        <v>3.6172529497195578E-2</v>
      </c>
      <c r="AA79" s="19">
        <f t="shared" si="76"/>
        <v>4.3917616180199487E-3</v>
      </c>
      <c r="AB79" s="19">
        <f t="shared" si="76"/>
        <v>-3.2504344544840455E-2</v>
      </c>
      <c r="AC79" s="19">
        <f t="shared" si="76"/>
        <v>2.5388508149223124E-2</v>
      </c>
      <c r="AD79" s="19">
        <f t="shared" si="76"/>
        <v>3.8684643295993339E-2</v>
      </c>
      <c r="AE79" s="19">
        <f t="shared" si="76"/>
        <v>2.2118464579863113E-2</v>
      </c>
      <c r="AF79" s="19">
        <f t="shared" si="76"/>
        <v>6.9323326237592092E-4</v>
      </c>
      <c r="AG79" s="19">
        <f>+AG78/AG73</f>
        <v>1.1339759578258392E-2</v>
      </c>
      <c r="AH79" s="19">
        <f t="shared" ref="AH79:AJ79" si="77">+AH78/AH73</f>
        <v>1.6406501286786748E-2</v>
      </c>
      <c r="AI79" s="19">
        <f t="shared" si="77"/>
        <v>5.1683984591856949E-3</v>
      </c>
      <c r="AJ79" s="19">
        <f t="shared" si="77"/>
        <v>9.9718758420550696E-3</v>
      </c>
      <c r="AK79" s="19">
        <f>+AK78/AK73</f>
        <v>1.970040333076227E-2</v>
      </c>
    </row>
    <row r="80" spans="1:37" x14ac:dyDescent="0.25">
      <c r="W80" s="12" t="s">
        <v>354</v>
      </c>
      <c r="Y80" s="13">
        <v>289237</v>
      </c>
      <c r="Z80" s="13">
        <v>344546</v>
      </c>
      <c r="AA80" s="13">
        <v>54403</v>
      </c>
      <c r="AB80" s="13">
        <v>-297795</v>
      </c>
      <c r="AC80" s="13">
        <v>357120</v>
      </c>
      <c r="AD80" s="13">
        <v>365807</v>
      </c>
      <c r="AE80" s="13">
        <v>398147</v>
      </c>
      <c r="AF80" s="13">
        <v>25496</v>
      </c>
      <c r="AG80" s="13">
        <v>197100</v>
      </c>
      <c r="AH80" s="13">
        <v>268491</v>
      </c>
      <c r="AI80" s="13">
        <v>152384</v>
      </c>
      <c r="AJ80" s="13">
        <v>200484</v>
      </c>
      <c r="AK80" s="13">
        <v>375310</v>
      </c>
    </row>
    <row r="81" spans="23:38" x14ac:dyDescent="0.25">
      <c r="W81" s="12" t="s">
        <v>82</v>
      </c>
      <c r="Y81" s="19">
        <f>+Y80/Y73</f>
        <v>1.8072339218151406E-2</v>
      </c>
      <c r="Z81" s="19">
        <f>+Z80/Z73</f>
        <v>2.3798758319646559E-2</v>
      </c>
      <c r="AA81" s="19">
        <f t="shared" ref="AA81" si="78">+AA80/AA73</f>
        <v>3.6039128651070844E-3</v>
      </c>
      <c r="AB81" s="19">
        <f t="shared" ref="AB81" si="79">+AB80/AB73</f>
        <v>-2.1226097875622529E-2</v>
      </c>
      <c r="AC81" s="19">
        <f t="shared" ref="AC81" si="80">+AC80/AC73</f>
        <v>1.9382869032604763E-2</v>
      </c>
      <c r="AD81" s="19">
        <f t="shared" ref="AD81" si="81">+AD80/AD73</f>
        <v>1.8798746109599938E-2</v>
      </c>
      <c r="AE81" s="19">
        <f t="shared" ref="AE81" si="82">+AE80/AE73</f>
        <v>1.6653996734177456E-2</v>
      </c>
      <c r="AF81" s="19">
        <f t="shared" ref="AF81" si="83">+AF80/AF73</f>
        <v>1.0253321300346026E-3</v>
      </c>
      <c r="AG81" s="19">
        <f t="shared" ref="AG81" si="84">+AG80/AG73</f>
        <v>7.6400779807370804E-3</v>
      </c>
      <c r="AH81" s="19">
        <f t="shared" ref="AH81" si="85">+AH80/AH73</f>
        <v>1.0653756235632323E-2</v>
      </c>
      <c r="AI81" s="19">
        <f t="shared" ref="AI81:AK81" si="86">+AI80/AI73</f>
        <v>5.5183662472292104E-3</v>
      </c>
      <c r="AJ81" s="19">
        <f t="shared" si="86"/>
        <v>7.3529252656149074E-3</v>
      </c>
      <c r="AK81" s="19">
        <f t="shared" si="86"/>
        <v>1.3788228663945955E-2</v>
      </c>
    </row>
    <row r="83" spans="23:38" x14ac:dyDescent="0.25">
      <c r="W83" s="47" t="s">
        <v>164</v>
      </c>
    </row>
    <row r="84" spans="23:38" x14ac:dyDescent="0.25">
      <c r="W84" s="12" t="s">
        <v>357</v>
      </c>
      <c r="X84" s="56"/>
      <c r="Y84" s="56"/>
      <c r="Z84" s="56"/>
      <c r="AA84" s="56"/>
      <c r="AB84" s="56"/>
      <c r="AC84" s="56"/>
      <c r="AD84" s="56"/>
      <c r="AE84" s="56"/>
      <c r="AF84" s="56"/>
      <c r="AG84" s="56"/>
      <c r="AH84" s="56"/>
      <c r="AI84" s="56"/>
      <c r="AJ84" s="56"/>
      <c r="AK84" s="56"/>
      <c r="AL84" s="13"/>
    </row>
    <row r="85" spans="23:38" x14ac:dyDescent="0.25">
      <c r="W85" s="12" t="s">
        <v>358</v>
      </c>
      <c r="X85" s="56">
        <v>19</v>
      </c>
      <c r="Y85" s="56">
        <v>-11</v>
      </c>
      <c r="Z85" s="56">
        <v>30</v>
      </c>
      <c r="AA85" s="56">
        <v>25</v>
      </c>
      <c r="AB85" s="56">
        <v>-12</v>
      </c>
      <c r="AC85" s="56">
        <v>37</v>
      </c>
      <c r="AD85" s="56">
        <v>25</v>
      </c>
      <c r="AE85" s="56">
        <v>31</v>
      </c>
      <c r="AF85" s="56">
        <v>6</v>
      </c>
      <c r="AG85" s="56">
        <v>-19</v>
      </c>
      <c r="AH85" s="56">
        <v>-30</v>
      </c>
      <c r="AI85" s="56">
        <v>-10</v>
      </c>
      <c r="AJ85" s="56">
        <v>-2</v>
      </c>
      <c r="AK85" s="56"/>
      <c r="AL85" s="18"/>
    </row>
    <row r="86" spans="23:38" x14ac:dyDescent="0.25">
      <c r="W86" s="12" t="s">
        <v>359</v>
      </c>
      <c r="X86" s="56">
        <v>1</v>
      </c>
      <c r="Y86" s="56">
        <v>-13</v>
      </c>
      <c r="Z86" s="56">
        <v>1</v>
      </c>
      <c r="AA86" s="56">
        <v>18</v>
      </c>
      <c r="AB86" s="56">
        <v>-14</v>
      </c>
      <c r="AC86" s="56">
        <v>37</v>
      </c>
      <c r="AD86" s="56">
        <v>34</v>
      </c>
      <c r="AE86" s="56">
        <v>56</v>
      </c>
      <c r="AF86" s="56">
        <v>13</v>
      </c>
      <c r="AG86" s="56">
        <v>-19</v>
      </c>
      <c r="AH86" s="56">
        <v>-40</v>
      </c>
      <c r="AI86" s="56">
        <v>-3</v>
      </c>
      <c r="AJ86" s="56">
        <v>5</v>
      </c>
      <c r="AK86" s="56"/>
      <c r="AL86" s="13"/>
    </row>
    <row r="87" spans="23:38" x14ac:dyDescent="0.25">
      <c r="W87" s="12" t="s">
        <v>364</v>
      </c>
      <c r="X87" s="56">
        <v>-2</v>
      </c>
      <c r="Y87" s="56">
        <v>-13</v>
      </c>
      <c r="Z87" s="56">
        <v>22</v>
      </c>
      <c r="AA87" s="56">
        <v>30</v>
      </c>
      <c r="AB87" s="56">
        <v>0</v>
      </c>
      <c r="AC87" s="56">
        <v>22</v>
      </c>
      <c r="AD87" s="56">
        <v>2</v>
      </c>
      <c r="AE87" s="56">
        <v>14</v>
      </c>
      <c r="AF87" s="56">
        <v>-11</v>
      </c>
      <c r="AG87" s="56">
        <v>-33</v>
      </c>
      <c r="AH87" s="56">
        <v>-48</v>
      </c>
      <c r="AI87" s="56">
        <v>-35</v>
      </c>
      <c r="AJ87" s="56">
        <v>-18</v>
      </c>
      <c r="AK87" s="56"/>
      <c r="AL87" s="18"/>
    </row>
    <row r="88" spans="23:38" x14ac:dyDescent="0.25">
      <c r="Y88" s="17"/>
      <c r="Z88" s="17"/>
      <c r="AA88" s="17"/>
      <c r="AB88" s="18"/>
      <c r="AC88" s="18"/>
      <c r="AD88" s="18"/>
      <c r="AE88" s="18"/>
      <c r="AF88" s="18"/>
      <c r="AG88" s="18"/>
      <c r="AH88" s="18"/>
      <c r="AI88" s="18"/>
      <c r="AJ88" s="18"/>
      <c r="AK88" s="18"/>
      <c r="AL88" s="18"/>
    </row>
    <row r="89" spans="23:38" x14ac:dyDescent="0.25">
      <c r="W89" s="12" t="s">
        <v>360</v>
      </c>
      <c r="Y89" s="14"/>
      <c r="Z89" s="14"/>
      <c r="AA89" s="14"/>
      <c r="AB89" s="14"/>
      <c r="AC89" s="14"/>
      <c r="AD89" s="14"/>
      <c r="AE89" s="14"/>
      <c r="AF89" s="14"/>
      <c r="AG89" s="14"/>
      <c r="AH89" s="14"/>
      <c r="AI89" s="14"/>
      <c r="AJ89" s="14"/>
      <c r="AK89" s="14"/>
      <c r="AL89" s="14"/>
    </row>
    <row r="90" spans="23:38" x14ac:dyDescent="0.25">
      <c r="W90" s="12" t="s">
        <v>361</v>
      </c>
      <c r="X90" s="56">
        <v>-1.9</v>
      </c>
      <c r="Y90" s="56">
        <v>-1</v>
      </c>
      <c r="Z90" s="56">
        <v>1.5</v>
      </c>
      <c r="AA90" s="56">
        <v>39.299999999999997</v>
      </c>
      <c r="AB90" s="56">
        <v>-8.6999999999999993</v>
      </c>
      <c r="AC90" s="56">
        <v>9.5</v>
      </c>
      <c r="AD90" s="56">
        <v>18.899999999999999</v>
      </c>
      <c r="AE90" s="56">
        <v>54.2</v>
      </c>
      <c r="AF90" s="56">
        <v>73.7</v>
      </c>
      <c r="AG90" s="56">
        <v>40.6</v>
      </c>
      <c r="AH90" s="56">
        <v>30.1</v>
      </c>
      <c r="AI90" s="56">
        <v>22.8</v>
      </c>
      <c r="AJ90" s="56">
        <v>10</v>
      </c>
      <c r="AK90" s="56">
        <v>11</v>
      </c>
    </row>
    <row r="91" spans="23:38" x14ac:dyDescent="0.25">
      <c r="W91" s="12" t="s">
        <v>362</v>
      </c>
      <c r="X91" s="56">
        <v>-17.2</v>
      </c>
      <c r="Y91" s="56">
        <v>-33.9</v>
      </c>
      <c r="Z91" s="56">
        <v>-19.100000000000001</v>
      </c>
      <c r="AA91" s="56">
        <v>37.6</v>
      </c>
      <c r="AB91" s="56">
        <v>-37.200000000000003</v>
      </c>
      <c r="AC91" s="56">
        <v>18.5</v>
      </c>
      <c r="AD91" s="56">
        <v>17</v>
      </c>
      <c r="AE91" s="56">
        <v>52.2</v>
      </c>
      <c r="AF91" s="56">
        <v>76.900000000000006</v>
      </c>
      <c r="AG91" s="56">
        <v>11.1</v>
      </c>
      <c r="AH91" s="56">
        <v>0.1</v>
      </c>
      <c r="AI91" s="56">
        <v>14.8</v>
      </c>
      <c r="AJ91" s="56">
        <v>11</v>
      </c>
      <c r="AK91" s="56">
        <v>16</v>
      </c>
    </row>
    <row r="92" spans="23:38" x14ac:dyDescent="0.25">
      <c r="W92" s="12" t="s">
        <v>363</v>
      </c>
      <c r="X92" s="56">
        <v>18.5</v>
      </c>
      <c r="Y92" s="56">
        <v>49.6</v>
      </c>
      <c r="Z92" s="56">
        <v>25.5</v>
      </c>
      <c r="AA92" s="56">
        <v>1.2</v>
      </c>
      <c r="AB92" s="56">
        <v>45.2</v>
      </c>
      <c r="AC92" s="56">
        <v>-7.6</v>
      </c>
      <c r="AD92" s="56">
        <v>1.6</v>
      </c>
      <c r="AE92" s="56">
        <v>1.4</v>
      </c>
      <c r="AF92" s="56">
        <v>-1.8</v>
      </c>
      <c r="AG92" s="56">
        <v>26.5</v>
      </c>
      <c r="AH92" s="56">
        <v>30</v>
      </c>
      <c r="AI92" s="56">
        <v>7</v>
      </c>
      <c r="AJ92" s="56">
        <v>0</v>
      </c>
      <c r="AK92" s="56"/>
    </row>
  </sheetData>
  <mergeCells count="4">
    <mergeCell ref="B13:H13"/>
    <mergeCell ref="AO2:AS2"/>
    <mergeCell ref="AT2:AX2"/>
    <mergeCell ref="AY2:BC2"/>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A67D5-9226-4D25-A1EA-F3E0C6B3F652}">
  <sheetPr>
    <tabColor rgb="FF92D050"/>
  </sheetPr>
  <dimension ref="A1:AY97"/>
  <sheetViews>
    <sheetView topLeftCell="X1" zoomScale="85" zoomScaleNormal="85" workbookViewId="0">
      <selection activeCell="AL49" sqref="AL49"/>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8" width="12" style="12" customWidth="1"/>
    <col min="39" max="40" width="8.85546875" style="12"/>
    <col min="41" max="41" width="14.28515625" style="50" bestFit="1" customWidth="1"/>
    <col min="42" max="16384" width="8.85546875" style="50"/>
  </cols>
  <sheetData>
    <row r="1" spans="1:51" ht="15.75" thickBot="1" x14ac:dyDescent="0.3">
      <c r="W1" s="20" t="s">
        <v>194</v>
      </c>
      <c r="X1" s="59">
        <f>+'Valuation Sheet'!C16</f>
        <v>25.7</v>
      </c>
    </row>
    <row r="2" spans="1:51"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419</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c r="AL2" s="11" t="s">
        <v>1018</v>
      </c>
      <c r="AO2" s="71" t="str">
        <f>+W2</f>
        <v>LMF</v>
      </c>
      <c r="AP2" s="189" t="s">
        <v>190</v>
      </c>
      <c r="AQ2" s="190"/>
      <c r="AR2" s="190"/>
      <c r="AS2" s="190"/>
      <c r="AT2" s="191"/>
      <c r="AU2" s="192" t="s">
        <v>191</v>
      </c>
      <c r="AV2" s="192"/>
      <c r="AW2" s="192"/>
      <c r="AX2" s="192"/>
      <c r="AY2" s="192"/>
    </row>
    <row r="3" spans="1:51" ht="18" thickTop="1" thickBot="1" x14ac:dyDescent="0.4">
      <c r="B3" s="25" t="s">
        <v>10</v>
      </c>
      <c r="C3" s="26">
        <v>17820.179</v>
      </c>
      <c r="D3" s="26"/>
      <c r="E3" s="26"/>
      <c r="F3" s="26"/>
      <c r="G3" s="26"/>
      <c r="H3" s="26"/>
      <c r="I3" s="27"/>
      <c r="J3" s="21"/>
      <c r="M3" s="1" t="s">
        <v>11</v>
      </c>
      <c r="N3" s="2">
        <f>'[1]LT Portfolio'!W294</f>
        <v>0</v>
      </c>
      <c r="W3" s="12" t="s">
        <v>62</v>
      </c>
      <c r="X3" s="13">
        <v>1965991</v>
      </c>
      <c r="Y3" s="13">
        <v>1928154</v>
      </c>
      <c r="Z3" s="13">
        <v>1778289</v>
      </c>
      <c r="AA3" s="13">
        <v>2315966</v>
      </c>
      <c r="AB3" s="13">
        <v>2251040</v>
      </c>
      <c r="AC3" s="13">
        <v>2475571</v>
      </c>
      <c r="AD3" s="13">
        <v>2728962</v>
      </c>
      <c r="AE3" s="13">
        <v>3139626</v>
      </c>
      <c r="AF3" s="13">
        <v>3764887</v>
      </c>
      <c r="AG3" s="13">
        <v>3804743</v>
      </c>
      <c r="AH3" s="13">
        <v>3462245</v>
      </c>
      <c r="AI3" s="13">
        <v>4339309</v>
      </c>
      <c r="AJ3" s="13">
        <v>4370322</v>
      </c>
      <c r="AK3" s="13">
        <v>4267928</v>
      </c>
      <c r="AL3" s="13">
        <v>3785790</v>
      </c>
      <c r="AO3" s="69"/>
      <c r="AP3" s="66" t="s">
        <v>78</v>
      </c>
      <c r="AQ3" s="67" t="s">
        <v>17</v>
      </c>
      <c r="AR3" s="67" t="s">
        <v>184</v>
      </c>
      <c r="AS3" s="67" t="s">
        <v>29</v>
      </c>
      <c r="AT3" s="68" t="s">
        <v>30</v>
      </c>
      <c r="AU3" s="66" t="s">
        <v>78</v>
      </c>
      <c r="AV3" s="67" t="s">
        <v>17</v>
      </c>
      <c r="AW3" s="67" t="s">
        <v>184</v>
      </c>
      <c r="AX3" s="67" t="s">
        <v>29</v>
      </c>
      <c r="AY3" s="68" t="s">
        <v>30</v>
      </c>
    </row>
    <row r="4" spans="1:51"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f t="shared" ref="AB4:AL4" si="1">+AB3/X3-1</f>
        <v>0.14498998215149506</v>
      </c>
      <c r="AC4" s="18">
        <f t="shared" si="1"/>
        <v>0.28390730201010905</v>
      </c>
      <c r="AD4" s="18">
        <f t="shared" si="1"/>
        <v>0.53459983163591529</v>
      </c>
      <c r="AE4" s="18">
        <f t="shared" si="1"/>
        <v>0.35564425384483189</v>
      </c>
      <c r="AF4" s="18">
        <f t="shared" si="1"/>
        <v>0.67251003980382396</v>
      </c>
      <c r="AG4" s="18">
        <f t="shared" si="1"/>
        <v>0.53691532175809131</v>
      </c>
      <c r="AH4" s="18">
        <f t="shared" si="1"/>
        <v>0.26870399807692458</v>
      </c>
      <c r="AI4" s="18">
        <f t="shared" si="1"/>
        <v>0.38211016216581206</v>
      </c>
      <c r="AJ4" s="18">
        <f t="shared" si="1"/>
        <v>0.16081093536140667</v>
      </c>
      <c r="AK4" s="18">
        <f t="shared" si="1"/>
        <v>0.12173884017921832</v>
      </c>
      <c r="AL4" s="18">
        <f t="shared" si="1"/>
        <v>9.3449481478058205E-2</v>
      </c>
      <c r="AM4" s="46"/>
      <c r="AO4" s="69" t="s">
        <v>185</v>
      </c>
      <c r="AP4" s="60"/>
      <c r="AQ4" s="61"/>
      <c r="AR4" s="61"/>
      <c r="AS4" s="74"/>
      <c r="AT4" s="64"/>
      <c r="AU4" s="60"/>
      <c r="AV4" s="61"/>
      <c r="AW4" s="61"/>
      <c r="AX4" s="58"/>
      <c r="AY4" s="64"/>
    </row>
    <row r="5" spans="1:51" ht="18" thickTop="1" thickBot="1" x14ac:dyDescent="0.4">
      <c r="B5" s="32" t="s">
        <v>13</v>
      </c>
      <c r="C5" s="29">
        <v>2994.8620000000001</v>
      </c>
      <c r="D5" s="26"/>
      <c r="E5" s="26"/>
      <c r="F5" s="26"/>
      <c r="G5" s="26"/>
      <c r="H5" s="26"/>
      <c r="I5" s="27"/>
      <c r="J5" s="21"/>
      <c r="M5" s="1" t="s">
        <v>14</v>
      </c>
      <c r="N5" s="3">
        <f>202.575/415.481776</f>
        <v>0.48756651122045841</v>
      </c>
      <c r="W5" s="12" t="s">
        <v>41</v>
      </c>
      <c r="Y5" s="18">
        <f t="shared" ref="Y5:AL5" si="2">+Y3/X3-1</f>
        <v>-1.9245764604212345E-2</v>
      </c>
      <c r="Z5" s="18">
        <f t="shared" si="2"/>
        <v>-7.772460083582533E-2</v>
      </c>
      <c r="AA5" s="18">
        <f t="shared" si="2"/>
        <v>0.30235636614745975</v>
      </c>
      <c r="AB5" s="18">
        <f t="shared" si="2"/>
        <v>-2.8034090310479542E-2</v>
      </c>
      <c r="AC5" s="18">
        <f t="shared" si="2"/>
        <v>9.974545099154164E-2</v>
      </c>
      <c r="AD5" s="18">
        <f t="shared" si="2"/>
        <v>0.10235658763170186</v>
      </c>
      <c r="AE5" s="18">
        <f t="shared" si="2"/>
        <v>0.15048359046406645</v>
      </c>
      <c r="AF5" s="18">
        <f t="shared" si="2"/>
        <v>0.19915142759042004</v>
      </c>
      <c r="AG5" s="18">
        <f t="shared" si="2"/>
        <v>1.0586240702576299E-2</v>
      </c>
      <c r="AH5" s="18">
        <f t="shared" si="2"/>
        <v>-9.0018695086632627E-2</v>
      </c>
      <c r="AI5" s="18">
        <f t="shared" si="2"/>
        <v>0.25332233854045572</v>
      </c>
      <c r="AJ5" s="18">
        <f t="shared" si="2"/>
        <v>7.146990454010016E-3</v>
      </c>
      <c r="AK5" s="18">
        <f t="shared" si="2"/>
        <v>-2.3429394904997847E-2</v>
      </c>
      <c r="AL5" s="18">
        <f t="shared" si="2"/>
        <v>-0.11296769767437498</v>
      </c>
      <c r="AO5" s="69" t="s">
        <v>186</v>
      </c>
      <c r="AP5" s="60"/>
      <c r="AQ5" s="61"/>
      <c r="AR5" s="61"/>
      <c r="AS5" s="58"/>
      <c r="AT5" s="64"/>
      <c r="AU5" s="60"/>
      <c r="AV5" s="61"/>
      <c r="AW5" s="61"/>
      <c r="AX5" s="58"/>
      <c r="AY5" s="64"/>
    </row>
    <row r="6" spans="1:51"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O6" s="69" t="s">
        <v>187</v>
      </c>
      <c r="AP6" s="60"/>
      <c r="AQ6" s="61"/>
      <c r="AR6" s="61"/>
      <c r="AS6" s="58"/>
      <c r="AT6" s="64"/>
      <c r="AU6" s="60"/>
      <c r="AV6" s="61"/>
      <c r="AW6" s="61"/>
      <c r="AX6" s="58"/>
      <c r="AY6" s="64"/>
    </row>
    <row r="7" spans="1:51"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K7" s="13"/>
      <c r="AL7" s="13"/>
      <c r="AO7" s="69" t="s">
        <v>188</v>
      </c>
      <c r="AP7" s="60"/>
      <c r="AQ7" s="61"/>
      <c r="AR7" s="61"/>
      <c r="AS7" s="74"/>
      <c r="AT7" s="64"/>
      <c r="AU7" s="60"/>
      <c r="AV7" s="61"/>
      <c r="AW7" s="61"/>
      <c r="AX7" s="58"/>
      <c r="AY7" s="64"/>
    </row>
    <row r="8" spans="1:51"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L8" si="5">+AB7/X7-1</f>
        <v>#DIV/0!</v>
      </c>
      <c r="AC8" s="18" t="e">
        <f t="shared" si="5"/>
        <v>#DIV/0!</v>
      </c>
      <c r="AD8" s="18" t="e">
        <f t="shared" si="5"/>
        <v>#DIV/0!</v>
      </c>
      <c r="AE8" s="18" t="e">
        <f t="shared" si="5"/>
        <v>#DIV/0!</v>
      </c>
      <c r="AF8" s="18" t="e">
        <f t="shared" si="5"/>
        <v>#DIV/0!</v>
      </c>
      <c r="AG8" s="18" t="e">
        <f t="shared" si="5"/>
        <v>#DIV/0!</v>
      </c>
      <c r="AH8" s="18" t="e">
        <f t="shared" si="5"/>
        <v>#DIV/0!</v>
      </c>
      <c r="AI8" s="18" t="e">
        <f t="shared" si="5"/>
        <v>#DIV/0!</v>
      </c>
      <c r="AJ8" s="18" t="e">
        <f t="shared" si="5"/>
        <v>#DIV/0!</v>
      </c>
      <c r="AK8" s="18" t="e">
        <f t="shared" si="5"/>
        <v>#DIV/0!</v>
      </c>
      <c r="AL8" s="18" t="e">
        <f t="shared" si="5"/>
        <v>#DIV/0!</v>
      </c>
      <c r="AO8" s="69" t="s">
        <v>189</v>
      </c>
      <c r="AP8" s="60"/>
      <c r="AQ8" s="61"/>
      <c r="AR8" s="61"/>
      <c r="AS8" s="74"/>
      <c r="AT8" s="64"/>
      <c r="AU8" s="60"/>
      <c r="AV8" s="61"/>
      <c r="AW8" s="61"/>
      <c r="AX8" s="58"/>
      <c r="AY8" s="64"/>
    </row>
    <row r="9" spans="1:51"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L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8" t="e">
        <f t="shared" si="6"/>
        <v>#DIV/0!</v>
      </c>
      <c r="AJ9" s="18" t="e">
        <f t="shared" si="6"/>
        <v>#DIV/0!</v>
      </c>
      <c r="AK9" s="18" t="e">
        <f t="shared" si="6"/>
        <v>#DIV/0!</v>
      </c>
      <c r="AL9" s="18" t="e">
        <f t="shared" si="6"/>
        <v>#DIV/0!</v>
      </c>
      <c r="AO9" s="69" t="s">
        <v>195</v>
      </c>
      <c r="AP9" s="60"/>
      <c r="AQ9" s="61"/>
      <c r="AR9" s="61"/>
      <c r="AS9" s="74"/>
      <c r="AT9" s="64"/>
      <c r="AU9" s="60"/>
      <c r="AV9" s="61"/>
      <c r="AW9" s="61"/>
      <c r="AX9" s="58"/>
      <c r="AY9" s="64"/>
    </row>
    <row r="10" spans="1:51"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O10" s="69" t="s">
        <v>196</v>
      </c>
      <c r="AP10" s="60"/>
      <c r="AQ10" s="61"/>
      <c r="AR10" s="61"/>
      <c r="AS10" s="58"/>
      <c r="AT10" s="64"/>
      <c r="AU10" s="60"/>
      <c r="AV10" s="61"/>
      <c r="AW10" s="61"/>
      <c r="AX10" s="58"/>
      <c r="AY10" s="64"/>
    </row>
    <row r="11" spans="1:51" ht="18" thickTop="1" thickBot="1" x14ac:dyDescent="0.4">
      <c r="B11" s="28" t="s">
        <v>25</v>
      </c>
      <c r="C11" s="30">
        <f t="shared" ref="C11:G11" si="7">C10/C$3*100</f>
        <v>12.180949473066461</v>
      </c>
      <c r="D11" s="30" t="e">
        <f t="shared" si="7"/>
        <v>#DIV/0!</v>
      </c>
      <c r="E11" s="30" t="e">
        <f t="shared" si="7"/>
        <v>#DIV/0!</v>
      </c>
      <c r="F11" s="30" t="e">
        <f t="shared" si="7"/>
        <v>#DIV/0!</v>
      </c>
      <c r="G11" s="30" t="e">
        <f t="shared" si="7"/>
        <v>#DIV/0!</v>
      </c>
      <c r="H11" s="30" t="e">
        <f>H10/H$3*100</f>
        <v>#DIV/0!</v>
      </c>
      <c r="I11" s="31" t="e">
        <f>I10/I$3*100</f>
        <v>#DIV/0!</v>
      </c>
      <c r="J11" s="23" t="e">
        <f>AVERAGE(D11:I11)</f>
        <v>#DIV/0!</v>
      </c>
      <c r="M11" s="1" t="s">
        <v>26</v>
      </c>
      <c r="N11" s="3">
        <f>'[1]LT Portfolio'!T294</f>
        <v>0</v>
      </c>
      <c r="O11" s="4" t="e">
        <f>N11/N7-1</f>
        <v>#DIV/0!</v>
      </c>
      <c r="W11" s="12" t="s">
        <v>42</v>
      </c>
      <c r="X11" s="13">
        <v>307831</v>
      </c>
      <c r="Y11" s="13">
        <v>253191</v>
      </c>
      <c r="Z11" s="13">
        <v>265285</v>
      </c>
      <c r="AA11" s="13">
        <v>272289</v>
      </c>
      <c r="AB11" s="13">
        <v>305222</v>
      </c>
      <c r="AC11" s="13">
        <v>334210</v>
      </c>
      <c r="AD11" s="13">
        <v>548486</v>
      </c>
      <c r="AE11" s="13">
        <v>813523</v>
      </c>
      <c r="AF11" s="13">
        <v>391869</v>
      </c>
      <c r="AG11" s="13">
        <v>328059</v>
      </c>
      <c r="AH11" s="13">
        <v>245452</v>
      </c>
      <c r="AI11" s="13">
        <v>754690</v>
      </c>
      <c r="AJ11" s="13">
        <v>933187</v>
      </c>
      <c r="AK11" s="13">
        <v>632425</v>
      </c>
      <c r="AL11" s="13">
        <v>586162</v>
      </c>
      <c r="AO11" s="70" t="s">
        <v>192</v>
      </c>
      <c r="AP11" s="62" t="e">
        <f>+AVERAGE(AP4:AP10)</f>
        <v>#DIV/0!</v>
      </c>
      <c r="AQ11" s="63" t="e">
        <f t="shared" ref="AQ11:AY11" si="8">+AVERAGE(AQ4:AQ10)</f>
        <v>#DIV/0!</v>
      </c>
      <c r="AR11" s="63" t="e">
        <f t="shared" si="8"/>
        <v>#DIV/0!</v>
      </c>
      <c r="AS11" s="72" t="e">
        <f t="shared" si="8"/>
        <v>#DIV/0!</v>
      </c>
      <c r="AT11" s="65" t="e">
        <f t="shared" si="8"/>
        <v>#DIV/0!</v>
      </c>
      <c r="AU11" s="62" t="e">
        <f t="shared" si="8"/>
        <v>#DIV/0!</v>
      </c>
      <c r="AV11" s="63" t="e">
        <f t="shared" si="8"/>
        <v>#DIV/0!</v>
      </c>
      <c r="AW11" s="63" t="e">
        <f t="shared" si="8"/>
        <v>#DIV/0!</v>
      </c>
      <c r="AX11" s="72" t="e">
        <f t="shared" si="8"/>
        <v>#DIV/0!</v>
      </c>
      <c r="AY11" s="65" t="e">
        <f t="shared" si="8"/>
        <v>#DIV/0!</v>
      </c>
    </row>
    <row r="12" spans="1:51" ht="18" thickTop="1" thickBot="1" x14ac:dyDescent="0.4">
      <c r="B12" s="28" t="s">
        <v>27</v>
      </c>
      <c r="C12" s="29"/>
      <c r="D12" s="30">
        <f t="shared" ref="D12:I12" si="9">(D10/C10-1)*100</f>
        <v>-100</v>
      </c>
      <c r="E12" s="30" t="e">
        <f t="shared" si="9"/>
        <v>#DIV/0!</v>
      </c>
      <c r="F12" s="30" t="e">
        <f t="shared" si="9"/>
        <v>#DIV/0!</v>
      </c>
      <c r="G12" s="30" t="e">
        <f t="shared" si="9"/>
        <v>#DIV/0!</v>
      </c>
      <c r="H12" s="30" t="e">
        <f t="shared" si="9"/>
        <v>#DIV/0!</v>
      </c>
      <c r="I12" s="31" t="e">
        <f t="shared" si="9"/>
        <v>#DIV/0!</v>
      </c>
      <c r="J12" s="23" t="e">
        <f>AVERAGE(D12:I12)</f>
        <v>#DIV/0!</v>
      </c>
      <c r="S12" t="s">
        <v>20</v>
      </c>
      <c r="T12" t="s">
        <v>22</v>
      </c>
      <c r="W12" s="12" t="s">
        <v>43</v>
      </c>
      <c r="X12" s="19">
        <f t="shared" ref="X12:AJ12" si="10">+X11/X3</f>
        <v>0.15657803113035615</v>
      </c>
      <c r="Y12" s="19">
        <f t="shared" si="10"/>
        <v>0.13131264411452612</v>
      </c>
      <c r="Z12" s="19">
        <f t="shared" si="10"/>
        <v>0.14917991395099447</v>
      </c>
      <c r="AA12" s="19">
        <f t="shared" si="10"/>
        <v>0.11757037883975845</v>
      </c>
      <c r="AB12" s="19">
        <f t="shared" si="10"/>
        <v>0.13559154879522353</v>
      </c>
      <c r="AC12" s="19">
        <f t="shared" si="10"/>
        <v>0.13500319724217161</v>
      </c>
      <c r="AD12" s="19">
        <f t="shared" si="10"/>
        <v>0.20098704195954359</v>
      </c>
      <c r="AE12" s="19">
        <f t="shared" si="10"/>
        <v>0.25911462065863894</v>
      </c>
      <c r="AF12" s="19">
        <f t="shared" si="10"/>
        <v>0.10408519565129046</v>
      </c>
      <c r="AG12" s="19">
        <f t="shared" si="10"/>
        <v>8.6223695003841264E-2</v>
      </c>
      <c r="AH12" s="19">
        <f t="shared" si="10"/>
        <v>7.0893885325850711E-2</v>
      </c>
      <c r="AI12" s="19">
        <f t="shared" si="10"/>
        <v>0.17391939592225397</v>
      </c>
      <c r="AJ12" s="19">
        <f t="shared" si="10"/>
        <v>0.2135282022697641</v>
      </c>
      <c r="AK12" s="19">
        <f t="shared" ref="AK12:AL12" si="11">+AK11/AK3</f>
        <v>0.14818080342498749</v>
      </c>
      <c r="AL12" s="19">
        <f t="shared" si="11"/>
        <v>0.15483214864004607</v>
      </c>
      <c r="AO12" s="12"/>
      <c r="AP12" s="12"/>
      <c r="AQ12" s="12"/>
      <c r="AR12" s="12"/>
      <c r="AS12" s="12"/>
      <c r="AT12" s="12"/>
      <c r="AU12" s="12"/>
      <c r="AV12" s="12"/>
      <c r="AW12" s="12"/>
      <c r="AX12" s="12"/>
      <c r="AY12" s="12"/>
    </row>
    <row r="13" spans="1:51"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c r="AN13" s="12"/>
      <c r="AO13" s="12" t="s">
        <v>193</v>
      </c>
      <c r="AP13" s="12"/>
      <c r="AQ13" s="12"/>
      <c r="AR13" s="12"/>
      <c r="AS13" s="58" t="e">
        <f>+$X$1/AS11</f>
        <v>#DIV/0!</v>
      </c>
      <c r="AT13" s="75" t="e">
        <f>+AT11/$X$1</f>
        <v>#DIV/0!</v>
      </c>
      <c r="AU13" s="12"/>
      <c r="AV13" s="12"/>
      <c r="AW13" s="12"/>
      <c r="AX13" s="58" t="e">
        <f>+$X$1/AX11</f>
        <v>#DIV/0!</v>
      </c>
      <c r="AY13" s="75" t="e">
        <f>+AY11/$X$1</f>
        <v>#DIV/0!</v>
      </c>
    </row>
    <row r="14" spans="1:51"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v>130860</v>
      </c>
      <c r="Y14" s="13">
        <v>472414</v>
      </c>
      <c r="Z14" s="13">
        <v>112462</v>
      </c>
      <c r="AA14" s="13">
        <v>572303</v>
      </c>
      <c r="AB14" s="13">
        <v>131978</v>
      </c>
      <c r="AC14" s="13">
        <v>599038</v>
      </c>
      <c r="AD14" s="13">
        <v>284885</v>
      </c>
      <c r="AE14" s="13">
        <v>1161984</v>
      </c>
      <c r="AF14" s="13">
        <v>245443</v>
      </c>
      <c r="AG14" s="13">
        <v>576821</v>
      </c>
      <c r="AH14" s="13">
        <v>51831</v>
      </c>
      <c r="AI14" s="13">
        <v>541813</v>
      </c>
      <c r="AJ14" s="13">
        <v>687844</v>
      </c>
      <c r="AK14" s="13">
        <v>373150</v>
      </c>
      <c r="AL14" s="13">
        <v>235735</v>
      </c>
    </row>
    <row r="15" spans="1:51" ht="18" thickTop="1" thickBot="1" x14ac:dyDescent="0.4">
      <c r="B15" s="32" t="s">
        <v>30</v>
      </c>
      <c r="C15" s="34">
        <f>1+0.6</f>
        <v>1.6</v>
      </c>
      <c r="D15" s="34"/>
      <c r="E15" s="34"/>
      <c r="F15" s="34"/>
      <c r="G15" s="34"/>
      <c r="H15" s="34"/>
      <c r="I15" s="35"/>
      <c r="J15" s="24"/>
      <c r="R15" s="6"/>
      <c r="S15" s="6"/>
      <c r="W15" s="12" t="s">
        <v>55</v>
      </c>
      <c r="X15" s="19">
        <f t="shared" ref="X15:AJ15" si="12">+X14/X3</f>
        <v>6.6561850995248709E-2</v>
      </c>
      <c r="Y15" s="19">
        <f t="shared" si="12"/>
        <v>0.24500843812268108</v>
      </c>
      <c r="Z15" s="19">
        <f t="shared" si="12"/>
        <v>6.3241689061789175E-2</v>
      </c>
      <c r="AA15" s="19">
        <f t="shared" si="12"/>
        <v>0.24711200423494992</v>
      </c>
      <c r="AB15" s="19">
        <f t="shared" si="12"/>
        <v>5.8629788897576231E-2</v>
      </c>
      <c r="AC15" s="19">
        <f t="shared" si="12"/>
        <v>0.24197972912107954</v>
      </c>
      <c r="AD15" s="19">
        <f t="shared" si="12"/>
        <v>0.10439317220247113</v>
      </c>
      <c r="AE15" s="19">
        <f t="shared" si="12"/>
        <v>0.37010268101996863</v>
      </c>
      <c r="AF15" s="19">
        <f t="shared" si="12"/>
        <v>6.5192660496848909E-2</v>
      </c>
      <c r="AG15" s="19">
        <f t="shared" si="12"/>
        <v>0.15160577205871723</v>
      </c>
      <c r="AH15" s="19">
        <f t="shared" si="12"/>
        <v>1.4970344386373581E-2</v>
      </c>
      <c r="AI15" s="19">
        <f t="shared" si="12"/>
        <v>0.12486158510490956</v>
      </c>
      <c r="AJ15" s="19">
        <f t="shared" si="12"/>
        <v>0.15738977585633279</v>
      </c>
      <c r="AK15" s="19">
        <f t="shared" ref="AK15:AL15" si="13">+AK14/AK3</f>
        <v>8.7431184406109946E-2</v>
      </c>
      <c r="AL15" s="19">
        <f t="shared" si="13"/>
        <v>6.2268377273963955E-2</v>
      </c>
    </row>
    <row r="16" spans="1:51" ht="18" thickTop="1" thickBot="1" x14ac:dyDescent="0.4">
      <c r="B16" s="32" t="s">
        <v>8</v>
      </c>
      <c r="C16" s="34">
        <v>31.7</v>
      </c>
      <c r="D16" s="34"/>
      <c r="E16" s="34"/>
      <c r="F16" s="34"/>
      <c r="G16" s="34"/>
      <c r="H16" s="34"/>
      <c r="I16" s="35"/>
      <c r="J16" s="22" t="e">
        <f>((I16/D16)^(1/5)-1)*100</f>
        <v>#DIV/0!</v>
      </c>
    </row>
    <row r="17" spans="2:38" ht="18" thickTop="1" thickBot="1" x14ac:dyDescent="0.4">
      <c r="B17" s="32" t="s">
        <v>31</v>
      </c>
      <c r="C17" s="34">
        <v>14.6</v>
      </c>
      <c r="D17" s="34"/>
      <c r="E17" s="34"/>
      <c r="F17" s="34"/>
      <c r="G17" s="34"/>
      <c r="H17" s="34"/>
      <c r="I17" s="35"/>
      <c r="J17" s="22" t="e">
        <f>((I17/D17)^(1/6)-1)*100</f>
        <v>#DIV/0!</v>
      </c>
      <c r="W17" s="12" t="s">
        <v>44</v>
      </c>
      <c r="X17" s="13">
        <v>44430</v>
      </c>
      <c r="Y17" s="13">
        <v>-14156</v>
      </c>
      <c r="Z17" s="13">
        <v>-17803</v>
      </c>
      <c r="AA17" s="13">
        <v>-12188</v>
      </c>
      <c r="AB17" s="13">
        <v>-19301</v>
      </c>
      <c r="AC17" s="13">
        <v>-24315</v>
      </c>
      <c r="AD17" s="13">
        <v>-434811</v>
      </c>
      <c r="AE17" s="13">
        <v>-233699</v>
      </c>
      <c r="AF17" s="13">
        <v>-189959</v>
      </c>
      <c r="AG17" s="13">
        <v>-356605</v>
      </c>
      <c r="AH17" s="13">
        <v>6606</v>
      </c>
      <c r="AI17" s="13">
        <v>-273875</v>
      </c>
      <c r="AJ17" s="13">
        <v>204792</v>
      </c>
      <c r="AK17" s="13">
        <v>465051</v>
      </c>
      <c r="AL17" s="13">
        <v>134097</v>
      </c>
    </row>
    <row r="18" spans="2:38" ht="18" thickTop="1" thickBot="1" x14ac:dyDescent="0.4">
      <c r="B18" s="32" t="s">
        <v>32</v>
      </c>
      <c r="C18" s="36">
        <f t="shared" ref="C18:G18" si="14">C14/AVERAGE(B17:C17)*100</f>
        <v>22.19178082191781</v>
      </c>
      <c r="D18" s="36">
        <f t="shared" si="14"/>
        <v>0</v>
      </c>
      <c r="E18" s="36" t="e">
        <f t="shared" si="14"/>
        <v>#DIV/0!</v>
      </c>
      <c r="F18" s="36" t="e">
        <f t="shared" si="14"/>
        <v>#DIV/0!</v>
      </c>
      <c r="G18" s="36" t="e">
        <f t="shared" si="14"/>
        <v>#DIV/0!</v>
      </c>
      <c r="H18" s="36" t="e">
        <f>H14/AVERAGE(G17:H17)*100</f>
        <v>#DIV/0!</v>
      </c>
      <c r="I18" s="37" t="e">
        <f>I14/AVERAGE(H17:I17)*100</f>
        <v>#DIV/0!</v>
      </c>
      <c r="J18" s="23" t="e">
        <f>AVERAGE(D18:I18)</f>
        <v>#DIV/0!</v>
      </c>
      <c r="M18" s="9" t="s">
        <v>33</v>
      </c>
      <c r="N18" s="6"/>
      <c r="O18" s="6"/>
      <c r="P18" s="6"/>
      <c r="Q18" s="6"/>
      <c r="W18" s="12" t="s">
        <v>45</v>
      </c>
      <c r="X18" s="15">
        <f t="shared" ref="X18:AJ18" si="15">+X17/X14</f>
        <v>0.33952315451627696</v>
      </c>
      <c r="Y18" s="15">
        <f t="shared" si="15"/>
        <v>-2.9965242350988752E-2</v>
      </c>
      <c r="Z18" s="15">
        <f t="shared" si="15"/>
        <v>-0.15830235990823566</v>
      </c>
      <c r="AA18" s="15">
        <f t="shared" si="15"/>
        <v>-2.1296411166811986E-2</v>
      </c>
      <c r="AB18" s="15">
        <f t="shared" si="15"/>
        <v>-0.14624407098152722</v>
      </c>
      <c r="AC18" s="15">
        <f t="shared" si="15"/>
        <v>-4.0590079427348519E-2</v>
      </c>
      <c r="AD18" s="15">
        <f t="shared" si="15"/>
        <v>-1.5262684943047196</v>
      </c>
      <c r="AE18" s="15">
        <f t="shared" si="15"/>
        <v>-0.20112066947565543</v>
      </c>
      <c r="AF18" s="15">
        <f t="shared" si="15"/>
        <v>-0.77394344104333801</v>
      </c>
      <c r="AG18" s="15">
        <f t="shared" si="15"/>
        <v>-0.61822471789341926</v>
      </c>
      <c r="AH18" s="15">
        <f t="shared" si="15"/>
        <v>0.12745268275742316</v>
      </c>
      <c r="AI18" s="15">
        <f t="shared" si="15"/>
        <v>-0.50547882756596829</v>
      </c>
      <c r="AJ18" s="15">
        <f t="shared" si="15"/>
        <v>0.2977302993120533</v>
      </c>
      <c r="AK18" s="15">
        <f t="shared" ref="AK18:AL18" si="16">+AK17/AK14</f>
        <v>1.2462843360578855</v>
      </c>
      <c r="AL18" s="15">
        <f t="shared" si="16"/>
        <v>0.56884637410651795</v>
      </c>
    </row>
    <row r="19" spans="2:38" ht="18" thickTop="1" thickBot="1" x14ac:dyDescent="0.4">
      <c r="B19" s="32" t="s">
        <v>34</v>
      </c>
      <c r="C19" s="30">
        <f t="shared" ref="C19:G19" si="17">C15/C16*100</f>
        <v>5.0473186119873823</v>
      </c>
      <c r="D19" s="30" t="e">
        <f t="shared" si="17"/>
        <v>#DIV/0!</v>
      </c>
      <c r="E19" s="30" t="e">
        <f t="shared" si="17"/>
        <v>#DIV/0!</v>
      </c>
      <c r="F19" s="30" t="e">
        <f t="shared" si="17"/>
        <v>#DIV/0!</v>
      </c>
      <c r="G19" s="30" t="e">
        <f t="shared" si="17"/>
        <v>#DIV/0!</v>
      </c>
      <c r="H19" s="30" t="e">
        <f>H15/H16*100</f>
        <v>#DIV/0!</v>
      </c>
      <c r="I19" s="31" t="e">
        <f>I15/I16*100</f>
        <v>#DIV/0!</v>
      </c>
      <c r="J19" s="23" t="e">
        <f>AVERAGE(D19:I19)</f>
        <v>#DIV/0!</v>
      </c>
    </row>
    <row r="20" spans="2:38" ht="18" thickTop="1" thickBot="1" x14ac:dyDescent="0.4">
      <c r="B20" s="32" t="s">
        <v>35</v>
      </c>
      <c r="C20" s="30">
        <f t="shared" ref="C20:G20" si="18">C15/C14*100</f>
        <v>49.382716049382715</v>
      </c>
      <c r="D20" s="30" t="e">
        <f t="shared" si="18"/>
        <v>#DIV/0!</v>
      </c>
      <c r="E20" s="30" t="e">
        <f t="shared" si="18"/>
        <v>#DIV/0!</v>
      </c>
      <c r="F20" s="30" t="e">
        <f t="shared" si="18"/>
        <v>#DIV/0!</v>
      </c>
      <c r="G20" s="30" t="e">
        <f t="shared" si="18"/>
        <v>#DIV/0!</v>
      </c>
      <c r="H20" s="30" t="e">
        <f>H15/H14*100</f>
        <v>#DIV/0!</v>
      </c>
      <c r="I20" s="31" t="e">
        <f>I15/I14*100</f>
        <v>#DIV/0!</v>
      </c>
      <c r="J20" s="23" t="e">
        <f>AVERAGE(D20:I20)</f>
        <v>#DIV/0!</v>
      </c>
      <c r="M20" t="s">
        <v>36</v>
      </c>
      <c r="N20" s="4" t="e">
        <f>N13/H14-1</f>
        <v>#DIV/0!</v>
      </c>
      <c r="W20" s="12" t="s">
        <v>21</v>
      </c>
      <c r="X20" s="13">
        <f t="shared" ref="X20:AJ20" si="19">+X14+X17</f>
        <v>175290</v>
      </c>
      <c r="Y20" s="13">
        <f t="shared" si="19"/>
        <v>458258</v>
      </c>
      <c r="Z20" s="13">
        <f t="shared" si="19"/>
        <v>94659</v>
      </c>
      <c r="AA20" s="13">
        <f t="shared" si="19"/>
        <v>560115</v>
      </c>
      <c r="AB20" s="13">
        <f t="shared" si="19"/>
        <v>112677</v>
      </c>
      <c r="AC20" s="13">
        <f t="shared" si="19"/>
        <v>574723</v>
      </c>
      <c r="AD20" s="13">
        <f t="shared" si="19"/>
        <v>-149926</v>
      </c>
      <c r="AE20" s="13">
        <f t="shared" si="19"/>
        <v>928285</v>
      </c>
      <c r="AF20" s="13">
        <f t="shared" si="19"/>
        <v>55484</v>
      </c>
      <c r="AG20" s="13">
        <f t="shared" si="19"/>
        <v>220216</v>
      </c>
      <c r="AH20" s="13">
        <f t="shared" si="19"/>
        <v>58437</v>
      </c>
      <c r="AI20" s="13">
        <f t="shared" si="19"/>
        <v>267938</v>
      </c>
      <c r="AJ20" s="13">
        <f t="shared" si="19"/>
        <v>892636</v>
      </c>
      <c r="AK20" s="13">
        <f t="shared" ref="AK20:AL20" si="20">+AK14+AK17</f>
        <v>838201</v>
      </c>
      <c r="AL20" s="13">
        <f t="shared" si="20"/>
        <v>369832</v>
      </c>
    </row>
    <row r="21" spans="2:38" ht="18" thickTop="1" thickBot="1" x14ac:dyDescent="0.4">
      <c r="B21" s="32" t="s">
        <v>11</v>
      </c>
      <c r="C21" s="38">
        <f t="shared" ref="C21:G21" si="21">C16/C14</f>
        <v>9.7839506172839492</v>
      </c>
      <c r="D21" s="38" t="e">
        <f t="shared" si="21"/>
        <v>#DIV/0!</v>
      </c>
      <c r="E21" s="38" t="e">
        <f t="shared" si="21"/>
        <v>#DIV/0!</v>
      </c>
      <c r="F21" s="38" t="e">
        <f t="shared" si="21"/>
        <v>#DIV/0!</v>
      </c>
      <c r="G21" s="38" t="e">
        <f t="shared" si="21"/>
        <v>#DIV/0!</v>
      </c>
      <c r="H21" s="38" t="e">
        <f>H16/H14</f>
        <v>#DIV/0!</v>
      </c>
      <c r="I21" s="39" t="e">
        <f>I16/I14</f>
        <v>#DIV/0!</v>
      </c>
      <c r="J21" s="23" t="e">
        <f>AVERAGE(D21:I21)</f>
        <v>#DIV/0!</v>
      </c>
      <c r="W21" s="12" t="s">
        <v>46</v>
      </c>
      <c r="X21" s="19">
        <f t="shared" ref="X21:AJ21" si="22">+X20/X3</f>
        <v>8.9161140615597934E-2</v>
      </c>
      <c r="Y21" s="19">
        <f t="shared" si="22"/>
        <v>0.23766670089629771</v>
      </c>
      <c r="Z21" s="19">
        <f t="shared" si="22"/>
        <v>5.3230380438725092E-2</v>
      </c>
      <c r="AA21" s="19">
        <f t="shared" si="22"/>
        <v>0.24184940538850744</v>
      </c>
      <c r="AB21" s="19">
        <f t="shared" si="22"/>
        <v>5.0055529888407134E-2</v>
      </c>
      <c r="AC21" s="19">
        <f t="shared" si="22"/>
        <v>0.23215775269624664</v>
      </c>
      <c r="AD21" s="19">
        <f t="shared" si="22"/>
        <v>-5.493883755068777E-2</v>
      </c>
      <c r="AE21" s="19">
        <f t="shared" si="22"/>
        <v>0.29566738203849757</v>
      </c>
      <c r="AF21" s="19">
        <f t="shared" si="22"/>
        <v>1.4737228501147578E-2</v>
      </c>
      <c r="AG21" s="19">
        <f t="shared" si="22"/>
        <v>5.787933639670275E-2</v>
      </c>
      <c r="AH21" s="19">
        <f t="shared" si="22"/>
        <v>1.6878354940219425E-2</v>
      </c>
      <c r="AI21" s="19">
        <f t="shared" si="22"/>
        <v>6.1746697458051503E-2</v>
      </c>
      <c r="AJ21" s="19">
        <f t="shared" si="22"/>
        <v>0.20424948093069573</v>
      </c>
      <c r="AK21" s="19">
        <f t="shared" ref="AK21:AL21" si="23">+AK20/AK3</f>
        <v>0.19639530001443323</v>
      </c>
      <c r="AL21" s="19">
        <f t="shared" si="23"/>
        <v>9.7689517907755055E-2</v>
      </c>
    </row>
    <row r="22" spans="2:38" ht="18" thickTop="1" thickBot="1" x14ac:dyDescent="0.4">
      <c r="B22" s="32" t="s">
        <v>37</v>
      </c>
      <c r="C22" s="38">
        <f t="shared" ref="C22:G22" si="24">C16/C17</f>
        <v>2.1712328767123288</v>
      </c>
      <c r="D22" s="38" t="e">
        <f t="shared" si="24"/>
        <v>#DIV/0!</v>
      </c>
      <c r="E22" s="38" t="e">
        <f t="shared" si="24"/>
        <v>#DIV/0!</v>
      </c>
      <c r="F22" s="38" t="e">
        <f t="shared" si="24"/>
        <v>#DIV/0!</v>
      </c>
      <c r="G22" s="38" t="e">
        <f t="shared" si="24"/>
        <v>#DIV/0!</v>
      </c>
      <c r="H22" s="38" t="e">
        <f>H16/H17</f>
        <v>#DIV/0!</v>
      </c>
      <c r="I22" s="39" t="e">
        <f>I16/I17</f>
        <v>#DIV/0!</v>
      </c>
      <c r="J22" s="23" t="e">
        <f>AVERAGE(D22:I22)</f>
        <v>#DIV/0!</v>
      </c>
    </row>
    <row r="23" spans="2:38" ht="15.75" thickTop="1" x14ac:dyDescent="0.25">
      <c r="W23" s="12" t="s">
        <v>47</v>
      </c>
      <c r="X23" s="13">
        <v>-13351</v>
      </c>
      <c r="Y23" s="13">
        <v>-11564</v>
      </c>
      <c r="Z23" s="13">
        <v>49233</v>
      </c>
      <c r="AA23" s="13">
        <v>-6796</v>
      </c>
      <c r="AB23" s="13">
        <v>-21381</v>
      </c>
      <c r="AC23" s="13">
        <v>-14492</v>
      </c>
      <c r="AD23" s="13">
        <v>9583</v>
      </c>
      <c r="AE23" s="13">
        <v>-45301</v>
      </c>
      <c r="AF23" s="13">
        <v>-18829</v>
      </c>
      <c r="AG23" s="13">
        <v>-27800</v>
      </c>
      <c r="AH23" s="13">
        <v>18713</v>
      </c>
      <c r="AI23" s="13">
        <v>-22734</v>
      </c>
      <c r="AJ23" s="13">
        <v>-22737</v>
      </c>
      <c r="AK23" s="13">
        <v>-24896</v>
      </c>
      <c r="AL23" s="10">
        <v>-24710</v>
      </c>
    </row>
    <row r="24" spans="2:38" x14ac:dyDescent="0.25">
      <c r="G24" s="10">
        <v>701.95658000000003</v>
      </c>
      <c r="H24" s="10">
        <v>709.32254499999999</v>
      </c>
      <c r="I24" s="10">
        <v>716.73997499999996</v>
      </c>
      <c r="W24" s="12" t="s">
        <v>48</v>
      </c>
      <c r="X24" s="14">
        <f t="shared" ref="X24:AJ24" si="25">+X23/X20</f>
        <v>-7.6165211934508523E-2</v>
      </c>
      <c r="Y24" s="14">
        <f t="shared" si="25"/>
        <v>-2.5234693120469255E-2</v>
      </c>
      <c r="Z24" s="14">
        <f t="shared" si="25"/>
        <v>0.52010902291382755</v>
      </c>
      <c r="AA24" s="14">
        <f t="shared" si="25"/>
        <v>-1.2133222641778921E-2</v>
      </c>
      <c r="AB24" s="14">
        <f t="shared" si="25"/>
        <v>-0.18975478580366889</v>
      </c>
      <c r="AC24" s="14">
        <f t="shared" si="25"/>
        <v>-2.5215625614426428E-2</v>
      </c>
      <c r="AD24" s="14">
        <f t="shared" si="25"/>
        <v>-6.3918199645158283E-2</v>
      </c>
      <c r="AE24" s="14">
        <f t="shared" si="25"/>
        <v>-4.8800745460715188E-2</v>
      </c>
      <c r="AF24" s="14">
        <f t="shared" si="25"/>
        <v>-0.33935909451373369</v>
      </c>
      <c r="AG24" s="14">
        <f t="shared" si="25"/>
        <v>-0.1262396919388237</v>
      </c>
      <c r="AH24" s="14">
        <f t="shared" si="25"/>
        <v>0.32022519978780567</v>
      </c>
      <c r="AI24" s="14">
        <f t="shared" si="25"/>
        <v>-8.4847987220924237E-2</v>
      </c>
      <c r="AJ24" s="14">
        <f t="shared" si="25"/>
        <v>-2.5471748842753373E-2</v>
      </c>
      <c r="AK24" s="14">
        <f t="shared" ref="AK24:AL24" si="26">+AK23/AK20</f>
        <v>-2.9701706392619431E-2</v>
      </c>
      <c r="AL24" s="14">
        <f t="shared" si="26"/>
        <v>-6.6814121006294747E-2</v>
      </c>
    </row>
    <row r="25" spans="2:38" x14ac:dyDescent="0.25">
      <c r="G25">
        <f>+G10/G24</f>
        <v>0</v>
      </c>
      <c r="H25">
        <f>+H10/H24</f>
        <v>0</v>
      </c>
      <c r="I25">
        <f>+I10/I24</f>
        <v>0</v>
      </c>
      <c r="M25" s="10"/>
    </row>
    <row r="26" spans="2:38" x14ac:dyDescent="0.25">
      <c r="M26" s="10"/>
      <c r="W26" s="12" t="s">
        <v>74</v>
      </c>
      <c r="X26" s="12">
        <v>0</v>
      </c>
      <c r="Y26" s="12">
        <v>0</v>
      </c>
      <c r="Z26" s="12">
        <v>-78</v>
      </c>
      <c r="AA26" s="12">
        <v>0</v>
      </c>
      <c r="AB26" s="12">
        <v>0</v>
      </c>
      <c r="AC26" s="13">
        <v>-80</v>
      </c>
      <c r="AD26" s="13">
        <v>-517</v>
      </c>
      <c r="AE26" s="13">
        <v>0</v>
      </c>
      <c r="AF26" s="13">
        <v>-42</v>
      </c>
      <c r="AG26" s="13">
        <v>-41</v>
      </c>
      <c r="AH26" s="13">
        <v>-31</v>
      </c>
      <c r="AI26" s="13">
        <v>-26</v>
      </c>
      <c r="AJ26" s="13">
        <v>-26</v>
      </c>
      <c r="AK26" s="13">
        <v>-50</v>
      </c>
      <c r="AL26" s="13">
        <v>-38</v>
      </c>
    </row>
    <row r="28" spans="2:38" x14ac:dyDescent="0.25">
      <c r="W28" s="12" t="s">
        <v>49</v>
      </c>
      <c r="X28" s="13">
        <f t="shared" ref="X28:AF28" si="27">+X20+X23-X26</f>
        <v>161939</v>
      </c>
      <c r="Y28" s="13">
        <f t="shared" si="27"/>
        <v>446694</v>
      </c>
      <c r="Z28" s="13">
        <f t="shared" si="27"/>
        <v>143970</v>
      </c>
      <c r="AA28" s="13">
        <f t="shared" si="27"/>
        <v>553319</v>
      </c>
      <c r="AB28" s="13">
        <f t="shared" si="27"/>
        <v>91296</v>
      </c>
      <c r="AC28" s="13">
        <f t="shared" si="27"/>
        <v>560311</v>
      </c>
      <c r="AD28" s="13">
        <f t="shared" si="27"/>
        <v>-139826</v>
      </c>
      <c r="AE28" s="13">
        <f t="shared" si="27"/>
        <v>882984</v>
      </c>
      <c r="AF28" s="13">
        <f t="shared" si="27"/>
        <v>36697</v>
      </c>
      <c r="AG28" s="13">
        <f>+AG20+AG23-AG26</f>
        <v>192457</v>
      </c>
      <c r="AH28" s="13">
        <f t="shared" ref="AH28:AJ28" si="28">+AH20+AH23-AH26</f>
        <v>77181</v>
      </c>
      <c r="AI28" s="13">
        <f t="shared" si="28"/>
        <v>245230</v>
      </c>
      <c r="AJ28" s="13">
        <f t="shared" si="28"/>
        <v>869925</v>
      </c>
      <c r="AK28" s="13">
        <f>+AK20+AK23-AK26</f>
        <v>813355</v>
      </c>
      <c r="AL28" s="13">
        <f t="shared" ref="AL28" si="29">+AL20+AL23-AL26</f>
        <v>345160</v>
      </c>
    </row>
    <row r="29" spans="2:38" x14ac:dyDescent="0.25">
      <c r="M29" s="10"/>
      <c r="W29" s="12" t="s">
        <v>25</v>
      </c>
      <c r="X29" s="19">
        <f t="shared" ref="X29:AJ29" si="30">+X28/X3</f>
        <v>8.2370163444288408E-2</v>
      </c>
      <c r="Y29" s="19">
        <f t="shared" si="30"/>
        <v>0.23166925463422527</v>
      </c>
      <c r="Z29" s="19">
        <f t="shared" si="30"/>
        <v>8.0959843984864097E-2</v>
      </c>
      <c r="AA29" s="19">
        <f t="shared" si="30"/>
        <v>0.23891499270714683</v>
      </c>
      <c r="AB29" s="19">
        <f t="shared" si="30"/>
        <v>4.0557253536143291E-2</v>
      </c>
      <c r="AC29" s="19">
        <f t="shared" si="30"/>
        <v>0.22633606549761651</v>
      </c>
      <c r="AD29" s="19">
        <f t="shared" si="30"/>
        <v>-5.1237796642093221E-2</v>
      </c>
      <c r="AE29" s="19">
        <f t="shared" si="30"/>
        <v>0.28123859338660084</v>
      </c>
      <c r="AF29" s="19">
        <f t="shared" si="30"/>
        <v>9.7471716946617524E-3</v>
      </c>
      <c r="AG29" s="19">
        <f t="shared" si="30"/>
        <v>5.0583442823864844E-2</v>
      </c>
      <c r="AH29" s="19">
        <f t="shared" si="30"/>
        <v>2.2292183251040872E-2</v>
      </c>
      <c r="AI29" s="19">
        <f t="shared" si="30"/>
        <v>5.6513606198590603E-2</v>
      </c>
      <c r="AJ29" s="19">
        <f t="shared" si="30"/>
        <v>0.19905283866955342</v>
      </c>
      <c r="AK29" s="19">
        <f t="shared" ref="AK29:AL29" si="31">+AK28/AK3</f>
        <v>0.19057373976318251</v>
      </c>
      <c r="AL29" s="19">
        <f t="shared" si="31"/>
        <v>9.1172516172318058E-2</v>
      </c>
    </row>
    <row r="30" spans="2:38" x14ac:dyDescent="0.25">
      <c r="M30" s="10"/>
    </row>
    <row r="31" spans="2:38" x14ac:dyDescent="0.25">
      <c r="W31" s="12" t="s">
        <v>29</v>
      </c>
      <c r="X31" s="16">
        <f t="shared" ref="X31:AJ31" si="32">+X28/X47</f>
        <v>0.40486774338716935</v>
      </c>
      <c r="Y31" s="16">
        <f t="shared" si="32"/>
        <v>1.116790839541977</v>
      </c>
      <c r="Z31" s="16">
        <f t="shared" si="32"/>
        <v>0.3599429971498575</v>
      </c>
      <c r="AA31" s="16">
        <f t="shared" si="32"/>
        <v>1.3833666683334167</v>
      </c>
      <c r="AB31" s="16">
        <f t="shared" si="32"/>
        <v>0.22825141257062853</v>
      </c>
      <c r="AC31" s="16">
        <f t="shared" si="32"/>
        <v>1.4008475423771189</v>
      </c>
      <c r="AD31" s="16">
        <f t="shared" si="32"/>
        <v>-0.34958247912395618</v>
      </c>
      <c r="AE31" s="16">
        <f t="shared" si="32"/>
        <v>2.207570378518926</v>
      </c>
      <c r="AF31" s="16">
        <f t="shared" si="32"/>
        <v>9.1747087354367721E-2</v>
      </c>
      <c r="AG31" s="16">
        <f t="shared" si="32"/>
        <v>0.48116655832791638</v>
      </c>
      <c r="AH31" s="16">
        <f t="shared" si="32"/>
        <v>0.19296214810740536</v>
      </c>
      <c r="AI31" s="16">
        <f t="shared" si="32"/>
        <v>0.61310565528276417</v>
      </c>
      <c r="AJ31" s="16">
        <f t="shared" si="32"/>
        <v>2.1749212460623033</v>
      </c>
      <c r="AK31" s="16">
        <f t="shared" ref="AK31:AL31" si="33">+AK28/AK47</f>
        <v>2.0334891744587229</v>
      </c>
      <c r="AL31" s="16">
        <f t="shared" si="33"/>
        <v>0.86294314715735787</v>
      </c>
    </row>
    <row r="32" spans="2:38" x14ac:dyDescent="0.25">
      <c r="W32" s="12" t="s">
        <v>40</v>
      </c>
      <c r="AA32" s="17"/>
      <c r="AB32" s="18">
        <f t="shared" ref="AB32:AL32" si="34">+AB31/X31-1</f>
        <v>-0.43623216149290778</v>
      </c>
      <c r="AC32" s="18">
        <f t="shared" si="34"/>
        <v>0.25435085315674733</v>
      </c>
      <c r="AD32" s="18">
        <f t="shared" si="34"/>
        <v>-1.971216225602556</v>
      </c>
      <c r="AE32" s="18">
        <f t="shared" si="34"/>
        <v>0.59579555374024751</v>
      </c>
      <c r="AF32" s="18">
        <f t="shared" si="34"/>
        <v>-0.59804372590255872</v>
      </c>
      <c r="AG32" s="18">
        <f t="shared" si="34"/>
        <v>-0.6565175411512536</v>
      </c>
      <c r="AH32" s="18">
        <f t="shared" si="34"/>
        <v>-1.5519788880465721</v>
      </c>
      <c r="AI32" s="18">
        <f t="shared" si="34"/>
        <v>-0.72227129823416958</v>
      </c>
      <c r="AJ32" s="18">
        <f t="shared" si="34"/>
        <v>22.705616262909775</v>
      </c>
      <c r="AK32" s="18">
        <f t="shared" si="34"/>
        <v>3.2261648056448973</v>
      </c>
      <c r="AL32" s="18">
        <f t="shared" si="34"/>
        <v>3.4720850986641789</v>
      </c>
    </row>
    <row r="33" spans="23:41" x14ac:dyDescent="0.25">
      <c r="W33" s="12" t="s">
        <v>41</v>
      </c>
      <c r="Y33" s="18">
        <f t="shared" ref="Y33:AD33" si="35">+Y31/X31-1</f>
        <v>1.7584090305608902</v>
      </c>
      <c r="Z33" s="18">
        <f t="shared" si="35"/>
        <v>-0.67769882738518983</v>
      </c>
      <c r="AA33" s="18">
        <f t="shared" si="35"/>
        <v>2.8432937417517539</v>
      </c>
      <c r="AB33" s="18">
        <f t="shared" si="35"/>
        <v>-0.83500295489581955</v>
      </c>
      <c r="AC33" s="18">
        <f t="shared" si="35"/>
        <v>5.137300648440239</v>
      </c>
      <c r="AD33" s="18">
        <f t="shared" si="35"/>
        <v>-1.2495506959527833</v>
      </c>
      <c r="AE33" s="18">
        <f>+AE31/AD31-1</f>
        <v>-7.3148770614907104</v>
      </c>
      <c r="AF33" s="18">
        <f>+AF31/AE31-1</f>
        <v>-0.95843979052848072</v>
      </c>
      <c r="AG33" s="18">
        <f>+AG31/AF31-1</f>
        <v>4.244488650298389</v>
      </c>
      <c r="AH33" s="18">
        <f t="shared" ref="AH33" si="36">+AH31/AG31-1</f>
        <v>-0.59897015956811139</v>
      </c>
      <c r="AI33" s="18">
        <f>+AI31/AH31-1</f>
        <v>2.1773363910807069</v>
      </c>
      <c r="AJ33" s="18">
        <f>+AJ31/AI31-1</f>
        <v>2.547384088406802</v>
      </c>
      <c r="AK33" s="18">
        <f>+AK31/AJ31-1</f>
        <v>-6.5028594419059171E-2</v>
      </c>
      <c r="AL33" s="18">
        <f t="shared" ref="AL33" si="37">+AL31/AK31-1</f>
        <v>-0.57563425564482906</v>
      </c>
    </row>
    <row r="34" spans="23:41" x14ac:dyDescent="0.25">
      <c r="Y34" s="18"/>
      <c r="Z34" s="18"/>
      <c r="AA34" s="18"/>
      <c r="AB34" s="18"/>
      <c r="AC34" s="18"/>
      <c r="AD34" s="18"/>
      <c r="AE34" s="18"/>
      <c r="AF34" s="18"/>
      <c r="AG34" s="18"/>
      <c r="AH34" s="18"/>
      <c r="AI34" s="18"/>
      <c r="AJ34" s="18"/>
      <c r="AK34" s="18"/>
      <c r="AL34" s="18"/>
    </row>
    <row r="35" spans="23:41" x14ac:dyDescent="0.25">
      <c r="W35" s="12" t="s">
        <v>88</v>
      </c>
      <c r="X35" s="18" t="e">
        <f>+X28*4/X39</f>
        <v>#DIV/0!</v>
      </c>
      <c r="Y35" s="18" t="e">
        <f>+Y28*4/Y39</f>
        <v>#DIV/0!</v>
      </c>
      <c r="Z35" s="18">
        <f t="shared" ref="Z35:AJ35" si="38">+Z28*4/Z40</f>
        <v>5.1118276656856892E-2</v>
      </c>
      <c r="AA35" s="18" t="e">
        <f t="shared" si="38"/>
        <v>#DIV/0!</v>
      </c>
      <c r="AB35" s="18">
        <f t="shared" si="38"/>
        <v>2.5619207670945724E-2</v>
      </c>
      <c r="AC35" s="18">
        <f t="shared" si="38"/>
        <v>0.16034730263456778</v>
      </c>
      <c r="AD35" s="18">
        <f t="shared" si="38"/>
        <v>-4.8917717454229286E-2</v>
      </c>
      <c r="AE35" s="18">
        <f t="shared" si="38"/>
        <v>0.31282267619334669</v>
      </c>
      <c r="AF35" s="18">
        <f t="shared" si="38"/>
        <v>1.0334379716150239E-2</v>
      </c>
      <c r="AG35" s="18">
        <f t="shared" si="38"/>
        <v>5.9207801055487952E-2</v>
      </c>
      <c r="AH35" s="18">
        <f t="shared" si="38"/>
        <v>2.0995079902952737E-2</v>
      </c>
      <c r="AI35" s="18">
        <f t="shared" si="38"/>
        <v>6.3810349282494613E-2</v>
      </c>
      <c r="AJ35" s="18">
        <f t="shared" si="38"/>
        <v>0.16781546577918713</v>
      </c>
      <c r="AK35" s="18">
        <f t="shared" ref="AK35:AL35" si="39">+AK28*4/AK40</f>
        <v>0.15296100482171648</v>
      </c>
      <c r="AL35" s="18">
        <f t="shared" si="39"/>
        <v>6.3148247307278221E-2</v>
      </c>
      <c r="AN35" s="14">
        <f>+AVERAGE(AB35:AL35)</f>
        <v>8.9831254264536212E-2</v>
      </c>
      <c r="AO35" s="50" t="s">
        <v>88</v>
      </c>
    </row>
    <row r="36" spans="23:41" x14ac:dyDescent="0.25">
      <c r="AN36" s="56">
        <f>AVERAGE(AB35:AL35)*AL49</f>
        <v>4.9103035205980854</v>
      </c>
      <c r="AO36" s="50" t="s">
        <v>183</v>
      </c>
    </row>
    <row r="37" spans="23:41" x14ac:dyDescent="0.25">
      <c r="W37" s="12" t="s">
        <v>52</v>
      </c>
      <c r="X37" s="13"/>
      <c r="Y37" s="13"/>
      <c r="Z37" s="13">
        <f>1207551+277015+164090+338953+34376+515671</f>
        <v>2537656</v>
      </c>
      <c r="AA37" s="13"/>
      <c r="AB37" s="13">
        <f>1682595+261809+176967+54277+34342+589629</f>
        <v>2799619</v>
      </c>
      <c r="AC37" s="13">
        <f>2078934+308296+61531+67062+34355+576579</f>
        <v>3126757</v>
      </c>
      <c r="AD37" s="13">
        <f>1753646+319814+175187+375000+34376+859758</f>
        <v>3517781</v>
      </c>
      <c r="AE37" s="13">
        <f>2056517+331854+22196+475000+34336+945706</f>
        <v>3865609</v>
      </c>
      <c r="AF37" s="13">
        <f>2380719+304495+201039+1037500+34335+1225018</f>
        <v>5183106</v>
      </c>
      <c r="AG37" s="13">
        <f>2531250+534949+107317+943750+34335+1172930</f>
        <v>5324531</v>
      </c>
      <c r="AH37" s="13">
        <f>2156251+550587+95048+1150000+250000+37913+1106558</f>
        <v>5346357</v>
      </c>
      <c r="AI37" s="13">
        <f>2156250+574102+5329+281250+2402883+34335+1108611</f>
        <v>6562760</v>
      </c>
      <c r="AJ37" s="13">
        <f>1968750+551732+19264+375000+3030000+34335+1262251</f>
        <v>7241332</v>
      </c>
      <c r="AK37" s="13">
        <f>1875000+571582+6323+375000+3148922+34335+768321</f>
        <v>6779483</v>
      </c>
      <c r="AL37" s="13">
        <f>1781250+590618+63728+375000+2655000+35756+1041896</f>
        <v>6543248</v>
      </c>
      <c r="AN37" s="56">
        <f>+X1/AN36</f>
        <v>5.2338923433534887</v>
      </c>
      <c r="AO37" s="50" t="s">
        <v>11</v>
      </c>
    </row>
    <row r="38" spans="23:41" x14ac:dyDescent="0.25">
      <c r="W38" s="12" t="s">
        <v>53</v>
      </c>
      <c r="X38" s="13"/>
      <c r="Y38" s="13"/>
      <c r="Z38" s="13">
        <v>237740</v>
      </c>
      <c r="AA38" s="13"/>
      <c r="AB38" s="13">
        <v>295687</v>
      </c>
      <c r="AC38" s="13">
        <v>527052</v>
      </c>
      <c r="AD38" s="13">
        <v>1212879</v>
      </c>
      <c r="AE38" s="13">
        <v>447308</v>
      </c>
      <c r="AF38" s="13">
        <v>37466</v>
      </c>
      <c r="AG38" s="13">
        <v>66213</v>
      </c>
      <c r="AH38" s="13">
        <v>47276</v>
      </c>
      <c r="AI38" s="13">
        <v>56462</v>
      </c>
      <c r="AJ38" s="13">
        <v>93733</v>
      </c>
      <c r="AK38" s="13">
        <v>52495</v>
      </c>
      <c r="AL38" s="13">
        <v>240151</v>
      </c>
    </row>
    <row r="39" spans="23:41" x14ac:dyDescent="0.25">
      <c r="W39" s="12" t="s">
        <v>50</v>
      </c>
      <c r="X39" s="13">
        <f t="shared" ref="X39:AJ39" si="40">+X37-X38</f>
        <v>0</v>
      </c>
      <c r="Y39" s="13">
        <f t="shared" si="40"/>
        <v>0</v>
      </c>
      <c r="Z39" s="13">
        <f t="shared" si="40"/>
        <v>2299916</v>
      </c>
      <c r="AA39" s="13">
        <f t="shared" si="40"/>
        <v>0</v>
      </c>
      <c r="AB39" s="13">
        <f t="shared" si="40"/>
        <v>2503932</v>
      </c>
      <c r="AC39" s="13">
        <f t="shared" si="40"/>
        <v>2599705</v>
      </c>
      <c r="AD39" s="13">
        <f t="shared" si="40"/>
        <v>2304902</v>
      </c>
      <c r="AE39" s="13">
        <f t="shared" si="40"/>
        <v>3418301</v>
      </c>
      <c r="AF39" s="13">
        <f t="shared" si="40"/>
        <v>5145640</v>
      </c>
      <c r="AG39" s="13">
        <f t="shared" si="40"/>
        <v>5258318</v>
      </c>
      <c r="AH39" s="13">
        <f t="shared" si="40"/>
        <v>5299081</v>
      </c>
      <c r="AI39" s="13">
        <f t="shared" si="40"/>
        <v>6506298</v>
      </c>
      <c r="AJ39" s="13">
        <f t="shared" si="40"/>
        <v>7147599</v>
      </c>
      <c r="AK39" s="13">
        <f t="shared" ref="AK39:AL39" si="41">+AK37-AK38</f>
        <v>6726988</v>
      </c>
      <c r="AL39" s="13">
        <f t="shared" si="41"/>
        <v>6303097</v>
      </c>
    </row>
    <row r="40" spans="23:41" x14ac:dyDescent="0.25">
      <c r="W40" s="12" t="s">
        <v>54</v>
      </c>
      <c r="X40" s="13"/>
      <c r="Y40" s="13"/>
      <c r="Z40" s="13">
        <v>11265638</v>
      </c>
      <c r="AA40" s="13"/>
      <c r="AB40" s="13">
        <v>14254305</v>
      </c>
      <c r="AC40" s="13">
        <v>13977435</v>
      </c>
      <c r="AD40" s="13">
        <v>11433567</v>
      </c>
      <c r="AE40" s="13">
        <v>11290537</v>
      </c>
      <c r="AF40" s="13">
        <v>14203852</v>
      </c>
      <c r="AG40" s="13">
        <v>13002138</v>
      </c>
      <c r="AH40" s="13">
        <v>14704588</v>
      </c>
      <c r="AI40" s="13">
        <v>15372428</v>
      </c>
      <c r="AJ40" s="13">
        <v>20735276</v>
      </c>
      <c r="AK40" s="13">
        <v>21269604</v>
      </c>
      <c r="AL40" s="13">
        <v>21863473</v>
      </c>
    </row>
    <row r="41" spans="23:41" x14ac:dyDescent="0.25">
      <c r="W41" s="12" t="s">
        <v>75</v>
      </c>
      <c r="X41" s="13"/>
      <c r="Y41" s="13"/>
      <c r="Z41" s="13">
        <v>1206992</v>
      </c>
      <c r="AA41" s="13"/>
      <c r="AB41" s="13">
        <v>1264935</v>
      </c>
      <c r="AC41" s="13">
        <v>1148388</v>
      </c>
      <c r="AD41" s="13">
        <v>1486956</v>
      </c>
      <c r="AE41" s="13">
        <v>2475494</v>
      </c>
      <c r="AF41" s="13">
        <v>3215883</v>
      </c>
      <c r="AG41" s="13">
        <v>2943414</v>
      </c>
      <c r="AH41" s="13">
        <v>2787191</v>
      </c>
      <c r="AI41" s="13">
        <v>3734626</v>
      </c>
      <c r="AJ41" s="13">
        <v>5109752</v>
      </c>
      <c r="AK41" s="13">
        <v>4526908</v>
      </c>
      <c r="AL41" s="13">
        <v>3558739</v>
      </c>
    </row>
    <row r="43" spans="23:41" x14ac:dyDescent="0.25">
      <c r="W43" s="12" t="s">
        <v>51</v>
      </c>
      <c r="X43" s="14"/>
      <c r="Y43" s="14"/>
      <c r="Z43" s="14">
        <f t="shared" ref="Z43:AJ43" si="42">+Z37/Z40</f>
        <v>0.2252563059455665</v>
      </c>
      <c r="AA43" s="14"/>
      <c r="AB43" s="14">
        <f t="shared" si="42"/>
        <v>0.19640515619667182</v>
      </c>
      <c r="AC43" s="14">
        <f t="shared" si="42"/>
        <v>0.22370034273098033</v>
      </c>
      <c r="AD43" s="14">
        <f t="shared" si="42"/>
        <v>0.30767135050680161</v>
      </c>
      <c r="AE43" s="14">
        <f t="shared" si="42"/>
        <v>0.34237600921904776</v>
      </c>
      <c r="AF43" s="14">
        <f t="shared" si="42"/>
        <v>0.3649084769399174</v>
      </c>
      <c r="AG43" s="14">
        <f t="shared" si="42"/>
        <v>0.40951195872555729</v>
      </c>
      <c r="AH43" s="14">
        <f t="shared" si="42"/>
        <v>0.36358427723374498</v>
      </c>
      <c r="AI43" s="14">
        <f t="shared" si="42"/>
        <v>0.42691759558086723</v>
      </c>
      <c r="AJ43" s="14">
        <f t="shared" si="42"/>
        <v>0.34922766400601563</v>
      </c>
      <c r="AK43" s="14">
        <f t="shared" ref="AK43:AL43" si="43">+AK37/AK40</f>
        <v>0.31874044293443354</v>
      </c>
      <c r="AL43" s="14">
        <f t="shared" si="43"/>
        <v>0.29927761248178641</v>
      </c>
    </row>
    <row r="45" spans="23:41" x14ac:dyDescent="0.25">
      <c r="W45" s="12" t="s">
        <v>63</v>
      </c>
      <c r="X45" s="16" t="e">
        <f t="shared" ref="X45:AJ45" si="44">+(X3*1000)/X7</f>
        <v>#DIV/0!</v>
      </c>
      <c r="Y45" s="16" t="e">
        <f t="shared" si="44"/>
        <v>#DIV/0!</v>
      </c>
      <c r="Z45" s="16" t="e">
        <f t="shared" si="44"/>
        <v>#DIV/0!</v>
      </c>
      <c r="AA45" s="16" t="e">
        <f t="shared" si="44"/>
        <v>#DIV/0!</v>
      </c>
      <c r="AB45" s="16" t="e">
        <f t="shared" si="44"/>
        <v>#DIV/0!</v>
      </c>
      <c r="AC45" s="16" t="e">
        <f t="shared" si="44"/>
        <v>#DIV/0!</v>
      </c>
      <c r="AD45" s="16" t="e">
        <f t="shared" si="44"/>
        <v>#DIV/0!</v>
      </c>
      <c r="AE45" s="16" t="e">
        <f t="shared" si="44"/>
        <v>#DIV/0!</v>
      </c>
      <c r="AF45" s="16" t="e">
        <f t="shared" si="44"/>
        <v>#DIV/0!</v>
      </c>
      <c r="AG45" s="16" t="e">
        <f t="shared" si="44"/>
        <v>#DIV/0!</v>
      </c>
      <c r="AH45" s="16" t="e">
        <f t="shared" si="44"/>
        <v>#DIV/0!</v>
      </c>
      <c r="AI45" s="16" t="e">
        <f t="shared" si="44"/>
        <v>#DIV/0!</v>
      </c>
      <c r="AJ45" s="16" t="e">
        <f t="shared" si="44"/>
        <v>#DIV/0!</v>
      </c>
      <c r="AK45" s="16" t="e">
        <f t="shared" ref="AK45:AL45" si="45">+(AK3*1000)/AK7</f>
        <v>#DIV/0!</v>
      </c>
      <c r="AL45" s="16" t="e">
        <f t="shared" si="45"/>
        <v>#DIV/0!</v>
      </c>
    </row>
    <row r="47" spans="23:41" x14ac:dyDescent="0.25">
      <c r="W47" s="12" t="s">
        <v>56</v>
      </c>
      <c r="X47" s="13">
        <f t="shared" ref="X47:AH47" si="46">Y47</f>
        <v>399980</v>
      </c>
      <c r="Y47" s="13">
        <f t="shared" si="46"/>
        <v>399980</v>
      </c>
      <c r="Z47" s="13">
        <f t="shared" si="46"/>
        <v>399980</v>
      </c>
      <c r="AA47" s="13">
        <f t="shared" si="46"/>
        <v>399980</v>
      </c>
      <c r="AB47" s="13">
        <f t="shared" si="46"/>
        <v>399980</v>
      </c>
      <c r="AC47" s="13">
        <f t="shared" si="46"/>
        <v>399980</v>
      </c>
      <c r="AD47" s="13">
        <f t="shared" si="46"/>
        <v>399980</v>
      </c>
      <c r="AE47" s="13">
        <f t="shared" si="46"/>
        <v>399980</v>
      </c>
      <c r="AF47" s="13">
        <f t="shared" si="46"/>
        <v>399980</v>
      </c>
      <c r="AG47" s="13">
        <f t="shared" si="46"/>
        <v>399980</v>
      </c>
      <c r="AH47" s="13">
        <f t="shared" si="46"/>
        <v>399980</v>
      </c>
      <c r="AI47" s="13">
        <f>AJ47</f>
        <v>399980</v>
      </c>
      <c r="AJ47" s="13">
        <v>399980</v>
      </c>
      <c r="AK47" s="13">
        <v>399980</v>
      </c>
      <c r="AL47" s="13">
        <v>399980</v>
      </c>
    </row>
    <row r="49" spans="23:38" x14ac:dyDescent="0.25">
      <c r="W49" s="12" t="s">
        <v>57</v>
      </c>
      <c r="X49" s="16">
        <f t="shared" ref="X49:AJ49" si="47">+X40/X47</f>
        <v>0</v>
      </c>
      <c r="Y49" s="16">
        <f t="shared" si="47"/>
        <v>0</v>
      </c>
      <c r="Z49" s="16">
        <f t="shared" si="47"/>
        <v>28.165503275163758</v>
      </c>
      <c r="AA49" s="16">
        <f t="shared" si="47"/>
        <v>0</v>
      </c>
      <c r="AB49" s="16">
        <f t="shared" si="47"/>
        <v>35.637544377218859</v>
      </c>
      <c r="AC49" s="16">
        <f t="shared" si="47"/>
        <v>34.945334766738334</v>
      </c>
      <c r="AD49" s="16">
        <f t="shared" si="47"/>
        <v>28.585346767338368</v>
      </c>
      <c r="AE49" s="16">
        <f t="shared" si="47"/>
        <v>28.227753887694384</v>
      </c>
      <c r="AF49" s="16">
        <f t="shared" si="47"/>
        <v>35.511405570278512</v>
      </c>
      <c r="AG49" s="16">
        <f t="shared" si="47"/>
        <v>32.506970348517427</v>
      </c>
      <c r="AH49" s="16">
        <f t="shared" si="47"/>
        <v>36.763308165408269</v>
      </c>
      <c r="AI49" s="16">
        <f t="shared" si="47"/>
        <v>38.432991649582476</v>
      </c>
      <c r="AJ49" s="16">
        <f t="shared" si="47"/>
        <v>51.840782039101953</v>
      </c>
      <c r="AK49" s="16">
        <f t="shared" ref="AK49:AL49" si="48">+AK40/AK47</f>
        <v>53.176668833441674</v>
      </c>
      <c r="AL49" s="16">
        <f t="shared" si="48"/>
        <v>54.661415570778537</v>
      </c>
    </row>
    <row r="51" spans="23:38" x14ac:dyDescent="0.25">
      <c r="W51" s="12" t="s">
        <v>67</v>
      </c>
      <c r="X51" s="13"/>
      <c r="Y51" s="13">
        <f>+Y55-X55</f>
        <v>252152</v>
      </c>
      <c r="Z51" s="13">
        <f>+Z55-Y55</f>
        <v>153154</v>
      </c>
      <c r="AA51" s="13">
        <f>+AA55</f>
        <v>-132359</v>
      </c>
      <c r="AB51" s="13">
        <f t="shared" ref="AB51:AD52" si="49">+AB55-AA55</f>
        <v>296403</v>
      </c>
      <c r="AC51" s="13">
        <f t="shared" si="49"/>
        <v>17938</v>
      </c>
      <c r="AD51" s="13">
        <f t="shared" si="49"/>
        <v>661594</v>
      </c>
      <c r="AE51" s="13">
        <f>+AE55</f>
        <v>-1401407</v>
      </c>
      <c r="AF51" s="13">
        <f>+AF55-AE55</f>
        <v>-1289069</v>
      </c>
      <c r="AG51" s="13">
        <f>+AG55-AF55</f>
        <v>-12050</v>
      </c>
      <c r="AH51" s="13">
        <f t="shared" ref="AH51:AH52" si="50">+AH55-AG55</f>
        <v>-74548</v>
      </c>
      <c r="AI51" s="13">
        <f>+AI55</f>
        <v>-1001472</v>
      </c>
      <c r="AJ51" s="13">
        <f>+AJ55-AI55</f>
        <v>-1120600</v>
      </c>
      <c r="AK51" s="13">
        <f>+AK55-AJ55</f>
        <v>56924</v>
      </c>
      <c r="AL51" s="13">
        <f t="shared" ref="AL51:AL52" si="51">+AL55-AK55</f>
        <v>507797</v>
      </c>
    </row>
    <row r="52" spans="23:38" x14ac:dyDescent="0.25">
      <c r="W52" s="12" t="s">
        <v>60</v>
      </c>
      <c r="Y52" s="13">
        <f>+Y56-X56</f>
        <v>-479738</v>
      </c>
      <c r="Z52" s="13">
        <f>+Z56-Y56</f>
        <v>-187394</v>
      </c>
      <c r="AA52" s="13">
        <f>+AA56</f>
        <v>-323823</v>
      </c>
      <c r="AB52" s="13">
        <f t="shared" si="49"/>
        <v>-527259</v>
      </c>
      <c r="AC52" s="13">
        <f t="shared" si="49"/>
        <v>-486152</v>
      </c>
      <c r="AD52" s="13">
        <f t="shared" si="49"/>
        <v>-319416</v>
      </c>
      <c r="AE52" s="13">
        <f>+AE56</f>
        <v>-156977</v>
      </c>
      <c r="AF52" s="13">
        <f>+AF56-AE56</f>
        <v>-255121</v>
      </c>
      <c r="AG52" s="13">
        <f>+AG56-AF56</f>
        <v>-397794</v>
      </c>
      <c r="AH52" s="13">
        <f t="shared" si="50"/>
        <v>-252057</v>
      </c>
      <c r="AI52" s="13">
        <f>+AI56</f>
        <v>-149909</v>
      </c>
      <c r="AJ52" s="13">
        <f>+AJ56-AI56</f>
        <v>-82917</v>
      </c>
      <c r="AK52" s="13">
        <f>+AK56-AJ56</f>
        <v>-448792</v>
      </c>
      <c r="AL52" s="13">
        <f t="shared" si="51"/>
        <v>-122461</v>
      </c>
    </row>
    <row r="53" spans="23:38" x14ac:dyDescent="0.25">
      <c r="W53" s="12" t="s">
        <v>68</v>
      </c>
      <c r="Y53" s="13">
        <f t="shared" ref="Y53:AJ53" si="52">+Y51+Y52</f>
        <v>-227586</v>
      </c>
      <c r="Z53" s="13">
        <f t="shared" si="52"/>
        <v>-34240</v>
      </c>
      <c r="AA53" s="13">
        <f t="shared" si="52"/>
        <v>-456182</v>
      </c>
      <c r="AB53" s="13">
        <f t="shared" si="52"/>
        <v>-230856</v>
      </c>
      <c r="AC53" s="13">
        <f t="shared" si="52"/>
        <v>-468214</v>
      </c>
      <c r="AD53" s="13">
        <f t="shared" si="52"/>
        <v>342178</v>
      </c>
      <c r="AE53" s="13">
        <f t="shared" si="52"/>
        <v>-1558384</v>
      </c>
      <c r="AF53" s="13">
        <f t="shared" si="52"/>
        <v>-1544190</v>
      </c>
      <c r="AG53" s="13">
        <f t="shared" si="52"/>
        <v>-409844</v>
      </c>
      <c r="AH53" s="13">
        <f t="shared" si="52"/>
        <v>-326605</v>
      </c>
      <c r="AI53" s="13">
        <f t="shared" si="52"/>
        <v>-1151381</v>
      </c>
      <c r="AJ53" s="13">
        <f t="shared" si="52"/>
        <v>-1203517</v>
      </c>
      <c r="AK53" s="13">
        <f t="shared" ref="AK53:AL53" si="53">+AK51+AK52</f>
        <v>-391868</v>
      </c>
      <c r="AL53" s="13">
        <f t="shared" si="53"/>
        <v>385336</v>
      </c>
    </row>
    <row r="55" spans="23:38" x14ac:dyDescent="0.25">
      <c r="W55" s="12" t="s">
        <v>67</v>
      </c>
      <c r="X55" s="13">
        <v>80387</v>
      </c>
      <c r="Y55" s="13">
        <v>332539</v>
      </c>
      <c r="Z55" s="13">
        <v>485693</v>
      </c>
      <c r="AA55" s="13">
        <v>-132359</v>
      </c>
      <c r="AB55" s="13">
        <v>164044</v>
      </c>
      <c r="AC55" s="13">
        <v>181982</v>
      </c>
      <c r="AD55" s="13">
        <v>843576</v>
      </c>
      <c r="AE55" s="13">
        <v>-1401407</v>
      </c>
      <c r="AF55" s="13">
        <v>-2690476</v>
      </c>
      <c r="AG55" s="13">
        <v>-2702526</v>
      </c>
      <c r="AH55" s="13">
        <v>-2777074</v>
      </c>
      <c r="AI55" s="13">
        <v>-1001472</v>
      </c>
      <c r="AJ55" s="13">
        <v>-2122072</v>
      </c>
      <c r="AK55" s="13">
        <v>-2065148</v>
      </c>
      <c r="AL55" s="13">
        <v>-1557351</v>
      </c>
    </row>
    <row r="56" spans="23:38" x14ac:dyDescent="0.25">
      <c r="W56" s="12" t="s">
        <v>60</v>
      </c>
      <c r="X56" s="13">
        <v>-554738</v>
      </c>
      <c r="Y56" s="13">
        <v>-1034476</v>
      </c>
      <c r="Z56" s="13">
        <v>-1221870</v>
      </c>
      <c r="AA56" s="13">
        <v>-323823</v>
      </c>
      <c r="AB56" s="13">
        <v>-851082</v>
      </c>
      <c r="AC56" s="13">
        <v>-1337234</v>
      </c>
      <c r="AD56" s="13">
        <v>-1656650</v>
      </c>
      <c r="AE56" s="13">
        <v>-156977</v>
      </c>
      <c r="AF56" s="10">
        <v>-412098</v>
      </c>
      <c r="AG56" s="13">
        <v>-809892</v>
      </c>
      <c r="AH56" s="13">
        <v>-1061949</v>
      </c>
      <c r="AI56" s="13">
        <v>-149909</v>
      </c>
      <c r="AJ56" s="10">
        <v>-232826</v>
      </c>
      <c r="AK56" s="13">
        <v>-681618</v>
      </c>
      <c r="AL56" s="13">
        <v>-804079</v>
      </c>
    </row>
    <row r="57" spans="23:38" x14ac:dyDescent="0.25">
      <c r="W57" s="12" t="s">
        <v>68</v>
      </c>
      <c r="X57" s="13">
        <f t="shared" ref="X57:AF57" si="54">+X55+X56</f>
        <v>-474351</v>
      </c>
      <c r="Y57" s="13">
        <f t="shared" si="54"/>
        <v>-701937</v>
      </c>
      <c r="Z57" s="13">
        <f t="shared" si="54"/>
        <v>-736177</v>
      </c>
      <c r="AA57" s="13">
        <f t="shared" si="54"/>
        <v>-456182</v>
      </c>
      <c r="AB57" s="13">
        <f t="shared" si="54"/>
        <v>-687038</v>
      </c>
      <c r="AC57" s="13">
        <f t="shared" si="54"/>
        <v>-1155252</v>
      </c>
      <c r="AD57" s="13">
        <f t="shared" si="54"/>
        <v>-813074</v>
      </c>
      <c r="AE57" s="13">
        <f t="shared" si="54"/>
        <v>-1558384</v>
      </c>
      <c r="AF57" s="13">
        <f t="shared" si="54"/>
        <v>-3102574</v>
      </c>
      <c r="AG57" s="13">
        <f>+AG55+AG56</f>
        <v>-3512418</v>
      </c>
      <c r="AH57" s="13">
        <f t="shared" ref="AH57:AJ57" si="55">+AH55+AH56</f>
        <v>-3839023</v>
      </c>
      <c r="AI57" s="13">
        <f t="shared" si="55"/>
        <v>-1151381</v>
      </c>
      <c r="AJ57" s="13">
        <f t="shared" si="55"/>
        <v>-2354898</v>
      </c>
      <c r="AK57" s="13">
        <f>+AK55+AK56</f>
        <v>-2746766</v>
      </c>
      <c r="AL57" s="13">
        <f t="shared" ref="AL57" si="56">+AL55+AL56</f>
        <v>-2361430</v>
      </c>
    </row>
    <row r="59" spans="23:38" x14ac:dyDescent="0.25">
      <c r="W59" s="47" t="s">
        <v>76</v>
      </c>
    </row>
    <row r="60" spans="23:38" x14ac:dyDescent="0.25">
      <c r="W60" s="47" t="s">
        <v>420</v>
      </c>
      <c r="X60" s="99" t="s">
        <v>949</v>
      </c>
      <c r="AC60" s="13"/>
      <c r="AG60" s="13"/>
      <c r="AK60" s="13"/>
    </row>
    <row r="61" spans="23:38" x14ac:dyDescent="0.25">
      <c r="W61" s="12" t="s">
        <v>78</v>
      </c>
      <c r="X61" s="13">
        <v>1440561</v>
      </c>
      <c r="Y61" s="13">
        <f>2192550-X61</f>
        <v>751989</v>
      </c>
      <c r="Z61" s="13">
        <f>2375711-Y61-X61</f>
        <v>183161</v>
      </c>
      <c r="AA61" s="13">
        <v>607544</v>
      </c>
      <c r="AB61" s="13">
        <f>853588-AA61</f>
        <v>246044</v>
      </c>
      <c r="AC61" s="13">
        <f>1110756-AB61-AA61</f>
        <v>257168</v>
      </c>
      <c r="AD61" s="13">
        <f>1979541-AC61-AB61-AA61</f>
        <v>868785</v>
      </c>
      <c r="AE61" s="13">
        <v>1068862</v>
      </c>
      <c r="AF61" s="13">
        <f>1475434-AE61</f>
        <v>406572</v>
      </c>
      <c r="AG61" s="13">
        <f>2617977-AF61-AE61</f>
        <v>1142543</v>
      </c>
      <c r="AH61" s="13">
        <f>3301938-AG61-AF61-AE61</f>
        <v>683961</v>
      </c>
      <c r="AI61" s="13">
        <v>1343995</v>
      </c>
      <c r="AJ61" s="13">
        <f>2952361-AI61</f>
        <v>1608366</v>
      </c>
      <c r="AK61" s="13">
        <f>4236582-AJ61-AI61</f>
        <v>1284221</v>
      </c>
      <c r="AL61" s="13">
        <f>5585609-AK61-AJ61-AI61</f>
        <v>1349027</v>
      </c>
    </row>
    <row r="62" spans="23:38" x14ac:dyDescent="0.25">
      <c r="W62" s="12" t="s">
        <v>40</v>
      </c>
      <c r="X62" s="17"/>
      <c r="Y62" s="17"/>
      <c r="Z62" s="17"/>
      <c r="AA62" s="17"/>
      <c r="AB62" s="18"/>
      <c r="AC62" s="18">
        <f t="shared" ref="AC62:AL62" si="57">+AC61/Y61-1</f>
        <v>-0.65801627417422326</v>
      </c>
      <c r="AD62" s="18">
        <f t="shared" si="57"/>
        <v>3.7432859615311118</v>
      </c>
      <c r="AE62" s="18">
        <f t="shared" si="57"/>
        <v>0.7593161976745717</v>
      </c>
      <c r="AF62" s="18">
        <f t="shared" si="57"/>
        <v>0.65243614963177321</v>
      </c>
      <c r="AG62" s="18">
        <f t="shared" si="57"/>
        <v>3.4427883718036458</v>
      </c>
      <c r="AH62" s="18">
        <f t="shared" si="57"/>
        <v>-0.21273847960082182</v>
      </c>
      <c r="AI62" s="18">
        <f t="shared" si="57"/>
        <v>0.25740741087249797</v>
      </c>
      <c r="AJ62" s="18">
        <f t="shared" si="57"/>
        <v>2.9559192467754789</v>
      </c>
      <c r="AK62" s="18">
        <f t="shared" si="57"/>
        <v>0.1240023351418722</v>
      </c>
      <c r="AL62" s="18">
        <f t="shared" si="57"/>
        <v>0.97237415583637077</v>
      </c>
    </row>
    <row r="63" spans="23:38" x14ac:dyDescent="0.25">
      <c r="W63" s="12" t="s">
        <v>41</v>
      </c>
      <c r="Y63" s="18"/>
      <c r="Z63" s="18">
        <f t="shared" ref="Z63:AL63" si="58">+Z61/Y61-1</f>
        <v>-0.75643127758517748</v>
      </c>
      <c r="AA63" s="18">
        <f t="shared" si="58"/>
        <v>2.316994338314379</v>
      </c>
      <c r="AB63" s="18">
        <f t="shared" si="58"/>
        <v>-0.59501863239534913</v>
      </c>
      <c r="AC63" s="18">
        <f t="shared" si="58"/>
        <v>4.5211425598673305E-2</v>
      </c>
      <c r="AD63" s="18">
        <f t="shared" si="58"/>
        <v>2.3782780128165246</v>
      </c>
      <c r="AE63" s="18">
        <f t="shared" si="58"/>
        <v>0.23029518235236557</v>
      </c>
      <c r="AF63" s="18">
        <f t="shared" si="58"/>
        <v>-0.61962161626103274</v>
      </c>
      <c r="AG63" s="18">
        <f t="shared" si="58"/>
        <v>1.8101861416920006</v>
      </c>
      <c r="AH63" s="18">
        <f t="shared" si="58"/>
        <v>-0.40136957646233007</v>
      </c>
      <c r="AI63" s="18">
        <f t="shared" si="58"/>
        <v>0.96501701120385519</v>
      </c>
      <c r="AJ63" s="18">
        <f t="shared" si="58"/>
        <v>0.1967053448859557</v>
      </c>
      <c r="AK63" s="18">
        <f t="shared" si="58"/>
        <v>-0.20153683925176236</v>
      </c>
      <c r="AL63" s="18">
        <f t="shared" si="58"/>
        <v>5.0463276959339609E-2</v>
      </c>
    </row>
    <row r="64" spans="23:38" x14ac:dyDescent="0.25">
      <c r="W64" s="12" t="s">
        <v>79</v>
      </c>
      <c r="X64" s="13">
        <v>12982</v>
      </c>
      <c r="Y64" s="13">
        <f>311216-X64</f>
        <v>298234</v>
      </c>
      <c r="Z64" s="13">
        <f>206512-Y64-X64</f>
        <v>-104704</v>
      </c>
      <c r="AA64" s="13">
        <v>234259</v>
      </c>
      <c r="AB64" s="13">
        <f>189068-AA64</f>
        <v>-45191</v>
      </c>
      <c r="AC64" s="13">
        <f>352776-AB64-AA64</f>
        <v>163708</v>
      </c>
      <c r="AD64" s="13">
        <f>498012-AC64-AB64-AA64</f>
        <v>145236</v>
      </c>
      <c r="AE64" s="13">
        <v>674462</v>
      </c>
      <c r="AF64" s="13">
        <f>267377-AE64</f>
        <v>-407085</v>
      </c>
      <c r="AG64" s="13">
        <f>1041357-AF64-AE64</f>
        <v>773980</v>
      </c>
      <c r="AH64" s="13">
        <f>1353623-AG64-AF64-AE64</f>
        <v>312266</v>
      </c>
      <c r="AI64" s="13">
        <v>335278</v>
      </c>
      <c r="AJ64" s="13">
        <f>727237-AI64</f>
        <v>391959</v>
      </c>
      <c r="AK64" s="13">
        <f>841017-AJ64-AI64</f>
        <v>113780</v>
      </c>
      <c r="AL64" s="13">
        <f>934497-AK64-AJ64-AI64</f>
        <v>93480</v>
      </c>
    </row>
    <row r="65" spans="23:38" x14ac:dyDescent="0.25">
      <c r="W65" s="12" t="s">
        <v>82</v>
      </c>
      <c r="X65" s="19">
        <f t="shared" ref="X65:AF65" si="59">+X64/X61</f>
        <v>9.0117669435726775E-3</v>
      </c>
      <c r="Y65" s="19">
        <f t="shared" si="59"/>
        <v>0.39659356719313715</v>
      </c>
      <c r="Z65" s="19">
        <f t="shared" si="59"/>
        <v>-0.57165007834637283</v>
      </c>
      <c r="AA65" s="19">
        <f t="shared" si="59"/>
        <v>0.38558359559143041</v>
      </c>
      <c r="AB65" s="19">
        <f t="shared" si="59"/>
        <v>-0.18367040041618574</v>
      </c>
      <c r="AC65" s="19">
        <f t="shared" si="59"/>
        <v>0.63657997884651274</v>
      </c>
      <c r="AD65" s="19">
        <f t="shared" si="59"/>
        <v>0.16717139453374541</v>
      </c>
      <c r="AE65" s="19">
        <f t="shared" si="59"/>
        <v>0.6310094287195166</v>
      </c>
      <c r="AF65" s="19">
        <f t="shared" si="59"/>
        <v>-1.0012617691331425</v>
      </c>
      <c r="AG65" s="19">
        <f>+AG64/AG61</f>
        <v>0.67741870546666516</v>
      </c>
      <c r="AH65" s="19">
        <f t="shared" ref="AH65:AJ65" si="60">+AH64/AH61</f>
        <v>0.45655527142629476</v>
      </c>
      <c r="AI65" s="19">
        <f t="shared" si="60"/>
        <v>0.24946372568350328</v>
      </c>
      <c r="AJ65" s="19">
        <f t="shared" si="60"/>
        <v>0.24370012795595034</v>
      </c>
      <c r="AK65" s="19">
        <f>+AK64/AK61</f>
        <v>8.8598457742086453E-2</v>
      </c>
      <c r="AL65" s="19">
        <f t="shared" ref="AL65" si="61">+AL64/AL61</f>
        <v>6.9294387732788149E-2</v>
      </c>
    </row>
    <row r="66" spans="23:38" x14ac:dyDescent="0.25">
      <c r="W66" s="12" t="s">
        <v>354</v>
      </c>
      <c r="X66" s="13">
        <v>30153</v>
      </c>
      <c r="Y66" s="13">
        <f>329044-X66</f>
        <v>298891</v>
      </c>
      <c r="Z66" s="13">
        <f>224476-Y66-X66</f>
        <v>-104568</v>
      </c>
      <c r="AA66" s="13">
        <v>238599</v>
      </c>
      <c r="AB66" s="13">
        <f>192771-AA66</f>
        <v>-45828</v>
      </c>
      <c r="AC66" s="13">
        <f>233796-AB66-AA66</f>
        <v>41025</v>
      </c>
      <c r="AD66" s="13">
        <f>269923-AC66-AB66-AA66</f>
        <v>36127</v>
      </c>
      <c r="AE66" s="13">
        <v>607131</v>
      </c>
      <c r="AF66" s="13">
        <f>590188-AE66</f>
        <v>-16943</v>
      </c>
      <c r="AG66" s="13">
        <f>934182-AF66-AE66</f>
        <v>343994</v>
      </c>
      <c r="AH66" s="13">
        <f>1219782-AG66-AF66-AE66</f>
        <v>285600</v>
      </c>
      <c r="AI66" s="13">
        <v>277957</v>
      </c>
      <c r="AJ66" s="13">
        <f>1009830-AI66</f>
        <v>731873</v>
      </c>
      <c r="AK66" s="13">
        <f>1583471-AJ66-AI66</f>
        <v>573641</v>
      </c>
      <c r="AL66" s="13">
        <f>1888943-AK66-AJ66-AI66</f>
        <v>305472</v>
      </c>
    </row>
    <row r="67" spans="23:38" x14ac:dyDescent="0.25">
      <c r="W67" s="12" t="s">
        <v>82</v>
      </c>
      <c r="X67" s="19">
        <f t="shared" ref="X67:AF67" si="62">+X66/X61</f>
        <v>2.0931428797530963E-2</v>
      </c>
      <c r="Y67" s="19">
        <f t="shared" si="62"/>
        <v>0.3974672501858405</v>
      </c>
      <c r="Z67" s="19">
        <f t="shared" si="62"/>
        <v>-0.57090756219937655</v>
      </c>
      <c r="AA67" s="19">
        <f t="shared" si="62"/>
        <v>0.39272711112281578</v>
      </c>
      <c r="AB67" s="19">
        <f t="shared" si="62"/>
        <v>-0.18625936824307848</v>
      </c>
      <c r="AC67" s="19">
        <f t="shared" si="62"/>
        <v>0.15952606856218504</v>
      </c>
      <c r="AD67" s="19">
        <f t="shared" si="62"/>
        <v>4.1583360670361481E-2</v>
      </c>
      <c r="AE67" s="19">
        <f t="shared" si="62"/>
        <v>0.56801626402660021</v>
      </c>
      <c r="AF67" s="19">
        <f t="shared" si="62"/>
        <v>-4.1672815639050405E-2</v>
      </c>
      <c r="AG67" s="19">
        <f>+AG66/AG61</f>
        <v>0.30107750868019845</v>
      </c>
      <c r="AH67" s="19">
        <f t="shared" ref="AH67:AJ67" si="63">+AH66/AH61</f>
        <v>0.41756766833196629</v>
      </c>
      <c r="AI67" s="19">
        <f t="shared" si="63"/>
        <v>0.20681401344499051</v>
      </c>
      <c r="AJ67" s="19">
        <f t="shared" si="63"/>
        <v>0.4550413276580082</v>
      </c>
      <c r="AK67" s="19">
        <f>+AK66/AK61</f>
        <v>0.44668402089671483</v>
      </c>
      <c r="AL67" s="19">
        <f t="shared" ref="AL67" si="64">+AL66/AL61</f>
        <v>0.22643875919458989</v>
      </c>
    </row>
    <row r="70" spans="23:38" x14ac:dyDescent="0.25">
      <c r="W70" s="47" t="s">
        <v>421</v>
      </c>
      <c r="X70" s="99" t="s">
        <v>949</v>
      </c>
      <c r="AC70" s="13"/>
      <c r="AG70" s="13"/>
      <c r="AK70" s="13"/>
    </row>
    <row r="71" spans="23:38" x14ac:dyDescent="0.25">
      <c r="W71" s="12" t="s">
        <v>78</v>
      </c>
      <c r="X71" s="13">
        <v>2718331</v>
      </c>
      <c r="Y71" s="13">
        <f>4089980-X71</f>
        <v>1371649</v>
      </c>
      <c r="Z71" s="13">
        <f>5335679-Y71-X71</f>
        <v>1245699</v>
      </c>
      <c r="AA71" s="13">
        <v>1710496</v>
      </c>
      <c r="AB71" s="13">
        <f>3621785-AA71</f>
        <v>1911289</v>
      </c>
      <c r="AC71" s="13">
        <f>5859299-AB71-AA71</f>
        <v>2237514</v>
      </c>
      <c r="AD71" s="13">
        <f>7771941-AC71-AB71-AA71</f>
        <v>1912642</v>
      </c>
      <c r="AE71" s="13">
        <v>2935028</v>
      </c>
      <c r="AF71" s="13">
        <f>6057694-AE71</f>
        <v>3122666</v>
      </c>
      <c r="AG71" s="13">
        <f>8879991-AF71-AE71</f>
        <v>2822297</v>
      </c>
      <c r="AH71" s="13">
        <f>11800034-AG71-AF71-AE71</f>
        <v>2920043</v>
      </c>
      <c r="AI71" s="13">
        <v>2905600</v>
      </c>
      <c r="AJ71" s="13">
        <f>5665258-AI71</f>
        <v>2759658</v>
      </c>
      <c r="AK71" s="13">
        <f>8235145-AJ71-AI71</f>
        <v>2569887</v>
      </c>
      <c r="AL71" s="13">
        <f>11224342-AK71-AJ71-AI71</f>
        <v>2989197</v>
      </c>
    </row>
    <row r="72" spans="23:38" x14ac:dyDescent="0.25">
      <c r="W72" s="12" t="s">
        <v>40</v>
      </c>
      <c r="X72" s="17"/>
      <c r="Y72" s="17"/>
      <c r="Z72" s="17"/>
      <c r="AA72" s="17"/>
      <c r="AB72" s="18"/>
      <c r="AC72" s="18">
        <f t="shared" ref="AC72:AL72" si="65">+AC71/Y71-1</f>
        <v>0.63125843419125438</v>
      </c>
      <c r="AD72" s="18">
        <f t="shared" si="65"/>
        <v>0.53539659259580374</v>
      </c>
      <c r="AE72" s="18">
        <f t="shared" si="65"/>
        <v>0.71589293397938381</v>
      </c>
      <c r="AF72" s="18">
        <f t="shared" si="65"/>
        <v>0.6338010630522124</v>
      </c>
      <c r="AG72" s="18">
        <f t="shared" si="65"/>
        <v>0.26135389543931353</v>
      </c>
      <c r="AH72" s="18">
        <f t="shared" si="65"/>
        <v>0.52670651381701328</v>
      </c>
      <c r="AI72" s="18">
        <f t="shared" si="65"/>
        <v>-1.0026480156236972E-2</v>
      </c>
      <c r="AJ72" s="18">
        <f t="shared" si="65"/>
        <v>-0.11624938434017595</v>
      </c>
      <c r="AK72" s="18">
        <f t="shared" si="65"/>
        <v>-8.943424451785198E-2</v>
      </c>
      <c r="AL72" s="18">
        <f t="shared" si="65"/>
        <v>2.3682527962773259E-2</v>
      </c>
    </row>
    <row r="73" spans="23:38" x14ac:dyDescent="0.25">
      <c r="W73" s="12" t="s">
        <v>41</v>
      </c>
      <c r="Y73" s="18"/>
      <c r="Z73" s="18">
        <f t="shared" ref="Z73:AL73" si="66">+Z71/Y71-1</f>
        <v>-9.1823782906559903E-2</v>
      </c>
      <c r="AA73" s="18">
        <f t="shared" si="66"/>
        <v>0.37312143623780702</v>
      </c>
      <c r="AB73" s="18">
        <f t="shared" si="66"/>
        <v>0.11738875741305455</v>
      </c>
      <c r="AC73" s="18">
        <f t="shared" si="66"/>
        <v>0.17068324047279093</v>
      </c>
      <c r="AD73" s="18">
        <f t="shared" si="66"/>
        <v>-0.14519328147220534</v>
      </c>
      <c r="AE73" s="18">
        <f t="shared" si="66"/>
        <v>0.53454122622006617</v>
      </c>
      <c r="AF73" s="18">
        <f t="shared" si="66"/>
        <v>6.3930565568710129E-2</v>
      </c>
      <c r="AG73" s="18">
        <f t="shared" si="66"/>
        <v>-9.6189922329189215E-2</v>
      </c>
      <c r="AH73" s="18">
        <f t="shared" si="66"/>
        <v>3.4633491797638527E-2</v>
      </c>
      <c r="AI73" s="18">
        <f t="shared" si="66"/>
        <v>-4.9461600394240524E-3</v>
      </c>
      <c r="AJ73" s="18">
        <f t="shared" si="66"/>
        <v>-5.0227835903083662E-2</v>
      </c>
      <c r="AK73" s="18">
        <f t="shared" si="66"/>
        <v>-6.8766129716073543E-2</v>
      </c>
      <c r="AL73" s="18">
        <f t="shared" si="66"/>
        <v>0.163162816108257</v>
      </c>
    </row>
    <row r="74" spans="23:38" x14ac:dyDescent="0.25">
      <c r="W74" s="12" t="s">
        <v>79</v>
      </c>
      <c r="X74" s="13">
        <v>380377</v>
      </c>
      <c r="Y74" s="13">
        <f>553325-X74</f>
        <v>172948</v>
      </c>
      <c r="Z74" s="13">
        <f>682618-Y74-X74</f>
        <v>129293</v>
      </c>
      <c r="AA74" s="10">
        <v>245033</v>
      </c>
      <c r="AB74" s="13">
        <f>481751-AA74</f>
        <v>236718</v>
      </c>
      <c r="AC74" s="13">
        <f>729602-AB74-AA74</f>
        <v>247851</v>
      </c>
      <c r="AD74" s="13">
        <f>930573-AC74-AB74-AA74</f>
        <v>200971</v>
      </c>
      <c r="AE74" s="13">
        <v>417115</v>
      </c>
      <c r="AF74" s="13">
        <f>663458-AE74</f>
        <v>246343</v>
      </c>
      <c r="AG74" s="13">
        <f>735653-AF74-AE74</f>
        <v>72195</v>
      </c>
      <c r="AH74" s="13">
        <f>635502-AG74-AF74-AE74</f>
        <v>-100151</v>
      </c>
      <c r="AI74" s="13">
        <v>96304</v>
      </c>
      <c r="AJ74" s="13">
        <f>214570-AI74</f>
        <v>118266</v>
      </c>
      <c r="AK74" s="13">
        <f>218326-AJ74-AI74</f>
        <v>3756</v>
      </c>
      <c r="AL74" s="13">
        <f>159538-AK74-AJ74-AI74</f>
        <v>-58788</v>
      </c>
    </row>
    <row r="75" spans="23:38" x14ac:dyDescent="0.25">
      <c r="W75" s="12" t="s">
        <v>82</v>
      </c>
      <c r="X75" s="19">
        <f t="shared" ref="X75:AF75" si="67">+X74/X71</f>
        <v>0.13993034696657619</v>
      </c>
      <c r="Y75" s="19">
        <f t="shared" si="67"/>
        <v>0.12608765070364211</v>
      </c>
      <c r="Z75" s="19">
        <f t="shared" si="67"/>
        <v>0.10379152588225567</v>
      </c>
      <c r="AA75" s="19">
        <f t="shared" si="67"/>
        <v>0.14325260041531812</v>
      </c>
      <c r="AB75" s="19">
        <f t="shared" si="67"/>
        <v>0.12385254140007085</v>
      </c>
      <c r="AC75" s="19">
        <f t="shared" si="67"/>
        <v>0.11077070355760903</v>
      </c>
      <c r="AD75" s="19">
        <f t="shared" si="67"/>
        <v>0.10507507416442806</v>
      </c>
      <c r="AE75" s="19">
        <f t="shared" si="67"/>
        <v>0.14211619105507681</v>
      </c>
      <c r="AF75" s="19">
        <f t="shared" si="67"/>
        <v>7.8888680377600426E-2</v>
      </c>
      <c r="AG75" s="19">
        <f>+AG74/AG71</f>
        <v>2.5580227736485564E-2</v>
      </c>
      <c r="AH75" s="19">
        <f t="shared" ref="AH75:AJ75" si="68">+AH74/AH71</f>
        <v>-3.4297782601146624E-2</v>
      </c>
      <c r="AI75" s="19">
        <f t="shared" si="68"/>
        <v>3.3144273127753303E-2</v>
      </c>
      <c r="AJ75" s="19">
        <f t="shared" si="68"/>
        <v>4.2855310331932434E-2</v>
      </c>
      <c r="AK75" s="19">
        <f>+AK74/AK71</f>
        <v>1.4615428616122032E-3</v>
      </c>
      <c r="AL75" s="19">
        <f t="shared" ref="AL75" si="69">+AL74/AL71</f>
        <v>-1.9666820219610817E-2</v>
      </c>
    </row>
    <row r="76" spans="23:38" x14ac:dyDescent="0.25">
      <c r="W76" s="12" t="s">
        <v>354</v>
      </c>
      <c r="X76" s="13">
        <v>343683</v>
      </c>
      <c r="Y76" s="13">
        <f>500874-X76</f>
        <v>157191</v>
      </c>
      <c r="Z76" s="13">
        <f>669639-Y76-X76</f>
        <v>168765</v>
      </c>
      <c r="AA76" s="13">
        <v>232874</v>
      </c>
      <c r="AB76" s="13">
        <f>442768-AA76</f>
        <v>209894</v>
      </c>
      <c r="AC76" s="13">
        <f>669858-AB76-AA76</f>
        <v>227090</v>
      </c>
      <c r="AD76" s="13">
        <f>863624-AC76-AB76-AA76</f>
        <v>193766</v>
      </c>
      <c r="AE76" s="13">
        <v>334174</v>
      </c>
      <c r="AF76" s="13">
        <f>548120-AE76</f>
        <v>213946</v>
      </c>
      <c r="AG76" s="13">
        <f>550813-AF76-AE76</f>
        <v>2693</v>
      </c>
      <c r="AH76" s="13">
        <f>396055-AG76-AF76-AE76</f>
        <v>-154758</v>
      </c>
      <c r="AI76" s="13">
        <v>59794</v>
      </c>
      <c r="AJ76" s="13">
        <f>136419-AI76</f>
        <v>76625</v>
      </c>
      <c r="AK76" s="13">
        <f>121951-AJ76-AI76</f>
        <v>-14468</v>
      </c>
      <c r="AL76" s="13">
        <f>76024-AK76-AJ76-AI76</f>
        <v>-45927</v>
      </c>
    </row>
    <row r="77" spans="23:38" x14ac:dyDescent="0.25">
      <c r="W77" s="12" t="s">
        <v>82</v>
      </c>
      <c r="X77" s="19">
        <f t="shared" ref="X77:AF77" si="70">+X76/X71</f>
        <v>0.12643162293333668</v>
      </c>
      <c r="Y77" s="19">
        <f t="shared" si="70"/>
        <v>0.11460001793461738</v>
      </c>
      <c r="Z77" s="19">
        <f t="shared" si="70"/>
        <v>0.13547815322963253</v>
      </c>
      <c r="AA77" s="19">
        <f t="shared" si="70"/>
        <v>0.13614413596991751</v>
      </c>
      <c r="AB77" s="19">
        <f t="shared" si="70"/>
        <v>0.1098180337981331</v>
      </c>
      <c r="AC77" s="19">
        <f t="shared" si="70"/>
        <v>0.10149210239578389</v>
      </c>
      <c r="AD77" s="19">
        <f t="shared" si="70"/>
        <v>0.10130803359959679</v>
      </c>
      <c r="AE77" s="19">
        <f t="shared" si="70"/>
        <v>0.11385717614959721</v>
      </c>
      <c r="AF77" s="19">
        <f t="shared" si="70"/>
        <v>6.8513891655399589E-2</v>
      </c>
      <c r="AG77" s="19">
        <f>+AG76/AG71</f>
        <v>9.5418731621796002E-4</v>
      </c>
      <c r="AH77" s="19">
        <f t="shared" ref="AH77:AJ77" si="71">+AH76/AH71</f>
        <v>-5.2998534610620457E-2</v>
      </c>
      <c r="AI77" s="19">
        <f t="shared" si="71"/>
        <v>2.0578882158590307E-2</v>
      </c>
      <c r="AJ77" s="19">
        <f t="shared" si="71"/>
        <v>2.7766121744071184E-2</v>
      </c>
      <c r="AK77" s="19">
        <f>+AK76/AK71</f>
        <v>-5.6298195212474327E-3</v>
      </c>
      <c r="AL77" s="19">
        <f t="shared" ref="AL77" si="72">+AL76/AL71</f>
        <v>-1.5364326941315678E-2</v>
      </c>
    </row>
    <row r="80" spans="23:38" x14ac:dyDescent="0.25">
      <c r="W80" s="47" t="s">
        <v>422</v>
      </c>
      <c r="X80" s="99" t="s">
        <v>949</v>
      </c>
      <c r="AC80" s="13"/>
      <c r="AG80" s="13"/>
      <c r="AK80" s="13"/>
    </row>
    <row r="81" spans="23:38" x14ac:dyDescent="0.25">
      <c r="W81" s="12" t="s">
        <v>78</v>
      </c>
      <c r="X81" s="13">
        <v>460170</v>
      </c>
      <c r="Y81" s="13">
        <f>664182-X81</f>
        <v>204012</v>
      </c>
      <c r="Z81" s="13">
        <f>823427-Y81-X81</f>
        <v>159245</v>
      </c>
      <c r="AA81" s="13">
        <v>212936</v>
      </c>
      <c r="AB81" s="13">
        <f>515019-AA81</f>
        <v>302083</v>
      </c>
      <c r="AC81" s="13">
        <f>771169-AB81</f>
        <v>469086</v>
      </c>
      <c r="AD81" s="13">
        <f>1108178-AC81-AB81-AA81</f>
        <v>124073</v>
      </c>
      <c r="AE81" s="13">
        <v>416183</v>
      </c>
      <c r="AF81" s="13">
        <f>1067642-AE81</f>
        <v>651459</v>
      </c>
      <c r="AG81" s="13">
        <f>1766101-AF81-AE81</f>
        <v>698459</v>
      </c>
      <c r="AH81" s="13">
        <f>2585731-AG81-AF81-AE81</f>
        <v>819630</v>
      </c>
      <c r="AI81" s="13">
        <v>1186113</v>
      </c>
      <c r="AJ81" s="13">
        <f>2516880-AI81</f>
        <v>1330767</v>
      </c>
      <c r="AK81" s="13">
        <f>3910680-AJ81-AI81</f>
        <v>1393800</v>
      </c>
      <c r="AL81" s="13">
        <f>5955403-AK81-AJ81-AI81</f>
        <v>2044723</v>
      </c>
    </row>
    <row r="82" spans="23:38" x14ac:dyDescent="0.25">
      <c r="W82" s="12" t="s">
        <v>40</v>
      </c>
      <c r="X82" s="17"/>
      <c r="Y82" s="17"/>
      <c r="Z82" s="17"/>
      <c r="AA82" s="17"/>
      <c r="AB82" s="18"/>
      <c r="AC82" s="18"/>
      <c r="AD82" s="18">
        <f t="shared" ref="AD82:AL82" si="73">+AD81/Z81-1</f>
        <v>-0.22086721718107316</v>
      </c>
      <c r="AE82" s="18">
        <f t="shared" si="73"/>
        <v>0.95449806514633506</v>
      </c>
      <c r="AF82" s="18">
        <f t="shared" si="73"/>
        <v>1.1565563106828254</v>
      </c>
      <c r="AG82" s="18">
        <f t="shared" si="73"/>
        <v>0.48897856682996288</v>
      </c>
      <c r="AH82" s="18">
        <f t="shared" si="73"/>
        <v>5.6060303208594942</v>
      </c>
      <c r="AI82" s="18">
        <f t="shared" si="73"/>
        <v>1.8499794561527021</v>
      </c>
      <c r="AJ82" s="18">
        <f t="shared" si="73"/>
        <v>1.0427486610822783</v>
      </c>
      <c r="AK82" s="18">
        <f t="shared" si="73"/>
        <v>0.99553588685950078</v>
      </c>
      <c r="AL82" s="18">
        <f t="shared" si="73"/>
        <v>1.4946902870807559</v>
      </c>
    </row>
    <row r="83" spans="23:38" x14ac:dyDescent="0.25">
      <c r="W83" s="12" t="s">
        <v>41</v>
      </c>
      <c r="Y83" s="18"/>
      <c r="Z83" s="18"/>
      <c r="AA83" s="18">
        <f t="shared" ref="AA83:AL83" si="74">+AA81/Z81-1</f>
        <v>0.33715972244026493</v>
      </c>
      <c r="AB83" s="18">
        <f t="shared" si="74"/>
        <v>0.41865630987714608</v>
      </c>
      <c r="AC83" s="18">
        <f t="shared" si="74"/>
        <v>0.55283812726965764</v>
      </c>
      <c r="AD83" s="18">
        <f t="shared" si="74"/>
        <v>-0.73550052655589804</v>
      </c>
      <c r="AE83" s="18">
        <f t="shared" si="74"/>
        <v>2.3543397838369349</v>
      </c>
      <c r="AF83" s="18">
        <f t="shared" si="74"/>
        <v>0.5653186218562507</v>
      </c>
      <c r="AG83" s="18">
        <f t="shared" si="74"/>
        <v>7.2145752840930832E-2</v>
      </c>
      <c r="AH83" s="18">
        <f t="shared" si="74"/>
        <v>0.17348333975222596</v>
      </c>
      <c r="AI83" s="18">
        <f t="shared" si="74"/>
        <v>0.44713224259726947</v>
      </c>
      <c r="AJ83" s="18">
        <f t="shared" si="74"/>
        <v>0.12195633974166031</v>
      </c>
      <c r="AK83" s="18">
        <f t="shared" si="74"/>
        <v>4.7365917549804015E-2</v>
      </c>
      <c r="AL83" s="18">
        <f t="shared" si="74"/>
        <v>0.46701320132013202</v>
      </c>
    </row>
    <row r="84" spans="23:38" x14ac:dyDescent="0.25">
      <c r="W84" s="12" t="s">
        <v>79</v>
      </c>
      <c r="X84" s="13">
        <v>-43832</v>
      </c>
      <c r="Y84" s="13">
        <f>-53866-X84</f>
        <v>-10034</v>
      </c>
      <c r="Z84" s="13">
        <f>13993-Y84-X84</f>
        <v>67859</v>
      </c>
      <c r="AA84" s="13">
        <v>-33139</v>
      </c>
      <c r="AB84" s="13">
        <f>-32260-AA84</f>
        <v>879</v>
      </c>
      <c r="AC84" s="13">
        <f>-43073-AB84-AA84</f>
        <v>-10813</v>
      </c>
      <c r="AD84" s="13">
        <f>-58252-AC84-AB84-AA84</f>
        <v>-15179</v>
      </c>
      <c r="AE84" s="13">
        <v>-21565</v>
      </c>
      <c r="AF84" s="13">
        <f>-83278-AE84</f>
        <v>-61713</v>
      </c>
      <c r="AG84" s="13">
        <f>-23013-AF84-AE84</f>
        <v>60265</v>
      </c>
      <c r="AH84" s="13">
        <f>15620-AG84-AF84-AE84</f>
        <v>38633</v>
      </c>
      <c r="AI84" s="13">
        <v>62504</v>
      </c>
      <c r="AJ84" s="13">
        <f>188738-AI84</f>
        <v>126234</v>
      </c>
      <c r="AK84" s="13">
        <f>408629-AJ84-AI84</f>
        <v>219891</v>
      </c>
      <c r="AL84" s="13">
        <f>624846-AK84-AJ84-AI84</f>
        <v>216217</v>
      </c>
    </row>
    <row r="85" spans="23:38" x14ac:dyDescent="0.25">
      <c r="W85" s="12" t="s">
        <v>82</v>
      </c>
      <c r="X85" s="19"/>
      <c r="Y85" s="19"/>
      <c r="Z85" s="19">
        <f t="shared" ref="Z85:AF85" si="75">+Z84/Z81</f>
        <v>0.42612954880843984</v>
      </c>
      <c r="AA85" s="19">
        <f t="shared" si="75"/>
        <v>-0.15562892136604425</v>
      </c>
      <c r="AB85" s="19">
        <f t="shared" si="75"/>
        <v>2.9097963142580021E-3</v>
      </c>
      <c r="AC85" s="19">
        <f t="shared" si="75"/>
        <v>-2.3051210225843447E-2</v>
      </c>
      <c r="AD85" s="19">
        <f t="shared" si="75"/>
        <v>-0.12233926801157383</v>
      </c>
      <c r="AE85" s="19">
        <f t="shared" si="75"/>
        <v>-5.1816148184812928E-2</v>
      </c>
      <c r="AF85" s="19">
        <f t="shared" si="75"/>
        <v>-9.4730443512178047E-2</v>
      </c>
      <c r="AG85" s="19">
        <f>+AG84/AG81</f>
        <v>8.6282802569656911E-2</v>
      </c>
      <c r="AH85" s="19">
        <f t="shared" ref="AH85:AJ85" si="76">+AH84/AH81</f>
        <v>4.7134682722691945E-2</v>
      </c>
      <c r="AI85" s="19">
        <f t="shared" si="76"/>
        <v>5.2696496876773122E-2</v>
      </c>
      <c r="AJ85" s="19">
        <f t="shared" si="76"/>
        <v>9.4858078085795633E-2</v>
      </c>
      <c r="AK85" s="19">
        <f>+AK84/AK81</f>
        <v>0.15776366767111494</v>
      </c>
      <c r="AL85" s="19">
        <f t="shared" ref="AL85" si="77">+AL84/AL81</f>
        <v>0.10574390760997944</v>
      </c>
    </row>
    <row r="86" spans="23:38" x14ac:dyDescent="0.25">
      <c r="W86" s="12" t="s">
        <v>354</v>
      </c>
      <c r="X86" s="13">
        <v>-64919</v>
      </c>
      <c r="Y86" s="13">
        <f>-85674-X86</f>
        <v>-20755</v>
      </c>
      <c r="Z86" s="13">
        <f>-31481-Y86-X86</f>
        <v>54193</v>
      </c>
      <c r="AA86" s="13">
        <v>-46552</v>
      </c>
      <c r="AB86" s="13">
        <f>-59889-AA86</f>
        <v>-13337</v>
      </c>
      <c r="AC86" s="13">
        <f>-86808-AB86-AA86</f>
        <v>-26919</v>
      </c>
      <c r="AD86" s="13">
        <f>-120486-AC86-AB86-AA86</f>
        <v>-33678</v>
      </c>
      <c r="AE86" s="13">
        <v>-141112</v>
      </c>
      <c r="AF86" s="13">
        <f>-395640-AE86</f>
        <v>-254528</v>
      </c>
      <c r="AG86" s="13">
        <f>-576648-AF86-AE86</f>
        <v>-181008</v>
      </c>
      <c r="AH86" s="13">
        <f>-757468-AG86-AF86-AE86</f>
        <v>-180820</v>
      </c>
      <c r="AI86" s="10">
        <v>-132457</v>
      </c>
      <c r="AJ86" s="13">
        <f>-157100-AI86</f>
        <v>-24643</v>
      </c>
      <c r="AK86" s="13">
        <f>-55914-AJ86-AI86</f>
        <v>101186</v>
      </c>
      <c r="AL86" s="13">
        <f>15107-AK86-AJ86-AI86</f>
        <v>71021</v>
      </c>
    </row>
    <row r="87" spans="23:38" x14ac:dyDescent="0.25">
      <c r="W87" s="12" t="s">
        <v>82</v>
      </c>
      <c r="Z87" s="19">
        <f t="shared" ref="Z87:AF87" si="78">+Z86/Z81</f>
        <v>0.34031209771107412</v>
      </c>
      <c r="AA87" s="19">
        <f t="shared" si="78"/>
        <v>-0.21861967915242139</v>
      </c>
      <c r="AB87" s="19">
        <f t="shared" si="78"/>
        <v>-4.4150117682888478E-2</v>
      </c>
      <c r="AC87" s="19">
        <f t="shared" si="78"/>
        <v>-5.7386065668129087E-2</v>
      </c>
      <c r="AD87" s="19">
        <f t="shared" si="78"/>
        <v>-0.27143697661860355</v>
      </c>
      <c r="AE87" s="19">
        <f t="shared" si="78"/>
        <v>-0.33906238361490015</v>
      </c>
      <c r="AF87" s="19">
        <f t="shared" si="78"/>
        <v>-0.39070455700205231</v>
      </c>
      <c r="AG87" s="19">
        <f>+AG86/AG81</f>
        <v>-0.2591533647644314</v>
      </c>
      <c r="AH87" s="19">
        <f t="shared" ref="AH87:AJ87" si="79">+AH86/AH81</f>
        <v>-0.2206117394434074</v>
      </c>
      <c r="AI87" s="19">
        <f t="shared" si="79"/>
        <v>-0.11167317110595702</v>
      </c>
      <c r="AJ87" s="19">
        <f t="shared" si="79"/>
        <v>-1.8517892313229888E-2</v>
      </c>
      <c r="AK87" s="19">
        <f>+AK86/AK81</f>
        <v>7.259721624336346E-2</v>
      </c>
      <c r="AL87" s="19">
        <f t="shared" ref="AL87" si="80">+AL86/AL81</f>
        <v>3.4733800128428152E-2</v>
      </c>
    </row>
    <row r="90" spans="23:38" x14ac:dyDescent="0.25">
      <c r="W90" s="47" t="s">
        <v>423</v>
      </c>
      <c r="X90" s="47"/>
      <c r="Y90" s="47"/>
      <c r="Z90" s="99" t="s">
        <v>950</v>
      </c>
      <c r="AC90" s="13"/>
      <c r="AG90" s="13"/>
      <c r="AK90" s="13"/>
    </row>
    <row r="91" spans="23:38" x14ac:dyDescent="0.25">
      <c r="W91" s="12" t="s">
        <v>78</v>
      </c>
      <c r="Z91" s="13">
        <v>725739</v>
      </c>
      <c r="AA91" s="13">
        <v>314794</v>
      </c>
      <c r="AB91" s="13">
        <f>748315-AA91</f>
        <v>433521</v>
      </c>
      <c r="AC91" s="13">
        <f>1104069-AB91-AA91</f>
        <v>355754</v>
      </c>
      <c r="AD91" s="13">
        <f>1444413-AC91-AB91-AA91</f>
        <v>340344</v>
      </c>
      <c r="AE91" s="13">
        <v>145753</v>
      </c>
      <c r="AF91" s="13">
        <f>449965-AE91</f>
        <v>304212</v>
      </c>
      <c r="AG91" s="13">
        <f>665375-AF91-AE91</f>
        <v>215410</v>
      </c>
      <c r="AH91" s="13">
        <f>770858-AG91-AF91-AE91</f>
        <v>105483</v>
      </c>
      <c r="AI91" s="13">
        <v>179970</v>
      </c>
      <c r="AJ91" s="13">
        <f>380643-AI91</f>
        <v>200673</v>
      </c>
      <c r="AK91" s="13">
        <f>838162-AJ91-AI91</f>
        <v>457519</v>
      </c>
      <c r="AL91" s="13">
        <f>1144119-AK91-AJ91-AI91</f>
        <v>305957</v>
      </c>
    </row>
    <row r="92" spans="23:38" x14ac:dyDescent="0.25">
      <c r="W92" s="12" t="s">
        <v>40</v>
      </c>
      <c r="X92" s="17"/>
      <c r="Y92" s="17"/>
      <c r="Z92" s="17"/>
      <c r="AA92" s="17"/>
      <c r="AB92" s="18"/>
      <c r="AC92" s="18"/>
      <c r="AD92" s="18"/>
      <c r="AE92" s="18">
        <f t="shared" ref="AE92" si="81">+AE91/AA91-1</f>
        <v>-0.53698926917285594</v>
      </c>
      <c r="AF92" s="18">
        <f t="shared" ref="AF92" si="82">+AF91/AB91-1</f>
        <v>-0.29827620807296529</v>
      </c>
      <c r="AG92" s="18">
        <f t="shared" ref="AG92" si="83">+AG91/AC91-1</f>
        <v>-0.39449732118261494</v>
      </c>
      <c r="AH92" s="18">
        <f t="shared" ref="AH92" si="84">+AH91/AD91-1</f>
        <v>-0.69006945913546303</v>
      </c>
      <c r="AI92" s="18">
        <f t="shared" ref="AI92" si="85">+AI91/AE91-1</f>
        <v>0.23476017646292013</v>
      </c>
      <c r="AJ92" s="18">
        <f t="shared" ref="AJ92:AL92" si="86">+AJ91/AF91-1</f>
        <v>-0.34035146542542705</v>
      </c>
      <c r="AK92" s="18">
        <f t="shared" si="86"/>
        <v>1.1239450350494407</v>
      </c>
      <c r="AL92" s="18">
        <f t="shared" si="86"/>
        <v>1.900533735293839</v>
      </c>
    </row>
    <row r="93" spans="23:38" x14ac:dyDescent="0.25">
      <c r="W93" s="12" t="s">
        <v>41</v>
      </c>
      <c r="X93" s="18"/>
      <c r="Y93" s="18"/>
      <c r="Z93" s="18"/>
      <c r="AA93" s="18"/>
      <c r="AB93" s="18">
        <f t="shared" ref="AB93" si="87">+AB91/AA91-1</f>
        <v>0.37715776031309356</v>
      </c>
      <c r="AC93" s="18">
        <f t="shared" ref="AC93" si="88">+AC91/AB91-1</f>
        <v>-0.17938462035287794</v>
      </c>
      <c r="AD93" s="18">
        <f t="shared" ref="AD93" si="89">+AD91/AC91-1</f>
        <v>-4.3316449006898017E-2</v>
      </c>
      <c r="AE93" s="18">
        <f t="shared" ref="AE93" si="90">+AE91/AD91-1</f>
        <v>-0.57174799614507676</v>
      </c>
      <c r="AF93" s="18">
        <f t="shared" ref="AF93" si="91">+AF91/AE91-1</f>
        <v>1.0871748780471071</v>
      </c>
      <c r="AG93" s="18">
        <f t="shared" ref="AG93" si="92">+AG91/AF91-1</f>
        <v>-0.29190827449278789</v>
      </c>
      <c r="AH93" s="18">
        <f t="shared" ref="AH93" si="93">+AH91/AG91-1</f>
        <v>-0.5103152128499141</v>
      </c>
      <c r="AI93" s="18">
        <f t="shared" ref="AI93" si="94">+AI91/AH91-1</f>
        <v>0.70615170217001788</v>
      </c>
      <c r="AJ93" s="18">
        <f t="shared" ref="AJ93:AL93" si="95">+AJ91/AI91-1</f>
        <v>0.11503583930655115</v>
      </c>
      <c r="AK93" s="18">
        <f t="shared" si="95"/>
        <v>1.2799230589067787</v>
      </c>
      <c r="AL93" s="18">
        <f t="shared" si="95"/>
        <v>-0.33126930247705555</v>
      </c>
    </row>
    <row r="94" spans="23:38" x14ac:dyDescent="0.25">
      <c r="W94" s="12" t="s">
        <v>79</v>
      </c>
      <c r="Z94" s="13">
        <v>63086</v>
      </c>
      <c r="AA94" s="13">
        <v>121379</v>
      </c>
      <c r="AB94" s="13">
        <f>165722-AA94</f>
        <v>44343</v>
      </c>
      <c r="AC94" s="13">
        <f>352776-AB94-AA94</f>
        <v>187054</v>
      </c>
      <c r="AD94" s="13">
        <f>363385-AC94-AB94-AA94</f>
        <v>10609</v>
      </c>
      <c r="AE94" s="13">
        <v>91972</v>
      </c>
      <c r="AF94" s="13">
        <f>79876-AE94</f>
        <v>-12096</v>
      </c>
      <c r="AG94" s="13">
        <f>260339-AF94-AE94</f>
        <v>180463</v>
      </c>
      <c r="AH94" s="13">
        <f>317517-AG94-AF94-AE94</f>
        <v>57178</v>
      </c>
      <c r="AI94" s="13">
        <v>45719</v>
      </c>
      <c r="AJ94" s="13">
        <f>89883-AI94</f>
        <v>44164</v>
      </c>
      <c r="AK94" s="13">
        <f>172256-AJ94-AI94</f>
        <v>82373</v>
      </c>
      <c r="AL94" s="13">
        <f>177999-AK94-AJ94-AI94</f>
        <v>5743</v>
      </c>
    </row>
    <row r="95" spans="23:38" x14ac:dyDescent="0.25">
      <c r="W95" s="12" t="s">
        <v>82</v>
      </c>
      <c r="X95" s="19"/>
      <c r="Y95" s="19"/>
      <c r="Z95" s="19">
        <f t="shared" ref="Z95:AF95" si="96">+Z94/Z91</f>
        <v>8.6926567264540011E-2</v>
      </c>
      <c r="AA95" s="19">
        <f t="shared" si="96"/>
        <v>0.38558231732498077</v>
      </c>
      <c r="AB95" s="19">
        <f t="shared" si="96"/>
        <v>0.10228570242272</v>
      </c>
      <c r="AC95" s="19">
        <f t="shared" si="96"/>
        <v>0.52579591515485424</v>
      </c>
      <c r="AD95" s="19">
        <f t="shared" si="96"/>
        <v>3.1171403051030722E-2</v>
      </c>
      <c r="AE95" s="19">
        <f t="shared" si="96"/>
        <v>0.63101274073260927</v>
      </c>
      <c r="AF95" s="19">
        <f t="shared" si="96"/>
        <v>-3.9761745098812667E-2</v>
      </c>
      <c r="AG95" s="19">
        <f>+AG94/AG91</f>
        <v>0.83776519195951904</v>
      </c>
      <c r="AH95" s="19">
        <f t="shared" ref="AH95:AJ95" si="97">+AH94/AH91</f>
        <v>0.54205890996653494</v>
      </c>
      <c r="AI95" s="19">
        <f t="shared" si="97"/>
        <v>0.25403678390842921</v>
      </c>
      <c r="AJ95" s="19">
        <f t="shared" si="97"/>
        <v>0.22007943270893443</v>
      </c>
      <c r="AK95" s="19">
        <f>+AK94/AK91</f>
        <v>0.18004279603688589</v>
      </c>
      <c r="AL95" s="19">
        <f t="shared" ref="AL95" si="98">+AL94/AL91</f>
        <v>1.8770611556525919E-2</v>
      </c>
    </row>
    <row r="96" spans="23:38" x14ac:dyDescent="0.25">
      <c r="W96" s="12" t="s">
        <v>354</v>
      </c>
      <c r="Z96" s="13">
        <v>68574</v>
      </c>
      <c r="AA96" s="13">
        <v>123627</v>
      </c>
      <c r="AB96" s="13">
        <f>168966-AA96</f>
        <v>45339</v>
      </c>
      <c r="AC96" s="13">
        <f>355279-AB96-AA96</f>
        <v>186313</v>
      </c>
      <c r="AD96" s="13">
        <f>196956-AC96-AB96-AA96</f>
        <v>-158323</v>
      </c>
      <c r="AE96" s="13">
        <v>82791</v>
      </c>
      <c r="AF96" s="13">
        <f>136419-AE96</f>
        <v>53628</v>
      </c>
      <c r="AG96" s="13">
        <f>233796-AF96-AE96</f>
        <v>97377</v>
      </c>
      <c r="AH96" s="13">
        <f>286122-AG96-AF96-AE96</f>
        <v>52326</v>
      </c>
      <c r="AI96" s="13">
        <v>37902</v>
      </c>
      <c r="AJ96" s="13">
        <f>176290-AI96</f>
        <v>138388</v>
      </c>
      <c r="AK96" s="13">
        <f>324325-AJ96-AI96</f>
        <v>148035</v>
      </c>
      <c r="AL96" s="13">
        <f>359798-AK96-AJ96-AI96</f>
        <v>35473</v>
      </c>
    </row>
    <row r="97" spans="23:38" x14ac:dyDescent="0.25">
      <c r="W97" s="12" t="s">
        <v>82</v>
      </c>
      <c r="Z97" s="19">
        <f t="shared" ref="Z97:AF97" si="99">+Z96/Z91</f>
        <v>9.4488514465944362E-2</v>
      </c>
      <c r="AA97" s="19">
        <f t="shared" si="99"/>
        <v>0.392723495365223</v>
      </c>
      <c r="AB97" s="19">
        <f t="shared" si="99"/>
        <v>0.10458316898143342</v>
      </c>
      <c r="AC97" s="19">
        <f t="shared" si="99"/>
        <v>0.52371301517340629</v>
      </c>
      <c r="AD97" s="19">
        <f t="shared" si="99"/>
        <v>-0.4651852243612345</v>
      </c>
      <c r="AE97" s="19">
        <f t="shared" si="99"/>
        <v>0.56802261359972006</v>
      </c>
      <c r="AF97" s="19">
        <f t="shared" si="99"/>
        <v>0.17628495917320816</v>
      </c>
      <c r="AG97" s="19">
        <f>+AG96/AG91</f>
        <v>0.45205422218095725</v>
      </c>
      <c r="AH97" s="19">
        <f t="shared" ref="AH97:AJ97" si="100">+AH96/AH91</f>
        <v>0.49606097665026594</v>
      </c>
      <c r="AI97" s="19">
        <f t="shared" si="100"/>
        <v>0.2106017669611602</v>
      </c>
      <c r="AJ97" s="19">
        <f t="shared" si="100"/>
        <v>0.68961943061597719</v>
      </c>
      <c r="AK97" s="19">
        <f>+AK96/AK91</f>
        <v>0.32356033301349235</v>
      </c>
      <c r="AL97" s="19">
        <f t="shared" ref="AL97" si="101">+AL96/AL91</f>
        <v>0.11594112898217723</v>
      </c>
    </row>
  </sheetData>
  <mergeCells count="3">
    <mergeCell ref="AP2:AT2"/>
    <mergeCell ref="AU2:AY2"/>
    <mergeCell ref="B13:H13"/>
  </mergeCell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CDA0-AA4A-4F28-A45D-2AF7E531B08F}">
  <sheetPr codeName="Sheet10">
    <tabColor rgb="FF92D050"/>
  </sheetPr>
  <dimension ref="A1:BE89"/>
  <sheetViews>
    <sheetView topLeftCell="AE1" zoomScale="85" zoomScaleNormal="85" workbookViewId="0">
      <selection activeCell="AO36" sqref="AO36"/>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9" width="12" style="12" customWidth="1"/>
    <col min="40" max="41" width="8.85546875" style="12"/>
    <col min="42" max="42" width="14.28515625" style="50" bestFit="1" customWidth="1"/>
    <col min="43" max="16384" width="8.85546875" style="50"/>
  </cols>
  <sheetData>
    <row r="1" spans="1:57" ht="15.75" thickBot="1" x14ac:dyDescent="0.3">
      <c r="W1" s="20" t="s">
        <v>194</v>
      </c>
      <c r="X1" s="59">
        <f>+'Valuation Sheet'!C17</f>
        <v>121.75</v>
      </c>
    </row>
    <row r="2" spans="1:57"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92</v>
      </c>
      <c r="X2" s="11" t="s">
        <v>105</v>
      </c>
      <c r="Y2" s="11" t="s">
        <v>104</v>
      </c>
      <c r="Z2" s="11" t="s">
        <v>103</v>
      </c>
      <c r="AA2" s="11" t="s">
        <v>101</v>
      </c>
      <c r="AB2" s="11" t="s">
        <v>102</v>
      </c>
      <c r="AC2" s="11" t="s">
        <v>100</v>
      </c>
      <c r="AD2" s="11" t="s">
        <v>99</v>
      </c>
      <c r="AE2" s="11" t="s">
        <v>97</v>
      </c>
      <c r="AF2" s="11" t="s">
        <v>98</v>
      </c>
      <c r="AG2" s="11" t="s">
        <v>96</v>
      </c>
      <c r="AH2" s="11" t="s">
        <v>95</v>
      </c>
      <c r="AI2" s="11" t="s">
        <v>94</v>
      </c>
      <c r="AJ2" s="11" t="s">
        <v>93</v>
      </c>
      <c r="AK2" s="11" t="s">
        <v>366</v>
      </c>
      <c r="AL2" s="11" t="s">
        <v>985</v>
      </c>
      <c r="AM2" s="11" t="s">
        <v>1024</v>
      </c>
      <c r="AP2" s="71" t="str">
        <f>+W2</f>
        <v>LLUB</v>
      </c>
      <c r="AQ2" s="189" t="s">
        <v>198</v>
      </c>
      <c r="AR2" s="190"/>
      <c r="AS2" s="190"/>
      <c r="AT2" s="190"/>
      <c r="AU2" s="191"/>
      <c r="AV2" s="192" t="s">
        <v>199</v>
      </c>
      <c r="AW2" s="192"/>
      <c r="AX2" s="192"/>
      <c r="AY2" s="192"/>
      <c r="AZ2" s="192"/>
      <c r="BA2" s="192" t="s">
        <v>992</v>
      </c>
      <c r="BB2" s="192"/>
      <c r="BC2" s="192"/>
      <c r="BD2" s="192"/>
      <c r="BE2" s="192"/>
    </row>
    <row r="3" spans="1:57" ht="18" thickTop="1" thickBot="1" x14ac:dyDescent="0.4">
      <c r="B3" s="25" t="s">
        <v>10</v>
      </c>
      <c r="C3" s="26">
        <v>17820.179</v>
      </c>
      <c r="D3" s="26"/>
      <c r="E3" s="26"/>
      <c r="F3" s="26"/>
      <c r="G3" s="26"/>
      <c r="H3" s="26"/>
      <c r="I3" s="27"/>
      <c r="J3" s="21"/>
      <c r="M3" s="1" t="s">
        <v>11</v>
      </c>
      <c r="N3" s="2">
        <f>'[1]LT Portfolio'!W294</f>
        <v>0</v>
      </c>
      <c r="W3" s="12" t="s">
        <v>62</v>
      </c>
      <c r="X3" s="13">
        <v>2538523</v>
      </c>
      <c r="Y3" s="13">
        <v>3605093</v>
      </c>
      <c r="Z3" s="13">
        <v>2647646</v>
      </c>
      <c r="AA3" s="13">
        <v>4353304</v>
      </c>
      <c r="AB3" s="13">
        <v>2762228</v>
      </c>
      <c r="AC3" s="13">
        <v>5195853</v>
      </c>
      <c r="AD3" s="13">
        <v>4554926</v>
      </c>
      <c r="AE3" s="13">
        <v>7701392</v>
      </c>
      <c r="AF3" s="13">
        <v>6174172</v>
      </c>
      <c r="AG3" s="13">
        <v>6030513</v>
      </c>
      <c r="AH3" s="13">
        <v>4668653</v>
      </c>
      <c r="AI3" s="13">
        <v>6250730</v>
      </c>
      <c r="AJ3" s="13">
        <v>5326698</v>
      </c>
      <c r="AK3" s="13">
        <v>6148609</v>
      </c>
      <c r="AL3" s="13">
        <v>5526466</v>
      </c>
      <c r="AM3" s="13">
        <v>7061474</v>
      </c>
      <c r="AP3" s="69"/>
      <c r="AQ3" s="66" t="s">
        <v>78</v>
      </c>
      <c r="AR3" s="67" t="s">
        <v>17</v>
      </c>
      <c r="AS3" s="67" t="s">
        <v>184</v>
      </c>
      <c r="AT3" s="67" t="s">
        <v>29</v>
      </c>
      <c r="AU3" s="68" t="s">
        <v>30</v>
      </c>
      <c r="AV3" s="66" t="s">
        <v>78</v>
      </c>
      <c r="AW3" s="67" t="s">
        <v>17</v>
      </c>
      <c r="AX3" s="67" t="s">
        <v>184</v>
      </c>
      <c r="AY3" s="67" t="s">
        <v>29</v>
      </c>
      <c r="AZ3" s="68" t="s">
        <v>30</v>
      </c>
      <c r="BA3" s="66" t="s">
        <v>78</v>
      </c>
      <c r="BB3" s="67" t="s">
        <v>17</v>
      </c>
      <c r="BC3" s="67" t="s">
        <v>184</v>
      </c>
      <c r="BD3" s="67" t="s">
        <v>29</v>
      </c>
      <c r="BE3" s="68" t="s">
        <v>30</v>
      </c>
    </row>
    <row r="4" spans="1:57"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f t="shared" ref="AB4:AM4" si="1">+AB3/X3-1</f>
        <v>8.812407845034298E-2</v>
      </c>
      <c r="AC4" s="18">
        <f t="shared" si="1"/>
        <v>0.44125352660805151</v>
      </c>
      <c r="AD4" s="18">
        <f t="shared" si="1"/>
        <v>0.72036820632365495</v>
      </c>
      <c r="AE4" s="18">
        <f t="shared" si="1"/>
        <v>0.76909124655663841</v>
      </c>
      <c r="AF4" s="18">
        <f t="shared" si="1"/>
        <v>1.2352144717959561</v>
      </c>
      <c r="AG4" s="18">
        <f t="shared" si="1"/>
        <v>0.16063964858128199</v>
      </c>
      <c r="AH4" s="18">
        <f t="shared" si="1"/>
        <v>2.4967913858534585E-2</v>
      </c>
      <c r="AI4" s="18">
        <f t="shared" si="1"/>
        <v>-0.18836361011100333</v>
      </c>
      <c r="AJ4" s="18">
        <f t="shared" si="1"/>
        <v>-0.13726115825733398</v>
      </c>
      <c r="AK4" s="18">
        <f t="shared" si="1"/>
        <v>1.9583076928944454E-2</v>
      </c>
      <c r="AL4" s="18">
        <f t="shared" si="1"/>
        <v>0.18373886429340547</v>
      </c>
      <c r="AM4" s="18">
        <f t="shared" si="1"/>
        <v>0.12970389058557963</v>
      </c>
      <c r="AN4" s="46"/>
      <c r="AP4" s="69" t="s">
        <v>185</v>
      </c>
      <c r="AQ4" s="60">
        <v>23361</v>
      </c>
      <c r="AR4" s="61"/>
      <c r="AS4" s="61">
        <v>3503</v>
      </c>
      <c r="AT4" s="74">
        <v>14.6</v>
      </c>
      <c r="AU4" s="64">
        <v>8.9</v>
      </c>
      <c r="AV4" s="60">
        <v>25972</v>
      </c>
      <c r="AW4" s="61"/>
      <c r="AX4" s="61">
        <v>4219</v>
      </c>
      <c r="AY4" s="58">
        <v>17.600000000000001</v>
      </c>
      <c r="AZ4" s="64">
        <v>15</v>
      </c>
      <c r="BA4" s="60">
        <v>28945</v>
      </c>
      <c r="BB4" s="61"/>
      <c r="BC4" s="61">
        <v>5304</v>
      </c>
      <c r="BD4" s="58">
        <v>22.1</v>
      </c>
      <c r="BE4" s="64">
        <v>18.100000000000001</v>
      </c>
    </row>
    <row r="5" spans="1:57" ht="18" thickTop="1" thickBot="1" x14ac:dyDescent="0.4">
      <c r="B5" s="32" t="s">
        <v>13</v>
      </c>
      <c r="C5" s="29">
        <v>2994.8620000000001</v>
      </c>
      <c r="D5" s="26"/>
      <c r="E5" s="26"/>
      <c r="F5" s="26"/>
      <c r="G5" s="26"/>
      <c r="H5" s="26"/>
      <c r="I5" s="27"/>
      <c r="J5" s="21"/>
      <c r="M5" s="1" t="s">
        <v>14</v>
      </c>
      <c r="N5" s="3">
        <f>202.575/415.481776</f>
        <v>0.48756651122045841</v>
      </c>
      <c r="W5" s="12" t="s">
        <v>41</v>
      </c>
      <c r="Y5" s="18">
        <f t="shared" ref="Y5:AC5" si="2">+Y3/X3-1</f>
        <v>0.42015376658001524</v>
      </c>
      <c r="Z5" s="18">
        <f t="shared" si="2"/>
        <v>-0.26558177556029761</v>
      </c>
      <c r="AA5" s="18">
        <f t="shared" si="2"/>
        <v>0.64421678728953946</v>
      </c>
      <c r="AB5" s="18">
        <f t="shared" si="2"/>
        <v>-0.36548699562447284</v>
      </c>
      <c r="AC5" s="18">
        <f t="shared" si="2"/>
        <v>0.88103697450029461</v>
      </c>
      <c r="AD5" s="18">
        <f t="shared" ref="AD5:AM5" si="3">+AD3/AC3-1</f>
        <v>-0.12335356677719711</v>
      </c>
      <c r="AE5" s="18">
        <f t="shared" si="3"/>
        <v>0.69078312139428832</v>
      </c>
      <c r="AF5" s="18">
        <f t="shared" si="3"/>
        <v>-0.19830441042346625</v>
      </c>
      <c r="AG5" s="18">
        <f t="shared" si="3"/>
        <v>-2.3267735333579953E-2</v>
      </c>
      <c r="AH5" s="18">
        <f t="shared" si="3"/>
        <v>-0.22582821726775149</v>
      </c>
      <c r="AI5" s="18">
        <f t="shared" si="3"/>
        <v>0.3388722614424331</v>
      </c>
      <c r="AJ5" s="18">
        <f t="shared" si="3"/>
        <v>-0.14782785370668705</v>
      </c>
      <c r="AK5" s="18">
        <f t="shared" si="3"/>
        <v>0.15430028133751894</v>
      </c>
      <c r="AL5" s="18">
        <f t="shared" si="3"/>
        <v>-0.10118434917556152</v>
      </c>
      <c r="AM5" s="18">
        <f t="shared" si="3"/>
        <v>0.27775580271370526</v>
      </c>
      <c r="AP5" s="69" t="s">
        <v>186</v>
      </c>
      <c r="AQ5" s="60">
        <v>22047</v>
      </c>
      <c r="AR5" s="61">
        <v>4577</v>
      </c>
      <c r="AS5" s="61">
        <v>3428</v>
      </c>
      <c r="AT5" s="58">
        <v>14.3</v>
      </c>
      <c r="AU5" s="64">
        <v>10</v>
      </c>
      <c r="AV5" s="60">
        <v>26540</v>
      </c>
      <c r="AW5" s="61">
        <v>6167</v>
      </c>
      <c r="AX5" s="61">
        <v>4510</v>
      </c>
      <c r="AY5" s="58">
        <v>18.8</v>
      </c>
      <c r="AZ5" s="64">
        <v>16.899999999999999</v>
      </c>
      <c r="BA5" s="60">
        <v>30055</v>
      </c>
      <c r="BB5" s="61">
        <v>6977</v>
      </c>
      <c r="BC5" s="61">
        <v>5112</v>
      </c>
      <c r="BD5" s="58">
        <v>21.3</v>
      </c>
      <c r="BE5" s="64">
        <v>19.2</v>
      </c>
    </row>
    <row r="6" spans="1:57" ht="18" thickTop="1" thickBot="1" x14ac:dyDescent="0.4">
      <c r="B6" s="28" t="s">
        <v>15</v>
      </c>
      <c r="C6" s="30">
        <f t="shared" ref="C6:G6" si="4">C5/C$3*100</f>
        <v>16.806015248219449</v>
      </c>
      <c r="D6" s="30" t="e">
        <f t="shared" si="4"/>
        <v>#DIV/0!</v>
      </c>
      <c r="E6" s="30" t="e">
        <f t="shared" si="4"/>
        <v>#DIV/0!</v>
      </c>
      <c r="F6" s="30" t="e">
        <f t="shared" si="4"/>
        <v>#DIV/0!</v>
      </c>
      <c r="G6" s="30" t="e">
        <f t="shared" si="4"/>
        <v>#DIV/0!</v>
      </c>
      <c r="H6" s="30" t="e">
        <f>H5/H$3*100</f>
        <v>#DIV/0!</v>
      </c>
      <c r="I6" s="31" t="e">
        <f>I5/I$3*100</f>
        <v>#DIV/0!</v>
      </c>
      <c r="J6" s="23" t="e">
        <f>AVERAGE(D6:I6)</f>
        <v>#DIV/0!</v>
      </c>
      <c r="M6" s="1" t="s">
        <v>16</v>
      </c>
      <c r="N6" s="3">
        <f>261.001/415.481776</f>
        <v>0.62818880412218114</v>
      </c>
      <c r="AP6" s="69" t="s">
        <v>187</v>
      </c>
      <c r="AQ6" s="60">
        <v>23470</v>
      </c>
      <c r="AR6" s="61">
        <v>4929</v>
      </c>
      <c r="AS6" s="61">
        <v>3673</v>
      </c>
      <c r="AT6" s="58">
        <v>15.3</v>
      </c>
      <c r="AU6" s="64">
        <v>9.18</v>
      </c>
      <c r="AV6" s="60">
        <v>26812</v>
      </c>
      <c r="AW6" s="61">
        <v>6408</v>
      </c>
      <c r="AX6" s="61">
        <v>4534</v>
      </c>
      <c r="AY6" s="58">
        <v>18.89</v>
      </c>
      <c r="AZ6" s="64">
        <v>13.22</v>
      </c>
      <c r="BA6" s="60">
        <v>30852</v>
      </c>
      <c r="BB6" s="61">
        <v>7034</v>
      </c>
      <c r="BC6" s="61">
        <v>5155</v>
      </c>
      <c r="BD6" s="58">
        <v>21.48</v>
      </c>
      <c r="BE6" s="64">
        <v>16.100000000000001</v>
      </c>
    </row>
    <row r="7" spans="1:57"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K7" s="13"/>
      <c r="AL7" s="13"/>
      <c r="AM7" s="13"/>
      <c r="AP7" s="69" t="s">
        <v>197</v>
      </c>
      <c r="AQ7" s="60">
        <v>22510</v>
      </c>
      <c r="AR7" s="61">
        <v>4720</v>
      </c>
      <c r="AS7" s="61">
        <v>3486</v>
      </c>
      <c r="AT7" s="58">
        <v>14.53</v>
      </c>
      <c r="AU7" s="64">
        <v>8</v>
      </c>
      <c r="AV7" s="60">
        <v>23679</v>
      </c>
      <c r="AW7" s="61">
        <v>4305</v>
      </c>
      <c r="AX7" s="61">
        <v>3030</v>
      </c>
      <c r="AY7" s="58">
        <v>12.63</v>
      </c>
      <c r="AZ7" s="64">
        <v>9</v>
      </c>
      <c r="BA7" s="60">
        <v>24881</v>
      </c>
      <c r="BB7" s="61">
        <v>5597</v>
      </c>
      <c r="BC7" s="61">
        <v>3959</v>
      </c>
      <c r="BD7" s="58">
        <v>16.5</v>
      </c>
      <c r="BE7" s="64">
        <v>13</v>
      </c>
    </row>
    <row r="8" spans="1:57" ht="18" thickTop="1" thickBot="1" x14ac:dyDescent="0.4">
      <c r="B8" s="28" t="s">
        <v>19</v>
      </c>
      <c r="C8" s="30">
        <f t="shared" ref="C8:I8" si="5">C7/C$3*100</f>
        <v>12.16378353999699</v>
      </c>
      <c r="D8" s="30" t="e">
        <f t="shared" si="5"/>
        <v>#DIV/0!</v>
      </c>
      <c r="E8" s="30" t="e">
        <f t="shared" si="5"/>
        <v>#DIV/0!</v>
      </c>
      <c r="F8" s="30" t="e">
        <f t="shared" si="5"/>
        <v>#DIV/0!</v>
      </c>
      <c r="G8" s="30" t="e">
        <f t="shared" si="5"/>
        <v>#DIV/0!</v>
      </c>
      <c r="H8" s="30" t="e">
        <f t="shared" si="5"/>
        <v>#DIV/0!</v>
      </c>
      <c r="I8" s="31" t="e">
        <f t="shared" si="5"/>
        <v>#DIV/0!</v>
      </c>
      <c r="J8" s="23" t="e">
        <f>AVERAGE(D8:I8)</f>
        <v>#DIV/0!</v>
      </c>
      <c r="M8" s="1" t="s">
        <v>20</v>
      </c>
      <c r="N8" s="3">
        <f>'[1]LT Portfolio'!Q294</f>
        <v>0</v>
      </c>
      <c r="W8" s="12" t="s">
        <v>40</v>
      </c>
      <c r="AB8" s="18" t="e">
        <f t="shared" ref="AB8:AM8" si="6">+AB7/X7-1</f>
        <v>#DIV/0!</v>
      </c>
      <c r="AC8" s="18" t="e">
        <f t="shared" si="6"/>
        <v>#DIV/0!</v>
      </c>
      <c r="AD8" s="18" t="e">
        <f t="shared" si="6"/>
        <v>#DIV/0!</v>
      </c>
      <c r="AE8" s="18" t="e">
        <f t="shared" si="6"/>
        <v>#DIV/0!</v>
      </c>
      <c r="AF8" s="18" t="e">
        <f t="shared" si="6"/>
        <v>#DIV/0!</v>
      </c>
      <c r="AG8" s="18" t="e">
        <f t="shared" si="6"/>
        <v>#DIV/0!</v>
      </c>
      <c r="AH8" s="18" t="e">
        <f t="shared" si="6"/>
        <v>#DIV/0!</v>
      </c>
      <c r="AI8" s="18" t="e">
        <f t="shared" si="6"/>
        <v>#DIV/0!</v>
      </c>
      <c r="AJ8" s="18" t="e">
        <f t="shared" si="6"/>
        <v>#DIV/0!</v>
      </c>
      <c r="AK8" s="18" t="e">
        <f t="shared" si="6"/>
        <v>#DIV/0!</v>
      </c>
      <c r="AL8" s="18" t="e">
        <f t="shared" si="6"/>
        <v>#DIV/0!</v>
      </c>
      <c r="AM8" s="18" t="e">
        <f t="shared" si="6"/>
        <v>#DIV/0!</v>
      </c>
      <c r="AP8" s="69" t="s">
        <v>189</v>
      </c>
      <c r="AQ8" s="60">
        <v>23125</v>
      </c>
      <c r="AR8" s="61">
        <v>6043</v>
      </c>
      <c r="AS8" s="61">
        <v>4470</v>
      </c>
      <c r="AT8" s="74">
        <v>18.600000000000001</v>
      </c>
      <c r="AU8" s="64">
        <v>13</v>
      </c>
      <c r="AV8" s="60">
        <v>25549</v>
      </c>
      <c r="AW8" s="61">
        <v>6833</v>
      </c>
      <c r="AX8" s="61">
        <v>5063</v>
      </c>
      <c r="AY8" s="58">
        <v>21.1</v>
      </c>
      <c r="AZ8" s="64">
        <v>17.899999999999999</v>
      </c>
      <c r="BA8" s="60"/>
      <c r="BB8" s="61"/>
      <c r="BC8" s="61"/>
      <c r="BD8" s="58"/>
      <c r="BE8" s="64"/>
    </row>
    <row r="9" spans="1:57"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C9" si="7">+Y7/X7-1</f>
        <v>#DIV/0!</v>
      </c>
      <c r="Z9" s="18" t="e">
        <f t="shared" si="7"/>
        <v>#DIV/0!</v>
      </c>
      <c r="AA9" s="18" t="e">
        <f t="shared" si="7"/>
        <v>#DIV/0!</v>
      </c>
      <c r="AB9" s="18" t="e">
        <f t="shared" si="7"/>
        <v>#DIV/0!</v>
      </c>
      <c r="AC9" s="18" t="e">
        <f t="shared" si="7"/>
        <v>#DIV/0!</v>
      </c>
      <c r="AD9" s="18" t="e">
        <f t="shared" ref="AD9:AM9" si="8">+AD7/AC7-1</f>
        <v>#DIV/0!</v>
      </c>
      <c r="AE9" s="18" t="e">
        <f t="shared" si="8"/>
        <v>#DIV/0!</v>
      </c>
      <c r="AF9" s="18" t="e">
        <f t="shared" si="8"/>
        <v>#DIV/0!</v>
      </c>
      <c r="AG9" s="18" t="e">
        <f t="shared" si="8"/>
        <v>#DIV/0!</v>
      </c>
      <c r="AH9" s="18" t="e">
        <f t="shared" si="8"/>
        <v>#DIV/0!</v>
      </c>
      <c r="AI9" s="18" t="e">
        <f t="shared" si="8"/>
        <v>#DIV/0!</v>
      </c>
      <c r="AJ9" s="18" t="e">
        <f t="shared" si="8"/>
        <v>#DIV/0!</v>
      </c>
      <c r="AK9" s="18" t="e">
        <f t="shared" si="8"/>
        <v>#DIV/0!</v>
      </c>
      <c r="AL9" s="18" t="e">
        <f t="shared" si="8"/>
        <v>#DIV/0!</v>
      </c>
      <c r="AM9" s="18" t="e">
        <f t="shared" si="8"/>
        <v>#DIV/0!</v>
      </c>
      <c r="AP9" s="70" t="s">
        <v>192</v>
      </c>
      <c r="AQ9" s="62">
        <f>+AVERAGE(AQ4:AQ8)</f>
        <v>22902.6</v>
      </c>
      <c r="AR9" s="63">
        <f t="shared" ref="AR9:AZ9" si="9">+AVERAGE(AR4:AR8)</f>
        <v>5067.25</v>
      </c>
      <c r="AS9" s="63">
        <f t="shared" si="9"/>
        <v>3712</v>
      </c>
      <c r="AT9" s="72">
        <f t="shared" si="9"/>
        <v>15.466000000000003</v>
      </c>
      <c r="AU9" s="65">
        <f t="shared" si="9"/>
        <v>9.8159999999999989</v>
      </c>
      <c r="AV9" s="62">
        <f t="shared" si="9"/>
        <v>25710.400000000001</v>
      </c>
      <c r="AW9" s="63">
        <f t="shared" si="9"/>
        <v>5928.25</v>
      </c>
      <c r="AX9" s="63">
        <f t="shared" si="9"/>
        <v>4271.2</v>
      </c>
      <c r="AY9" s="72">
        <f t="shared" si="9"/>
        <v>17.804000000000002</v>
      </c>
      <c r="AZ9" s="65">
        <f t="shared" si="9"/>
        <v>14.404</v>
      </c>
      <c r="BA9" s="62">
        <f t="shared" ref="BA9:BE9" si="10">+AVERAGE(BA4:BA8)</f>
        <v>28683.25</v>
      </c>
      <c r="BB9" s="63">
        <f t="shared" si="10"/>
        <v>6536</v>
      </c>
      <c r="BC9" s="63">
        <f t="shared" si="10"/>
        <v>4882.5</v>
      </c>
      <c r="BD9" s="72">
        <f t="shared" si="10"/>
        <v>20.345000000000002</v>
      </c>
      <c r="BE9" s="65">
        <f t="shared" si="10"/>
        <v>16.600000000000001</v>
      </c>
    </row>
    <row r="10" spans="1:57"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P10" s="12"/>
      <c r="AQ10" s="12"/>
      <c r="AR10" s="12"/>
      <c r="AS10" s="12"/>
      <c r="AT10" s="12"/>
      <c r="AU10" s="99" t="s">
        <v>34</v>
      </c>
      <c r="AV10" s="12"/>
      <c r="AW10" s="12"/>
      <c r="AX10" s="12"/>
      <c r="AY10" s="12"/>
      <c r="AZ10" s="99" t="s">
        <v>34</v>
      </c>
      <c r="BA10" s="12"/>
      <c r="BB10" s="12"/>
      <c r="BC10" s="12"/>
      <c r="BD10" s="12"/>
      <c r="BE10" s="99" t="s">
        <v>34</v>
      </c>
    </row>
    <row r="11" spans="1:57" ht="18" thickTop="1" thickBot="1" x14ac:dyDescent="0.4">
      <c r="B11" s="28" t="s">
        <v>25</v>
      </c>
      <c r="C11" s="30">
        <f t="shared" ref="C11:G11" si="11">C10/C$3*100</f>
        <v>12.180949473066461</v>
      </c>
      <c r="D11" s="30" t="e">
        <f t="shared" si="11"/>
        <v>#DIV/0!</v>
      </c>
      <c r="E11" s="30" t="e">
        <f t="shared" si="11"/>
        <v>#DIV/0!</v>
      </c>
      <c r="F11" s="30" t="e">
        <f t="shared" si="11"/>
        <v>#DIV/0!</v>
      </c>
      <c r="G11" s="30" t="e">
        <f t="shared" si="11"/>
        <v>#DIV/0!</v>
      </c>
      <c r="H11" s="30" t="e">
        <f>H10/H$3*100</f>
        <v>#DIV/0!</v>
      </c>
      <c r="I11" s="31" t="e">
        <f>I10/I$3*100</f>
        <v>#DIV/0!</v>
      </c>
      <c r="J11" s="23" t="e">
        <f>AVERAGE(D11:I11)</f>
        <v>#DIV/0!</v>
      </c>
      <c r="M11" s="1" t="s">
        <v>26</v>
      </c>
      <c r="N11" s="3">
        <f>'[1]LT Portfolio'!T294</f>
        <v>0</v>
      </c>
      <c r="O11" s="4" t="e">
        <f>N11/N7-1</f>
        <v>#DIV/0!</v>
      </c>
      <c r="W11" s="12" t="s">
        <v>42</v>
      </c>
      <c r="X11" s="13">
        <v>933692</v>
      </c>
      <c r="Y11" s="13">
        <v>1472482</v>
      </c>
      <c r="Z11" s="13">
        <v>1065549</v>
      </c>
      <c r="AA11" s="13">
        <v>1834592</v>
      </c>
      <c r="AB11" s="13">
        <v>988334</v>
      </c>
      <c r="AC11" s="13">
        <v>1742020</v>
      </c>
      <c r="AD11" s="13">
        <v>1613504</v>
      </c>
      <c r="AE11" s="13">
        <v>3315946</v>
      </c>
      <c r="AF11" s="13">
        <v>2877915</v>
      </c>
      <c r="AG11" s="13">
        <v>2390341</v>
      </c>
      <c r="AH11" s="13">
        <v>1708890</v>
      </c>
      <c r="AI11" s="13">
        <v>2080579</v>
      </c>
      <c r="AJ11" s="13">
        <v>1615730</v>
      </c>
      <c r="AK11" s="13">
        <v>1973194</v>
      </c>
      <c r="AL11" s="13">
        <v>1753850</v>
      </c>
      <c r="AM11" s="13">
        <v>2591275</v>
      </c>
      <c r="AP11" s="12" t="s">
        <v>193</v>
      </c>
      <c r="AQ11" s="12"/>
      <c r="AR11" s="12"/>
      <c r="AS11" s="12"/>
      <c r="AT11" s="58">
        <f>+$X$1/AT9</f>
        <v>7.8721065563170809</v>
      </c>
      <c r="AU11" s="75">
        <f>+AU9/$X$1</f>
        <v>8.0624229979466111E-2</v>
      </c>
      <c r="AV11" s="12"/>
      <c r="AW11" s="12"/>
      <c r="AX11" s="12"/>
      <c r="AY11" s="58">
        <f>+$X$1/AY9</f>
        <v>6.8383509323747464</v>
      </c>
      <c r="AZ11" s="75">
        <f>+AZ9/$X$1</f>
        <v>0.11830800821355236</v>
      </c>
      <c r="BA11" s="12"/>
      <c r="BB11" s="12"/>
      <c r="BC11" s="12"/>
      <c r="BD11" s="58">
        <f>+$X$1/BD9</f>
        <v>5.984271319734578</v>
      </c>
      <c r="BE11" s="75">
        <f>+BE9/$X$1</f>
        <v>0.13634496919917866</v>
      </c>
    </row>
    <row r="12" spans="1:57" ht="18" thickTop="1" thickBot="1" x14ac:dyDescent="0.4">
      <c r="B12" s="28" t="s">
        <v>27</v>
      </c>
      <c r="C12" s="29"/>
      <c r="D12" s="30">
        <f t="shared" ref="D12:I12" si="12">(D10/C10-1)*100</f>
        <v>-100</v>
      </c>
      <c r="E12" s="30" t="e">
        <f t="shared" si="12"/>
        <v>#DIV/0!</v>
      </c>
      <c r="F12" s="30" t="e">
        <f t="shared" si="12"/>
        <v>#DIV/0!</v>
      </c>
      <c r="G12" s="30" t="e">
        <f t="shared" si="12"/>
        <v>#DIV/0!</v>
      </c>
      <c r="H12" s="30" t="e">
        <f t="shared" si="12"/>
        <v>#DIV/0!</v>
      </c>
      <c r="I12" s="31" t="e">
        <f t="shared" si="12"/>
        <v>#DIV/0!</v>
      </c>
      <c r="J12" s="23" t="e">
        <f>AVERAGE(D12:I12)</f>
        <v>#DIV/0!</v>
      </c>
      <c r="S12" t="s">
        <v>20</v>
      </c>
      <c r="T12" t="s">
        <v>22</v>
      </c>
      <c r="W12" s="12" t="s">
        <v>43</v>
      </c>
      <c r="X12" s="19">
        <f t="shared" ref="X12:AG12" si="13">+X11/X3</f>
        <v>0.36780915516621282</v>
      </c>
      <c r="Y12" s="19">
        <f t="shared" si="13"/>
        <v>0.40844494164228218</v>
      </c>
      <c r="Z12" s="19">
        <f t="shared" si="13"/>
        <v>0.40245146065599402</v>
      </c>
      <c r="AA12" s="19">
        <f t="shared" si="13"/>
        <v>0.42142519796458044</v>
      </c>
      <c r="AB12" s="19">
        <f t="shared" si="13"/>
        <v>0.35780319365381857</v>
      </c>
      <c r="AC12" s="19">
        <f t="shared" si="13"/>
        <v>0.33527122495574835</v>
      </c>
      <c r="AD12" s="19">
        <f t="shared" si="13"/>
        <v>0.35423275811725591</v>
      </c>
      <c r="AE12" s="19">
        <f t="shared" si="13"/>
        <v>0.4305645005474335</v>
      </c>
      <c r="AF12" s="19">
        <f t="shared" si="13"/>
        <v>0.46612161112453621</v>
      </c>
      <c r="AG12" s="19">
        <f t="shared" si="13"/>
        <v>0.39637440463191109</v>
      </c>
      <c r="AH12" s="19">
        <f t="shared" ref="AH12:AK12" si="14">+AH11/AH3</f>
        <v>0.3660349141390461</v>
      </c>
      <c r="AI12" s="19">
        <f t="shared" si="14"/>
        <v>0.33285376268051892</v>
      </c>
      <c r="AJ12" s="19">
        <f t="shared" si="14"/>
        <v>0.30332675139457876</v>
      </c>
      <c r="AK12" s="19">
        <f t="shared" si="14"/>
        <v>0.32091713751842083</v>
      </c>
      <c r="AL12" s="19">
        <f t="shared" ref="AL12:AM12" si="15">+AL11/AL3</f>
        <v>0.31735470733014554</v>
      </c>
      <c r="AM12" s="19">
        <f t="shared" si="15"/>
        <v>0.36695950448872289</v>
      </c>
    </row>
    <row r="13" spans="1:57"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c r="AN13" s="12"/>
      <c r="AO13" s="12"/>
    </row>
    <row r="14" spans="1:57"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f t="shared" ref="X14:AJ14" si="16">+X20-X17</f>
        <v>578827</v>
      </c>
      <c r="Y14" s="13">
        <f t="shared" si="16"/>
        <v>1090979</v>
      </c>
      <c r="Z14" s="13">
        <f t="shared" si="16"/>
        <v>648636</v>
      </c>
      <c r="AA14" s="13">
        <f t="shared" si="16"/>
        <v>1428705</v>
      </c>
      <c r="AB14" s="13">
        <f t="shared" si="16"/>
        <v>578829</v>
      </c>
      <c r="AC14" s="13">
        <f t="shared" si="16"/>
        <v>1270085</v>
      </c>
      <c r="AD14" s="13">
        <f t="shared" si="16"/>
        <v>1085645</v>
      </c>
      <c r="AE14" s="13">
        <f t="shared" si="16"/>
        <v>2744779</v>
      </c>
      <c r="AF14" s="13">
        <f t="shared" si="16"/>
        <v>2128676</v>
      </c>
      <c r="AG14" s="13">
        <f t="shared" si="16"/>
        <v>1655549</v>
      </c>
      <c r="AH14" s="13">
        <f t="shared" si="16"/>
        <v>972911</v>
      </c>
      <c r="AI14" s="13">
        <f t="shared" si="16"/>
        <v>1456697</v>
      </c>
      <c r="AJ14" s="13">
        <f t="shared" si="16"/>
        <v>1009453</v>
      </c>
      <c r="AK14" s="13">
        <f t="shared" ref="AK14:AM14" si="17">+AK20-AK17</f>
        <v>1333773</v>
      </c>
      <c r="AL14" s="13">
        <f t="shared" si="17"/>
        <v>990262</v>
      </c>
      <c r="AM14" s="13">
        <f t="shared" si="17"/>
        <v>1889006</v>
      </c>
    </row>
    <row r="15" spans="1:57" ht="18" thickTop="1" thickBot="1" x14ac:dyDescent="0.4">
      <c r="B15" s="32" t="s">
        <v>30</v>
      </c>
      <c r="C15" s="34">
        <f>1+0.6</f>
        <v>1.6</v>
      </c>
      <c r="D15" s="34"/>
      <c r="E15" s="34"/>
      <c r="F15" s="34"/>
      <c r="G15" s="34"/>
      <c r="H15" s="34"/>
      <c r="I15" s="35"/>
      <c r="J15" s="24"/>
      <c r="R15" s="6"/>
      <c r="S15" s="6"/>
      <c r="W15" s="12" t="s">
        <v>55</v>
      </c>
      <c r="X15" s="19">
        <f t="shared" ref="X15:AG15" si="18">+X14/X3</f>
        <v>0.22801723679478184</v>
      </c>
      <c r="Y15" s="19">
        <f t="shared" si="18"/>
        <v>0.3026215967244118</v>
      </c>
      <c r="Z15" s="19">
        <f t="shared" si="18"/>
        <v>0.24498592334473718</v>
      </c>
      <c r="AA15" s="19">
        <f t="shared" si="18"/>
        <v>0.32818865854532558</v>
      </c>
      <c r="AB15" s="19">
        <f t="shared" si="18"/>
        <v>0.20955149249084434</v>
      </c>
      <c r="AC15" s="19">
        <f t="shared" si="18"/>
        <v>0.24444205792581122</v>
      </c>
      <c r="AD15" s="19">
        <f t="shared" si="18"/>
        <v>0.238345255224783</v>
      </c>
      <c r="AE15" s="19">
        <f t="shared" si="18"/>
        <v>0.35640037541265268</v>
      </c>
      <c r="AF15" s="19">
        <f t="shared" si="18"/>
        <v>0.34477108833378789</v>
      </c>
      <c r="AG15" s="19">
        <f t="shared" si="18"/>
        <v>0.27452871754028224</v>
      </c>
      <c r="AH15" s="19">
        <f t="shared" ref="AH15:AK15" si="19">+AH14/AH3</f>
        <v>0.20839222790813539</v>
      </c>
      <c r="AI15" s="19">
        <f t="shared" si="19"/>
        <v>0.23304430042571028</v>
      </c>
      <c r="AJ15" s="19">
        <f t="shared" si="19"/>
        <v>0.18950820940102103</v>
      </c>
      <c r="AK15" s="19">
        <f t="shared" si="19"/>
        <v>0.21692272187091421</v>
      </c>
      <c r="AL15" s="19">
        <f t="shared" ref="AL15:AM15" si="20">+AL14/AL3</f>
        <v>0.17918539623694418</v>
      </c>
      <c r="AM15" s="19">
        <f t="shared" si="20"/>
        <v>0.26750873826059546</v>
      </c>
    </row>
    <row r="16" spans="1:57" ht="18" thickTop="1" thickBot="1" x14ac:dyDescent="0.4">
      <c r="B16" s="32" t="s">
        <v>8</v>
      </c>
      <c r="C16" s="34">
        <v>31.7</v>
      </c>
      <c r="D16" s="34"/>
      <c r="E16" s="34"/>
      <c r="F16" s="34"/>
      <c r="G16" s="34"/>
      <c r="H16" s="34"/>
      <c r="I16" s="35"/>
      <c r="J16" s="22" t="e">
        <f>((I16/D16)^(1/5)-1)*100</f>
        <v>#DIV/0!</v>
      </c>
    </row>
    <row r="17" spans="2:39" ht="18" thickTop="1" thickBot="1" x14ac:dyDescent="0.4">
      <c r="B17" s="32" t="s">
        <v>31</v>
      </c>
      <c r="C17" s="34">
        <v>14.6</v>
      </c>
      <c r="D17" s="34"/>
      <c r="E17" s="34"/>
      <c r="F17" s="34"/>
      <c r="G17" s="34"/>
      <c r="H17" s="34"/>
      <c r="I17" s="35"/>
      <c r="J17" s="22" t="e">
        <f>((I17/D17)^(1/6)-1)*100</f>
        <v>#DIV/0!</v>
      </c>
      <c r="W17" s="12" t="s">
        <v>44</v>
      </c>
      <c r="X17" s="13">
        <f>23702-10495</f>
        <v>13207</v>
      </c>
      <c r="Y17" s="13">
        <f>37193-10220</f>
        <v>26973</v>
      </c>
      <c r="Z17" s="13">
        <f>28550-10630</f>
        <v>17920</v>
      </c>
      <c r="AA17" s="13">
        <f>15980-51272</f>
        <v>-35292</v>
      </c>
      <c r="AB17" s="13">
        <f>15903-22160</f>
        <v>-6257</v>
      </c>
      <c r="AC17" s="13">
        <f>14271-33071</f>
        <v>-18800</v>
      </c>
      <c r="AD17" s="13">
        <f>39955-10156</f>
        <v>29799</v>
      </c>
      <c r="AE17" s="13">
        <f>63080-1647011</f>
        <v>-1583931</v>
      </c>
      <c r="AF17" s="13">
        <f>157872-1259918</f>
        <v>-1102046</v>
      </c>
      <c r="AG17" s="13">
        <f>193782-56449</f>
        <v>137333</v>
      </c>
      <c r="AH17" s="13">
        <f>161246-108769</f>
        <v>52477</v>
      </c>
      <c r="AI17" s="13">
        <f>234683-20305</f>
        <v>214378</v>
      </c>
      <c r="AJ17" s="13">
        <f>145415-13214</f>
        <v>132201</v>
      </c>
      <c r="AK17" s="13">
        <f>30657-51095</f>
        <v>-20438</v>
      </c>
      <c r="AL17" s="13">
        <f>47028-18851</f>
        <v>28177</v>
      </c>
      <c r="AM17" s="13">
        <f>130445-19418</f>
        <v>111027</v>
      </c>
    </row>
    <row r="18" spans="2:39" ht="18" thickTop="1" thickBot="1" x14ac:dyDescent="0.4">
      <c r="B18" s="32" t="s">
        <v>32</v>
      </c>
      <c r="C18" s="36">
        <f t="shared" ref="C18:G18" si="21">C14/AVERAGE(B17:C17)*100</f>
        <v>22.19178082191781</v>
      </c>
      <c r="D18" s="36">
        <f t="shared" si="21"/>
        <v>0</v>
      </c>
      <c r="E18" s="36" t="e">
        <f t="shared" si="21"/>
        <v>#DIV/0!</v>
      </c>
      <c r="F18" s="36" t="e">
        <f t="shared" si="21"/>
        <v>#DIV/0!</v>
      </c>
      <c r="G18" s="36" t="e">
        <f t="shared" si="21"/>
        <v>#DIV/0!</v>
      </c>
      <c r="H18" s="36" t="e">
        <f>H14/AVERAGE(G17:H17)*100</f>
        <v>#DIV/0!</v>
      </c>
      <c r="I18" s="37" t="e">
        <f>I14/AVERAGE(H17:I17)*100</f>
        <v>#DIV/0!</v>
      </c>
      <c r="J18" s="23" t="e">
        <f>AVERAGE(D18:I18)</f>
        <v>#DIV/0!</v>
      </c>
      <c r="M18" s="9" t="s">
        <v>33</v>
      </c>
      <c r="N18" s="6"/>
      <c r="O18" s="6"/>
      <c r="P18" s="6"/>
      <c r="Q18" s="6"/>
      <c r="W18" s="12" t="s">
        <v>45</v>
      </c>
      <c r="X18" s="15">
        <f t="shared" ref="X18:AG18" si="22">+X17/X14</f>
        <v>2.2816834736458388E-2</v>
      </c>
      <c r="Y18" s="15">
        <f t="shared" si="22"/>
        <v>2.4723665625094524E-2</v>
      </c>
      <c r="Z18" s="15">
        <f t="shared" si="22"/>
        <v>2.7627205397171912E-2</v>
      </c>
      <c r="AA18" s="15">
        <f t="shared" si="22"/>
        <v>-2.4702090354551849E-2</v>
      </c>
      <c r="AB18" s="15">
        <f t="shared" si="22"/>
        <v>-1.0809755558204582E-2</v>
      </c>
      <c r="AC18" s="15">
        <f t="shared" si="22"/>
        <v>-1.4802158910624093E-2</v>
      </c>
      <c r="AD18" s="15">
        <f t="shared" si="22"/>
        <v>2.7448198996909673E-2</v>
      </c>
      <c r="AE18" s="15">
        <f t="shared" si="22"/>
        <v>-0.57707050367260893</v>
      </c>
      <c r="AF18" s="15">
        <f t="shared" si="22"/>
        <v>-0.51771429752578602</v>
      </c>
      <c r="AG18" s="15">
        <f t="shared" si="22"/>
        <v>8.2953147264140173E-2</v>
      </c>
      <c r="AH18" s="15">
        <f t="shared" ref="AH18:AK18" si="23">+AH17/AH14</f>
        <v>5.3938130003669399E-2</v>
      </c>
      <c r="AI18" s="15">
        <f t="shared" si="23"/>
        <v>0.14716718713637772</v>
      </c>
      <c r="AJ18" s="15">
        <f t="shared" si="23"/>
        <v>0.13096300669768676</v>
      </c>
      <c r="AK18" s="15">
        <f t="shared" si="23"/>
        <v>-1.5323447093320978E-2</v>
      </c>
      <c r="AL18" s="15">
        <f t="shared" ref="AL18:AM18" si="24">+AL17/AL14</f>
        <v>2.8454085888381053E-2</v>
      </c>
      <c r="AM18" s="15">
        <f t="shared" si="24"/>
        <v>5.8775355927932468E-2</v>
      </c>
    </row>
    <row r="19" spans="2:39" ht="18" thickTop="1" thickBot="1" x14ac:dyDescent="0.4">
      <c r="B19" s="32" t="s">
        <v>34</v>
      </c>
      <c r="C19" s="30">
        <f t="shared" ref="C19:G19" si="25">C15/C16*100</f>
        <v>5.0473186119873823</v>
      </c>
      <c r="D19" s="30" t="e">
        <f t="shared" si="25"/>
        <v>#DIV/0!</v>
      </c>
      <c r="E19" s="30" t="e">
        <f t="shared" si="25"/>
        <v>#DIV/0!</v>
      </c>
      <c r="F19" s="30" t="e">
        <f t="shared" si="25"/>
        <v>#DIV/0!</v>
      </c>
      <c r="G19" s="30" t="e">
        <f t="shared" si="25"/>
        <v>#DIV/0!</v>
      </c>
      <c r="H19" s="30" t="e">
        <f>H15/H16*100</f>
        <v>#DIV/0!</v>
      </c>
      <c r="I19" s="31" t="e">
        <f>I15/I16*100</f>
        <v>#DIV/0!</v>
      </c>
      <c r="J19" s="23" t="e">
        <f>AVERAGE(D19:I19)</f>
        <v>#DIV/0!</v>
      </c>
    </row>
    <row r="20" spans="2:39" ht="18" thickTop="1" thickBot="1" x14ac:dyDescent="0.4">
      <c r="B20" s="32" t="s">
        <v>35</v>
      </c>
      <c r="C20" s="30">
        <f t="shared" ref="C20:G20" si="26">C15/C14*100</f>
        <v>49.382716049382715</v>
      </c>
      <c r="D20" s="30" t="e">
        <f t="shared" si="26"/>
        <v>#DIV/0!</v>
      </c>
      <c r="E20" s="30" t="e">
        <f t="shared" si="26"/>
        <v>#DIV/0!</v>
      </c>
      <c r="F20" s="30" t="e">
        <f t="shared" si="26"/>
        <v>#DIV/0!</v>
      </c>
      <c r="G20" s="30" t="e">
        <f t="shared" si="26"/>
        <v>#DIV/0!</v>
      </c>
      <c r="H20" s="30" t="e">
        <f>H15/H14*100</f>
        <v>#DIV/0!</v>
      </c>
      <c r="I20" s="31" t="e">
        <f>I15/I14*100</f>
        <v>#DIV/0!</v>
      </c>
      <c r="J20" s="23" t="e">
        <f>AVERAGE(D20:I20)</f>
        <v>#DIV/0!</v>
      </c>
      <c r="M20" t="s">
        <v>36</v>
      </c>
      <c r="N20" s="4" t="e">
        <f>N13/H14-1</f>
        <v>#DIV/0!</v>
      </c>
      <c r="W20" s="12" t="s">
        <v>21</v>
      </c>
      <c r="X20" s="13">
        <v>592034</v>
      </c>
      <c r="Y20" s="13">
        <v>1117952</v>
      </c>
      <c r="Z20" s="13">
        <v>666556</v>
      </c>
      <c r="AA20" s="13">
        <v>1393413</v>
      </c>
      <c r="AB20" s="13">
        <v>572572</v>
      </c>
      <c r="AC20" s="13">
        <v>1251285</v>
      </c>
      <c r="AD20" s="13">
        <v>1115444</v>
      </c>
      <c r="AE20" s="13">
        <v>1160848</v>
      </c>
      <c r="AF20" s="13">
        <v>1026630</v>
      </c>
      <c r="AG20" s="13">
        <v>1792882</v>
      </c>
      <c r="AH20" s="13">
        <v>1025388</v>
      </c>
      <c r="AI20" s="13">
        <v>1671075</v>
      </c>
      <c r="AJ20" s="13">
        <v>1141654</v>
      </c>
      <c r="AK20" s="13">
        <v>1313335</v>
      </c>
      <c r="AL20" s="13">
        <v>1018439</v>
      </c>
      <c r="AM20" s="13">
        <v>2000033</v>
      </c>
    </row>
    <row r="21" spans="2:39" ht="18" thickTop="1" thickBot="1" x14ac:dyDescent="0.4">
      <c r="B21" s="32" t="s">
        <v>11</v>
      </c>
      <c r="C21" s="38">
        <f t="shared" ref="C21:G21" si="27">C16/C14</f>
        <v>9.7839506172839492</v>
      </c>
      <c r="D21" s="38" t="e">
        <f t="shared" si="27"/>
        <v>#DIV/0!</v>
      </c>
      <c r="E21" s="38" t="e">
        <f t="shared" si="27"/>
        <v>#DIV/0!</v>
      </c>
      <c r="F21" s="38" t="e">
        <f t="shared" si="27"/>
        <v>#DIV/0!</v>
      </c>
      <c r="G21" s="38" t="e">
        <f t="shared" si="27"/>
        <v>#DIV/0!</v>
      </c>
      <c r="H21" s="38" t="e">
        <f>H16/H14</f>
        <v>#DIV/0!</v>
      </c>
      <c r="I21" s="39" t="e">
        <f>I16/I14</f>
        <v>#DIV/0!</v>
      </c>
      <c r="J21" s="23" t="e">
        <f>AVERAGE(D21:I21)</f>
        <v>#DIV/0!</v>
      </c>
      <c r="W21" s="12" t="s">
        <v>46</v>
      </c>
      <c r="X21" s="19">
        <f t="shared" ref="X21:AG21" si="28">+X20/X3</f>
        <v>0.23321986840379227</v>
      </c>
      <c r="Y21" s="19">
        <f t="shared" si="28"/>
        <v>0.31010351189275837</v>
      </c>
      <c r="Z21" s="19">
        <f t="shared" si="28"/>
        <v>0.25175419976839802</v>
      </c>
      <c r="AA21" s="19">
        <f t="shared" si="28"/>
        <v>0.3200817126485998</v>
      </c>
      <c r="AB21" s="19">
        <f t="shared" si="28"/>
        <v>0.20728629208016139</v>
      </c>
      <c r="AC21" s="19">
        <f t="shared" si="28"/>
        <v>0.24082378773995339</v>
      </c>
      <c r="AD21" s="19">
        <f t="shared" si="28"/>
        <v>0.24488740322016209</v>
      </c>
      <c r="AE21" s="19">
        <f t="shared" si="28"/>
        <v>0.15073223126416627</v>
      </c>
      <c r="AF21" s="19">
        <f t="shared" si="28"/>
        <v>0.16627816652986019</v>
      </c>
      <c r="AG21" s="19">
        <f t="shared" si="28"/>
        <v>0.29730173867463683</v>
      </c>
      <c r="AH21" s="19">
        <f t="shared" ref="AH21:AK21" si="29">+AH20/AH3</f>
        <v>0.21963251498879868</v>
      </c>
      <c r="AI21" s="19">
        <f t="shared" si="29"/>
        <v>0.26734077459752703</v>
      </c>
      <c r="AJ21" s="19">
        <f t="shared" si="29"/>
        <v>0.21432677429807359</v>
      </c>
      <c r="AK21" s="19">
        <f t="shared" si="29"/>
        <v>0.21359871801898608</v>
      </c>
      <c r="AL21" s="19">
        <f t="shared" ref="AL21:AM21" si="30">+AL20/AL3</f>
        <v>0.18428395289141378</v>
      </c>
      <c r="AM21" s="19">
        <f t="shared" si="30"/>
        <v>0.28323165956569407</v>
      </c>
    </row>
    <row r="22" spans="2:39" ht="18" thickTop="1" thickBot="1" x14ac:dyDescent="0.4">
      <c r="B22" s="32" t="s">
        <v>37</v>
      </c>
      <c r="C22" s="38">
        <f t="shared" ref="C22:G22" si="31">C16/C17</f>
        <v>2.1712328767123288</v>
      </c>
      <c r="D22" s="38" t="e">
        <f t="shared" si="31"/>
        <v>#DIV/0!</v>
      </c>
      <c r="E22" s="38" t="e">
        <f t="shared" si="31"/>
        <v>#DIV/0!</v>
      </c>
      <c r="F22" s="38" t="e">
        <f t="shared" si="31"/>
        <v>#DIV/0!</v>
      </c>
      <c r="G22" s="38" t="e">
        <f t="shared" si="31"/>
        <v>#DIV/0!</v>
      </c>
      <c r="H22" s="38" t="e">
        <f>H16/H17</f>
        <v>#DIV/0!</v>
      </c>
      <c r="I22" s="39" t="e">
        <f>I16/I17</f>
        <v>#DIV/0!</v>
      </c>
      <c r="J22" s="23" t="e">
        <f>AVERAGE(D22:I22)</f>
        <v>#DIV/0!</v>
      </c>
    </row>
    <row r="23" spans="2:39" ht="15.75" thickTop="1" x14ac:dyDescent="0.25">
      <c r="W23" s="12" t="s">
        <v>47</v>
      </c>
      <c r="X23" s="13">
        <v>-165013</v>
      </c>
      <c r="Y23" s="13">
        <v>-315071</v>
      </c>
      <c r="Z23" s="13">
        <v>-187921</v>
      </c>
      <c r="AA23" s="13">
        <v>145440</v>
      </c>
      <c r="AB23" s="13">
        <v>-111346</v>
      </c>
      <c r="AC23" s="13">
        <v>-231483</v>
      </c>
      <c r="AD23" s="13">
        <v>-209215</v>
      </c>
      <c r="AE23" s="13">
        <v>-218049</v>
      </c>
      <c r="AF23" s="13">
        <v>-186643</v>
      </c>
      <c r="AG23" s="13">
        <v>-336010</v>
      </c>
      <c r="AH23" s="13">
        <v>-594340</v>
      </c>
      <c r="AI23" s="13">
        <v>-505803</v>
      </c>
      <c r="AJ23" s="13">
        <v>-347245</v>
      </c>
      <c r="AK23" s="13">
        <v>-410775</v>
      </c>
      <c r="AL23" s="13">
        <v>-285484</v>
      </c>
      <c r="AM23" s="13">
        <v>-597871</v>
      </c>
    </row>
    <row r="24" spans="2:39" x14ac:dyDescent="0.25">
      <c r="G24" s="10">
        <v>701.95658000000003</v>
      </c>
      <c r="H24" s="10">
        <v>709.32254499999999</v>
      </c>
      <c r="I24" s="10">
        <v>716.73997499999996</v>
      </c>
      <c r="W24" s="12" t="s">
        <v>48</v>
      </c>
      <c r="X24" s="14">
        <f t="shared" ref="X24:AG24" si="32">+X23/X20</f>
        <v>-0.27872216798359556</v>
      </c>
      <c r="Y24" s="14">
        <f t="shared" si="32"/>
        <v>-0.2818287368330662</v>
      </c>
      <c r="Z24" s="14">
        <f t="shared" si="32"/>
        <v>-0.28192830009781622</v>
      </c>
      <c r="AA24" s="14">
        <f t="shared" si="32"/>
        <v>0.10437680716341817</v>
      </c>
      <c r="AB24" s="14">
        <f t="shared" si="32"/>
        <v>-0.19446637278805112</v>
      </c>
      <c r="AC24" s="14">
        <f t="shared" si="32"/>
        <v>-0.18499622388184947</v>
      </c>
      <c r="AD24" s="14">
        <f t="shared" si="32"/>
        <v>-0.18756208290151724</v>
      </c>
      <c r="AE24" s="14">
        <f t="shared" si="32"/>
        <v>-0.18783596129725855</v>
      </c>
      <c r="AF24" s="14">
        <f t="shared" si="32"/>
        <v>-0.18180162278522935</v>
      </c>
      <c r="AG24" s="14">
        <f t="shared" si="32"/>
        <v>-0.1874133378549174</v>
      </c>
      <c r="AH24" s="14">
        <f t="shared" ref="AH24:AK24" si="33">+AH23/AH20</f>
        <v>-0.57962449336251254</v>
      </c>
      <c r="AI24" s="14">
        <f t="shared" si="33"/>
        <v>-0.30268120820429961</v>
      </c>
      <c r="AJ24" s="14">
        <f t="shared" si="33"/>
        <v>-0.30415957899678886</v>
      </c>
      <c r="AK24" s="14">
        <f t="shared" si="33"/>
        <v>-0.31277244572024654</v>
      </c>
      <c r="AL24" s="14">
        <f t="shared" ref="AL24:AM24" si="34">+AL23/AL20</f>
        <v>-0.28031526679555674</v>
      </c>
      <c r="AM24" s="14">
        <f t="shared" si="34"/>
        <v>-0.29893056764563386</v>
      </c>
    </row>
    <row r="25" spans="2:39" x14ac:dyDescent="0.25">
      <c r="G25">
        <f>+G10/G24</f>
        <v>0</v>
      </c>
      <c r="H25">
        <f>+H10/H24</f>
        <v>0</v>
      </c>
      <c r="I25">
        <f>+I10/I24</f>
        <v>0</v>
      </c>
      <c r="M25" s="10"/>
    </row>
    <row r="26" spans="2:39" x14ac:dyDescent="0.25">
      <c r="M26" s="10"/>
      <c r="W26" s="12" t="s">
        <v>74</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row>
    <row r="28" spans="2:39" x14ac:dyDescent="0.25">
      <c r="W28" s="12" t="s">
        <v>49</v>
      </c>
      <c r="X28" s="13">
        <f t="shared" ref="X28:AF28" si="35">+X20+X23-X26</f>
        <v>427021</v>
      </c>
      <c r="Y28" s="13">
        <f t="shared" si="35"/>
        <v>802881</v>
      </c>
      <c r="Z28" s="13">
        <f t="shared" si="35"/>
        <v>478635</v>
      </c>
      <c r="AA28" s="13">
        <f t="shared" si="35"/>
        <v>1538853</v>
      </c>
      <c r="AB28" s="13">
        <f t="shared" si="35"/>
        <v>461226</v>
      </c>
      <c r="AC28" s="13">
        <f t="shared" si="35"/>
        <v>1019802</v>
      </c>
      <c r="AD28" s="13">
        <f t="shared" si="35"/>
        <v>906229</v>
      </c>
      <c r="AE28" s="13">
        <f t="shared" si="35"/>
        <v>942799</v>
      </c>
      <c r="AF28" s="13">
        <f t="shared" si="35"/>
        <v>839987</v>
      </c>
      <c r="AG28" s="13">
        <f>+AG20+AG23-AG26</f>
        <v>1456872</v>
      </c>
      <c r="AH28" s="13">
        <f t="shared" ref="AH28:AJ28" si="36">+AH20+AH23-AH26</f>
        <v>431048</v>
      </c>
      <c r="AI28" s="13">
        <f t="shared" si="36"/>
        <v>1165272</v>
      </c>
      <c r="AJ28" s="13">
        <f t="shared" si="36"/>
        <v>794409</v>
      </c>
      <c r="AK28" s="13">
        <f>+AK20+AK23-AK26</f>
        <v>902560</v>
      </c>
      <c r="AL28" s="13">
        <f t="shared" ref="AL28:AM28" si="37">+AL20+AL23-AL26</f>
        <v>732955</v>
      </c>
      <c r="AM28" s="13">
        <f t="shared" si="37"/>
        <v>1402162</v>
      </c>
    </row>
    <row r="29" spans="2:39" x14ac:dyDescent="0.25">
      <c r="M29" s="10"/>
      <c r="W29" s="12" t="s">
        <v>25</v>
      </c>
      <c r="X29" s="19">
        <f t="shared" ref="X29:AG29" si="38">+X28/X3</f>
        <v>0.16821632106543843</v>
      </c>
      <c r="Y29" s="19">
        <f t="shared" si="38"/>
        <v>0.22270743084852457</v>
      </c>
      <c r="Z29" s="19">
        <f t="shared" si="38"/>
        <v>0.18077756618520754</v>
      </c>
      <c r="AA29" s="19">
        <f t="shared" si="38"/>
        <v>0.3534908198462593</v>
      </c>
      <c r="AB29" s="19">
        <f t="shared" si="38"/>
        <v>0.16697607873064788</v>
      </c>
      <c r="AC29" s="19">
        <f t="shared" si="38"/>
        <v>0.19627229638713797</v>
      </c>
      <c r="AD29" s="19">
        <f t="shared" si="38"/>
        <v>0.19895581179584476</v>
      </c>
      <c r="AE29" s="19">
        <f t="shared" si="38"/>
        <v>0.1224192977061809</v>
      </c>
      <c r="AF29" s="19">
        <f t="shared" si="38"/>
        <v>0.136048526020979</v>
      </c>
      <c r="AG29" s="19">
        <f t="shared" si="38"/>
        <v>0.24158342747955275</v>
      </c>
      <c r="AH29" s="19">
        <f t="shared" ref="AH29:AK29" si="39">+AH28/AH3</f>
        <v>9.2328129762481809E-2</v>
      </c>
      <c r="AI29" s="19">
        <f t="shared" si="39"/>
        <v>0.18642174594007421</v>
      </c>
      <c r="AJ29" s="19">
        <f t="shared" si="39"/>
        <v>0.14913723285983174</v>
      </c>
      <c r="AK29" s="19">
        <f t="shared" si="39"/>
        <v>0.14679092458147852</v>
      </c>
      <c r="AL29" s="19">
        <f t="shared" ref="AL29:AM29" si="40">+AL28/AL3</f>
        <v>0.13262634747051733</v>
      </c>
      <c r="AM29" s="19">
        <f t="shared" si="40"/>
        <v>0.19856505879650624</v>
      </c>
    </row>
    <row r="30" spans="2:39" x14ac:dyDescent="0.25">
      <c r="M30" s="10"/>
    </row>
    <row r="31" spans="2:39" x14ac:dyDescent="0.25">
      <c r="W31" s="12" t="s">
        <v>29</v>
      </c>
      <c r="X31" s="16">
        <f t="shared" ref="X31:AJ31" si="41">+X28/X47</f>
        <v>1.7792541666666666</v>
      </c>
      <c r="Y31" s="16">
        <f t="shared" si="41"/>
        <v>3.3453374999999999</v>
      </c>
      <c r="Z31" s="16">
        <f t="shared" si="41"/>
        <v>1.9943124999999999</v>
      </c>
      <c r="AA31" s="16">
        <f t="shared" si="41"/>
        <v>6.4118874999999997</v>
      </c>
      <c r="AB31" s="16">
        <f t="shared" si="41"/>
        <v>1.921775</v>
      </c>
      <c r="AC31" s="16">
        <f t="shared" si="41"/>
        <v>4.2491750000000001</v>
      </c>
      <c r="AD31" s="16">
        <f t="shared" si="41"/>
        <v>3.7759541666666667</v>
      </c>
      <c r="AE31" s="16">
        <f t="shared" si="41"/>
        <v>3.9283291666666669</v>
      </c>
      <c r="AF31" s="16">
        <f t="shared" si="41"/>
        <v>3.4999458333333333</v>
      </c>
      <c r="AG31" s="16">
        <f t="shared" si="41"/>
        <v>6.0702999999999996</v>
      </c>
      <c r="AH31" s="16">
        <f t="shared" si="41"/>
        <v>1.7960333333333334</v>
      </c>
      <c r="AI31" s="16">
        <f t="shared" si="41"/>
        <v>4.8552999999999997</v>
      </c>
      <c r="AJ31" s="16">
        <f t="shared" si="41"/>
        <v>3.3100375</v>
      </c>
      <c r="AK31" s="16">
        <f t="shared" ref="AK31:AM31" si="42">+AK28/AK47</f>
        <v>3.7606666666666668</v>
      </c>
      <c r="AL31" s="16">
        <f t="shared" si="42"/>
        <v>3.0539791666666667</v>
      </c>
      <c r="AM31" s="16">
        <f t="shared" si="42"/>
        <v>5.842341666666667</v>
      </c>
    </row>
    <row r="32" spans="2:39" x14ac:dyDescent="0.25">
      <c r="W32" s="12" t="s">
        <v>40</v>
      </c>
      <c r="AA32" s="17"/>
      <c r="AB32" s="18">
        <f t="shared" ref="AB32:AM32" si="43">+AB31/X31-1</f>
        <v>8.0101447001435622E-2</v>
      </c>
      <c r="AC32" s="18">
        <f t="shared" si="43"/>
        <v>0.27017827050334997</v>
      </c>
      <c r="AD32" s="18">
        <f t="shared" si="43"/>
        <v>0.89336132961442449</v>
      </c>
      <c r="AE32" s="18">
        <f t="shared" si="43"/>
        <v>-0.38733654221683289</v>
      </c>
      <c r="AF32" s="18">
        <f t="shared" si="43"/>
        <v>0.82120478897546967</v>
      </c>
      <c r="AG32" s="18">
        <f t="shared" si="43"/>
        <v>0.42858319556149116</v>
      </c>
      <c r="AH32" s="18">
        <f t="shared" si="43"/>
        <v>-0.52434980562308198</v>
      </c>
      <c r="AI32" s="18">
        <f t="shared" si="43"/>
        <v>0.23597076365163727</v>
      </c>
      <c r="AJ32" s="18">
        <f t="shared" si="43"/>
        <v>-5.4260363553245483E-2</v>
      </c>
      <c r="AK32" s="18">
        <f t="shared" si="43"/>
        <v>-0.38048092076723272</v>
      </c>
      <c r="AL32" s="18">
        <f t="shared" si="43"/>
        <v>0.70040227538464395</v>
      </c>
      <c r="AM32" s="18">
        <f t="shared" si="43"/>
        <v>0.20329159200598679</v>
      </c>
    </row>
    <row r="33" spans="23:42" x14ac:dyDescent="0.25">
      <c r="W33" s="12" t="s">
        <v>41</v>
      </c>
      <c r="Y33" s="18">
        <f t="shared" ref="Y33:AD33" si="44">+Y31/X31-1</f>
        <v>0.8801909039602267</v>
      </c>
      <c r="Z33" s="18">
        <f t="shared" si="44"/>
        <v>-0.40385312393742034</v>
      </c>
      <c r="AA33" s="18">
        <f t="shared" si="44"/>
        <v>2.2150866526685262</v>
      </c>
      <c r="AB33" s="18">
        <f t="shared" si="44"/>
        <v>-0.70027936391585155</v>
      </c>
      <c r="AC33" s="18">
        <f t="shared" si="44"/>
        <v>1.2110678929635363</v>
      </c>
      <c r="AD33" s="18">
        <f t="shared" si="44"/>
        <v>-0.11136769686664671</v>
      </c>
      <c r="AE33" s="18">
        <f>+AE31/AD31-1</f>
        <v>4.03540385487553E-2</v>
      </c>
      <c r="AF33" s="18">
        <f>+AF31/AE31-1</f>
        <v>-0.10904975503792436</v>
      </c>
      <c r="AG33" s="18">
        <f>+AG31/AF31-1</f>
        <v>0.73439827044942341</v>
      </c>
      <c r="AH33" s="18">
        <f t="shared" ref="AH33" si="45">+AH31/AG31-1</f>
        <v>-0.70412774766760566</v>
      </c>
      <c r="AI33" s="18">
        <f>+AI31/AH31-1</f>
        <v>1.7033462630611904</v>
      </c>
      <c r="AJ33" s="18">
        <f>+AJ31/AI31-1</f>
        <v>-0.3182630321504335</v>
      </c>
      <c r="AK33" s="18">
        <f>+AK31/AJ31-1</f>
        <v>0.13614019982150261</v>
      </c>
      <c r="AL33" s="18">
        <f t="shared" ref="AL33" si="46">+AL31/AK31-1</f>
        <v>-0.18791548484311293</v>
      </c>
      <c r="AM33" s="18">
        <f>+AM31/AL31-1</f>
        <v>0.91302603843346453</v>
      </c>
    </row>
    <row r="34" spans="23:42" x14ac:dyDescent="0.25">
      <c r="Y34" s="18"/>
      <c r="Z34" s="18"/>
      <c r="AA34" s="18"/>
      <c r="AB34" s="18"/>
      <c r="AC34" s="18"/>
      <c r="AD34" s="18"/>
      <c r="AE34" s="18"/>
      <c r="AF34" s="18"/>
      <c r="AG34" s="18"/>
      <c r="AH34" s="18"/>
      <c r="AI34" s="18"/>
      <c r="AJ34" s="18"/>
      <c r="AK34" s="18"/>
      <c r="AL34" s="18"/>
      <c r="AM34" s="18"/>
    </row>
    <row r="35" spans="23:42" x14ac:dyDescent="0.25">
      <c r="W35" s="12" t="s">
        <v>88</v>
      </c>
      <c r="X35" s="18">
        <f t="shared" ref="X35:AJ35" si="47">+X28*4/X40</f>
        <v>0.39152298158969767</v>
      </c>
      <c r="Y35" s="18">
        <f t="shared" si="47"/>
        <v>0.70342589836442382</v>
      </c>
      <c r="Z35" s="18">
        <f t="shared" si="47"/>
        <v>0.45800332425240203</v>
      </c>
      <c r="AA35" s="18">
        <f t="shared" si="47"/>
        <v>1.1743294083531108</v>
      </c>
      <c r="AB35" s="18">
        <f t="shared" si="47"/>
        <v>0.40971772200194279</v>
      </c>
      <c r="AC35" s="18">
        <f t="shared" si="47"/>
        <v>0.80893844290363748</v>
      </c>
      <c r="AD35" s="18">
        <f t="shared" si="47"/>
        <v>0.72518407598904899</v>
      </c>
      <c r="AE35" s="18">
        <f t="shared" si="47"/>
        <v>0.69025340006717317</v>
      </c>
      <c r="AF35" s="18">
        <f t="shared" si="47"/>
        <v>0.60926613845859812</v>
      </c>
      <c r="AG35" s="18">
        <f t="shared" si="47"/>
        <v>0.83588745109098062</v>
      </c>
      <c r="AH35" s="18">
        <f t="shared" si="47"/>
        <v>0.27994079034850861</v>
      </c>
      <c r="AI35" s="18">
        <f t="shared" si="47"/>
        <v>0.63587434072426097</v>
      </c>
      <c r="AJ35" s="18">
        <f t="shared" si="47"/>
        <v>0.39111233865691064</v>
      </c>
      <c r="AK35" s="18">
        <f t="shared" ref="AK35:AM35" si="48">+AK28*4/AK40</f>
        <v>0.42238995279491826</v>
      </c>
      <c r="AL35" s="18">
        <f t="shared" si="48"/>
        <v>0.35219108860996706</v>
      </c>
      <c r="AM35" s="18">
        <f t="shared" si="48"/>
        <v>0.71720337322848982</v>
      </c>
      <c r="AO35" s="14">
        <f>+AVERAGE(X35:AM35)</f>
        <v>0.6003275454646293</v>
      </c>
      <c r="AP35" s="50" t="s">
        <v>88</v>
      </c>
    </row>
    <row r="36" spans="23:42" x14ac:dyDescent="0.25">
      <c r="AO36" s="56">
        <f>AVERAGE(X35:AM35)*AM49</f>
        <v>19.561082746878569</v>
      </c>
      <c r="AP36" s="50" t="s">
        <v>183</v>
      </c>
    </row>
    <row r="37" spans="23:42" x14ac:dyDescent="0.25">
      <c r="W37" s="12" t="s">
        <v>52</v>
      </c>
      <c r="X37" s="13">
        <f>349441+35900</f>
        <v>385341</v>
      </c>
      <c r="Y37" s="13">
        <f>345972+35075</f>
        <v>381047</v>
      </c>
      <c r="Z37" s="13">
        <f>332367+34247</f>
        <v>366614</v>
      </c>
      <c r="AA37" s="13">
        <f>329109+32680</f>
        <v>361789</v>
      </c>
      <c r="AB37" s="13">
        <f>326088+31283</f>
        <v>357371</v>
      </c>
      <c r="AC37" s="13">
        <f>323068+30867</f>
        <v>353935</v>
      </c>
      <c r="AD37" s="13">
        <f>310244+30545</f>
        <v>340789</v>
      </c>
      <c r="AE37" s="13">
        <f>309147+32893</f>
        <v>342040</v>
      </c>
      <c r="AF37" s="13">
        <f>305923+32555</f>
        <v>338478</v>
      </c>
      <c r="AG37" s="13">
        <f>324869+35264</f>
        <v>360133</v>
      </c>
      <c r="AH37" s="13">
        <f>358186+34877</f>
        <v>393063</v>
      </c>
      <c r="AI37" s="13">
        <f>358034+31479</f>
        <v>389513</v>
      </c>
      <c r="AJ37" s="13">
        <f>430035+34133</f>
        <v>464168</v>
      </c>
      <c r="AK37" s="13">
        <v>485481</v>
      </c>
      <c r="AL37" s="13">
        <f>465151+34935</f>
        <v>500086</v>
      </c>
      <c r="AM37" s="13">
        <f>567345+51390</f>
        <v>618735</v>
      </c>
      <c r="AO37" s="56">
        <f>+X1/AO36</f>
        <v>6.2240930921591282</v>
      </c>
      <c r="AP37" s="50" t="s">
        <v>11</v>
      </c>
    </row>
    <row r="38" spans="23:42" x14ac:dyDescent="0.25">
      <c r="W38" s="12" t="s">
        <v>53</v>
      </c>
      <c r="X38" s="13">
        <v>1669008</v>
      </c>
      <c r="Y38" s="13">
        <v>2264302</v>
      </c>
      <c r="Z38" s="13">
        <v>1898556</v>
      </c>
      <c r="AA38" s="13">
        <v>2561592</v>
      </c>
      <c r="AB38" s="13">
        <v>896625</v>
      </c>
      <c r="AC38" s="13">
        <v>2850659</v>
      </c>
      <c r="AD38" s="13">
        <v>4025116</v>
      </c>
      <c r="AE38" s="13">
        <v>6352513</v>
      </c>
      <c r="AF38" s="13">
        <v>6679651</v>
      </c>
      <c r="AG38" s="13">
        <v>7270648</v>
      </c>
      <c r="AH38" s="13">
        <v>3876290</v>
      </c>
      <c r="AI38" s="13">
        <v>1672632</v>
      </c>
      <c r="AJ38" s="13">
        <v>1330295</v>
      </c>
      <c r="AK38" s="13">
        <v>1556685</v>
      </c>
      <c r="AL38" s="13">
        <v>3256784</v>
      </c>
      <c r="AM38" s="13">
        <v>3106813</v>
      </c>
    </row>
    <row r="39" spans="23:42" x14ac:dyDescent="0.25">
      <c r="W39" s="12" t="s">
        <v>50</v>
      </c>
      <c r="X39" s="13">
        <f t="shared" ref="X39:AG39" si="49">+X37-X38</f>
        <v>-1283667</v>
      </c>
      <c r="Y39" s="13">
        <f t="shared" si="49"/>
        <v>-1883255</v>
      </c>
      <c r="Z39" s="13">
        <f t="shared" si="49"/>
        <v>-1531942</v>
      </c>
      <c r="AA39" s="13">
        <f t="shared" si="49"/>
        <v>-2199803</v>
      </c>
      <c r="AB39" s="13">
        <f t="shared" si="49"/>
        <v>-539254</v>
      </c>
      <c r="AC39" s="13">
        <f t="shared" si="49"/>
        <v>-2496724</v>
      </c>
      <c r="AD39" s="13">
        <f t="shared" si="49"/>
        <v>-3684327</v>
      </c>
      <c r="AE39" s="13">
        <f t="shared" si="49"/>
        <v>-6010473</v>
      </c>
      <c r="AF39" s="13">
        <f t="shared" si="49"/>
        <v>-6341173</v>
      </c>
      <c r="AG39" s="13">
        <f t="shared" si="49"/>
        <v>-6910515</v>
      </c>
      <c r="AH39" s="13">
        <f t="shared" ref="AH39:AK39" si="50">+AH37-AH38</f>
        <v>-3483227</v>
      </c>
      <c r="AI39" s="13">
        <f t="shared" si="50"/>
        <v>-1283119</v>
      </c>
      <c r="AJ39" s="13">
        <f t="shared" si="50"/>
        <v>-866127</v>
      </c>
      <c r="AK39" s="13">
        <f t="shared" si="50"/>
        <v>-1071204</v>
      </c>
      <c r="AL39" s="13">
        <f t="shared" ref="AL39:AM39" si="51">+AL37-AL38</f>
        <v>-2756698</v>
      </c>
      <c r="AM39" s="13">
        <f t="shared" si="51"/>
        <v>-2488078</v>
      </c>
      <c r="AO39" s="12" t="s">
        <v>1019</v>
      </c>
    </row>
    <row r="40" spans="23:42" x14ac:dyDescent="0.25">
      <c r="W40" s="12" t="s">
        <v>54</v>
      </c>
      <c r="X40" s="13">
        <v>4362666</v>
      </c>
      <c r="Y40" s="13">
        <v>4565547</v>
      </c>
      <c r="Z40" s="13">
        <v>4180188</v>
      </c>
      <c r="AA40" s="13">
        <v>5241640</v>
      </c>
      <c r="AB40" s="13">
        <v>4502866</v>
      </c>
      <c r="AC40" s="13">
        <v>5042668</v>
      </c>
      <c r="AD40" s="13">
        <v>4998615</v>
      </c>
      <c r="AE40" s="13">
        <v>5463495</v>
      </c>
      <c r="AF40" s="13">
        <v>5514746</v>
      </c>
      <c r="AG40" s="13">
        <v>6971618</v>
      </c>
      <c r="AH40" s="13">
        <v>6159131</v>
      </c>
      <c r="AI40" s="13">
        <v>7330203</v>
      </c>
      <c r="AJ40" s="13">
        <v>8124612</v>
      </c>
      <c r="AK40" s="13">
        <v>8547173</v>
      </c>
      <c r="AL40" s="13">
        <v>8324515</v>
      </c>
      <c r="AM40" s="13">
        <v>7820164</v>
      </c>
      <c r="AO40" s="46">
        <f>14/14.98</f>
        <v>0.93457943925233644</v>
      </c>
    </row>
    <row r="41" spans="23:42" x14ac:dyDescent="0.25">
      <c r="W41" s="12" t="s">
        <v>75</v>
      </c>
      <c r="X41" s="13">
        <v>1376329</v>
      </c>
      <c r="Y41" s="13">
        <v>2080844</v>
      </c>
      <c r="Z41" s="13">
        <v>2690695</v>
      </c>
      <c r="AA41" s="13">
        <v>2727937</v>
      </c>
      <c r="AB41" s="13">
        <v>2554368</v>
      </c>
      <c r="AC41" s="13">
        <v>4071199</v>
      </c>
      <c r="AD41" s="13">
        <v>3759673</v>
      </c>
      <c r="AE41" s="13">
        <v>2540788</v>
      </c>
      <c r="AF41" s="13">
        <v>3471683</v>
      </c>
      <c r="AG41" s="13">
        <v>6033611</v>
      </c>
      <c r="AH41" s="13">
        <v>5178418</v>
      </c>
      <c r="AI41" s="13">
        <v>7155098</v>
      </c>
      <c r="AJ41" s="13">
        <v>7102539</v>
      </c>
      <c r="AK41" s="13">
        <v>7029999</v>
      </c>
      <c r="AL41" s="13">
        <v>4473448</v>
      </c>
      <c r="AM41" s="13">
        <v>4884772</v>
      </c>
    </row>
    <row r="43" spans="23:42" x14ac:dyDescent="0.25">
      <c r="W43" s="12" t="s">
        <v>51</v>
      </c>
      <c r="X43" s="14">
        <f t="shared" ref="X43:AG43" si="52">+X37/X40</f>
        <v>8.8326954206441655E-2</v>
      </c>
      <c r="Y43" s="14">
        <f t="shared" si="52"/>
        <v>8.3461412181278602E-2</v>
      </c>
      <c r="Z43" s="14">
        <f t="shared" si="52"/>
        <v>8.7702754038813571E-2</v>
      </c>
      <c r="AA43" s="14">
        <f t="shared" si="52"/>
        <v>6.9022099953449684E-2</v>
      </c>
      <c r="AB43" s="14">
        <f t="shared" si="52"/>
        <v>7.9365230944025422E-2</v>
      </c>
      <c r="AC43" s="14">
        <f t="shared" si="52"/>
        <v>7.0188043313579238E-2</v>
      </c>
      <c r="AD43" s="14">
        <f t="shared" si="52"/>
        <v>6.8176684941728863E-2</v>
      </c>
      <c r="AE43" s="14">
        <f t="shared" si="52"/>
        <v>6.2604614811581236E-2</v>
      </c>
      <c r="AF43" s="14">
        <f t="shared" si="52"/>
        <v>6.1376897503529627E-2</v>
      </c>
      <c r="AG43" s="14">
        <f t="shared" si="52"/>
        <v>5.1657018499866168E-2</v>
      </c>
      <c r="AH43" s="14">
        <f t="shared" ref="AH43:AK43" si="53">+AH37/AH40</f>
        <v>6.3817931458187857E-2</v>
      </c>
      <c r="AI43" s="14">
        <f t="shared" si="53"/>
        <v>5.3138091810008538E-2</v>
      </c>
      <c r="AJ43" s="14">
        <f t="shared" si="53"/>
        <v>5.7131097460407954E-2</v>
      </c>
      <c r="AK43" s="14">
        <f t="shared" si="53"/>
        <v>5.6800184107657588E-2</v>
      </c>
      <c r="AL43" s="14">
        <f t="shared" ref="AL43:AM43" si="54">+AL37/AL40</f>
        <v>6.0073890190599694E-2</v>
      </c>
      <c r="AM43" s="14">
        <f t="shared" si="54"/>
        <v>7.9120463458311099E-2</v>
      </c>
    </row>
    <row r="45" spans="23:42" x14ac:dyDescent="0.25">
      <c r="W45" s="12" t="s">
        <v>63</v>
      </c>
      <c r="X45" s="16" t="e">
        <f t="shared" ref="X45:AJ45" si="55">+(X3*1000)/X7</f>
        <v>#DIV/0!</v>
      </c>
      <c r="Y45" s="16" t="e">
        <f t="shared" si="55"/>
        <v>#DIV/0!</v>
      </c>
      <c r="Z45" s="16" t="e">
        <f t="shared" si="55"/>
        <v>#DIV/0!</v>
      </c>
      <c r="AA45" s="16" t="e">
        <f t="shared" si="55"/>
        <v>#DIV/0!</v>
      </c>
      <c r="AB45" s="16" t="e">
        <f t="shared" si="55"/>
        <v>#DIV/0!</v>
      </c>
      <c r="AC45" s="16" t="e">
        <f t="shared" si="55"/>
        <v>#DIV/0!</v>
      </c>
      <c r="AD45" s="16" t="e">
        <f t="shared" si="55"/>
        <v>#DIV/0!</v>
      </c>
      <c r="AE45" s="16" t="e">
        <f t="shared" si="55"/>
        <v>#DIV/0!</v>
      </c>
      <c r="AF45" s="16" t="e">
        <f t="shared" si="55"/>
        <v>#DIV/0!</v>
      </c>
      <c r="AG45" s="16" t="e">
        <f t="shared" si="55"/>
        <v>#DIV/0!</v>
      </c>
      <c r="AH45" s="16" t="e">
        <f t="shared" si="55"/>
        <v>#DIV/0!</v>
      </c>
      <c r="AI45" s="16" t="e">
        <f t="shared" si="55"/>
        <v>#DIV/0!</v>
      </c>
      <c r="AJ45" s="16" t="e">
        <f t="shared" si="55"/>
        <v>#DIV/0!</v>
      </c>
      <c r="AK45" s="16" t="e">
        <f t="shared" ref="AK45:AM45" si="56">+(AK3*1000)/AK7</f>
        <v>#DIV/0!</v>
      </c>
      <c r="AL45" s="16" t="e">
        <f t="shared" si="56"/>
        <v>#DIV/0!</v>
      </c>
      <c r="AM45" s="16" t="e">
        <f t="shared" si="56"/>
        <v>#DIV/0!</v>
      </c>
    </row>
    <row r="47" spans="23:42" x14ac:dyDescent="0.25">
      <c r="W47" s="12" t="s">
        <v>56</v>
      </c>
      <c r="X47" s="13">
        <v>240000</v>
      </c>
      <c r="Y47" s="13">
        <v>240000</v>
      </c>
      <c r="Z47" s="13">
        <v>240000</v>
      </c>
      <c r="AA47" s="13">
        <v>240000</v>
      </c>
      <c r="AB47" s="13">
        <v>240000</v>
      </c>
      <c r="AC47" s="13">
        <v>240000</v>
      </c>
      <c r="AD47" s="13">
        <v>240000</v>
      </c>
      <c r="AE47" s="13">
        <v>240000</v>
      </c>
      <c r="AF47" s="13">
        <v>240000</v>
      </c>
      <c r="AG47" s="13">
        <v>240000</v>
      </c>
      <c r="AH47" s="13">
        <v>240000</v>
      </c>
      <c r="AI47" s="13">
        <v>240000</v>
      </c>
      <c r="AJ47" s="13">
        <v>240000</v>
      </c>
      <c r="AK47" s="13">
        <v>240000</v>
      </c>
      <c r="AL47" s="13">
        <v>240000</v>
      </c>
      <c r="AM47" s="13">
        <v>240000</v>
      </c>
    </row>
    <row r="49" spans="23:39" x14ac:dyDescent="0.25">
      <c r="W49" s="12" t="s">
        <v>57</v>
      </c>
      <c r="X49" s="16">
        <f t="shared" ref="X49:AG49" si="57">+X40/X47</f>
        <v>18.177775</v>
      </c>
      <c r="Y49" s="16">
        <f t="shared" si="57"/>
        <v>19.0231125</v>
      </c>
      <c r="Z49" s="16">
        <f t="shared" si="57"/>
        <v>17.417449999999999</v>
      </c>
      <c r="AA49" s="16">
        <f t="shared" si="57"/>
        <v>21.840166666666665</v>
      </c>
      <c r="AB49" s="16">
        <f t="shared" si="57"/>
        <v>18.761941666666665</v>
      </c>
      <c r="AC49" s="16">
        <f t="shared" si="57"/>
        <v>21.011116666666666</v>
      </c>
      <c r="AD49" s="16">
        <f t="shared" si="57"/>
        <v>20.827562499999999</v>
      </c>
      <c r="AE49" s="16">
        <f t="shared" si="57"/>
        <v>22.7645625</v>
      </c>
      <c r="AF49" s="16">
        <f t="shared" si="57"/>
        <v>22.978108333333335</v>
      </c>
      <c r="AG49" s="16">
        <f t="shared" si="57"/>
        <v>29.048408333333334</v>
      </c>
      <c r="AH49" s="16">
        <f t="shared" ref="AH49:AK49" si="58">+AH40/AH47</f>
        <v>25.663045833333332</v>
      </c>
      <c r="AI49" s="16">
        <f t="shared" si="58"/>
        <v>30.542512500000001</v>
      </c>
      <c r="AJ49" s="16">
        <f t="shared" si="58"/>
        <v>33.852550000000001</v>
      </c>
      <c r="AK49" s="16">
        <f t="shared" si="58"/>
        <v>35.613220833333337</v>
      </c>
      <c r="AL49" s="16">
        <f t="shared" ref="AL49:AM49" si="59">+AL40/AL47</f>
        <v>34.685479166666667</v>
      </c>
      <c r="AM49" s="16">
        <f t="shared" si="59"/>
        <v>32.584016666666663</v>
      </c>
    </row>
    <row r="51" spans="23:39" x14ac:dyDescent="0.25">
      <c r="W51" s="12" t="s">
        <v>67</v>
      </c>
      <c r="X51" s="13"/>
      <c r="Y51" s="13">
        <f>+Y55-X55</f>
        <v>1187708</v>
      </c>
      <c r="Z51" s="13">
        <f>+Z55-Y55</f>
        <v>500143</v>
      </c>
      <c r="AA51" s="13">
        <f>+AA55</f>
        <v>1177764</v>
      </c>
      <c r="AB51" s="13">
        <f t="shared" ref="AB51:AD52" si="60">+AB55-AA55</f>
        <v>-479552</v>
      </c>
      <c r="AC51" s="13">
        <f t="shared" si="60"/>
        <v>2426774</v>
      </c>
      <c r="AD51" s="13">
        <f t="shared" si="60"/>
        <v>2152939</v>
      </c>
      <c r="AE51" s="13">
        <f>+AE55</f>
        <v>2752019</v>
      </c>
      <c r="AF51" s="13">
        <f>+AF55-AE55</f>
        <v>201566</v>
      </c>
      <c r="AG51" s="13">
        <f>+AG55-AF55</f>
        <v>368674</v>
      </c>
      <c r="AH51" s="13">
        <f t="shared" ref="AH51:AH52" si="61">+AH55-AG55</f>
        <v>-2232565</v>
      </c>
      <c r="AI51" s="13">
        <f>+AI55</f>
        <v>-2243986</v>
      </c>
      <c r="AJ51" s="13">
        <f>+AJ55-AI55</f>
        <v>-317248</v>
      </c>
      <c r="AK51" s="13">
        <f>+AK55-AJ55</f>
        <v>744728</v>
      </c>
      <c r="AL51" s="13">
        <f t="shared" ref="AL51:AL52" si="62">+AL55-AK55</f>
        <v>2742076</v>
      </c>
      <c r="AM51" s="13">
        <f>+AM55</f>
        <v>1716101</v>
      </c>
    </row>
    <row r="52" spans="23:39" x14ac:dyDescent="0.25">
      <c r="W52" s="12" t="s">
        <v>60</v>
      </c>
      <c r="Y52" s="13">
        <f>+Y56-X56</f>
        <v>-14442</v>
      </c>
      <c r="Z52" s="13">
        <f>+Z56-Y56</f>
        <v>-22008</v>
      </c>
      <c r="AA52" s="13">
        <f>+AA56</f>
        <v>-51743</v>
      </c>
      <c r="AB52" s="13">
        <f t="shared" si="60"/>
        <v>-1076</v>
      </c>
      <c r="AC52" s="13">
        <f t="shared" si="60"/>
        <v>-3076</v>
      </c>
      <c r="AD52" s="13">
        <f t="shared" si="60"/>
        <v>-33323</v>
      </c>
      <c r="AE52" s="13">
        <f>+AE56</f>
        <v>-1608</v>
      </c>
      <c r="AF52" s="13">
        <f>+AF56-AE56</f>
        <v>-3389</v>
      </c>
      <c r="AG52" s="13">
        <f>+AG56-AF56</f>
        <v>-1719</v>
      </c>
      <c r="AH52" s="13">
        <f t="shared" si="61"/>
        <v>-100111</v>
      </c>
      <c r="AI52" s="13">
        <f>+AI56</f>
        <v>-5302</v>
      </c>
      <c r="AJ52" s="13">
        <f>+AJ56-AI56</f>
        <v>-42388</v>
      </c>
      <c r="AK52" s="13">
        <f>+AK56-AJ56</f>
        <v>-58609</v>
      </c>
      <c r="AL52" s="13">
        <f t="shared" si="62"/>
        <v>-106140</v>
      </c>
      <c r="AM52" s="13">
        <f>+AM56</f>
        <v>-7921</v>
      </c>
    </row>
    <row r="53" spans="23:39" x14ac:dyDescent="0.25">
      <c r="W53" s="12" t="s">
        <v>68</v>
      </c>
      <c r="Y53" s="13">
        <f t="shared" ref="Y53:AG53" si="63">+Y51+Y52</f>
        <v>1173266</v>
      </c>
      <c r="Z53" s="13">
        <f t="shared" si="63"/>
        <v>478135</v>
      </c>
      <c r="AA53" s="13">
        <f t="shared" si="63"/>
        <v>1126021</v>
      </c>
      <c r="AB53" s="13">
        <f t="shared" si="63"/>
        <v>-480628</v>
      </c>
      <c r="AC53" s="13">
        <f t="shared" si="63"/>
        <v>2423698</v>
      </c>
      <c r="AD53" s="13">
        <f t="shared" si="63"/>
        <v>2119616</v>
      </c>
      <c r="AE53" s="13">
        <f t="shared" si="63"/>
        <v>2750411</v>
      </c>
      <c r="AF53" s="13">
        <f t="shared" si="63"/>
        <v>198177</v>
      </c>
      <c r="AG53" s="13">
        <f t="shared" si="63"/>
        <v>366955</v>
      </c>
      <c r="AH53" s="13">
        <f t="shared" ref="AH53:AK53" si="64">+AH51+AH52</f>
        <v>-2332676</v>
      </c>
      <c r="AI53" s="13">
        <f t="shared" si="64"/>
        <v>-2249288</v>
      </c>
      <c r="AJ53" s="13">
        <f t="shared" si="64"/>
        <v>-359636</v>
      </c>
      <c r="AK53" s="13">
        <f t="shared" si="64"/>
        <v>686119</v>
      </c>
      <c r="AL53" s="13">
        <f t="shared" ref="AL53:AM53" si="65">+AL51+AL52</f>
        <v>2635936</v>
      </c>
      <c r="AM53" s="13">
        <f t="shared" si="65"/>
        <v>1708180</v>
      </c>
    </row>
    <row r="55" spans="23:39" x14ac:dyDescent="0.25">
      <c r="W55" s="12" t="s">
        <v>67</v>
      </c>
      <c r="X55" s="13">
        <v>1524198</v>
      </c>
      <c r="Y55" s="13">
        <v>2711906</v>
      </c>
      <c r="Z55" s="13">
        <v>3212049</v>
      </c>
      <c r="AA55" s="13">
        <v>1177764</v>
      </c>
      <c r="AB55" s="13">
        <v>698212</v>
      </c>
      <c r="AC55" s="13">
        <v>3124986</v>
      </c>
      <c r="AD55" s="13">
        <v>5277925</v>
      </c>
      <c r="AE55" s="13">
        <v>2752019</v>
      </c>
      <c r="AF55" s="13">
        <v>2953585</v>
      </c>
      <c r="AG55" s="13">
        <v>3322259</v>
      </c>
      <c r="AH55" s="13">
        <v>1089694</v>
      </c>
      <c r="AI55" s="13">
        <v>-2243986</v>
      </c>
      <c r="AJ55" s="13">
        <v>-2561234</v>
      </c>
      <c r="AK55" s="13">
        <v>-1816506</v>
      </c>
      <c r="AL55" s="13">
        <v>925570</v>
      </c>
      <c r="AM55" s="13">
        <v>1716101</v>
      </c>
    </row>
    <row r="56" spans="23:39" x14ac:dyDescent="0.25">
      <c r="W56" s="12" t="s">
        <v>60</v>
      </c>
      <c r="X56" s="13">
        <v>-22517</v>
      </c>
      <c r="Y56" s="13">
        <v>-36959</v>
      </c>
      <c r="Z56" s="13">
        <v>-58967</v>
      </c>
      <c r="AA56" s="13">
        <v>-51743</v>
      </c>
      <c r="AB56" s="13">
        <v>-52819</v>
      </c>
      <c r="AC56" s="13">
        <v>-55895</v>
      </c>
      <c r="AD56" s="13">
        <v>-89218</v>
      </c>
      <c r="AE56" s="13">
        <v>-1608</v>
      </c>
      <c r="AF56" s="13">
        <v>-4997</v>
      </c>
      <c r="AG56" s="13">
        <v>-6716</v>
      </c>
      <c r="AH56" s="13">
        <v>-106827</v>
      </c>
      <c r="AI56" s="13">
        <v>-5302</v>
      </c>
      <c r="AJ56" s="13">
        <v>-47690</v>
      </c>
      <c r="AK56" s="13">
        <v>-106299</v>
      </c>
      <c r="AL56" s="13">
        <v>-212439</v>
      </c>
      <c r="AM56" s="13">
        <v>-7921</v>
      </c>
    </row>
    <row r="57" spans="23:39" x14ac:dyDescent="0.25">
      <c r="W57" s="12" t="s">
        <v>68</v>
      </c>
      <c r="X57" s="13">
        <f t="shared" ref="X57:AF57" si="66">+X55+X56</f>
        <v>1501681</v>
      </c>
      <c r="Y57" s="13">
        <f t="shared" si="66"/>
        <v>2674947</v>
      </c>
      <c r="Z57" s="13">
        <f t="shared" si="66"/>
        <v>3153082</v>
      </c>
      <c r="AA57" s="13">
        <f t="shared" si="66"/>
        <v>1126021</v>
      </c>
      <c r="AB57" s="13">
        <f t="shared" si="66"/>
        <v>645393</v>
      </c>
      <c r="AC57" s="13">
        <f t="shared" si="66"/>
        <v>3069091</v>
      </c>
      <c r="AD57" s="13">
        <f t="shared" si="66"/>
        <v>5188707</v>
      </c>
      <c r="AE57" s="13">
        <f t="shared" si="66"/>
        <v>2750411</v>
      </c>
      <c r="AF57" s="13">
        <f t="shared" si="66"/>
        <v>2948588</v>
      </c>
      <c r="AG57" s="13">
        <f>+AG55+AG56</f>
        <v>3315543</v>
      </c>
      <c r="AH57" s="13">
        <f t="shared" ref="AH57:AJ57" si="67">+AH55+AH56</f>
        <v>982867</v>
      </c>
      <c r="AI57" s="13">
        <f t="shared" si="67"/>
        <v>-2249288</v>
      </c>
      <c r="AJ57" s="13">
        <f t="shared" si="67"/>
        <v>-2608924</v>
      </c>
      <c r="AK57" s="13">
        <f>+AK55+AK56</f>
        <v>-1922805</v>
      </c>
      <c r="AL57" s="13">
        <f t="shared" ref="AL57:AM57" si="68">+AL55+AL56</f>
        <v>713131</v>
      </c>
      <c r="AM57" s="13">
        <f t="shared" si="68"/>
        <v>1708180</v>
      </c>
    </row>
    <row r="59" spans="23:39" x14ac:dyDescent="0.25">
      <c r="W59" s="47" t="s">
        <v>164</v>
      </c>
    </row>
    <row r="60" spans="23:39" x14ac:dyDescent="0.25">
      <c r="W60" s="12" t="s">
        <v>165</v>
      </c>
      <c r="X60" s="13">
        <v>5881.5</v>
      </c>
      <c r="Y60" s="13">
        <v>7524.91</v>
      </c>
      <c r="Z60" s="13">
        <v>5484.2400000000016</v>
      </c>
      <c r="AA60" s="13">
        <v>8395.68</v>
      </c>
      <c r="AB60" s="13">
        <v>4638.49</v>
      </c>
      <c r="AC60" s="13">
        <v>8459.7999999999993</v>
      </c>
      <c r="AD60" s="13">
        <v>6833.6699999999983</v>
      </c>
      <c r="AE60" s="13">
        <v>11080.03</v>
      </c>
      <c r="AF60" s="13">
        <v>5052.5</v>
      </c>
      <c r="AG60" s="13">
        <v>4436.05</v>
      </c>
      <c r="AH60" s="13">
        <v>4006.7899999999995</v>
      </c>
      <c r="AI60" s="13">
        <v>5049.34</v>
      </c>
      <c r="AJ60" s="13">
        <v>4400.28</v>
      </c>
      <c r="AK60" s="13">
        <v>5124</v>
      </c>
      <c r="AL60" s="13"/>
      <c r="AM60" s="13"/>
    </row>
    <row r="61" spans="23:39" x14ac:dyDescent="0.25">
      <c r="W61" s="12" t="s">
        <v>40</v>
      </c>
      <c r="X61" s="17"/>
      <c r="Y61" s="17"/>
      <c r="Z61" s="17"/>
      <c r="AA61" s="17"/>
      <c r="AB61" s="18">
        <f t="shared" ref="AB61" si="69">+AB60/X60-1</f>
        <v>-0.21134234463997281</v>
      </c>
      <c r="AC61" s="18">
        <f t="shared" ref="AC61" si="70">+AC60/Y60-1</f>
        <v>0.1242393596734046</v>
      </c>
      <c r="AD61" s="18">
        <f t="shared" ref="AD61" si="71">+AD60/Z60-1</f>
        <v>0.24605597129228407</v>
      </c>
      <c r="AE61" s="18">
        <f t="shared" ref="AE61" si="72">+AE60/AA60-1</f>
        <v>0.3197299087149581</v>
      </c>
      <c r="AF61" s="18">
        <f t="shared" ref="AF61" si="73">+AF60/AB60-1</f>
        <v>8.9255339560934788E-2</v>
      </c>
      <c r="AG61" s="18">
        <f t="shared" ref="AG61" si="74">+AG60/AC60-1</f>
        <v>-0.47563181162675239</v>
      </c>
      <c r="AH61" s="18">
        <f t="shared" ref="AH61" si="75">+AH60/AD60-1</f>
        <v>-0.41366937531370396</v>
      </c>
      <c r="AI61" s="18">
        <f t="shared" ref="AI61" si="76">+AI60/AE60-1</f>
        <v>-0.54428462738819294</v>
      </c>
      <c r="AJ61" s="18">
        <f t="shared" ref="AJ61:AM61" si="77">+AJ60/AF60-1</f>
        <v>-0.1290885700148442</v>
      </c>
      <c r="AK61" s="18">
        <f t="shared" si="77"/>
        <v>0.15508166048624328</v>
      </c>
      <c r="AL61" s="18">
        <f t="shared" si="77"/>
        <v>-1</v>
      </c>
      <c r="AM61" s="18">
        <f t="shared" si="77"/>
        <v>-1</v>
      </c>
    </row>
    <row r="62" spans="23:39" x14ac:dyDescent="0.25">
      <c r="W62" s="12" t="s">
        <v>166</v>
      </c>
      <c r="X62" s="13">
        <v>12615.4</v>
      </c>
      <c r="Y62" s="13">
        <v>18128.560000000001</v>
      </c>
      <c r="Z62" s="13">
        <v>14446.5</v>
      </c>
      <c r="AA62" s="13">
        <v>20248.96</v>
      </c>
      <c r="AB62" s="13">
        <v>13228.94</v>
      </c>
      <c r="AC62" s="13">
        <v>17879.03</v>
      </c>
      <c r="AD62" s="13">
        <v>16660.79</v>
      </c>
      <c r="AE62" s="13">
        <v>20578.64</v>
      </c>
      <c r="AF62" s="13">
        <v>11070.14</v>
      </c>
      <c r="AG62" s="13">
        <v>9489.83</v>
      </c>
      <c r="AH62" s="13">
        <v>9603.85</v>
      </c>
      <c r="AI62" s="13">
        <v>10395.19</v>
      </c>
      <c r="AJ62" s="13">
        <v>9778.35</v>
      </c>
      <c r="AK62" s="13"/>
      <c r="AL62" s="13"/>
      <c r="AM62" s="13"/>
    </row>
    <row r="63" spans="23:39" x14ac:dyDescent="0.25">
      <c r="W63" s="12" t="s">
        <v>40</v>
      </c>
      <c r="X63" s="17"/>
      <c r="Y63" s="17"/>
      <c r="Z63" s="17"/>
      <c r="AA63" s="17"/>
      <c r="AB63" s="18">
        <f t="shared" ref="AB63" si="78">+AB62/X62-1</f>
        <v>4.8634208982672122E-2</v>
      </c>
      <c r="AC63" s="18">
        <f t="shared" ref="AC63" si="79">+AC62/Y62-1</f>
        <v>-1.3764468882250025E-2</v>
      </c>
      <c r="AD63" s="18">
        <f t="shared" ref="AD63" si="80">+AD62/Z62-1</f>
        <v>0.15327518776174176</v>
      </c>
      <c r="AE63" s="18">
        <f t="shared" ref="AE63" si="81">+AE62/AA62-1</f>
        <v>1.6281330004108918E-2</v>
      </c>
      <c r="AF63" s="18">
        <f t="shared" ref="AF63" si="82">+AF62/AB62-1</f>
        <v>-0.16318767792430844</v>
      </c>
      <c r="AG63" s="18">
        <f t="shared" ref="AG63" si="83">+AG62/AC62-1</f>
        <v>-0.46922008632459367</v>
      </c>
      <c r="AH63" s="18">
        <f t="shared" ref="AH63" si="84">+AH62/AD62-1</f>
        <v>-0.42356574928319723</v>
      </c>
      <c r="AI63" s="18">
        <f t="shared" ref="AI63" si="85">+AI62/AE62-1</f>
        <v>-0.49485534515400431</v>
      </c>
      <c r="AJ63" s="18">
        <f t="shared" ref="AJ63:AM63" si="86">+AJ62/AF62-1</f>
        <v>-0.11669138782346011</v>
      </c>
      <c r="AK63" s="18">
        <f t="shared" si="86"/>
        <v>-1</v>
      </c>
      <c r="AL63" s="18">
        <f t="shared" si="86"/>
        <v>-1</v>
      </c>
      <c r="AM63" s="18">
        <f t="shared" si="86"/>
        <v>-1</v>
      </c>
    </row>
    <row r="64" spans="23:39" x14ac:dyDescent="0.25">
      <c r="X64" s="17"/>
      <c r="Y64" s="17"/>
      <c r="Z64" s="17"/>
      <c r="AA64" s="17"/>
      <c r="AB64" s="18"/>
      <c r="AC64" s="18"/>
      <c r="AD64" s="18"/>
      <c r="AE64" s="18"/>
      <c r="AF64" s="18"/>
      <c r="AG64" s="18"/>
      <c r="AH64" s="18"/>
      <c r="AI64" s="18"/>
      <c r="AJ64" s="18"/>
      <c r="AK64" s="18"/>
      <c r="AL64" s="18"/>
      <c r="AM64" s="18"/>
    </row>
    <row r="65" spans="23:39" x14ac:dyDescent="0.25">
      <c r="W65" s="12" t="s">
        <v>167</v>
      </c>
      <c r="X65" s="14">
        <f>+X60/X62</f>
        <v>0.46621589485866483</v>
      </c>
      <c r="Y65" s="14">
        <f t="shared" ref="Y65:AJ65" si="87">+Y60/Y62</f>
        <v>0.41508591967591463</v>
      </c>
      <c r="Z65" s="14">
        <f t="shared" si="87"/>
        <v>0.37962413041221066</v>
      </c>
      <c r="AA65" s="14">
        <f t="shared" si="87"/>
        <v>0.41462277568823291</v>
      </c>
      <c r="AB65" s="14">
        <f t="shared" si="87"/>
        <v>0.350632023427425</v>
      </c>
      <c r="AC65" s="14">
        <f t="shared" si="87"/>
        <v>0.47316884640833423</v>
      </c>
      <c r="AD65" s="14">
        <f t="shared" si="87"/>
        <v>0.41016482411698352</v>
      </c>
      <c r="AE65" s="14">
        <f t="shared" si="87"/>
        <v>0.53842382198240513</v>
      </c>
      <c r="AF65" s="14">
        <f t="shared" si="87"/>
        <v>0.45640795870693596</v>
      </c>
      <c r="AG65" s="14">
        <f t="shared" si="87"/>
        <v>0.46745305237290868</v>
      </c>
      <c r="AH65" s="14">
        <f t="shared" si="87"/>
        <v>0.41720664108664746</v>
      </c>
      <c r="AI65" s="14">
        <f t="shared" si="87"/>
        <v>0.48573811541684181</v>
      </c>
      <c r="AJ65" s="14">
        <f t="shared" si="87"/>
        <v>0.45000230100170269</v>
      </c>
      <c r="AK65" s="14" t="e">
        <f t="shared" ref="AK65:AM65" si="88">+AK60/AK62</f>
        <v>#DIV/0!</v>
      </c>
      <c r="AL65" s="14" t="e">
        <f t="shared" si="88"/>
        <v>#DIV/0!</v>
      </c>
      <c r="AM65" s="14" t="e">
        <f t="shared" si="88"/>
        <v>#DIV/0!</v>
      </c>
    </row>
    <row r="66" spans="23:39" x14ac:dyDescent="0.25">
      <c r="Z66" s="13"/>
      <c r="AA66" s="13"/>
      <c r="AB66" s="13"/>
      <c r="AC66" s="13"/>
      <c r="AD66" s="13"/>
      <c r="AE66" s="13"/>
      <c r="AF66" s="13"/>
      <c r="AG66" s="13"/>
      <c r="AH66" s="13"/>
      <c r="AI66" s="13"/>
      <c r="AJ66" s="13"/>
      <c r="AK66" s="13"/>
      <c r="AL66" s="13"/>
      <c r="AM66" s="13"/>
    </row>
    <row r="67" spans="23:39" x14ac:dyDescent="0.25">
      <c r="X67" s="19"/>
      <c r="Y67" s="19"/>
      <c r="Z67" s="19"/>
      <c r="AA67" s="19"/>
      <c r="AB67" s="19"/>
      <c r="AC67" s="19"/>
      <c r="AD67" s="19"/>
      <c r="AE67" s="19"/>
      <c r="AF67" s="19"/>
      <c r="AG67" s="19"/>
      <c r="AH67" s="19"/>
      <c r="AI67" s="19"/>
      <c r="AJ67" s="19"/>
      <c r="AK67" s="19"/>
      <c r="AL67" s="19"/>
      <c r="AM67" s="19"/>
    </row>
    <row r="68" spans="23:39" x14ac:dyDescent="0.25">
      <c r="Z68" s="13"/>
      <c r="AA68" s="13"/>
      <c r="AB68" s="13"/>
      <c r="AC68" s="13"/>
      <c r="AD68" s="13"/>
      <c r="AE68" s="13"/>
      <c r="AF68" s="13"/>
      <c r="AG68" s="13"/>
      <c r="AH68" s="13"/>
      <c r="AI68" s="13"/>
      <c r="AJ68" s="13"/>
      <c r="AK68" s="13"/>
      <c r="AL68" s="13"/>
      <c r="AM68" s="13"/>
    </row>
    <row r="69" spans="23:39" x14ac:dyDescent="0.25">
      <c r="Z69" s="19"/>
      <c r="AA69" s="19"/>
      <c r="AB69" s="19"/>
      <c r="AC69" s="19"/>
      <c r="AD69" s="19"/>
      <c r="AE69" s="19"/>
      <c r="AF69" s="19"/>
      <c r="AG69" s="19"/>
      <c r="AH69" s="19"/>
      <c r="AI69" s="19"/>
      <c r="AJ69" s="19"/>
      <c r="AK69" s="19"/>
      <c r="AL69" s="19"/>
      <c r="AM69" s="19"/>
    </row>
    <row r="72" spans="23:39" x14ac:dyDescent="0.25">
      <c r="W72" s="47"/>
      <c r="AC72" s="13"/>
      <c r="AG72" s="13"/>
      <c r="AK72" s="13"/>
    </row>
    <row r="73" spans="23:39" x14ac:dyDescent="0.25">
      <c r="Z73" s="13"/>
      <c r="AA73" s="13"/>
      <c r="AB73" s="13"/>
      <c r="AC73" s="13"/>
      <c r="AD73" s="13"/>
      <c r="AE73" s="13"/>
      <c r="AF73" s="13"/>
      <c r="AG73" s="13"/>
      <c r="AH73" s="13"/>
      <c r="AI73" s="13"/>
      <c r="AJ73" s="13"/>
      <c r="AK73" s="13"/>
      <c r="AL73" s="13"/>
      <c r="AM73" s="13"/>
    </row>
    <row r="74" spans="23:39" x14ac:dyDescent="0.25">
      <c r="X74" s="17"/>
      <c r="Y74" s="17"/>
      <c r="Z74" s="17"/>
      <c r="AA74" s="17"/>
      <c r="AB74" s="18"/>
      <c r="AC74" s="18"/>
      <c r="AD74" s="18"/>
      <c r="AE74" s="18"/>
      <c r="AF74" s="18"/>
      <c r="AG74" s="18"/>
      <c r="AH74" s="18"/>
      <c r="AI74" s="18"/>
      <c r="AJ74" s="18"/>
      <c r="AK74" s="18"/>
      <c r="AL74" s="18"/>
      <c r="AM74" s="18"/>
    </row>
    <row r="75" spans="23:39" x14ac:dyDescent="0.25">
      <c r="Y75" s="18"/>
      <c r="Z75" s="18"/>
      <c r="AA75" s="18"/>
      <c r="AB75" s="18"/>
      <c r="AC75" s="18"/>
      <c r="AD75" s="18"/>
      <c r="AE75" s="18"/>
      <c r="AF75" s="18"/>
      <c r="AG75" s="18"/>
      <c r="AH75" s="18"/>
      <c r="AI75" s="18"/>
      <c r="AJ75" s="18"/>
      <c r="AK75" s="18"/>
      <c r="AL75" s="18"/>
      <c r="AM75" s="18"/>
    </row>
    <row r="76" spans="23:39" x14ac:dyDescent="0.25">
      <c r="Z76" s="13"/>
      <c r="AA76" s="13"/>
      <c r="AB76" s="13"/>
      <c r="AC76" s="13"/>
      <c r="AD76" s="13"/>
      <c r="AE76" s="13"/>
      <c r="AF76" s="13"/>
      <c r="AG76" s="13"/>
      <c r="AH76" s="13"/>
      <c r="AI76" s="13"/>
      <c r="AJ76" s="13"/>
      <c r="AK76" s="13"/>
      <c r="AL76" s="13"/>
      <c r="AM76" s="13"/>
    </row>
    <row r="77" spans="23:39" x14ac:dyDescent="0.25">
      <c r="X77" s="19"/>
      <c r="Y77" s="19"/>
      <c r="Z77" s="19"/>
      <c r="AA77" s="19"/>
      <c r="AB77" s="19"/>
      <c r="AC77" s="19"/>
      <c r="AD77" s="19"/>
      <c r="AE77" s="19"/>
      <c r="AF77" s="19"/>
      <c r="AG77" s="19"/>
      <c r="AH77" s="19"/>
      <c r="AI77" s="19"/>
      <c r="AJ77" s="19"/>
      <c r="AK77" s="19"/>
      <c r="AL77" s="19"/>
      <c r="AM77" s="19"/>
    </row>
    <row r="78" spans="23:39" x14ac:dyDescent="0.25">
      <c r="Z78" s="13"/>
      <c r="AA78" s="13"/>
      <c r="AB78" s="13"/>
      <c r="AC78" s="13"/>
      <c r="AD78" s="13"/>
      <c r="AE78" s="13"/>
      <c r="AF78" s="13"/>
      <c r="AG78" s="13"/>
      <c r="AH78" s="13"/>
      <c r="AI78" s="13"/>
      <c r="AJ78" s="13"/>
      <c r="AK78" s="13"/>
      <c r="AL78" s="13"/>
      <c r="AM78" s="13"/>
    </row>
    <row r="79" spans="23:39" x14ac:dyDescent="0.25">
      <c r="Z79" s="19"/>
      <c r="AA79" s="19"/>
      <c r="AB79" s="19"/>
      <c r="AC79" s="19"/>
      <c r="AD79" s="19"/>
      <c r="AE79" s="19"/>
      <c r="AF79" s="19"/>
      <c r="AG79" s="19"/>
      <c r="AH79" s="19"/>
      <c r="AI79" s="19"/>
      <c r="AJ79" s="19"/>
      <c r="AK79" s="19"/>
      <c r="AL79" s="19"/>
      <c r="AM79" s="19"/>
    </row>
    <row r="82" spans="23:39" x14ac:dyDescent="0.25">
      <c r="W82" s="47"/>
      <c r="AC82" s="13"/>
      <c r="AG82" s="13"/>
      <c r="AK82" s="13"/>
    </row>
    <row r="83" spans="23:39" x14ac:dyDescent="0.25">
      <c r="Z83" s="13"/>
      <c r="AA83" s="13"/>
      <c r="AB83" s="13"/>
      <c r="AC83" s="13"/>
      <c r="AD83" s="13"/>
      <c r="AE83" s="13"/>
      <c r="AF83" s="13"/>
      <c r="AG83" s="13"/>
      <c r="AH83" s="13"/>
      <c r="AI83" s="13"/>
      <c r="AJ83" s="13"/>
      <c r="AK83" s="13"/>
      <c r="AL83" s="13"/>
      <c r="AM83" s="13"/>
    </row>
    <row r="84" spans="23:39" x14ac:dyDescent="0.25">
      <c r="X84" s="17"/>
      <c r="Y84" s="17"/>
      <c r="Z84" s="17"/>
      <c r="AA84" s="17"/>
      <c r="AB84" s="18"/>
      <c r="AC84" s="18"/>
      <c r="AD84" s="18"/>
      <c r="AE84" s="18"/>
      <c r="AF84" s="18"/>
      <c r="AG84" s="18"/>
      <c r="AH84" s="18"/>
      <c r="AI84" s="18"/>
      <c r="AJ84" s="18"/>
      <c r="AK84" s="18"/>
      <c r="AL84" s="18"/>
      <c r="AM84" s="18"/>
    </row>
    <row r="85" spans="23:39" x14ac:dyDescent="0.25">
      <c r="Y85" s="18"/>
      <c r="Z85" s="18"/>
      <c r="AA85" s="18"/>
      <c r="AB85" s="18"/>
      <c r="AC85" s="18"/>
      <c r="AD85" s="18"/>
      <c r="AE85" s="18"/>
      <c r="AF85" s="18"/>
      <c r="AG85" s="18"/>
      <c r="AH85" s="18"/>
      <c r="AI85" s="18"/>
      <c r="AJ85" s="18"/>
      <c r="AK85" s="18"/>
      <c r="AL85" s="18"/>
      <c r="AM85" s="18"/>
    </row>
    <row r="86" spans="23:39" x14ac:dyDescent="0.25">
      <c r="Z86" s="13"/>
      <c r="AA86" s="13"/>
      <c r="AB86" s="13"/>
      <c r="AC86" s="13"/>
      <c r="AD86" s="13"/>
      <c r="AE86" s="13"/>
      <c r="AF86" s="13"/>
      <c r="AG86" s="13"/>
      <c r="AH86" s="13"/>
      <c r="AI86" s="13"/>
      <c r="AJ86" s="13"/>
      <c r="AK86" s="13"/>
      <c r="AL86" s="13"/>
      <c r="AM86" s="13"/>
    </row>
    <row r="87" spans="23:39" x14ac:dyDescent="0.25">
      <c r="X87" s="19"/>
      <c r="Y87" s="19"/>
      <c r="Z87" s="19"/>
      <c r="AA87" s="19"/>
      <c r="AB87" s="19"/>
      <c r="AC87" s="19"/>
      <c r="AD87" s="19"/>
      <c r="AE87" s="19"/>
      <c r="AF87" s="19"/>
      <c r="AG87" s="19"/>
      <c r="AH87" s="19"/>
      <c r="AI87" s="19"/>
      <c r="AJ87" s="19"/>
      <c r="AK87" s="19"/>
      <c r="AL87" s="19"/>
      <c r="AM87" s="19"/>
    </row>
    <row r="88" spans="23:39" x14ac:dyDescent="0.25">
      <c r="Z88" s="13"/>
      <c r="AA88" s="13"/>
      <c r="AB88" s="13"/>
      <c r="AC88" s="13"/>
      <c r="AD88" s="13"/>
      <c r="AE88" s="13"/>
      <c r="AF88" s="13"/>
      <c r="AG88" s="13"/>
      <c r="AH88" s="13"/>
      <c r="AI88" s="13"/>
      <c r="AJ88" s="13"/>
      <c r="AK88" s="13"/>
      <c r="AL88" s="13"/>
      <c r="AM88" s="13"/>
    </row>
    <row r="89" spans="23:39" x14ac:dyDescent="0.25">
      <c r="Z89" s="19"/>
      <c r="AA89" s="19"/>
      <c r="AB89" s="19"/>
      <c r="AC89" s="19"/>
      <c r="AD89" s="19"/>
      <c r="AE89" s="19"/>
      <c r="AF89" s="19"/>
      <c r="AG89" s="19"/>
      <c r="AH89" s="19"/>
      <c r="AI89" s="19"/>
      <c r="AJ89" s="19"/>
      <c r="AK89" s="19"/>
      <c r="AL89" s="19"/>
      <c r="AM89" s="19"/>
    </row>
  </sheetData>
  <mergeCells count="4">
    <mergeCell ref="B13:H13"/>
    <mergeCell ref="AQ2:AU2"/>
    <mergeCell ref="AV2:AZ2"/>
    <mergeCell ref="BA2:BE2"/>
  </mergeCells>
  <phoneticPr fontId="18" type="noConversion"/>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32E87-0297-4CE3-937E-BD844893819F}">
  <sheetPr codeName="Sheet17">
    <tabColor rgb="FF92D050"/>
  </sheetPr>
  <dimension ref="A1:BE79"/>
  <sheetViews>
    <sheetView topLeftCell="AJ1" zoomScale="85" zoomScaleNormal="85" workbookViewId="0">
      <selection activeCell="AM61" sqref="AM61"/>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40" width="12" style="12" customWidth="1"/>
    <col min="41" max="41" width="8.85546875" style="12"/>
    <col min="42" max="42" width="14.28515625" style="12" bestFit="1" customWidth="1"/>
    <col min="43" max="54" width="8.85546875" style="12"/>
    <col min="55" max="16384" width="8.85546875" style="50"/>
  </cols>
  <sheetData>
    <row r="1" spans="1:57" ht="15.75" thickBot="1" x14ac:dyDescent="0.3">
      <c r="W1" s="20" t="s">
        <v>194</v>
      </c>
      <c r="X1" s="59">
        <f>+'Valuation Sheet'!C18</f>
        <v>114.5</v>
      </c>
    </row>
    <row r="2" spans="1:57"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168</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c r="AL2" s="11" t="s">
        <v>1018</v>
      </c>
      <c r="AM2" s="11" t="s">
        <v>1074</v>
      </c>
      <c r="AP2" s="71" t="str">
        <f>+W2</f>
        <v>LIOC</v>
      </c>
      <c r="AQ2" s="189" t="s">
        <v>190</v>
      </c>
      <c r="AR2" s="190"/>
      <c r="AS2" s="190"/>
      <c r="AT2" s="190"/>
      <c r="AU2" s="191"/>
      <c r="AV2" s="192" t="s">
        <v>191</v>
      </c>
      <c r="AW2" s="192"/>
      <c r="AX2" s="192"/>
      <c r="AY2" s="192"/>
      <c r="AZ2" s="192"/>
      <c r="BA2" s="192" t="s">
        <v>991</v>
      </c>
      <c r="BB2" s="192"/>
      <c r="BC2" s="192"/>
      <c r="BD2" s="192"/>
      <c r="BE2" s="192"/>
    </row>
    <row r="3" spans="1:57" ht="18" thickTop="1" thickBot="1" x14ac:dyDescent="0.4">
      <c r="B3" s="25" t="s">
        <v>10</v>
      </c>
      <c r="C3" s="26">
        <v>17820.179</v>
      </c>
      <c r="D3" s="26"/>
      <c r="E3" s="26"/>
      <c r="F3" s="26"/>
      <c r="G3" s="26"/>
      <c r="H3" s="26"/>
      <c r="I3" s="27"/>
      <c r="J3" s="21"/>
      <c r="M3" s="1" t="s">
        <v>11</v>
      </c>
      <c r="N3" s="2">
        <f>'[1]LT Portfolio'!W294</f>
        <v>0</v>
      </c>
      <c r="W3" s="12" t="s">
        <v>62</v>
      </c>
      <c r="X3" s="13">
        <v>18740295</v>
      </c>
      <c r="Y3" s="13">
        <v>16594098</v>
      </c>
      <c r="Z3" s="13">
        <v>20661954</v>
      </c>
      <c r="AA3" s="13">
        <v>16863186</v>
      </c>
      <c r="AB3" s="13">
        <v>20607176</v>
      </c>
      <c r="AC3" s="13">
        <v>22993240</v>
      </c>
      <c r="AD3" s="13">
        <v>29487621</v>
      </c>
      <c r="AE3" s="13">
        <v>49933631</v>
      </c>
      <c r="AF3" s="13">
        <v>87960497</v>
      </c>
      <c r="AG3" s="13">
        <v>74872180</v>
      </c>
      <c r="AH3" s="13">
        <v>68721293</v>
      </c>
      <c r="AI3" s="13">
        <v>54746478</v>
      </c>
      <c r="AJ3" s="13">
        <v>61699583</v>
      </c>
      <c r="AK3" s="13">
        <v>72021281</v>
      </c>
      <c r="AL3" s="13">
        <v>75101379</v>
      </c>
      <c r="AM3" s="13">
        <v>73210011</v>
      </c>
      <c r="AP3" s="69"/>
      <c r="AQ3" s="66" t="s">
        <v>78</v>
      </c>
      <c r="AR3" s="67" t="s">
        <v>17</v>
      </c>
      <c r="AS3" s="67" t="s">
        <v>184</v>
      </c>
      <c r="AT3" s="67" t="s">
        <v>29</v>
      </c>
      <c r="AU3" s="68" t="s">
        <v>30</v>
      </c>
      <c r="AV3" s="66" t="s">
        <v>78</v>
      </c>
      <c r="AW3" s="67" t="s">
        <v>17</v>
      </c>
      <c r="AX3" s="67" t="s">
        <v>184</v>
      </c>
      <c r="AY3" s="67" t="s">
        <v>29</v>
      </c>
      <c r="AZ3" s="68" t="s">
        <v>30</v>
      </c>
      <c r="BA3" s="66" t="s">
        <v>78</v>
      </c>
      <c r="BB3" s="67" t="s">
        <v>17</v>
      </c>
      <c r="BC3" s="67" t="s">
        <v>184</v>
      </c>
      <c r="BD3" s="67" t="s">
        <v>29</v>
      </c>
      <c r="BE3" s="68" t="s">
        <v>30</v>
      </c>
    </row>
    <row r="4" spans="1:57"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f t="shared" ref="AB4:AM4" si="1">+AB3/X3-1</f>
        <v>9.9618549227747044E-2</v>
      </c>
      <c r="AC4" s="18">
        <f t="shared" si="1"/>
        <v>0.38562758879693249</v>
      </c>
      <c r="AD4" s="18">
        <f t="shared" si="1"/>
        <v>0.42714580624852805</v>
      </c>
      <c r="AE4" s="18">
        <f t="shared" si="1"/>
        <v>1.9611030205086988</v>
      </c>
      <c r="AF4" s="18">
        <f t="shared" si="1"/>
        <v>3.2684401297877983</v>
      </c>
      <c r="AG4" s="18">
        <f t="shared" si="1"/>
        <v>2.2562692339139678</v>
      </c>
      <c r="AH4" s="18">
        <f t="shared" si="1"/>
        <v>1.3305133025142992</v>
      </c>
      <c r="AI4" s="18">
        <f t="shared" si="1"/>
        <v>9.6384879361166353E-2</v>
      </c>
      <c r="AJ4" s="18">
        <f t="shared" si="1"/>
        <v>-0.29855349725911617</v>
      </c>
      <c r="AK4" s="18">
        <f t="shared" si="1"/>
        <v>-3.8076879823720877E-2</v>
      </c>
      <c r="AL4" s="18">
        <f t="shared" si="1"/>
        <v>9.2840016848926288E-2</v>
      </c>
      <c r="AM4" s="18">
        <f t="shared" si="1"/>
        <v>0.33725517466164678</v>
      </c>
      <c r="AN4" s="46"/>
      <c r="AP4" s="69" t="s">
        <v>185</v>
      </c>
      <c r="AQ4" s="60">
        <v>224657</v>
      </c>
      <c r="AR4" s="61"/>
      <c r="AS4" s="61">
        <v>13809</v>
      </c>
      <c r="AT4" s="74">
        <v>25.9</v>
      </c>
      <c r="AU4" s="64">
        <v>6</v>
      </c>
      <c r="AV4" s="60">
        <v>266090</v>
      </c>
      <c r="AW4" s="61"/>
      <c r="AX4" s="61">
        <v>17176</v>
      </c>
      <c r="AY4" s="58">
        <v>32.299999999999997</v>
      </c>
      <c r="AZ4" s="64">
        <v>4</v>
      </c>
      <c r="BA4" s="60">
        <v>264422</v>
      </c>
      <c r="BB4" s="61"/>
      <c r="BC4" s="61">
        <v>17253</v>
      </c>
      <c r="BD4" s="58">
        <v>32.4</v>
      </c>
      <c r="BE4" s="64">
        <v>4</v>
      </c>
    </row>
    <row r="5" spans="1:57" ht="18" thickTop="1" thickBot="1" x14ac:dyDescent="0.4">
      <c r="B5" s="32" t="s">
        <v>13</v>
      </c>
      <c r="C5" s="29">
        <v>2994.8620000000001</v>
      </c>
      <c r="D5" s="26"/>
      <c r="E5" s="26"/>
      <c r="F5" s="26"/>
      <c r="G5" s="26"/>
      <c r="H5" s="26"/>
      <c r="I5" s="27"/>
      <c r="J5" s="21"/>
      <c r="M5" s="1" t="s">
        <v>14</v>
      </c>
      <c r="N5" s="3">
        <f>202.575/415.481776</f>
        <v>0.48756651122045841</v>
      </c>
      <c r="W5" s="12" t="s">
        <v>41</v>
      </c>
      <c r="Y5" s="18">
        <f t="shared" ref="Y5:AM5" si="2">+Y3/X3-1</f>
        <v>-0.11452311716544483</v>
      </c>
      <c r="Z5" s="18">
        <f t="shared" si="2"/>
        <v>0.24513872341841059</v>
      </c>
      <c r="AA5" s="18">
        <f t="shared" si="2"/>
        <v>-0.1838532793171449</v>
      </c>
      <c r="AB5" s="18">
        <f t="shared" si="2"/>
        <v>0.22202150886552507</v>
      </c>
      <c r="AC5" s="18">
        <f t="shared" si="2"/>
        <v>0.11578801481580969</v>
      </c>
      <c r="AD5" s="18">
        <f t="shared" si="2"/>
        <v>0.28244740628115039</v>
      </c>
      <c r="AE5" s="18">
        <f t="shared" si="2"/>
        <v>0.69337604413730092</v>
      </c>
      <c r="AF5" s="18">
        <f t="shared" si="2"/>
        <v>0.76154818382824985</v>
      </c>
      <c r="AG5" s="18">
        <f t="shared" si="2"/>
        <v>-0.14879766993585763</v>
      </c>
      <c r="AH5" s="18">
        <f t="shared" si="2"/>
        <v>-8.2151835301175979E-2</v>
      </c>
      <c r="AI5" s="18">
        <f t="shared" si="2"/>
        <v>-0.20335494851646641</v>
      </c>
      <c r="AJ5" s="18">
        <f t="shared" si="2"/>
        <v>0.12700552170680268</v>
      </c>
      <c r="AK5" s="18">
        <f t="shared" si="2"/>
        <v>0.16728959091992568</v>
      </c>
      <c r="AL5" s="18">
        <f t="shared" si="2"/>
        <v>4.2766498418710386E-2</v>
      </c>
      <c r="AM5" s="18">
        <f t="shared" si="2"/>
        <v>-2.5184198015858028E-2</v>
      </c>
      <c r="AP5" s="69" t="s">
        <v>186</v>
      </c>
      <c r="AQ5" s="60">
        <v>273110</v>
      </c>
      <c r="AR5" s="61">
        <v>22093</v>
      </c>
      <c r="AS5" s="61">
        <v>20213</v>
      </c>
      <c r="AT5" s="58">
        <v>38</v>
      </c>
      <c r="AU5" s="64">
        <v>11.39</v>
      </c>
      <c r="AV5" s="60">
        <v>302759</v>
      </c>
      <c r="AW5" s="61">
        <v>18340</v>
      </c>
      <c r="AX5" s="61">
        <v>17612</v>
      </c>
      <c r="AY5" s="58">
        <v>33.1</v>
      </c>
      <c r="AZ5" s="64">
        <v>9.92</v>
      </c>
      <c r="BA5" s="60"/>
      <c r="BB5" s="61"/>
      <c r="BC5" s="61"/>
      <c r="BD5" s="58"/>
      <c r="BE5" s="64"/>
    </row>
    <row r="6" spans="1:57"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P6" s="69" t="s">
        <v>187</v>
      </c>
      <c r="AQ6" s="60">
        <v>248375</v>
      </c>
      <c r="AR6" s="61">
        <v>17386</v>
      </c>
      <c r="AS6" s="61">
        <v>16501</v>
      </c>
      <c r="AT6" s="58">
        <v>30.99</v>
      </c>
      <c r="AU6" s="64">
        <v>7.75</v>
      </c>
      <c r="AV6" s="60">
        <v>275867</v>
      </c>
      <c r="AW6" s="61">
        <v>19311</v>
      </c>
      <c r="AX6" s="61">
        <v>18950</v>
      </c>
      <c r="AY6" s="58">
        <v>35.590000000000003</v>
      </c>
      <c r="AZ6" s="64">
        <v>8.9</v>
      </c>
      <c r="BA6" s="60"/>
      <c r="BB6" s="61"/>
      <c r="BC6" s="61"/>
      <c r="BD6" s="58"/>
      <c r="BE6" s="64"/>
    </row>
    <row r="7" spans="1:57"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K7" s="13"/>
      <c r="AL7" s="13"/>
      <c r="AM7" s="13"/>
      <c r="AP7" s="69" t="s">
        <v>188</v>
      </c>
      <c r="AQ7" s="60">
        <v>317685</v>
      </c>
      <c r="AR7" s="61">
        <v>38554</v>
      </c>
      <c r="AS7" s="61">
        <v>26757</v>
      </c>
      <c r="AT7" s="74">
        <v>50.3</v>
      </c>
      <c r="AU7" s="64">
        <v>10</v>
      </c>
      <c r="AV7" s="60">
        <v>372742</v>
      </c>
      <c r="AW7" s="61">
        <v>42651</v>
      </c>
      <c r="AX7" s="61">
        <v>30077</v>
      </c>
      <c r="AY7" s="58">
        <v>56.5</v>
      </c>
      <c r="AZ7" s="64">
        <v>14</v>
      </c>
      <c r="BA7" s="60"/>
      <c r="BB7" s="61"/>
      <c r="BC7" s="61"/>
      <c r="BD7" s="58"/>
      <c r="BE7" s="64"/>
    </row>
    <row r="8" spans="1:57"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M8" si="5">+AB7/X7-1</f>
        <v>#DIV/0!</v>
      </c>
      <c r="AC8" s="18" t="e">
        <f t="shared" si="5"/>
        <v>#DIV/0!</v>
      </c>
      <c r="AD8" s="18" t="e">
        <f t="shared" si="5"/>
        <v>#DIV/0!</v>
      </c>
      <c r="AE8" s="18" t="e">
        <f t="shared" si="5"/>
        <v>#DIV/0!</v>
      </c>
      <c r="AF8" s="18" t="e">
        <f t="shared" si="5"/>
        <v>#DIV/0!</v>
      </c>
      <c r="AG8" s="18" t="e">
        <f t="shared" si="5"/>
        <v>#DIV/0!</v>
      </c>
      <c r="AH8" s="18" t="e">
        <f t="shared" si="5"/>
        <v>#DIV/0!</v>
      </c>
      <c r="AI8" s="18" t="e">
        <f t="shared" si="5"/>
        <v>#DIV/0!</v>
      </c>
      <c r="AJ8" s="18" t="e">
        <f t="shared" si="5"/>
        <v>#DIV/0!</v>
      </c>
      <c r="AK8" s="18" t="e">
        <f t="shared" si="5"/>
        <v>#DIV/0!</v>
      </c>
      <c r="AL8" s="18" t="e">
        <f t="shared" si="5"/>
        <v>#DIV/0!</v>
      </c>
      <c r="AM8" s="18" t="e">
        <f t="shared" si="5"/>
        <v>#DIV/0!</v>
      </c>
      <c r="AP8" s="69" t="s">
        <v>189</v>
      </c>
      <c r="AQ8" s="60"/>
      <c r="AR8" s="61"/>
      <c r="AS8" s="61"/>
      <c r="AT8" s="74"/>
      <c r="AU8" s="64"/>
      <c r="AV8" s="60"/>
      <c r="AW8" s="61"/>
      <c r="AX8" s="61"/>
      <c r="AY8" s="58"/>
      <c r="AZ8" s="64"/>
      <c r="BA8" s="60"/>
      <c r="BB8" s="61"/>
      <c r="BC8" s="61"/>
      <c r="BD8" s="58"/>
      <c r="BE8" s="64"/>
    </row>
    <row r="9" spans="1:57"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M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8" t="e">
        <f t="shared" si="6"/>
        <v>#DIV/0!</v>
      </c>
      <c r="AJ9" s="18" t="e">
        <f t="shared" si="6"/>
        <v>#DIV/0!</v>
      </c>
      <c r="AK9" s="18" t="e">
        <f t="shared" si="6"/>
        <v>#DIV/0!</v>
      </c>
      <c r="AL9" s="18" t="e">
        <f t="shared" si="6"/>
        <v>#DIV/0!</v>
      </c>
      <c r="AM9" s="18" t="e">
        <f t="shared" si="6"/>
        <v>#DIV/0!</v>
      </c>
      <c r="AP9" s="70" t="s">
        <v>192</v>
      </c>
      <c r="AQ9" s="62">
        <f>+AVERAGE(AQ4:AQ8)</f>
        <v>265956.75</v>
      </c>
      <c r="AR9" s="63">
        <f t="shared" ref="AR9:AZ9" si="7">+AVERAGE(AR4:AR8)</f>
        <v>26011</v>
      </c>
      <c r="AS9" s="63">
        <f t="shared" si="7"/>
        <v>19320</v>
      </c>
      <c r="AT9" s="72">
        <f t="shared" si="7"/>
        <v>36.297499999999999</v>
      </c>
      <c r="AU9" s="65">
        <f t="shared" si="7"/>
        <v>8.7850000000000001</v>
      </c>
      <c r="AV9" s="62">
        <f t="shared" si="7"/>
        <v>304364.5</v>
      </c>
      <c r="AW9" s="63">
        <f t="shared" si="7"/>
        <v>26767.333333333332</v>
      </c>
      <c r="AX9" s="63">
        <f t="shared" si="7"/>
        <v>20953.75</v>
      </c>
      <c r="AY9" s="72">
        <f t="shared" si="7"/>
        <v>39.372500000000002</v>
      </c>
      <c r="AZ9" s="65">
        <f t="shared" si="7"/>
        <v>9.2050000000000001</v>
      </c>
      <c r="BA9" s="62">
        <f t="shared" ref="BA9:BE9" si="8">+AVERAGE(BA4:BA8)</f>
        <v>264422</v>
      </c>
      <c r="BB9" s="63" t="e">
        <f t="shared" si="8"/>
        <v>#DIV/0!</v>
      </c>
      <c r="BC9" s="63">
        <f t="shared" si="8"/>
        <v>17253</v>
      </c>
      <c r="BD9" s="72">
        <f t="shared" si="8"/>
        <v>32.4</v>
      </c>
      <c r="BE9" s="65">
        <f t="shared" si="8"/>
        <v>4</v>
      </c>
    </row>
    <row r="10" spans="1:57"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U10" s="99" t="s">
        <v>34</v>
      </c>
      <c r="AZ10" s="99" t="s">
        <v>34</v>
      </c>
      <c r="BC10" s="12"/>
      <c r="BD10" s="12"/>
      <c r="BE10" s="99" t="s">
        <v>34</v>
      </c>
    </row>
    <row r="11" spans="1:57" ht="18" thickTop="1" thickBot="1" x14ac:dyDescent="0.4">
      <c r="B11" s="28" t="s">
        <v>25</v>
      </c>
      <c r="C11" s="30">
        <f t="shared" ref="C11:G11" si="9">C10/C$3*100</f>
        <v>12.180949473066461</v>
      </c>
      <c r="D11" s="30" t="e">
        <f t="shared" si="9"/>
        <v>#DIV/0!</v>
      </c>
      <c r="E11" s="30" t="e">
        <f t="shared" si="9"/>
        <v>#DIV/0!</v>
      </c>
      <c r="F11" s="30" t="e">
        <f t="shared" si="9"/>
        <v>#DIV/0!</v>
      </c>
      <c r="G11" s="30" t="e">
        <f t="shared" si="9"/>
        <v>#DIV/0!</v>
      </c>
      <c r="H11" s="30" t="e">
        <f>H10/H$3*100</f>
        <v>#DIV/0!</v>
      </c>
      <c r="I11" s="31" t="e">
        <f>I10/I$3*100</f>
        <v>#DIV/0!</v>
      </c>
      <c r="J11" s="23" t="e">
        <f>AVERAGE(D11:I11)</f>
        <v>#DIV/0!</v>
      </c>
      <c r="M11" s="1" t="s">
        <v>26</v>
      </c>
      <c r="N11" s="3">
        <f>'[1]LT Portfolio'!T294</f>
        <v>0</v>
      </c>
      <c r="O11" s="4" t="e">
        <f>N11/N7-1</f>
        <v>#DIV/0!</v>
      </c>
      <c r="W11" s="12" t="s">
        <v>42</v>
      </c>
      <c r="X11" s="13">
        <v>576007</v>
      </c>
      <c r="Y11" s="13">
        <v>1398245</v>
      </c>
      <c r="Z11" s="13">
        <v>1718901</v>
      </c>
      <c r="AA11" s="13">
        <v>860001</v>
      </c>
      <c r="AB11" s="13">
        <v>1079656</v>
      </c>
      <c r="AC11" s="13">
        <v>1891641</v>
      </c>
      <c r="AD11" s="13">
        <v>5013280</v>
      </c>
      <c r="AE11" s="13">
        <v>15490458</v>
      </c>
      <c r="AF11" s="13">
        <v>16293018</v>
      </c>
      <c r="AG11" s="13">
        <v>12013165</v>
      </c>
      <c r="AH11" s="13">
        <v>10385416</v>
      </c>
      <c r="AI11" s="13">
        <v>5464946</v>
      </c>
      <c r="AJ11" s="13">
        <v>7792713</v>
      </c>
      <c r="AK11" s="13">
        <v>5009027</v>
      </c>
      <c r="AL11" s="13">
        <v>5751595</v>
      </c>
      <c r="AM11" s="13">
        <v>6257561</v>
      </c>
      <c r="AP11" s="12" t="s">
        <v>193</v>
      </c>
      <c r="AT11" s="58">
        <f>+$X$1/AT9</f>
        <v>3.1544872236379917</v>
      </c>
      <c r="AU11" s="75">
        <f>+AU9/$X$1</f>
        <v>7.6724890829694331E-2</v>
      </c>
      <c r="AY11" s="58">
        <f>+$X$1/AY9</f>
        <v>2.908121150549241</v>
      </c>
      <c r="AZ11" s="75">
        <f>+AZ9/$X$1</f>
        <v>8.0393013100436686E-2</v>
      </c>
      <c r="BC11" s="12"/>
      <c r="BD11" s="58">
        <f>+$X$1/BD9</f>
        <v>3.533950617283951</v>
      </c>
      <c r="BE11" s="75">
        <f>+BE9/$X$1</f>
        <v>3.4934497816593885E-2</v>
      </c>
    </row>
    <row r="12" spans="1:57" ht="18" thickTop="1" thickBot="1" x14ac:dyDescent="0.4">
      <c r="B12" s="28" t="s">
        <v>27</v>
      </c>
      <c r="C12" s="29"/>
      <c r="D12" s="30">
        <f t="shared" ref="D12:I12" si="10">(D10/C10-1)*100</f>
        <v>-100</v>
      </c>
      <c r="E12" s="30" t="e">
        <f t="shared" si="10"/>
        <v>#DIV/0!</v>
      </c>
      <c r="F12" s="30" t="e">
        <f t="shared" si="10"/>
        <v>#DIV/0!</v>
      </c>
      <c r="G12" s="30" t="e">
        <f t="shared" si="10"/>
        <v>#DIV/0!</v>
      </c>
      <c r="H12" s="30" t="e">
        <f t="shared" si="10"/>
        <v>#DIV/0!</v>
      </c>
      <c r="I12" s="31" t="e">
        <f t="shared" si="10"/>
        <v>#DIV/0!</v>
      </c>
      <c r="J12" s="23" t="e">
        <f>AVERAGE(D12:I12)</f>
        <v>#DIV/0!</v>
      </c>
      <c r="S12" t="s">
        <v>20</v>
      </c>
      <c r="T12" t="s">
        <v>22</v>
      </c>
      <c r="W12" s="12" t="s">
        <v>43</v>
      </c>
      <c r="X12" s="19">
        <f t="shared" ref="X12:AI12" si="11">+X11/X3</f>
        <v>3.0736282433120717E-2</v>
      </c>
      <c r="Y12" s="19">
        <f t="shared" si="11"/>
        <v>8.4261585052709698E-2</v>
      </c>
      <c r="Z12" s="19">
        <f t="shared" si="11"/>
        <v>8.3191599400521357E-2</v>
      </c>
      <c r="AA12" s="19">
        <f t="shared" si="11"/>
        <v>5.0998725863546784E-2</v>
      </c>
      <c r="AB12" s="19">
        <f t="shared" si="11"/>
        <v>5.2392234627393876E-2</v>
      </c>
      <c r="AC12" s="19">
        <f t="shared" si="11"/>
        <v>8.2269440931334606E-2</v>
      </c>
      <c r="AD12" s="19">
        <f t="shared" si="11"/>
        <v>0.17001303699610085</v>
      </c>
      <c r="AE12" s="19">
        <f t="shared" si="11"/>
        <v>0.31022094107276116</v>
      </c>
      <c r="AF12" s="19">
        <f t="shared" si="11"/>
        <v>0.18523108162974569</v>
      </c>
      <c r="AG12" s="19">
        <f t="shared" si="11"/>
        <v>0.16044898118366527</v>
      </c>
      <c r="AH12" s="19">
        <f t="shared" si="11"/>
        <v>0.15112369902586087</v>
      </c>
      <c r="AI12" s="19">
        <f t="shared" si="11"/>
        <v>9.9822786773607605E-2</v>
      </c>
      <c r="AJ12" s="19">
        <f t="shared" ref="AJ12:AM12" si="12">+AJ11/AJ3</f>
        <v>0.12630090222813986</v>
      </c>
      <c r="AK12" s="19">
        <f t="shared" si="12"/>
        <v>6.9549262807474921E-2</v>
      </c>
      <c r="AL12" s="19">
        <f t="shared" si="12"/>
        <v>7.6584412651064637E-2</v>
      </c>
      <c r="AM12" s="19">
        <f t="shared" si="12"/>
        <v>8.5474116374603462E-2</v>
      </c>
    </row>
    <row r="13" spans="1:57"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row>
    <row r="14" spans="1:57"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v>-146194</v>
      </c>
      <c r="Y14" s="13">
        <v>626526</v>
      </c>
      <c r="Z14" s="13">
        <v>896848</v>
      </c>
      <c r="AA14" s="13">
        <v>78179</v>
      </c>
      <c r="AB14" s="13">
        <v>268271</v>
      </c>
      <c r="AC14" s="13">
        <v>980448</v>
      </c>
      <c r="AD14" s="13">
        <v>4082781</v>
      </c>
      <c r="AE14" s="13">
        <v>13252366</v>
      </c>
      <c r="AF14" s="13">
        <v>14193993</v>
      </c>
      <c r="AG14" s="13">
        <v>9163188</v>
      </c>
      <c r="AH14" s="13">
        <v>7567496</v>
      </c>
      <c r="AI14" s="13">
        <v>2620760</v>
      </c>
      <c r="AJ14" s="13">
        <v>5214828</v>
      </c>
      <c r="AK14" s="13">
        <v>2268341</v>
      </c>
      <c r="AL14" s="13">
        <v>2705031</v>
      </c>
      <c r="AM14" s="13">
        <v>3435590</v>
      </c>
    </row>
    <row r="15" spans="1:57" ht="18" thickTop="1" thickBot="1" x14ac:dyDescent="0.4">
      <c r="B15" s="32" t="s">
        <v>30</v>
      </c>
      <c r="C15" s="34">
        <f>1+0.6</f>
        <v>1.6</v>
      </c>
      <c r="D15" s="34"/>
      <c r="E15" s="34"/>
      <c r="F15" s="34"/>
      <c r="G15" s="34"/>
      <c r="H15" s="34"/>
      <c r="I15" s="35"/>
      <c r="J15" s="24"/>
      <c r="R15" s="6"/>
      <c r="S15" s="6"/>
      <c r="W15" s="12" t="s">
        <v>55</v>
      </c>
      <c r="X15" s="19">
        <f t="shared" ref="X15:AI15" si="13">+X14/X3</f>
        <v>-7.8010511574124102E-3</v>
      </c>
      <c r="Y15" s="19">
        <f t="shared" si="13"/>
        <v>3.7755953954231196E-2</v>
      </c>
      <c r="Z15" s="19">
        <f t="shared" si="13"/>
        <v>4.3405768883233407E-2</v>
      </c>
      <c r="AA15" s="19">
        <f t="shared" si="13"/>
        <v>4.6360752944313134E-3</v>
      </c>
      <c r="AB15" s="19">
        <f t="shared" si="13"/>
        <v>1.3018329149030415E-2</v>
      </c>
      <c r="AC15" s="19">
        <f t="shared" si="13"/>
        <v>4.2640706572888376E-2</v>
      </c>
      <c r="AD15" s="19">
        <f t="shared" si="13"/>
        <v>0.13845745643570229</v>
      </c>
      <c r="AE15" s="19">
        <f t="shared" si="13"/>
        <v>0.26539960612918373</v>
      </c>
      <c r="AF15" s="19">
        <f t="shared" si="13"/>
        <v>0.16136781264435102</v>
      </c>
      <c r="AG15" s="19">
        <f t="shared" si="13"/>
        <v>0.12238441568016319</v>
      </c>
      <c r="AH15" s="19">
        <f t="shared" si="13"/>
        <v>0.11011864983390228</v>
      </c>
      <c r="AI15" s="19">
        <f t="shared" si="13"/>
        <v>4.7870842029326524E-2</v>
      </c>
      <c r="AJ15" s="19">
        <f t="shared" ref="AJ15:AM15" si="14">+AJ14/AJ3</f>
        <v>8.4519663609395876E-2</v>
      </c>
      <c r="AK15" s="19">
        <f t="shared" si="14"/>
        <v>3.1495427025242717E-2</v>
      </c>
      <c r="AL15" s="19">
        <f t="shared" si="14"/>
        <v>3.6018393217520012E-2</v>
      </c>
      <c r="AM15" s="19">
        <f t="shared" si="14"/>
        <v>4.6927871654055618E-2</v>
      </c>
    </row>
    <row r="16" spans="1:57" ht="18" thickTop="1" thickBot="1" x14ac:dyDescent="0.4">
      <c r="B16" s="32" t="s">
        <v>8</v>
      </c>
      <c r="C16" s="34">
        <v>31.7</v>
      </c>
      <c r="D16" s="34"/>
      <c r="E16" s="34"/>
      <c r="F16" s="34"/>
      <c r="G16" s="34"/>
      <c r="H16" s="34"/>
      <c r="I16" s="35"/>
      <c r="J16" s="22" t="e">
        <f>((I16/D16)^(1/5)-1)*100</f>
        <v>#DIV/0!</v>
      </c>
    </row>
    <row r="17" spans="2:39" ht="18" thickTop="1" thickBot="1" x14ac:dyDescent="0.4">
      <c r="B17" s="32" t="s">
        <v>31</v>
      </c>
      <c r="C17" s="34">
        <v>14.6</v>
      </c>
      <c r="D17" s="34"/>
      <c r="E17" s="34"/>
      <c r="F17" s="34"/>
      <c r="G17" s="34"/>
      <c r="H17" s="34"/>
      <c r="I17" s="35"/>
      <c r="J17" s="22" t="e">
        <f>((I17/D17)^(1/6)-1)*100</f>
        <v>#DIV/0!</v>
      </c>
      <c r="W17" s="12" t="s">
        <v>44</v>
      </c>
      <c r="X17" s="13">
        <f>307281-120388</f>
        <v>186893</v>
      </c>
      <c r="Y17" s="13">
        <f>360872-177273</f>
        <v>183599</v>
      </c>
      <c r="Z17" s="13">
        <f>361992-124395</f>
        <v>237597</v>
      </c>
      <c r="AA17" s="13">
        <f>351518-122621</f>
        <v>228897</v>
      </c>
      <c r="AB17" s="13">
        <f>339144-294211</f>
        <v>44933</v>
      </c>
      <c r="AC17" s="13">
        <f>315648-261188</f>
        <v>54460</v>
      </c>
      <c r="AD17" s="13">
        <f>357839-484135</f>
        <v>-126296</v>
      </c>
      <c r="AE17" s="13">
        <f>436353-1791747</f>
        <v>-1355394</v>
      </c>
      <c r="AF17" s="13">
        <f>548607-193568</f>
        <v>355039</v>
      </c>
      <c r="AG17" s="13">
        <f>1093907-533342</f>
        <v>560565</v>
      </c>
      <c r="AH17" s="13">
        <f>1375021-410052</f>
        <v>964969</v>
      </c>
      <c r="AI17" s="13">
        <f>1080067-696128</f>
        <v>383939</v>
      </c>
      <c r="AJ17" s="13">
        <f>1274402-273335</f>
        <v>1001067</v>
      </c>
      <c r="AK17" s="13">
        <f>1464304-92193</f>
        <v>1372111</v>
      </c>
      <c r="AL17" s="13">
        <f>1720654-203373</f>
        <v>1517281</v>
      </c>
      <c r="AM17" s="13">
        <f>1365345-238043</f>
        <v>1127302</v>
      </c>
    </row>
    <row r="18" spans="2:39" ht="18" thickTop="1" thickBot="1" x14ac:dyDescent="0.4">
      <c r="B18" s="32" t="s">
        <v>32</v>
      </c>
      <c r="C18" s="36">
        <f t="shared" ref="C18:G18" si="15">C14/AVERAGE(B17:C17)*100</f>
        <v>22.19178082191781</v>
      </c>
      <c r="D18" s="36">
        <f t="shared" si="15"/>
        <v>0</v>
      </c>
      <c r="E18" s="36" t="e">
        <f t="shared" si="15"/>
        <v>#DIV/0!</v>
      </c>
      <c r="F18" s="36" t="e">
        <f t="shared" si="15"/>
        <v>#DIV/0!</v>
      </c>
      <c r="G18" s="36" t="e">
        <f t="shared" si="15"/>
        <v>#DIV/0!</v>
      </c>
      <c r="H18" s="36" t="e">
        <f>H14/AVERAGE(G17:H17)*100</f>
        <v>#DIV/0!</v>
      </c>
      <c r="I18" s="37" t="e">
        <f>I14/AVERAGE(H17:I17)*100</f>
        <v>#DIV/0!</v>
      </c>
      <c r="J18" s="23" t="e">
        <f>AVERAGE(D18:I18)</f>
        <v>#DIV/0!</v>
      </c>
      <c r="M18" s="9" t="s">
        <v>33</v>
      </c>
      <c r="N18" s="6"/>
      <c r="O18" s="6"/>
      <c r="P18" s="6"/>
      <c r="Q18" s="6"/>
      <c r="W18" s="12" t="s">
        <v>45</v>
      </c>
      <c r="X18" s="15">
        <f t="shared" ref="X18:AI18" si="16">+X17/X14</f>
        <v>-1.278390358017429</v>
      </c>
      <c r="Y18" s="15">
        <f t="shared" si="16"/>
        <v>0.29304290643963699</v>
      </c>
      <c r="Z18" s="15">
        <f t="shared" si="16"/>
        <v>0.26492449110663124</v>
      </c>
      <c r="AA18" s="15">
        <f t="shared" si="16"/>
        <v>2.9278578646439581</v>
      </c>
      <c r="AB18" s="15">
        <f t="shared" si="16"/>
        <v>0.16749108177924563</v>
      </c>
      <c r="AC18" s="15">
        <f t="shared" si="16"/>
        <v>5.5546036097783871E-2</v>
      </c>
      <c r="AD18" s="15">
        <f t="shared" si="16"/>
        <v>-3.0933816925277156E-2</v>
      </c>
      <c r="AE18" s="15">
        <f t="shared" si="16"/>
        <v>-0.10227562383954684</v>
      </c>
      <c r="AF18" s="15">
        <f t="shared" si="16"/>
        <v>2.5013327821142368E-2</v>
      </c>
      <c r="AG18" s="15">
        <f t="shared" si="16"/>
        <v>6.1175761099739524E-2</v>
      </c>
      <c r="AH18" s="15">
        <f t="shared" si="16"/>
        <v>0.12751496664154166</v>
      </c>
      <c r="AI18" s="15">
        <f t="shared" si="16"/>
        <v>0.1464991071292297</v>
      </c>
      <c r="AJ18" s="15">
        <f t="shared" ref="AJ18:AM18" si="17">+AJ17/AJ14</f>
        <v>0.19196548764407953</v>
      </c>
      <c r="AK18" s="15">
        <f t="shared" si="17"/>
        <v>0.60489626559675114</v>
      </c>
      <c r="AL18" s="15">
        <f t="shared" si="17"/>
        <v>0.5609107622056827</v>
      </c>
      <c r="AM18" s="15">
        <f t="shared" si="17"/>
        <v>0.3281247180251427</v>
      </c>
    </row>
    <row r="19" spans="2:39" ht="18" thickTop="1" thickBot="1" x14ac:dyDescent="0.4">
      <c r="B19" s="32" t="s">
        <v>34</v>
      </c>
      <c r="C19" s="30">
        <f t="shared" ref="C19:G19" si="18">C15/C16*100</f>
        <v>5.0473186119873823</v>
      </c>
      <c r="D19" s="30" t="e">
        <f t="shared" si="18"/>
        <v>#DIV/0!</v>
      </c>
      <c r="E19" s="30" t="e">
        <f t="shared" si="18"/>
        <v>#DIV/0!</v>
      </c>
      <c r="F19" s="30" t="e">
        <f t="shared" si="18"/>
        <v>#DIV/0!</v>
      </c>
      <c r="G19" s="30" t="e">
        <f t="shared" si="18"/>
        <v>#DIV/0!</v>
      </c>
      <c r="H19" s="30" t="e">
        <f>H15/H16*100</f>
        <v>#DIV/0!</v>
      </c>
      <c r="I19" s="31" t="e">
        <f>I15/I16*100</f>
        <v>#DIV/0!</v>
      </c>
      <c r="J19" s="23" t="e">
        <f>AVERAGE(D19:I19)</f>
        <v>#DIV/0!</v>
      </c>
    </row>
    <row r="20" spans="2:39" ht="18" thickTop="1" thickBot="1" x14ac:dyDescent="0.4">
      <c r="B20" s="32" t="s">
        <v>35</v>
      </c>
      <c r="C20" s="30">
        <f t="shared" ref="C20:G20" si="19">C15/C14*100</f>
        <v>49.382716049382715</v>
      </c>
      <c r="D20" s="30" t="e">
        <f t="shared" si="19"/>
        <v>#DIV/0!</v>
      </c>
      <c r="E20" s="30" t="e">
        <f t="shared" si="19"/>
        <v>#DIV/0!</v>
      </c>
      <c r="F20" s="30" t="e">
        <f t="shared" si="19"/>
        <v>#DIV/0!</v>
      </c>
      <c r="G20" s="30" t="e">
        <f t="shared" si="19"/>
        <v>#DIV/0!</v>
      </c>
      <c r="H20" s="30" t="e">
        <f>H15/H14*100</f>
        <v>#DIV/0!</v>
      </c>
      <c r="I20" s="31" t="e">
        <f>I15/I14*100</f>
        <v>#DIV/0!</v>
      </c>
      <c r="J20" s="23" t="e">
        <f>AVERAGE(D20:I20)</f>
        <v>#DIV/0!</v>
      </c>
      <c r="M20" t="s">
        <v>36</v>
      </c>
      <c r="N20" s="4" t="e">
        <f>N13/H14-1</f>
        <v>#DIV/0!</v>
      </c>
      <c r="W20" s="12" t="s">
        <v>21</v>
      </c>
      <c r="X20" s="13">
        <f t="shared" ref="X20:AI20" si="20">+X14+X17</f>
        <v>40699</v>
      </c>
      <c r="Y20" s="13">
        <f t="shared" si="20"/>
        <v>810125</v>
      </c>
      <c r="Z20" s="13">
        <f t="shared" si="20"/>
        <v>1134445</v>
      </c>
      <c r="AA20" s="13">
        <f t="shared" si="20"/>
        <v>307076</v>
      </c>
      <c r="AB20" s="13">
        <f t="shared" si="20"/>
        <v>313204</v>
      </c>
      <c r="AC20" s="13">
        <f t="shared" si="20"/>
        <v>1034908</v>
      </c>
      <c r="AD20" s="13">
        <f t="shared" si="20"/>
        <v>3956485</v>
      </c>
      <c r="AE20" s="13">
        <f t="shared" si="20"/>
        <v>11896972</v>
      </c>
      <c r="AF20" s="13">
        <f t="shared" si="20"/>
        <v>14549032</v>
      </c>
      <c r="AG20" s="13">
        <f t="shared" si="20"/>
        <v>9723753</v>
      </c>
      <c r="AH20" s="13">
        <f t="shared" si="20"/>
        <v>8532465</v>
      </c>
      <c r="AI20" s="13">
        <f t="shared" si="20"/>
        <v>3004699</v>
      </c>
      <c r="AJ20" s="13">
        <f t="shared" ref="AJ20:AM20" si="21">+AJ14+AJ17</f>
        <v>6215895</v>
      </c>
      <c r="AK20" s="13">
        <f t="shared" si="21"/>
        <v>3640452</v>
      </c>
      <c r="AL20" s="13">
        <f t="shared" si="21"/>
        <v>4222312</v>
      </c>
      <c r="AM20" s="13">
        <f t="shared" si="21"/>
        <v>4562892</v>
      </c>
    </row>
    <row r="21" spans="2:39" ht="18" thickTop="1" thickBot="1" x14ac:dyDescent="0.4">
      <c r="B21" s="32" t="s">
        <v>11</v>
      </c>
      <c r="C21" s="38">
        <f t="shared" ref="C21:G21" si="22">C16/C14</f>
        <v>9.7839506172839492</v>
      </c>
      <c r="D21" s="38" t="e">
        <f t="shared" si="22"/>
        <v>#DIV/0!</v>
      </c>
      <c r="E21" s="38" t="e">
        <f t="shared" si="22"/>
        <v>#DIV/0!</v>
      </c>
      <c r="F21" s="38" t="e">
        <f t="shared" si="22"/>
        <v>#DIV/0!</v>
      </c>
      <c r="G21" s="38" t="e">
        <f t="shared" si="22"/>
        <v>#DIV/0!</v>
      </c>
      <c r="H21" s="38" t="e">
        <f>H16/H14</f>
        <v>#DIV/0!</v>
      </c>
      <c r="I21" s="39" t="e">
        <f>I16/I14</f>
        <v>#DIV/0!</v>
      </c>
      <c r="J21" s="23" t="e">
        <f>AVERAGE(D21:I21)</f>
        <v>#DIV/0!</v>
      </c>
      <c r="W21" s="12" t="s">
        <v>46</v>
      </c>
      <c r="X21" s="19">
        <f t="shared" ref="X21:AI21" si="23">+X20/X3</f>
        <v>2.1717374246243188E-3</v>
      </c>
      <c r="Y21" s="19">
        <f t="shared" si="23"/>
        <v>4.8820068436380211E-2</v>
      </c>
      <c r="Z21" s="19">
        <f t="shared" si="23"/>
        <v>5.4905020115716067E-2</v>
      </c>
      <c r="AA21" s="19">
        <f t="shared" si="23"/>
        <v>1.8209844806313588E-2</v>
      </c>
      <c r="AB21" s="19">
        <f t="shared" si="23"/>
        <v>1.5198783181159806E-2</v>
      </c>
      <c r="AC21" s="19">
        <f t="shared" si="23"/>
        <v>4.5009228799421049E-2</v>
      </c>
      <c r="AD21" s="19">
        <f t="shared" si="23"/>
        <v>0.13417443882638075</v>
      </c>
      <c r="AE21" s="19">
        <f t="shared" si="23"/>
        <v>0.23825569584555148</v>
      </c>
      <c r="AF21" s="19">
        <f t="shared" si="23"/>
        <v>0.16540415864180485</v>
      </c>
      <c r="AG21" s="19">
        <f t="shared" si="23"/>
        <v>0.12987137545614405</v>
      </c>
      <c r="AH21" s="19">
        <f t="shared" si="23"/>
        <v>0.12416042579408394</v>
      </c>
      <c r="AI21" s="19">
        <f t="shared" si="23"/>
        <v>5.4883877644147261E-2</v>
      </c>
      <c r="AJ21" s="19">
        <f t="shared" ref="AJ21:AM21" si="24">+AJ20/AJ3</f>
        <v>0.1007445220496871</v>
      </c>
      <c r="AK21" s="19">
        <f t="shared" si="24"/>
        <v>5.0546893216187029E-2</v>
      </c>
      <c r="AL21" s="19">
        <f t="shared" si="24"/>
        <v>5.6221497610583156E-2</v>
      </c>
      <c r="AM21" s="19">
        <f t="shared" si="24"/>
        <v>6.2326066308062707E-2</v>
      </c>
    </row>
    <row r="22" spans="2:39" ht="18" thickTop="1" thickBot="1" x14ac:dyDescent="0.4">
      <c r="B22" s="32" t="s">
        <v>37</v>
      </c>
      <c r="C22" s="38">
        <f t="shared" ref="C22:G22" si="25">C16/C17</f>
        <v>2.1712328767123288</v>
      </c>
      <c r="D22" s="38" t="e">
        <f t="shared" si="25"/>
        <v>#DIV/0!</v>
      </c>
      <c r="E22" s="38" t="e">
        <f t="shared" si="25"/>
        <v>#DIV/0!</v>
      </c>
      <c r="F22" s="38" t="e">
        <f t="shared" si="25"/>
        <v>#DIV/0!</v>
      </c>
      <c r="G22" s="38" t="e">
        <f t="shared" si="25"/>
        <v>#DIV/0!</v>
      </c>
      <c r="H22" s="38" t="e">
        <f>H16/H17</f>
        <v>#DIV/0!</v>
      </c>
      <c r="I22" s="39" t="e">
        <f>I16/I17</f>
        <v>#DIV/0!</v>
      </c>
      <c r="J22" s="23" t="e">
        <f>AVERAGE(D22:I22)</f>
        <v>#DIV/0!</v>
      </c>
    </row>
    <row r="23" spans="2:39" ht="15.75" thickTop="1" x14ac:dyDescent="0.25">
      <c r="W23" s="12" t="s">
        <v>47</v>
      </c>
      <c r="X23" s="13">
        <v>-23460</v>
      </c>
      <c r="Y23" s="13">
        <v>-123197</v>
      </c>
      <c r="Z23" s="13">
        <v>-160520</v>
      </c>
      <c r="AA23" s="13">
        <v>-33982</v>
      </c>
      <c r="AB23" s="13">
        <v>-31653</v>
      </c>
      <c r="AC23" s="13">
        <v>-145209</v>
      </c>
      <c r="AD23" s="13">
        <v>-582374</v>
      </c>
      <c r="AE23" s="13">
        <v>-1970470</v>
      </c>
      <c r="AF23" s="13">
        <v>-2192627</v>
      </c>
      <c r="AG23" s="13">
        <v>-1490508</v>
      </c>
      <c r="AH23" s="13">
        <v>-1352850</v>
      </c>
      <c r="AI23" s="13">
        <v>-558465</v>
      </c>
      <c r="AJ23" s="13">
        <v>-1156798</v>
      </c>
      <c r="AK23" s="13">
        <v>-625002</v>
      </c>
      <c r="AL23" s="13">
        <v>-798099</v>
      </c>
      <c r="AM23" s="13">
        <v>-786979</v>
      </c>
    </row>
    <row r="24" spans="2:39" x14ac:dyDescent="0.25">
      <c r="G24" s="10">
        <v>701.95658000000003</v>
      </c>
      <c r="H24" s="10">
        <v>709.32254499999999</v>
      </c>
      <c r="I24" s="10">
        <v>716.73997499999996</v>
      </c>
      <c r="W24" s="12" t="s">
        <v>48</v>
      </c>
      <c r="X24" s="14">
        <f t="shared" ref="X24:AI24" si="26">+X23/X20</f>
        <v>-0.5764269392368363</v>
      </c>
      <c r="Y24" s="14">
        <f t="shared" si="26"/>
        <v>-0.15207159388983182</v>
      </c>
      <c r="Z24" s="14">
        <f t="shared" si="26"/>
        <v>-0.14149650269515049</v>
      </c>
      <c r="AA24" s="14">
        <f t="shared" si="26"/>
        <v>-0.1106631583060871</v>
      </c>
      <c r="AB24" s="14">
        <f t="shared" si="26"/>
        <v>-0.10106192768930154</v>
      </c>
      <c r="AC24" s="14">
        <f t="shared" si="26"/>
        <v>-0.14031102281555463</v>
      </c>
      <c r="AD24" s="14">
        <f t="shared" si="26"/>
        <v>-0.14719479538024283</v>
      </c>
      <c r="AE24" s="14">
        <f t="shared" si="26"/>
        <v>-0.1656278589207405</v>
      </c>
      <c r="AF24" s="14">
        <f t="shared" si="26"/>
        <v>-0.15070604009943755</v>
      </c>
      <c r="AG24" s="14">
        <f t="shared" si="26"/>
        <v>-0.15328525930265813</v>
      </c>
      <c r="AH24" s="14">
        <f t="shared" si="26"/>
        <v>-0.1585532434062138</v>
      </c>
      <c r="AI24" s="14">
        <f t="shared" si="26"/>
        <v>-0.18586387521678543</v>
      </c>
      <c r="AJ24" s="14">
        <f t="shared" ref="AJ24:AM24" si="27">+AJ23/AJ20</f>
        <v>-0.18610320798533436</v>
      </c>
      <c r="AK24" s="14">
        <f t="shared" si="27"/>
        <v>-0.1716825273345178</v>
      </c>
      <c r="AL24" s="14">
        <f t="shared" si="27"/>
        <v>-0.18901942821847367</v>
      </c>
      <c r="AM24" s="14">
        <f t="shared" si="27"/>
        <v>-0.17247372938040173</v>
      </c>
    </row>
    <row r="25" spans="2:39" x14ac:dyDescent="0.25">
      <c r="G25">
        <f>+G10/G24</f>
        <v>0</v>
      </c>
      <c r="H25">
        <f>+H10/H24</f>
        <v>0</v>
      </c>
      <c r="I25">
        <f>+I10/I24</f>
        <v>0</v>
      </c>
      <c r="M25" s="10"/>
    </row>
    <row r="26" spans="2:39" x14ac:dyDescent="0.25">
      <c r="M26" s="10"/>
      <c r="W26" s="12" t="s">
        <v>74</v>
      </c>
      <c r="X26" s="13"/>
      <c r="AB26" s="13"/>
      <c r="AC26" s="13"/>
      <c r="AD26" s="13"/>
      <c r="AE26" s="13"/>
      <c r="AF26" s="13"/>
      <c r="AG26" s="13"/>
      <c r="AH26" s="13"/>
      <c r="AI26" s="13"/>
      <c r="AJ26" s="13"/>
      <c r="AK26" s="13"/>
      <c r="AL26" s="13"/>
      <c r="AM26" s="13"/>
    </row>
    <row r="28" spans="2:39" x14ac:dyDescent="0.25">
      <c r="W28" s="12" t="s">
        <v>49</v>
      </c>
      <c r="X28" s="13">
        <f t="shared" ref="X28:AH28" si="28">+X20+X23-X26</f>
        <v>17239</v>
      </c>
      <c r="Y28" s="13">
        <f t="shared" si="28"/>
        <v>686928</v>
      </c>
      <c r="Z28" s="13">
        <f t="shared" si="28"/>
        <v>973925</v>
      </c>
      <c r="AA28" s="13">
        <f t="shared" si="28"/>
        <v>273094</v>
      </c>
      <c r="AB28" s="13">
        <f t="shared" si="28"/>
        <v>281551</v>
      </c>
      <c r="AC28" s="13">
        <f t="shared" si="28"/>
        <v>889699</v>
      </c>
      <c r="AD28" s="13">
        <f t="shared" si="28"/>
        <v>3374111</v>
      </c>
      <c r="AE28" s="13">
        <f t="shared" si="28"/>
        <v>9926502</v>
      </c>
      <c r="AF28" s="13">
        <f t="shared" si="28"/>
        <v>12356405</v>
      </c>
      <c r="AG28" s="13">
        <f t="shared" si="28"/>
        <v>8233245</v>
      </c>
      <c r="AH28" s="13">
        <f t="shared" si="28"/>
        <v>7179615</v>
      </c>
      <c r="AI28" s="13">
        <f>+AI20+AI23-AI26</f>
        <v>2446234</v>
      </c>
      <c r="AJ28" s="13">
        <f t="shared" ref="AJ28:AL28" si="29">+AJ20+AJ23-AJ26</f>
        <v>5059097</v>
      </c>
      <c r="AK28" s="13">
        <f t="shared" si="29"/>
        <v>3015450</v>
      </c>
      <c r="AL28" s="13">
        <f t="shared" si="29"/>
        <v>3424213</v>
      </c>
      <c r="AM28" s="13">
        <f>+AM20+AM23-AM26</f>
        <v>3775913</v>
      </c>
    </row>
    <row r="29" spans="2:39" x14ac:dyDescent="0.25">
      <c r="M29" s="10"/>
      <c r="W29" s="12" t="s">
        <v>25</v>
      </c>
      <c r="X29" s="19">
        <f t="shared" ref="X29:AI29" si="30">+X28/X3</f>
        <v>9.1988946812203334E-4</v>
      </c>
      <c r="Y29" s="19">
        <f t="shared" si="30"/>
        <v>4.1395922815449203E-2</v>
      </c>
      <c r="Z29" s="19">
        <f t="shared" si="30"/>
        <v>4.7136151788935356E-2</v>
      </c>
      <c r="AA29" s="19">
        <f t="shared" si="30"/>
        <v>1.6194685867783228E-2</v>
      </c>
      <c r="AB29" s="19">
        <f t="shared" si="30"/>
        <v>1.3662764854340061E-2</v>
      </c>
      <c r="AC29" s="19">
        <f t="shared" si="30"/>
        <v>3.8693937870434965E-2</v>
      </c>
      <c r="AD29" s="19">
        <f t="shared" si="30"/>
        <v>0.11442465975807271</v>
      </c>
      <c r="AE29" s="19">
        <f t="shared" si="30"/>
        <v>0.1987939150669816</v>
      </c>
      <c r="AF29" s="19">
        <f t="shared" si="30"/>
        <v>0.14047675287691927</v>
      </c>
      <c r="AG29" s="19">
        <f t="shared" si="30"/>
        <v>0.10996400799335615</v>
      </c>
      <c r="AH29" s="19">
        <f t="shared" si="30"/>
        <v>0.1044743875817354</v>
      </c>
      <c r="AI29" s="19">
        <f t="shared" si="30"/>
        <v>4.4682947458282156E-2</v>
      </c>
      <c r="AJ29" s="19">
        <f t="shared" ref="AJ29:AM29" si="31">+AJ28/AJ3</f>
        <v>8.1995643309291086E-2</v>
      </c>
      <c r="AK29" s="19">
        <f t="shared" si="31"/>
        <v>4.1868874839924047E-2</v>
      </c>
      <c r="AL29" s="19">
        <f t="shared" si="31"/>
        <v>4.5594542278644443E-2</v>
      </c>
      <c r="AM29" s="19">
        <f t="shared" si="31"/>
        <v>5.1576457214300923E-2</v>
      </c>
    </row>
    <row r="30" spans="2:39" ht="16.5" x14ac:dyDescent="0.25">
      <c r="I30" s="22"/>
      <c r="M30" s="10"/>
    </row>
    <row r="31" spans="2:39" x14ac:dyDescent="0.25">
      <c r="W31" s="12" t="s">
        <v>29</v>
      </c>
      <c r="X31" s="16">
        <f t="shared" ref="X31:AI31" si="32">+X28/X47</f>
        <v>3.2375794042923386E-2</v>
      </c>
      <c r="Y31" s="16">
        <f t="shared" si="32"/>
        <v>1.2900887203618119</v>
      </c>
      <c r="Z31" s="16">
        <f t="shared" si="32"/>
        <v>1.8290849360899217</v>
      </c>
      <c r="AA31" s="16">
        <f t="shared" si="32"/>
        <v>0.51288561391949183</v>
      </c>
      <c r="AB31" s="16">
        <f t="shared" si="32"/>
        <v>0.5287683269667105</v>
      </c>
      <c r="AC31" s="16">
        <f t="shared" si="32"/>
        <v>1.6709038566155168</v>
      </c>
      <c r="AD31" s="16">
        <f t="shared" si="32"/>
        <v>6.3367667970278019</v>
      </c>
      <c r="AE31" s="16">
        <f t="shared" si="32"/>
        <v>18.642518958098908</v>
      </c>
      <c r="AF31" s="16">
        <f t="shared" si="32"/>
        <v>23.206010986191121</v>
      </c>
      <c r="AG31" s="16">
        <f t="shared" si="32"/>
        <v>15.462488800100282</v>
      </c>
      <c r="AH31" s="16">
        <f t="shared" si="32"/>
        <v>13.483713472213202</v>
      </c>
      <c r="AI31" s="16">
        <f t="shared" si="32"/>
        <v>4.5941625479898285</v>
      </c>
      <c r="AJ31" s="16">
        <f t="shared" ref="AJ31:AM31" si="33">+AJ28/AJ47</f>
        <v>9.5012635602512656</v>
      </c>
      <c r="AK31" s="16">
        <f t="shared" si="33"/>
        <v>5.6631816315756902</v>
      </c>
      <c r="AL31" s="16">
        <f t="shared" si="33"/>
        <v>6.4308611199664032</v>
      </c>
      <c r="AM31" s="16">
        <f t="shared" si="33"/>
        <v>7.091373142989557</v>
      </c>
    </row>
    <row r="32" spans="2:39" x14ac:dyDescent="0.25">
      <c r="W32" s="12" t="s">
        <v>40</v>
      </c>
      <c r="AA32" s="17"/>
      <c r="AB32" s="18">
        <f t="shared" ref="AB32:AM32" si="34">+AB31/X31-1</f>
        <v>15.332211845234642</v>
      </c>
      <c r="AC32" s="18">
        <f t="shared" si="34"/>
        <v>0.29518523047539191</v>
      </c>
      <c r="AD32" s="18">
        <f t="shared" si="34"/>
        <v>2.4644464409477118</v>
      </c>
      <c r="AE32" s="18">
        <f t="shared" si="34"/>
        <v>35.348297655752226</v>
      </c>
      <c r="AF32" s="18">
        <f t="shared" si="34"/>
        <v>42.886915692006063</v>
      </c>
      <c r="AG32" s="18">
        <f t="shared" si="34"/>
        <v>8.2539667910158379</v>
      </c>
      <c r="AH32" s="18">
        <f t="shared" si="34"/>
        <v>1.1278538257929274</v>
      </c>
      <c r="AI32" s="18">
        <f t="shared" si="34"/>
        <v>-0.75356535464355923</v>
      </c>
      <c r="AJ32" s="18">
        <f t="shared" si="34"/>
        <v>-0.59056885882261057</v>
      </c>
      <c r="AK32" s="18">
        <f t="shared" si="34"/>
        <v>-0.63374708271161606</v>
      </c>
      <c r="AL32" s="18">
        <f t="shared" si="34"/>
        <v>-0.52306453758314331</v>
      </c>
      <c r="AM32" s="18">
        <f t="shared" si="34"/>
        <v>0.54356165436340098</v>
      </c>
    </row>
    <row r="33" spans="23:54" x14ac:dyDescent="0.25">
      <c r="W33" s="12" t="s">
        <v>41</v>
      </c>
      <c r="Y33" s="18">
        <f t="shared" ref="Y33:AD33" si="35">+Y31/X31-1</f>
        <v>38.847322930564417</v>
      </c>
      <c r="Z33" s="18">
        <f t="shared" si="35"/>
        <v>0.41779778957911184</v>
      </c>
      <c r="AA33" s="18">
        <f t="shared" si="35"/>
        <v>-0.71959442462201917</v>
      </c>
      <c r="AB33" s="18">
        <f t="shared" si="35"/>
        <v>3.0967359224296276E-2</v>
      </c>
      <c r="AC33" s="18">
        <f t="shared" si="35"/>
        <v>2.1599923282105196</v>
      </c>
      <c r="AD33" s="18">
        <f t="shared" si="35"/>
        <v>2.7924185595353039</v>
      </c>
      <c r="AE33" s="18">
        <f>+AE31/AD31-1</f>
        <v>1.9419607120216256</v>
      </c>
      <c r="AF33" s="18">
        <f>+AF31/AE31-1</f>
        <v>0.24478945352552195</v>
      </c>
      <c r="AG33" s="18">
        <f>+AG31/AF31-1</f>
        <v>-0.33368605188968792</v>
      </c>
      <c r="AH33" s="18">
        <f t="shared" ref="AH33" si="36">+AH31/AG31-1</f>
        <v>-0.12797262804641429</v>
      </c>
      <c r="AI33" s="18">
        <f>+AI31/AH31-1</f>
        <v>-0.6592806160218897</v>
      </c>
      <c r="AJ33" s="18">
        <f>+AJ31/AI31-1</f>
        <v>1.0681165415900522</v>
      </c>
      <c r="AK33" s="18">
        <f>+AK31/AJ31-1</f>
        <v>-0.40395489550803232</v>
      </c>
      <c r="AL33" s="18">
        <f t="shared" ref="AL33" si="37">+AL31/AK31-1</f>
        <v>0.13555621880648006</v>
      </c>
      <c r="AM33" s="18">
        <f>+AM31/AL31-1</f>
        <v>0.10270973213406998</v>
      </c>
      <c r="AN33" s="18"/>
      <c r="AO33" s="18"/>
      <c r="AP33" s="18"/>
      <c r="AQ33" s="18"/>
      <c r="AR33" s="18"/>
      <c r="AS33" s="18"/>
      <c r="AT33" s="18"/>
      <c r="AU33" s="18"/>
      <c r="AV33" s="18"/>
      <c r="AW33" s="18"/>
      <c r="AX33" s="18"/>
      <c r="AY33" s="18"/>
      <c r="AZ33" s="18"/>
      <c r="BA33" s="18"/>
      <c r="BB33" s="18"/>
    </row>
    <row r="34" spans="23:54" x14ac:dyDescent="0.25">
      <c r="Y34" s="18"/>
      <c r="Z34" s="18"/>
      <c r="AA34" s="18"/>
      <c r="AB34" s="18"/>
      <c r="AC34" s="18"/>
      <c r="AD34" s="18"/>
      <c r="AE34" s="18"/>
      <c r="AF34" s="18"/>
      <c r="AG34" s="18"/>
      <c r="AH34" s="18"/>
      <c r="AI34" s="18"/>
      <c r="AJ34" s="18"/>
      <c r="AK34" s="18"/>
      <c r="AL34" s="18"/>
      <c r="AM34" s="18"/>
    </row>
    <row r="35" spans="23:54" x14ac:dyDescent="0.25">
      <c r="W35" s="12" t="s">
        <v>88</v>
      </c>
      <c r="X35" s="18">
        <f t="shared" ref="X35:AI35" si="38">+X28*4/X40</f>
        <v>3.6938093659890881E-3</v>
      </c>
      <c r="Y35" s="18">
        <f t="shared" si="38"/>
        <v>0.14495539543022951</v>
      </c>
      <c r="Z35" s="18">
        <f t="shared" si="38"/>
        <v>0.19553150016131587</v>
      </c>
      <c r="AA35" s="18">
        <f t="shared" si="38"/>
        <v>5.4086754009484109E-2</v>
      </c>
      <c r="AB35" s="18">
        <f t="shared" si="38"/>
        <v>5.4995024242503854E-2</v>
      </c>
      <c r="AC35" s="18">
        <f t="shared" si="38"/>
        <v>0.1701520024032061</v>
      </c>
      <c r="AD35" s="18">
        <f t="shared" si="38"/>
        <v>0.55573135933858619</v>
      </c>
      <c r="AE35" s="18">
        <f t="shared" si="38"/>
        <v>1.1605730504387648</v>
      </c>
      <c r="AF35" s="18">
        <f t="shared" si="38"/>
        <v>1.0893713448523348</v>
      </c>
      <c r="AG35" s="18">
        <f t="shared" si="38"/>
        <v>0.61437522490152185</v>
      </c>
      <c r="AH35" s="18">
        <f t="shared" si="38"/>
        <v>0.46900646594051471</v>
      </c>
      <c r="AI35" s="18">
        <f t="shared" si="38"/>
        <v>0.15897819940519831</v>
      </c>
      <c r="AJ35" s="18">
        <f t="shared" ref="AJ35:AM35" si="39">+AJ28*4/AJ40</f>
        <v>0.30381311173757558</v>
      </c>
      <c r="AK35" s="18">
        <f t="shared" si="39"/>
        <v>0.17324331923502112</v>
      </c>
      <c r="AL35" s="18">
        <f t="shared" si="39"/>
        <v>0.18642742249754549</v>
      </c>
      <c r="AM35" s="18">
        <f t="shared" si="39"/>
        <v>0.19552647791661115</v>
      </c>
      <c r="AO35" s="14">
        <f>+AVERAGE(X35:AM35)</f>
        <v>0.34565377886727522</v>
      </c>
      <c r="AP35" s="50" t="s">
        <v>88</v>
      </c>
      <c r="AQ35" s="14"/>
      <c r="AR35" s="14"/>
      <c r="AS35" s="14"/>
      <c r="AT35" s="14"/>
      <c r="AU35" s="14"/>
      <c r="AV35" s="14"/>
      <c r="AW35" s="14"/>
      <c r="AX35" s="14"/>
      <c r="AY35" s="14"/>
      <c r="AZ35" s="14"/>
      <c r="BA35" s="14"/>
      <c r="BB35" s="14"/>
    </row>
    <row r="36" spans="23:54" x14ac:dyDescent="0.25">
      <c r="AO36" s="56">
        <f>AVERAGE(Y35:AM35)*AM49</f>
        <v>53.45208147737079</v>
      </c>
      <c r="AP36" s="50" t="s">
        <v>183</v>
      </c>
      <c r="AQ36" s="56"/>
      <c r="AR36" s="56"/>
      <c r="AS36" s="56"/>
      <c r="AT36" s="56"/>
      <c r="AU36" s="56"/>
      <c r="AV36" s="56"/>
      <c r="AW36" s="56"/>
      <c r="AX36" s="56"/>
      <c r="AY36" s="56"/>
      <c r="AZ36" s="56"/>
      <c r="BA36" s="56"/>
      <c r="BB36" s="56"/>
    </row>
    <row r="37" spans="23:54" x14ac:dyDescent="0.25">
      <c r="W37" s="12" t="s">
        <v>52</v>
      </c>
      <c r="X37" s="13">
        <f>17161891+33824+47850</f>
        <v>17243565</v>
      </c>
      <c r="Y37" s="13">
        <f>43414+30123+17364172</f>
        <v>17437709</v>
      </c>
      <c r="Z37" s="13">
        <f>38205+33476+20589553</f>
        <v>20661234</v>
      </c>
      <c r="AA37" s="13">
        <f>28654+26568068+34658</f>
        <v>26631380</v>
      </c>
      <c r="AB37" s="13">
        <f>28655+26289+19386366</f>
        <v>19441310</v>
      </c>
      <c r="AC37" s="13">
        <f>20286+21555945+26290</f>
        <v>21602521</v>
      </c>
      <c r="AD37" s="13">
        <f>45782+41955+25778225</f>
        <v>25865962</v>
      </c>
      <c r="AE37" s="13">
        <f>45756+32854+27530148</f>
        <v>27608758</v>
      </c>
      <c r="AF37" s="13">
        <f>44365+25116+9282087</f>
        <v>9351568</v>
      </c>
      <c r="AG37" s="13">
        <f>47393+12961+10525703</f>
        <v>10586057</v>
      </c>
      <c r="AH37" s="13">
        <f>49539+4468346+1077421</f>
        <v>5595306</v>
      </c>
      <c r="AI37" s="13">
        <f>49963+1682+11535</f>
        <v>63180</v>
      </c>
      <c r="AJ37" s="13">
        <f>49967+2100</f>
        <v>52067</v>
      </c>
      <c r="AK37" s="13">
        <f>49967+2522+3481082</f>
        <v>3533571</v>
      </c>
      <c r="AL37" s="13">
        <f>48669+4306616+4347</f>
        <v>4359632</v>
      </c>
      <c r="AM37" s="13">
        <f>126452+7961584+49645</f>
        <v>8137681</v>
      </c>
      <c r="AO37" s="56">
        <f>X1/AO36</f>
        <v>2.142105542671414</v>
      </c>
      <c r="AP37" s="50" t="s">
        <v>11</v>
      </c>
      <c r="AQ37" s="56"/>
      <c r="AR37" s="56"/>
      <c r="AS37" s="56"/>
      <c r="AT37" s="56"/>
      <c r="AU37" s="56"/>
      <c r="AV37" s="56"/>
      <c r="AW37" s="56"/>
      <c r="AX37" s="56"/>
      <c r="AY37" s="56"/>
      <c r="AZ37" s="56"/>
      <c r="BA37" s="56"/>
      <c r="BB37" s="56"/>
    </row>
    <row r="38" spans="23:54" x14ac:dyDescent="0.25">
      <c r="W38" s="12" t="s">
        <v>53</v>
      </c>
      <c r="X38" s="13">
        <f>394329+16725709</f>
        <v>17120038</v>
      </c>
      <c r="Y38" s="13">
        <f>210664+10966869</f>
        <v>11177533</v>
      </c>
      <c r="Z38" s="13">
        <f>12040810+598950</f>
        <v>12639760</v>
      </c>
      <c r="AA38" s="13">
        <f>7587037+331461</f>
        <v>7918498</v>
      </c>
      <c r="AB38" s="13">
        <f>9680736+1004091</f>
        <v>10684827</v>
      </c>
      <c r="AC38" s="13">
        <f>418138+17314196</f>
        <v>17732334</v>
      </c>
      <c r="AD38" s="13">
        <f>19891773+2523749</f>
        <v>22415522</v>
      </c>
      <c r="AE38" s="13">
        <f>18214478+1565231</f>
        <v>19779709</v>
      </c>
      <c r="AF38" s="13">
        <f>5650177+20671840</f>
        <v>26322017</v>
      </c>
      <c r="AG38" s="13">
        <f>3804522+21731751</f>
        <v>25536273</v>
      </c>
      <c r="AH38" s="13">
        <f>5990257+21045631</f>
        <v>27035888</v>
      </c>
      <c r="AI38" s="13">
        <f>7309961+19969400</f>
        <v>27279361</v>
      </c>
      <c r="AJ38" s="13">
        <f>6782615+33135882</f>
        <v>39918497</v>
      </c>
      <c r="AK38" s="13">
        <f>2584806+35953261</f>
        <v>38538067</v>
      </c>
      <c r="AL38" s="13">
        <f>38928945+6277439</f>
        <v>45206384</v>
      </c>
      <c r="AM38" s="13">
        <f>44177335+3710911</f>
        <v>47888246</v>
      </c>
    </row>
    <row r="39" spans="23:54" x14ac:dyDescent="0.25">
      <c r="W39" s="12" t="s">
        <v>50</v>
      </c>
      <c r="X39" s="13">
        <f t="shared" ref="X39:AI39" si="40">+X37-X38</f>
        <v>123527</v>
      </c>
      <c r="Y39" s="13">
        <f t="shared" si="40"/>
        <v>6260176</v>
      </c>
      <c r="Z39" s="13">
        <f t="shared" si="40"/>
        <v>8021474</v>
      </c>
      <c r="AA39" s="13">
        <f t="shared" si="40"/>
        <v>18712882</v>
      </c>
      <c r="AB39" s="13">
        <f t="shared" si="40"/>
        <v>8756483</v>
      </c>
      <c r="AC39" s="13">
        <f t="shared" si="40"/>
        <v>3870187</v>
      </c>
      <c r="AD39" s="13">
        <f t="shared" si="40"/>
        <v>3450440</v>
      </c>
      <c r="AE39" s="13">
        <f t="shared" si="40"/>
        <v>7829049</v>
      </c>
      <c r="AF39" s="13">
        <f t="shared" si="40"/>
        <v>-16970449</v>
      </c>
      <c r="AG39" s="13">
        <f t="shared" si="40"/>
        <v>-14950216</v>
      </c>
      <c r="AH39" s="13">
        <f t="shared" si="40"/>
        <v>-21440582</v>
      </c>
      <c r="AI39" s="13">
        <f t="shared" si="40"/>
        <v>-27216181</v>
      </c>
      <c r="AJ39" s="13">
        <f t="shared" ref="AJ39:AM39" si="41">+AJ37-AJ38</f>
        <v>-39866430</v>
      </c>
      <c r="AK39" s="13">
        <f t="shared" si="41"/>
        <v>-35004496</v>
      </c>
      <c r="AL39" s="13">
        <f t="shared" si="41"/>
        <v>-40846752</v>
      </c>
      <c r="AM39" s="13">
        <f t="shared" si="41"/>
        <v>-39750565</v>
      </c>
    </row>
    <row r="40" spans="23:54" x14ac:dyDescent="0.25">
      <c r="W40" s="12" t="s">
        <v>54</v>
      </c>
      <c r="X40" s="13">
        <v>18667991</v>
      </c>
      <c r="Y40" s="13">
        <v>18955569</v>
      </c>
      <c r="Z40" s="13">
        <v>19923644</v>
      </c>
      <c r="AA40" s="13">
        <v>20196738</v>
      </c>
      <c r="AB40" s="13">
        <v>20478289</v>
      </c>
      <c r="AC40" s="13">
        <v>20915393</v>
      </c>
      <c r="AD40" s="13">
        <v>24285914</v>
      </c>
      <c r="AE40" s="13">
        <v>34212416</v>
      </c>
      <c r="AF40" s="13">
        <v>45370773</v>
      </c>
      <c r="AG40" s="13">
        <v>53604017</v>
      </c>
      <c r="AH40" s="13">
        <v>61232546</v>
      </c>
      <c r="AI40" s="13">
        <v>61548917</v>
      </c>
      <c r="AJ40" s="13">
        <v>66608014</v>
      </c>
      <c r="AK40" s="13">
        <v>69623464</v>
      </c>
      <c r="AL40" s="13">
        <v>73470157</v>
      </c>
      <c r="AM40" s="13">
        <v>77246070</v>
      </c>
    </row>
    <row r="41" spans="23:54" x14ac:dyDescent="0.25">
      <c r="W41" s="12" t="s">
        <v>127</v>
      </c>
      <c r="X41" s="13">
        <v>9725833</v>
      </c>
      <c r="Y41" s="13">
        <v>7084024</v>
      </c>
      <c r="Z41" s="13">
        <v>9625050</v>
      </c>
      <c r="AA41" s="13">
        <v>18839547</v>
      </c>
      <c r="AB41" s="13">
        <v>17994026</v>
      </c>
      <c r="AC41" s="13">
        <v>18445943</v>
      </c>
      <c r="AD41" s="13">
        <v>27257032</v>
      </c>
      <c r="AE41" s="13">
        <v>37264404</v>
      </c>
      <c r="AF41" s="13">
        <v>35947213</v>
      </c>
      <c r="AG41" s="13">
        <v>38847785</v>
      </c>
      <c r="AH41" s="13">
        <v>38027406</v>
      </c>
      <c r="AI41" s="13">
        <v>36485959</v>
      </c>
      <c r="AJ41" s="13">
        <v>33277768</v>
      </c>
      <c r="AK41" s="13">
        <v>29410747</v>
      </c>
      <c r="AL41" s="13">
        <v>26302203</v>
      </c>
      <c r="AM41" s="13">
        <v>29817289</v>
      </c>
    </row>
    <row r="43" spans="23:54" x14ac:dyDescent="0.25">
      <c r="W43" s="12" t="s">
        <v>51</v>
      </c>
      <c r="X43" s="14">
        <f t="shared" ref="X43:AI43" si="42">+X37/X40</f>
        <v>0.92369687771972897</v>
      </c>
      <c r="Y43" s="14">
        <f t="shared" si="42"/>
        <v>0.91992537918539929</v>
      </c>
      <c r="Z43" s="14">
        <f t="shared" si="42"/>
        <v>1.0370208381559116</v>
      </c>
      <c r="AA43" s="14">
        <f t="shared" si="42"/>
        <v>1.3185980825220389</v>
      </c>
      <c r="AB43" s="14">
        <f t="shared" si="42"/>
        <v>0.94936202922031232</v>
      </c>
      <c r="AC43" s="14">
        <f t="shared" si="42"/>
        <v>1.0328527415191291</v>
      </c>
      <c r="AD43" s="14">
        <f t="shared" si="42"/>
        <v>1.0650602649749974</v>
      </c>
      <c r="AE43" s="14">
        <f t="shared" si="42"/>
        <v>0.80698065871758373</v>
      </c>
      <c r="AF43" s="14">
        <f t="shared" si="42"/>
        <v>0.2061143635353094</v>
      </c>
      <c r="AG43" s="14">
        <f t="shared" si="42"/>
        <v>0.1974862630164452</v>
      </c>
      <c r="AH43" s="14">
        <f t="shared" si="42"/>
        <v>9.137797405974267E-2</v>
      </c>
      <c r="AI43" s="14">
        <f t="shared" si="42"/>
        <v>1.0265005962655687E-3</v>
      </c>
      <c r="AJ43" s="14">
        <f t="shared" ref="AJ43:AM43" si="43">+AJ37/AJ40</f>
        <v>7.8169272544291739E-4</v>
      </c>
      <c r="AK43" s="14">
        <f t="shared" si="43"/>
        <v>5.0752588236632409E-2</v>
      </c>
      <c r="AL43" s="14">
        <f t="shared" si="43"/>
        <v>5.9338814261687231E-2</v>
      </c>
      <c r="AM43" s="14">
        <f t="shared" si="43"/>
        <v>0.10534750829394945</v>
      </c>
    </row>
    <row r="45" spans="23:54" x14ac:dyDescent="0.25">
      <c r="W45" s="12" t="s">
        <v>63</v>
      </c>
      <c r="X45" s="16" t="e">
        <f t="shared" ref="X45:AI45" si="44">+(X3*1000)/X7</f>
        <v>#DIV/0!</v>
      </c>
      <c r="Y45" s="16" t="e">
        <f t="shared" si="44"/>
        <v>#DIV/0!</v>
      </c>
      <c r="Z45" s="16" t="e">
        <f t="shared" si="44"/>
        <v>#DIV/0!</v>
      </c>
      <c r="AA45" s="16" t="e">
        <f t="shared" si="44"/>
        <v>#DIV/0!</v>
      </c>
      <c r="AB45" s="16" t="e">
        <f t="shared" si="44"/>
        <v>#DIV/0!</v>
      </c>
      <c r="AC45" s="16" t="e">
        <f t="shared" si="44"/>
        <v>#DIV/0!</v>
      </c>
      <c r="AD45" s="16" t="e">
        <f t="shared" si="44"/>
        <v>#DIV/0!</v>
      </c>
      <c r="AE45" s="16" t="e">
        <f t="shared" si="44"/>
        <v>#DIV/0!</v>
      </c>
      <c r="AF45" s="16" t="e">
        <f t="shared" si="44"/>
        <v>#DIV/0!</v>
      </c>
      <c r="AG45" s="16" t="e">
        <f t="shared" si="44"/>
        <v>#DIV/0!</v>
      </c>
      <c r="AH45" s="16" t="e">
        <f t="shared" si="44"/>
        <v>#DIV/0!</v>
      </c>
      <c r="AI45" s="16" t="e">
        <f t="shared" si="44"/>
        <v>#DIV/0!</v>
      </c>
      <c r="AJ45" s="16" t="e">
        <f t="shared" ref="AJ45:AM45" si="45">+(AJ3*1000)/AJ7</f>
        <v>#DIV/0!</v>
      </c>
      <c r="AK45" s="16" t="e">
        <f t="shared" si="45"/>
        <v>#DIV/0!</v>
      </c>
      <c r="AL45" s="16" t="e">
        <f t="shared" si="45"/>
        <v>#DIV/0!</v>
      </c>
      <c r="AM45" s="16" t="e">
        <f t="shared" si="45"/>
        <v>#DIV/0!</v>
      </c>
    </row>
    <row r="47" spans="23:54" x14ac:dyDescent="0.25">
      <c r="W47" s="12" t="s">
        <v>56</v>
      </c>
      <c r="X47" s="13">
        <v>532465.70499999996</v>
      </c>
      <c r="Y47" s="13">
        <v>532465.70499999996</v>
      </c>
      <c r="Z47" s="13">
        <v>532465.70499999996</v>
      </c>
      <c r="AA47" s="13">
        <v>532465.70499999996</v>
      </c>
      <c r="AB47" s="13">
        <v>532465.70499999996</v>
      </c>
      <c r="AC47" s="13">
        <v>532465.70499999996</v>
      </c>
      <c r="AD47" s="13">
        <v>532465.70499999996</v>
      </c>
      <c r="AE47" s="13">
        <v>532465.70499999996</v>
      </c>
      <c r="AF47" s="13">
        <v>532465.70499999996</v>
      </c>
      <c r="AG47" s="13">
        <v>532465.70499999996</v>
      </c>
      <c r="AH47" s="13">
        <v>532465.70499999996</v>
      </c>
      <c r="AI47" s="13">
        <v>532465.70499999996</v>
      </c>
      <c r="AJ47" s="13">
        <v>532465.70499999996</v>
      </c>
      <c r="AK47" s="13">
        <v>532465.70499999996</v>
      </c>
      <c r="AL47" s="13">
        <v>532465.70499999996</v>
      </c>
      <c r="AM47" s="13">
        <v>532465.70499999996</v>
      </c>
    </row>
    <row r="49" spans="23:40" x14ac:dyDescent="0.25">
      <c r="W49" s="12" t="s">
        <v>57</v>
      </c>
      <c r="X49" s="16">
        <f t="shared" ref="X49:AI49" si="46">+X40/X47</f>
        <v>35.059518058538629</v>
      </c>
      <c r="Y49" s="16">
        <f t="shared" si="46"/>
        <v>35.599605424353108</v>
      </c>
      <c r="Z49" s="16">
        <f t="shared" si="46"/>
        <v>37.417703737370282</v>
      </c>
      <c r="AA49" s="16">
        <f t="shared" si="46"/>
        <v>37.930589351289775</v>
      </c>
      <c r="AB49" s="16">
        <f t="shared" si="46"/>
        <v>38.459357678256481</v>
      </c>
      <c r="AC49" s="16">
        <f t="shared" si="46"/>
        <v>39.2802631298104</v>
      </c>
      <c r="AD49" s="16">
        <f t="shared" si="46"/>
        <v>45.610287708576465</v>
      </c>
      <c r="AE49" s="16">
        <f t="shared" si="46"/>
        <v>64.252806666675369</v>
      </c>
      <c r="AF49" s="16">
        <f t="shared" si="46"/>
        <v>85.20881734533495</v>
      </c>
      <c r="AG49" s="16">
        <f t="shared" si="46"/>
        <v>100.67130426738001</v>
      </c>
      <c r="AH49" s="16">
        <f t="shared" si="46"/>
        <v>114.99810302336749</v>
      </c>
      <c r="AI49" s="16">
        <f t="shared" si="46"/>
        <v>115.59226523330739</v>
      </c>
      <c r="AJ49" s="16">
        <f t="shared" ref="AJ49:AM49" si="47">+AJ40/AJ47</f>
        <v>125.09352879355865</v>
      </c>
      <c r="AK49" s="16">
        <f t="shared" si="47"/>
        <v>130.75671042513434</v>
      </c>
      <c r="AL49" s="16">
        <f t="shared" si="47"/>
        <v>137.98101231702802</v>
      </c>
      <c r="AM49" s="16">
        <f t="shared" si="47"/>
        <v>145.07238546001759</v>
      </c>
    </row>
    <row r="51" spans="23:40" x14ac:dyDescent="0.25">
      <c r="W51" s="12" t="s">
        <v>67</v>
      </c>
      <c r="X51" s="13"/>
      <c r="Y51" s="13">
        <f>+Y55-X55</f>
        <v>277734</v>
      </c>
      <c r="Z51" s="13">
        <f>+Z55-Y55</f>
        <v>-550653</v>
      </c>
      <c r="AA51" s="13">
        <f>+AA55</f>
        <v>-10036998</v>
      </c>
      <c r="AB51" s="13">
        <f t="shared" ref="AB51:AD52" si="48">+AB55-AA55</f>
        <v>7917183</v>
      </c>
      <c r="AC51" s="13">
        <f t="shared" si="48"/>
        <v>-2686705</v>
      </c>
      <c r="AD51" s="13">
        <f t="shared" si="48"/>
        <v>1184499</v>
      </c>
      <c r="AE51" s="13">
        <f>+AE55</f>
        <v>-6213886</v>
      </c>
      <c r="AF51" s="13">
        <f>+AF55-AE55</f>
        <v>25535211</v>
      </c>
      <c r="AG51" s="13">
        <f>+AG55-AF55</f>
        <v>-3072510</v>
      </c>
      <c r="AH51" s="13">
        <f t="shared" ref="AH51:AH52" si="49">+AH55-AG55</f>
        <v>6464167</v>
      </c>
      <c r="AI51" s="13">
        <f>+AI55</f>
        <v>3866469</v>
      </c>
      <c r="AJ51" s="13">
        <f>+AJ55-AI55</f>
        <v>13979516</v>
      </c>
      <c r="AK51" s="13">
        <f>+AK55-AJ55</f>
        <v>-5984741</v>
      </c>
      <c r="AL51" s="13">
        <f t="shared" ref="AL51:AL52" si="50">+AL55-AK55</f>
        <v>9863288</v>
      </c>
      <c r="AM51" s="13">
        <f>+AM55</f>
        <v>-711626</v>
      </c>
    </row>
    <row r="52" spans="23:40" x14ac:dyDescent="0.25">
      <c r="W52" s="12" t="s">
        <v>60</v>
      </c>
      <c r="Y52" s="13">
        <f>+Y56-X56</f>
        <v>-50899</v>
      </c>
      <c r="Z52" s="13">
        <f>+Z56-Y56</f>
        <v>-138154</v>
      </c>
      <c r="AA52" s="13">
        <f>+AA56</f>
        <v>-44678</v>
      </c>
      <c r="AB52" s="13">
        <f t="shared" si="48"/>
        <v>-65689</v>
      </c>
      <c r="AC52" s="13">
        <f t="shared" si="48"/>
        <v>-79593</v>
      </c>
      <c r="AD52" s="13">
        <f t="shared" si="48"/>
        <v>-75348</v>
      </c>
      <c r="AE52" s="13">
        <f>+AE56</f>
        <v>-53921</v>
      </c>
      <c r="AF52" s="13">
        <f>+AF56-AE56</f>
        <v>-101094</v>
      </c>
      <c r="AG52" s="13">
        <f>+AG56-AF56</f>
        <v>-55468</v>
      </c>
      <c r="AH52" s="13">
        <f t="shared" si="49"/>
        <v>-258112</v>
      </c>
      <c r="AI52" s="13">
        <f>+AI56</f>
        <v>-247380</v>
      </c>
      <c r="AJ52" s="13">
        <f>+AJ56-AI56</f>
        <v>-516318</v>
      </c>
      <c r="AK52" s="13">
        <f>+AK56-AJ56</f>
        <v>-244156</v>
      </c>
      <c r="AL52" s="13">
        <f t="shared" si="50"/>
        <v>-415264</v>
      </c>
      <c r="AM52" s="13">
        <f>+AM56</f>
        <v>-228532</v>
      </c>
    </row>
    <row r="53" spans="23:40" x14ac:dyDescent="0.25">
      <c r="W53" s="12" t="s">
        <v>68</v>
      </c>
      <c r="Y53" s="13">
        <f t="shared" ref="Y53:AI53" si="51">+Y51+Y52</f>
        <v>226835</v>
      </c>
      <c r="Z53" s="13">
        <f t="shared" si="51"/>
        <v>-688807</v>
      </c>
      <c r="AA53" s="13">
        <f t="shared" si="51"/>
        <v>-10081676</v>
      </c>
      <c r="AB53" s="13">
        <f t="shared" si="51"/>
        <v>7851494</v>
      </c>
      <c r="AC53" s="13">
        <f t="shared" si="51"/>
        <v>-2766298</v>
      </c>
      <c r="AD53" s="13">
        <f t="shared" si="51"/>
        <v>1109151</v>
      </c>
      <c r="AE53" s="13">
        <f t="shared" si="51"/>
        <v>-6267807</v>
      </c>
      <c r="AF53" s="13">
        <f t="shared" si="51"/>
        <v>25434117</v>
      </c>
      <c r="AG53" s="13">
        <f t="shared" si="51"/>
        <v>-3127978</v>
      </c>
      <c r="AH53" s="13">
        <f t="shared" si="51"/>
        <v>6206055</v>
      </c>
      <c r="AI53" s="13">
        <f t="shared" si="51"/>
        <v>3619089</v>
      </c>
      <c r="AJ53" s="13">
        <f t="shared" ref="AJ53:AM53" si="52">+AJ51+AJ52</f>
        <v>13463198</v>
      </c>
      <c r="AK53" s="13">
        <f t="shared" si="52"/>
        <v>-6228897</v>
      </c>
      <c r="AL53" s="13">
        <f t="shared" si="52"/>
        <v>9448024</v>
      </c>
      <c r="AM53" s="13">
        <f t="shared" si="52"/>
        <v>-940158</v>
      </c>
    </row>
    <row r="55" spans="23:40" x14ac:dyDescent="0.25">
      <c r="W55" s="12" t="s">
        <v>67</v>
      </c>
      <c r="X55" s="13">
        <v>6233673</v>
      </c>
      <c r="Y55" s="13">
        <v>6511407</v>
      </c>
      <c r="Z55" s="13">
        <v>5960754</v>
      </c>
      <c r="AA55" s="13">
        <v>-10036998</v>
      </c>
      <c r="AB55" s="13">
        <v>-2119815</v>
      </c>
      <c r="AC55" s="13">
        <v>-4806520</v>
      </c>
      <c r="AD55" s="13">
        <v>-3622021</v>
      </c>
      <c r="AE55" s="13">
        <v>-6213886</v>
      </c>
      <c r="AF55" s="13">
        <v>19321325</v>
      </c>
      <c r="AG55" s="13">
        <v>16248815</v>
      </c>
      <c r="AH55" s="13">
        <v>22712982</v>
      </c>
      <c r="AI55" s="13">
        <v>3866469</v>
      </c>
      <c r="AJ55" s="13">
        <v>17845985</v>
      </c>
      <c r="AK55" s="13">
        <v>11861244</v>
      </c>
      <c r="AL55" s="13">
        <v>21724532</v>
      </c>
      <c r="AM55" s="13">
        <v>-711626</v>
      </c>
    </row>
    <row r="56" spans="23:40" x14ac:dyDescent="0.25">
      <c r="W56" s="12" t="s">
        <v>60</v>
      </c>
      <c r="X56" s="13">
        <v>-120606</v>
      </c>
      <c r="Y56" s="13">
        <v>-171505</v>
      </c>
      <c r="Z56" s="13">
        <v>-309659</v>
      </c>
      <c r="AA56" s="13">
        <v>-44678</v>
      </c>
      <c r="AB56" s="13">
        <v>-110367</v>
      </c>
      <c r="AC56" s="13">
        <v>-189960</v>
      </c>
      <c r="AD56" s="13">
        <v>-265308</v>
      </c>
      <c r="AE56" s="13">
        <v>-53921</v>
      </c>
      <c r="AF56" s="13">
        <v>-155015</v>
      </c>
      <c r="AG56" s="13">
        <v>-210483</v>
      </c>
      <c r="AH56" s="13">
        <v>-468595</v>
      </c>
      <c r="AI56" s="13">
        <v>-247380</v>
      </c>
      <c r="AJ56" s="13">
        <v>-763698</v>
      </c>
      <c r="AK56" s="13">
        <v>-1007854</v>
      </c>
      <c r="AL56" s="13">
        <v>-1423118</v>
      </c>
      <c r="AM56" s="13">
        <v>-228532</v>
      </c>
    </row>
    <row r="57" spans="23:40" x14ac:dyDescent="0.25">
      <c r="W57" s="12" t="s">
        <v>68</v>
      </c>
      <c r="X57" s="13">
        <f t="shared" ref="X57:AF57" si="53">+X55+X56</f>
        <v>6113067</v>
      </c>
      <c r="Y57" s="13">
        <f t="shared" si="53"/>
        <v>6339902</v>
      </c>
      <c r="Z57" s="13">
        <f t="shared" si="53"/>
        <v>5651095</v>
      </c>
      <c r="AA57" s="13">
        <f t="shared" si="53"/>
        <v>-10081676</v>
      </c>
      <c r="AB57" s="13">
        <f t="shared" si="53"/>
        <v>-2230182</v>
      </c>
      <c r="AC57" s="13">
        <f t="shared" si="53"/>
        <v>-4996480</v>
      </c>
      <c r="AD57" s="13">
        <f t="shared" si="53"/>
        <v>-3887329</v>
      </c>
      <c r="AE57" s="13">
        <f t="shared" si="53"/>
        <v>-6267807</v>
      </c>
      <c r="AF57" s="13">
        <f t="shared" si="53"/>
        <v>19166310</v>
      </c>
      <c r="AG57" s="13">
        <f>+AG55+AG56</f>
        <v>16038332</v>
      </c>
      <c r="AH57" s="13">
        <f t="shared" ref="AH57:AJ57" si="54">+AH55+AH56</f>
        <v>22244387</v>
      </c>
      <c r="AI57" s="13">
        <f t="shared" si="54"/>
        <v>3619089</v>
      </c>
      <c r="AJ57" s="13">
        <f t="shared" si="54"/>
        <v>17082287</v>
      </c>
      <c r="AK57" s="13">
        <f>+AK55+AK56</f>
        <v>10853390</v>
      </c>
      <c r="AL57" s="13">
        <f t="shared" ref="AL57:AM57" si="55">+AL55+AL56</f>
        <v>20301414</v>
      </c>
      <c r="AM57" s="13">
        <f t="shared" si="55"/>
        <v>-940158</v>
      </c>
    </row>
    <row r="59" spans="23:40" x14ac:dyDescent="0.25">
      <c r="W59" s="47" t="s">
        <v>214</v>
      </c>
    </row>
    <row r="60" spans="23:40" x14ac:dyDescent="0.25">
      <c r="W60" s="12" t="s">
        <v>215</v>
      </c>
      <c r="X60" s="13">
        <v>139.5</v>
      </c>
      <c r="Y60" s="13">
        <v>139.5</v>
      </c>
      <c r="Z60" s="13">
        <v>139.5</v>
      </c>
      <c r="AA60" s="13">
        <v>139.5</v>
      </c>
      <c r="AB60" s="13">
        <v>157</v>
      </c>
      <c r="AC60" s="13">
        <v>177</v>
      </c>
      <c r="AD60" s="13">
        <v>205</v>
      </c>
      <c r="AE60" s="13">
        <v>409.33333333333331</v>
      </c>
      <c r="AF60" s="13">
        <v>450</v>
      </c>
      <c r="AG60" s="13">
        <v>380</v>
      </c>
      <c r="AH60" s="13">
        <v>377.5</v>
      </c>
      <c r="AI60" s="13">
        <v>330.33333333333331</v>
      </c>
      <c r="AJ60" s="13">
        <v>345.66666666666669</v>
      </c>
      <c r="AK60" s="13">
        <f>+'Auto Fuel Prices'!G44</f>
        <v>355.66666666666669</v>
      </c>
      <c r="AL60" s="13">
        <f>+'Auto Fuel Prices'!G47</f>
        <v>369.33333333333331</v>
      </c>
      <c r="AM60" s="13">
        <f>+'Auto Fuel Prices'!G50</f>
        <v>364.66666666666669</v>
      </c>
      <c r="AN60" s="13"/>
    </row>
    <row r="61" spans="23:40" x14ac:dyDescent="0.25">
      <c r="W61" s="12" t="s">
        <v>40</v>
      </c>
      <c r="X61" s="17"/>
      <c r="Y61" s="17"/>
      <c r="Z61" s="17"/>
      <c r="AA61" s="17"/>
      <c r="AB61" s="18">
        <f t="shared" ref="AB61:AM61" si="56">+AB60/X60-1</f>
        <v>0.12544802867383509</v>
      </c>
      <c r="AC61" s="18">
        <f t="shared" si="56"/>
        <v>0.26881720430107525</v>
      </c>
      <c r="AD61" s="18">
        <f t="shared" si="56"/>
        <v>0.46953405017921157</v>
      </c>
      <c r="AE61" s="18">
        <f t="shared" si="56"/>
        <v>1.9342891278375149</v>
      </c>
      <c r="AF61" s="18">
        <f t="shared" si="56"/>
        <v>1.8662420382165603</v>
      </c>
      <c r="AG61" s="18">
        <f t="shared" si="56"/>
        <v>1.1468926553672318</v>
      </c>
      <c r="AH61" s="18">
        <f t="shared" si="56"/>
        <v>0.84146341463414642</v>
      </c>
      <c r="AI61" s="18">
        <f t="shared" si="56"/>
        <v>-0.19299674267100975</v>
      </c>
      <c r="AJ61" s="18">
        <f>+AJ60/AF60-1</f>
        <v>-0.23185185185185186</v>
      </c>
      <c r="AK61" s="18">
        <f t="shared" si="56"/>
        <v>-6.4035087719298223E-2</v>
      </c>
      <c r="AL61" s="18">
        <f t="shared" si="56"/>
        <v>-2.1633554083885231E-2</v>
      </c>
      <c r="AM61" s="18">
        <f t="shared" si="56"/>
        <v>0.10393541876892032</v>
      </c>
      <c r="AN61" s="18"/>
    </row>
    <row r="62" spans="23:40" x14ac:dyDescent="0.25">
      <c r="W62" s="12" t="s">
        <v>41</v>
      </c>
      <c r="Y62" s="18">
        <f t="shared" ref="Y62" si="57">+Y60/X60-1</f>
        <v>0</v>
      </c>
      <c r="Z62" s="18">
        <f t="shared" ref="Z62" si="58">+Z60/Y60-1</f>
        <v>0</v>
      </c>
      <c r="AA62" s="18">
        <f t="shared" ref="AA62" si="59">+AA60/Z60-1</f>
        <v>0</v>
      </c>
      <c r="AB62" s="18">
        <f t="shared" ref="AB62" si="60">+AB60/AA60-1</f>
        <v>0.12544802867383509</v>
      </c>
      <c r="AC62" s="18">
        <f t="shared" ref="AC62" si="61">+AC60/AB60-1</f>
        <v>0.12738853503184711</v>
      </c>
      <c r="AD62" s="18">
        <f t="shared" ref="AD62" si="62">+AD60/AC60-1</f>
        <v>0.15819209039548032</v>
      </c>
      <c r="AE62" s="18">
        <f t="shared" ref="AE62" si="63">+AE60/AD60-1</f>
        <v>0.99674796747967465</v>
      </c>
      <c r="AF62" s="18">
        <f t="shared" ref="AF62" si="64">+AF60/AE60-1</f>
        <v>9.9348534201954442E-2</v>
      </c>
      <c r="AG62" s="18">
        <f t="shared" ref="AG62" si="65">+AG60/AF60-1</f>
        <v>-0.15555555555555556</v>
      </c>
      <c r="AH62" s="18">
        <f t="shared" ref="AH62" si="66">+AH60/AG60-1</f>
        <v>-6.5789473684210176E-3</v>
      </c>
      <c r="AI62" s="18">
        <f t="shared" ref="AI62" si="67">+AI60/AH60-1</f>
        <v>-0.12494481236203092</v>
      </c>
      <c r="AJ62" s="18">
        <f>+AJ60/AI60-1</f>
        <v>4.6417759838547124E-2</v>
      </c>
      <c r="AK62" s="18">
        <f t="shared" ref="AK62:AM62" si="68">+AK60/AJ60-1</f>
        <v>2.8929604628736838E-2</v>
      </c>
      <c r="AL62" s="18">
        <f t="shared" si="68"/>
        <v>3.8425492033739239E-2</v>
      </c>
      <c r="AM62" s="18">
        <f t="shared" si="68"/>
        <v>-1.2635379061371688E-2</v>
      </c>
      <c r="AN62" s="18"/>
    </row>
    <row r="63" spans="23:40" x14ac:dyDescent="0.25">
      <c r="W63" s="12" t="s">
        <v>216</v>
      </c>
      <c r="X63" s="13">
        <v>106.25</v>
      </c>
      <c r="Y63" s="13">
        <v>106.25</v>
      </c>
      <c r="Z63" s="13">
        <v>106.25</v>
      </c>
      <c r="AA63" s="13">
        <v>106.25</v>
      </c>
      <c r="AB63" s="13">
        <v>111</v>
      </c>
      <c r="AC63" s="13">
        <v>121</v>
      </c>
      <c r="AD63" s="13">
        <v>153</v>
      </c>
      <c r="AE63" s="13">
        <v>383</v>
      </c>
      <c r="AF63" s="13">
        <v>433.33333333333331</v>
      </c>
      <c r="AG63" s="13">
        <v>423.75</v>
      </c>
      <c r="AH63" s="13">
        <v>385</v>
      </c>
      <c r="AI63" s="13">
        <v>315</v>
      </c>
      <c r="AJ63" s="13">
        <v>318.33333333333331</v>
      </c>
      <c r="AK63" s="13">
        <f>+'Auto Fuel Prices'!I44</f>
        <v>345.33333333333331</v>
      </c>
      <c r="AL63" s="13">
        <f>+'Auto Fuel Prices'!I47</f>
        <v>361.33333333333331</v>
      </c>
      <c r="AM63" s="13">
        <f>+'Auto Fuel Prices'!I50</f>
        <v>337.66666666666669</v>
      </c>
      <c r="AN63" s="13"/>
    </row>
    <row r="64" spans="23:40" x14ac:dyDescent="0.25">
      <c r="W64" s="12" t="s">
        <v>40</v>
      </c>
      <c r="X64" s="17"/>
      <c r="Y64" s="17"/>
      <c r="Z64" s="17"/>
      <c r="AA64" s="17"/>
      <c r="AB64" s="18">
        <f t="shared" ref="AB64" si="69">+AB63/X63-1</f>
        <v>4.4705882352941151E-2</v>
      </c>
      <c r="AC64" s="18">
        <f t="shared" ref="AC64" si="70">+AC63/Y63-1</f>
        <v>0.13882352941176479</v>
      </c>
      <c r="AD64" s="18">
        <f t="shared" ref="AD64" si="71">+AD63/Z63-1</f>
        <v>0.43999999999999995</v>
      </c>
      <c r="AE64" s="18">
        <f t="shared" ref="AE64" si="72">+AE63/AA63-1</f>
        <v>2.604705882352941</v>
      </c>
      <c r="AF64" s="18">
        <f t="shared" ref="AF64" si="73">+AF63/AB63-1</f>
        <v>2.9039039039039038</v>
      </c>
      <c r="AG64" s="18">
        <f t="shared" ref="AG64" si="74">+AG63/AC63-1</f>
        <v>2.5020661157024793</v>
      </c>
      <c r="AH64" s="18">
        <f t="shared" ref="AH64" si="75">+AH63/AD63-1</f>
        <v>1.5163398692810457</v>
      </c>
      <c r="AI64" s="18">
        <f t="shared" ref="AI64" si="76">+AI63/AE63-1</f>
        <v>-0.17754569190600522</v>
      </c>
      <c r="AJ64" s="18">
        <f>+AJ63/AF63-1</f>
        <v>-0.26538461538461544</v>
      </c>
      <c r="AK64" s="18">
        <f t="shared" ref="AK64:AM64" si="77">+AK63/AG63-1</f>
        <v>-0.18505408062930195</v>
      </c>
      <c r="AL64" s="18">
        <f t="shared" si="77"/>
        <v>-6.1471861471861566E-2</v>
      </c>
      <c r="AM64" s="18">
        <f t="shared" si="77"/>
        <v>7.1957671957671998E-2</v>
      </c>
      <c r="AN64" s="18"/>
    </row>
    <row r="65" spans="23:40" x14ac:dyDescent="0.25">
      <c r="W65" s="12" t="s">
        <v>41</v>
      </c>
      <c r="Y65" s="18">
        <f t="shared" ref="Y65" si="78">+Y63/X63-1</f>
        <v>0</v>
      </c>
      <c r="Z65" s="18">
        <f t="shared" ref="Z65" si="79">+Z63/Y63-1</f>
        <v>0</v>
      </c>
      <c r="AA65" s="18">
        <f t="shared" ref="AA65" si="80">+AA63/Z63-1</f>
        <v>0</v>
      </c>
      <c r="AB65" s="18">
        <f t="shared" ref="AB65" si="81">+AB63/AA63-1</f>
        <v>4.4705882352941151E-2</v>
      </c>
      <c r="AC65" s="18">
        <f t="shared" ref="AC65" si="82">+AC63/AB63-1</f>
        <v>9.0090090090090058E-2</v>
      </c>
      <c r="AD65" s="18">
        <f t="shared" ref="AD65" si="83">+AD63/AC63-1</f>
        <v>0.26446280991735538</v>
      </c>
      <c r="AE65" s="18">
        <f t="shared" ref="AE65" si="84">+AE63/AD63-1</f>
        <v>1.5032679738562091</v>
      </c>
      <c r="AF65" s="18">
        <f t="shared" ref="AF65" si="85">+AF63/AE63-1</f>
        <v>0.1314186248912097</v>
      </c>
      <c r="AG65" s="18">
        <f t="shared" ref="AG65" si="86">+AG63/AF63-1</f>
        <v>-2.2115384615384537E-2</v>
      </c>
      <c r="AH65" s="18">
        <f t="shared" ref="AH65" si="87">+AH63/AG63-1</f>
        <v>-9.1445427728613526E-2</v>
      </c>
      <c r="AI65" s="18">
        <f t="shared" ref="AI65" si="88">+AI63/AH63-1</f>
        <v>-0.18181818181818177</v>
      </c>
      <c r="AJ65" s="18">
        <f>+AJ63/AI63-1</f>
        <v>1.058201058201047E-2</v>
      </c>
      <c r="AK65" s="18">
        <f t="shared" ref="AK65:AM65" si="89">+AK63/AJ63-1</f>
        <v>8.4816753926701516E-2</v>
      </c>
      <c r="AL65" s="18">
        <f t="shared" si="89"/>
        <v>4.6332046332046239E-2</v>
      </c>
      <c r="AM65" s="18">
        <f t="shared" si="89"/>
        <v>-6.5498154981549761E-2</v>
      </c>
      <c r="AN65" s="18"/>
    </row>
    <row r="66" spans="23:40" x14ac:dyDescent="0.25">
      <c r="W66" s="12" t="s">
        <v>217</v>
      </c>
      <c r="X66" s="13">
        <v>163.21499999999997</v>
      </c>
      <c r="Y66" s="13">
        <v>163.21499999999997</v>
      </c>
      <c r="Z66" s="13">
        <v>163.21499999999997</v>
      </c>
      <c r="AA66" s="13">
        <v>163.21499999999997</v>
      </c>
      <c r="AB66" s="13">
        <v>184</v>
      </c>
      <c r="AC66" s="13">
        <v>207</v>
      </c>
      <c r="AD66" s="13">
        <v>234.36333333333332</v>
      </c>
      <c r="AE66" s="13">
        <v>457.66666666666669</v>
      </c>
      <c r="AF66" s="13">
        <v>540</v>
      </c>
      <c r="AG66" s="13">
        <v>510</v>
      </c>
      <c r="AH66" s="13">
        <v>476.25</v>
      </c>
      <c r="AI66" s="13">
        <v>375</v>
      </c>
      <c r="AJ66" s="13">
        <v>385.66666666666669</v>
      </c>
      <c r="AK66" s="13">
        <f>+'Auto Fuel Prices'!H44</f>
        <v>423</v>
      </c>
      <c r="AL66" s="13">
        <f>+'Auto Fuel Prices'!H47</f>
        <v>455.66666666666669</v>
      </c>
      <c r="AM66" s="13">
        <f>+'Auto Fuel Prices'!H50</f>
        <v>426.66666666666669</v>
      </c>
      <c r="AN66" s="13"/>
    </row>
    <row r="67" spans="23:40" x14ac:dyDescent="0.25">
      <c r="W67" s="12" t="s">
        <v>40</v>
      </c>
      <c r="X67" s="17"/>
      <c r="Y67" s="17"/>
      <c r="Z67" s="17"/>
      <c r="AA67" s="17"/>
      <c r="AB67" s="18">
        <f t="shared" ref="AB67" si="90">+AB66/X66-1</f>
        <v>0.12734736390650392</v>
      </c>
      <c r="AC67" s="18">
        <f t="shared" ref="AC67" si="91">+AC66/Y66-1</f>
        <v>0.26826578439481685</v>
      </c>
      <c r="AD67" s="18">
        <f t="shared" ref="AD67" si="92">+AD66/Z66-1</f>
        <v>0.43591785885692702</v>
      </c>
      <c r="AE67" s="18">
        <f t="shared" ref="AE67" si="93">+AE66/AA66-1</f>
        <v>1.8040723381225177</v>
      </c>
      <c r="AF67" s="18">
        <f t="shared" ref="AF67" si="94">+AF66/AB66-1</f>
        <v>1.9347826086956523</v>
      </c>
      <c r="AG67" s="18">
        <f t="shared" ref="AG67" si="95">+AG66/AC66-1</f>
        <v>1.4637681159420288</v>
      </c>
      <c r="AH67" s="18">
        <f t="shared" ref="AH67" si="96">+AH66/AD66-1</f>
        <v>1.03210115347964</v>
      </c>
      <c r="AI67" s="18">
        <f t="shared" ref="AI67" si="97">+AI66/AE66-1</f>
        <v>-0.18062636562272405</v>
      </c>
      <c r="AJ67" s="18">
        <f>+AJ66/AF66-1</f>
        <v>-0.28580246913580243</v>
      </c>
      <c r="AK67" s="18">
        <f t="shared" ref="AK67:AM67" si="98">+AK66/AG66-1</f>
        <v>-0.1705882352941176</v>
      </c>
      <c r="AL67" s="18">
        <f t="shared" si="98"/>
        <v>-4.3219597550306132E-2</v>
      </c>
      <c r="AM67" s="18">
        <f t="shared" si="98"/>
        <v>0.13777777777777778</v>
      </c>
      <c r="AN67" s="18"/>
    </row>
    <row r="68" spans="23:40" x14ac:dyDescent="0.25">
      <c r="W68" s="12" t="s">
        <v>41</v>
      </c>
      <c r="Y68" s="18">
        <f t="shared" ref="Y68" si="99">+Y66/X66-1</f>
        <v>0</v>
      </c>
      <c r="Z68" s="18">
        <f t="shared" ref="Z68" si="100">+Z66/Y66-1</f>
        <v>0</v>
      </c>
      <c r="AA68" s="18">
        <f t="shared" ref="AA68" si="101">+AA66/Z66-1</f>
        <v>0</v>
      </c>
      <c r="AB68" s="18">
        <f t="shared" ref="AB68" si="102">+AB66/AA66-1</f>
        <v>0.12734736390650392</v>
      </c>
      <c r="AC68" s="18">
        <f t="shared" ref="AC68" si="103">+AC66/AB66-1</f>
        <v>0.125</v>
      </c>
      <c r="AD68" s="18">
        <f t="shared" ref="AD68" si="104">+AD66/AC66-1</f>
        <v>0.13219001610305958</v>
      </c>
      <c r="AE68" s="18">
        <f t="shared" ref="AE68" si="105">+AE66/AD66-1</f>
        <v>0.95280831756958584</v>
      </c>
      <c r="AF68" s="18">
        <f t="shared" ref="AF68" si="106">+AF66/AE66-1</f>
        <v>0.17989803350327738</v>
      </c>
      <c r="AG68" s="18">
        <f t="shared" ref="AG68" si="107">+AG66/AF66-1</f>
        <v>-5.555555555555558E-2</v>
      </c>
      <c r="AH68" s="18">
        <f t="shared" ref="AH68" si="108">+AH66/AG66-1</f>
        <v>-6.6176470588235281E-2</v>
      </c>
      <c r="AI68" s="18">
        <f t="shared" ref="AI68" si="109">+AI66/AH66-1</f>
        <v>-0.21259842519685035</v>
      </c>
      <c r="AJ68" s="18">
        <f>+AJ66/AI66-1</f>
        <v>2.8444444444444494E-2</v>
      </c>
      <c r="AK68" s="18">
        <f t="shared" ref="AK68:AM68" si="110">+AK66/AJ66-1</f>
        <v>9.6802074330164078E-2</v>
      </c>
      <c r="AL68" s="18">
        <f t="shared" si="110"/>
        <v>7.7226162332545423E-2</v>
      </c>
      <c r="AM68" s="18">
        <f t="shared" si="110"/>
        <v>-6.3643013899049028E-2</v>
      </c>
      <c r="AN68" s="18"/>
    </row>
    <row r="69" spans="23:40" x14ac:dyDescent="0.25">
      <c r="W69" s="12" t="s">
        <v>218</v>
      </c>
      <c r="X69" s="13">
        <v>132.8125</v>
      </c>
      <c r="Y69" s="13">
        <v>132.8125</v>
      </c>
      <c r="Z69" s="13">
        <v>132.8125</v>
      </c>
      <c r="AA69" s="13">
        <v>132.8125</v>
      </c>
      <c r="AB69" s="13">
        <v>144</v>
      </c>
      <c r="AC69" s="13">
        <v>159</v>
      </c>
      <c r="AD69" s="13">
        <v>186.08333333333334</v>
      </c>
      <c r="AE69" s="13">
        <v>431.33333333333331</v>
      </c>
      <c r="AF69" s="13">
        <v>510</v>
      </c>
      <c r="AG69" s="13">
        <v>510</v>
      </c>
      <c r="AH69" s="13">
        <v>498.75</v>
      </c>
      <c r="AI69" s="13">
        <v>378.33333333333331</v>
      </c>
      <c r="AJ69" s="13">
        <v>354.33333333333331</v>
      </c>
      <c r="AK69" s="13">
        <f>+'Auto Fuel Prices'!J44</f>
        <v>428.66666666666669</v>
      </c>
      <c r="AL69" s="13">
        <f>+'Auto Fuel Prices'!J47</f>
        <v>467</v>
      </c>
      <c r="AM69" s="13">
        <f>+'Auto Fuel Prices'!J50</f>
        <v>380</v>
      </c>
      <c r="AN69" s="13"/>
    </row>
    <row r="70" spans="23:40" x14ac:dyDescent="0.25">
      <c r="W70" s="12" t="s">
        <v>40</v>
      </c>
      <c r="X70" s="17"/>
      <c r="Y70" s="17"/>
      <c r="Z70" s="17"/>
      <c r="AA70" s="17"/>
      <c r="AB70" s="18">
        <f t="shared" ref="AB70" si="111">+AB69/X69-1</f>
        <v>8.4235294117646964E-2</v>
      </c>
      <c r="AC70" s="18">
        <f t="shared" ref="AC70" si="112">+AC69/Y69-1</f>
        <v>0.19717647058823529</v>
      </c>
      <c r="AD70" s="18">
        <f t="shared" ref="AD70" si="113">+AD69/Z69-1</f>
        <v>0.40109803921568643</v>
      </c>
      <c r="AE70" s="18">
        <f t="shared" ref="AE70" si="114">+AE69/AA69-1</f>
        <v>2.2476862745098036</v>
      </c>
      <c r="AF70" s="18">
        <f t="shared" ref="AF70" si="115">+AF69/AB69-1</f>
        <v>2.5416666666666665</v>
      </c>
      <c r="AG70" s="18">
        <f t="shared" ref="AG70" si="116">+AG69/AC69-1</f>
        <v>2.2075471698113209</v>
      </c>
      <c r="AH70" s="18">
        <f t="shared" ref="AH70" si="117">+AH69/AD69-1</f>
        <v>1.6802507836990594</v>
      </c>
      <c r="AI70" s="18">
        <f t="shared" ref="AI70" si="118">+AI69/AE69-1</f>
        <v>-0.12287480680061824</v>
      </c>
      <c r="AJ70" s="18">
        <f>+AJ69/AF69-1</f>
        <v>-0.30522875816993467</v>
      </c>
      <c r="AK70" s="18">
        <f t="shared" ref="AK70:AM70" si="119">+AK69/AG69-1</f>
        <v>-0.15947712418300652</v>
      </c>
      <c r="AL70" s="18">
        <f t="shared" si="119"/>
        <v>-6.3659147869674193E-2</v>
      </c>
      <c r="AM70" s="18">
        <f t="shared" si="119"/>
        <v>4.405286343612369E-3</v>
      </c>
      <c r="AN70" s="18"/>
    </row>
    <row r="71" spans="23:40" x14ac:dyDescent="0.25">
      <c r="W71" s="12" t="s">
        <v>41</v>
      </c>
      <c r="Y71" s="18">
        <f t="shared" ref="Y71" si="120">+Y69/X69-1</f>
        <v>0</v>
      </c>
      <c r="Z71" s="18">
        <f t="shared" ref="Z71" si="121">+Z69/Y69-1</f>
        <v>0</v>
      </c>
      <c r="AA71" s="18">
        <f t="shared" ref="AA71" si="122">+AA69/Z69-1</f>
        <v>0</v>
      </c>
      <c r="AB71" s="18">
        <f t="shared" ref="AB71" si="123">+AB69/AA69-1</f>
        <v>8.4235294117646964E-2</v>
      </c>
      <c r="AC71" s="18">
        <f t="shared" ref="AC71" si="124">+AC69/AB69-1</f>
        <v>0.10416666666666674</v>
      </c>
      <c r="AD71" s="18">
        <f t="shared" ref="AD71" si="125">+AD69/AC69-1</f>
        <v>0.1703354297693922</v>
      </c>
      <c r="AE71" s="18">
        <f t="shared" ref="AE71" si="126">+AE69/AD69-1</f>
        <v>1.3179579041648006</v>
      </c>
      <c r="AF71" s="18">
        <f t="shared" ref="AF71" si="127">+AF69/AE69-1</f>
        <v>0.1823802163833077</v>
      </c>
      <c r="AG71" s="18">
        <f t="shared" ref="AG71" si="128">+AG69/AF69-1</f>
        <v>0</v>
      </c>
      <c r="AH71" s="18">
        <f t="shared" ref="AH71" si="129">+AH69/AG69-1</f>
        <v>-2.2058823529411797E-2</v>
      </c>
      <c r="AI71" s="18">
        <f t="shared" ref="AI71" si="130">+AI69/AH69-1</f>
        <v>-0.24143692564745201</v>
      </c>
      <c r="AJ71" s="18">
        <f>+AJ69/AI69-1</f>
        <v>-6.3436123348017626E-2</v>
      </c>
      <c r="AK71" s="18">
        <f t="shared" ref="AK71:AM71" si="131">+AK69/AJ69-1</f>
        <v>0.20978363123236132</v>
      </c>
      <c r="AL71" s="18">
        <f t="shared" si="131"/>
        <v>8.9424572317262863E-2</v>
      </c>
      <c r="AM71" s="18">
        <f t="shared" si="131"/>
        <v>-0.1862955032119914</v>
      </c>
      <c r="AN71" s="18"/>
    </row>
    <row r="72" spans="23:40" x14ac:dyDescent="0.25">
      <c r="W72" s="47"/>
      <c r="AC72" s="13"/>
      <c r="AG72" s="13"/>
      <c r="AK72" s="13"/>
    </row>
    <row r="73" spans="23:40" x14ac:dyDescent="0.25">
      <c r="Z73" s="13"/>
      <c r="AA73" s="13"/>
      <c r="AB73" s="13"/>
      <c r="AC73" s="13"/>
      <c r="AD73" s="13"/>
      <c r="AE73" s="13"/>
      <c r="AF73" s="13"/>
      <c r="AG73" s="13"/>
      <c r="AH73" s="13"/>
      <c r="AI73" s="13"/>
      <c r="AJ73" s="13"/>
      <c r="AK73" s="13"/>
      <c r="AL73" s="13"/>
      <c r="AM73" s="13"/>
    </row>
    <row r="74" spans="23:40" x14ac:dyDescent="0.25">
      <c r="X74" s="17"/>
      <c r="Y74" s="17"/>
      <c r="Z74" s="17"/>
      <c r="AA74" s="17"/>
      <c r="AB74" s="18"/>
      <c r="AC74" s="18"/>
      <c r="AD74" s="18"/>
      <c r="AE74" s="18"/>
      <c r="AF74" s="18"/>
      <c r="AG74" s="18"/>
      <c r="AH74" s="18"/>
      <c r="AI74" s="18"/>
      <c r="AJ74" s="18"/>
      <c r="AK74" s="18"/>
      <c r="AL74" s="18"/>
      <c r="AM74" s="18"/>
    </row>
    <row r="75" spans="23:40" x14ac:dyDescent="0.25">
      <c r="Y75" s="18"/>
      <c r="Z75" s="18"/>
      <c r="AA75" s="18"/>
      <c r="AB75" s="18"/>
      <c r="AC75" s="18"/>
      <c r="AD75" s="18"/>
      <c r="AE75" s="18"/>
      <c r="AF75" s="18"/>
      <c r="AG75" s="18"/>
      <c r="AH75" s="18"/>
      <c r="AI75" s="18"/>
      <c r="AJ75" s="18"/>
      <c r="AK75" s="18"/>
      <c r="AL75" s="18"/>
      <c r="AM75" s="18"/>
    </row>
    <row r="76" spans="23:40" x14ac:dyDescent="0.25">
      <c r="Z76" s="13"/>
      <c r="AA76" s="13"/>
      <c r="AB76" s="13"/>
      <c r="AC76" s="13"/>
      <c r="AD76" s="13"/>
      <c r="AE76" s="13"/>
      <c r="AF76" s="13"/>
      <c r="AG76" s="13"/>
      <c r="AH76" s="13"/>
      <c r="AI76" s="13"/>
      <c r="AJ76" s="13"/>
      <c r="AK76" s="13"/>
      <c r="AL76" s="13"/>
      <c r="AM76" s="13"/>
    </row>
    <row r="77" spans="23:40" x14ac:dyDescent="0.25">
      <c r="X77" s="19"/>
      <c r="Y77" s="19"/>
      <c r="Z77" s="19"/>
      <c r="AA77" s="19"/>
      <c r="AB77" s="19"/>
      <c r="AC77" s="19"/>
      <c r="AD77" s="19"/>
      <c r="AE77" s="19"/>
      <c r="AF77" s="19"/>
      <c r="AG77" s="19"/>
      <c r="AH77" s="19"/>
      <c r="AI77" s="19"/>
      <c r="AJ77" s="19"/>
      <c r="AK77" s="19"/>
      <c r="AL77" s="19"/>
      <c r="AM77" s="19"/>
    </row>
    <row r="78" spans="23:40" x14ac:dyDescent="0.25">
      <c r="Z78" s="13"/>
      <c r="AA78" s="13"/>
      <c r="AB78" s="13"/>
      <c r="AC78" s="13"/>
      <c r="AD78" s="13"/>
      <c r="AE78" s="13"/>
      <c r="AF78" s="13"/>
      <c r="AG78" s="13"/>
      <c r="AH78" s="13"/>
      <c r="AI78" s="13"/>
      <c r="AJ78" s="13"/>
      <c r="AK78" s="13"/>
      <c r="AL78" s="13"/>
      <c r="AM78" s="13"/>
    </row>
    <row r="79" spans="23:40" x14ac:dyDescent="0.25">
      <c r="Z79" s="19"/>
      <c r="AA79" s="19"/>
      <c r="AB79" s="19"/>
      <c r="AC79" s="19"/>
      <c r="AD79" s="19"/>
      <c r="AE79" s="19"/>
      <c r="AF79" s="19"/>
      <c r="AG79" s="19"/>
      <c r="AH79" s="19"/>
      <c r="AI79" s="19"/>
      <c r="AJ79" s="19"/>
      <c r="AK79" s="19"/>
      <c r="AL79" s="19"/>
      <c r="AM79" s="19"/>
    </row>
  </sheetData>
  <mergeCells count="4">
    <mergeCell ref="B13:H13"/>
    <mergeCell ref="AV2:AZ2"/>
    <mergeCell ref="AQ2:AU2"/>
    <mergeCell ref="BA2:BE2"/>
  </mergeCell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34578-56A0-4688-BFCF-1EC45982E8A0}">
  <sheetPr codeName="Sheet11">
    <tabColor rgb="FF92D050"/>
  </sheetPr>
  <dimension ref="A1:AX89"/>
  <sheetViews>
    <sheetView topLeftCell="Z14" zoomScale="85" zoomScaleNormal="85" workbookViewId="0">
      <selection activeCell="AK32" sqref="AK32"/>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7" width="12" style="12" customWidth="1"/>
    <col min="38" max="39" width="8.85546875" style="12"/>
    <col min="40" max="40" width="14.28515625" style="50" bestFit="1" customWidth="1"/>
    <col min="41" max="16384" width="8.85546875" style="50"/>
  </cols>
  <sheetData>
    <row r="1" spans="1:50" ht="15.75" thickBot="1" x14ac:dyDescent="0.3">
      <c r="W1" s="20" t="s">
        <v>194</v>
      </c>
      <c r="X1" s="59">
        <f>+'Valuation Sheet'!C19</f>
        <v>1226.25</v>
      </c>
    </row>
    <row r="2" spans="1:50"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171</v>
      </c>
      <c r="X2" s="11" t="s">
        <v>105</v>
      </c>
      <c r="Y2" s="11" t="s">
        <v>104</v>
      </c>
      <c r="Z2" s="11" t="s">
        <v>103</v>
      </c>
      <c r="AA2" s="11" t="s">
        <v>101</v>
      </c>
      <c r="AB2" s="11" t="s">
        <v>102</v>
      </c>
      <c r="AC2" s="11" t="s">
        <v>100</v>
      </c>
      <c r="AD2" s="11" t="s">
        <v>99</v>
      </c>
      <c r="AE2" s="11" t="s">
        <v>97</v>
      </c>
      <c r="AF2" s="11" t="s">
        <v>98</v>
      </c>
      <c r="AG2" s="11" t="s">
        <v>96</v>
      </c>
      <c r="AH2" s="11" t="s">
        <v>95</v>
      </c>
      <c r="AI2" s="11" t="s">
        <v>94</v>
      </c>
      <c r="AJ2" s="11" t="s">
        <v>93</v>
      </c>
      <c r="AK2" s="11" t="s">
        <v>366</v>
      </c>
      <c r="AN2" s="71" t="str">
        <f>+W2</f>
        <v>CTC</v>
      </c>
      <c r="AO2" s="189" t="s">
        <v>198</v>
      </c>
      <c r="AP2" s="190"/>
      <c r="AQ2" s="190"/>
      <c r="AR2" s="190"/>
      <c r="AS2" s="191"/>
      <c r="AT2" s="192" t="s">
        <v>199</v>
      </c>
      <c r="AU2" s="192"/>
      <c r="AV2" s="192"/>
      <c r="AW2" s="192"/>
      <c r="AX2" s="192"/>
    </row>
    <row r="3" spans="1:50" ht="18" thickTop="1" thickBot="1" x14ac:dyDescent="0.4">
      <c r="B3" s="25" t="s">
        <v>10</v>
      </c>
      <c r="C3" s="26">
        <v>17820.179</v>
      </c>
      <c r="D3" s="26"/>
      <c r="E3" s="26"/>
      <c r="F3" s="26"/>
      <c r="G3" s="26"/>
      <c r="H3" s="26"/>
      <c r="I3" s="27"/>
      <c r="J3" s="21"/>
      <c r="M3" s="1" t="s">
        <v>11</v>
      </c>
      <c r="N3" s="2">
        <f>'[1]LT Portfolio'!W294</f>
        <v>0</v>
      </c>
      <c r="W3" s="12" t="s">
        <v>106</v>
      </c>
      <c r="X3" s="13">
        <v>24176</v>
      </c>
      <c r="Y3" s="13">
        <v>44589</v>
      </c>
      <c r="Z3" s="13">
        <v>29146</v>
      </c>
      <c r="AA3" s="13">
        <v>34759</v>
      </c>
      <c r="AB3" s="13">
        <v>30016</v>
      </c>
      <c r="AC3" s="13">
        <v>31709</v>
      </c>
      <c r="AD3" s="13">
        <v>37885</v>
      </c>
      <c r="AE3" s="13">
        <v>37002</v>
      </c>
      <c r="AF3" s="13">
        <v>42321</v>
      </c>
      <c r="AG3" s="13">
        <v>47125</v>
      </c>
      <c r="AH3" s="13">
        <v>40746</v>
      </c>
      <c r="AI3" s="13">
        <v>46935</v>
      </c>
      <c r="AJ3" s="13">
        <v>54767</v>
      </c>
      <c r="AK3" s="13">
        <v>44764</v>
      </c>
      <c r="AN3" s="69"/>
      <c r="AO3" s="66" t="s">
        <v>78</v>
      </c>
      <c r="AP3" s="67" t="s">
        <v>17</v>
      </c>
      <c r="AQ3" s="67" t="s">
        <v>184</v>
      </c>
      <c r="AR3" s="67" t="s">
        <v>29</v>
      </c>
      <c r="AS3" s="68" t="s">
        <v>30</v>
      </c>
      <c r="AT3" s="66" t="s">
        <v>78</v>
      </c>
      <c r="AU3" s="67" t="s">
        <v>17</v>
      </c>
      <c r="AV3" s="67" t="s">
        <v>184</v>
      </c>
      <c r="AW3" s="67" t="s">
        <v>29</v>
      </c>
      <c r="AX3" s="68" t="s">
        <v>30</v>
      </c>
    </row>
    <row r="4" spans="1:50"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f t="shared" ref="AB4" si="1">+AB3/X3-1</f>
        <v>0.241561879549967</v>
      </c>
      <c r="AC4" s="18">
        <f t="shared" ref="AC4" si="2">+AC3/Y3-1</f>
        <v>-0.28886048128462172</v>
      </c>
      <c r="AD4" s="18">
        <f t="shared" ref="AD4" si="3">+AD3/Z3-1</f>
        <v>0.29983531187813073</v>
      </c>
      <c r="AE4" s="18">
        <f t="shared" ref="AE4" si="4">+AE3/AA3-1</f>
        <v>6.4530049771282183E-2</v>
      </c>
      <c r="AF4" s="18">
        <f t="shared" ref="AF4" si="5">+AF3/AB3-1</f>
        <v>0.4099480277185501</v>
      </c>
      <c r="AG4" s="18">
        <f t="shared" ref="AG4" si="6">+AG3/AC3-1</f>
        <v>0.48617111860985851</v>
      </c>
      <c r="AH4" s="18">
        <f t="shared" ref="AH4" si="7">+AH3/AD3-1</f>
        <v>7.5518015045532572E-2</v>
      </c>
      <c r="AI4" s="18">
        <f t="shared" ref="AI4" si="8">+AI3/AE3-1</f>
        <v>0.2684449489216798</v>
      </c>
      <c r="AJ4" s="18">
        <f t="shared" ref="AJ4:AK4" si="9">+AJ3/AF3-1</f>
        <v>0.29408567850476119</v>
      </c>
      <c r="AK4" s="18">
        <f t="shared" si="9"/>
        <v>-5.0100795755968153E-2</v>
      </c>
      <c r="AL4" s="46"/>
      <c r="AN4" s="69" t="s">
        <v>185</v>
      </c>
      <c r="AO4" s="60">
        <v>48185</v>
      </c>
      <c r="AP4" s="61"/>
      <c r="AQ4" s="61">
        <v>24177</v>
      </c>
      <c r="AR4" s="74">
        <v>129.1</v>
      </c>
      <c r="AS4" s="64">
        <v>129.1</v>
      </c>
      <c r="AT4" s="60">
        <v>53104</v>
      </c>
      <c r="AU4" s="61"/>
      <c r="AV4" s="61">
        <v>26224</v>
      </c>
      <c r="AW4" s="58">
        <v>140</v>
      </c>
      <c r="AX4" s="64">
        <v>140</v>
      </c>
    </row>
    <row r="5" spans="1:50" ht="18" thickTop="1" thickBot="1" x14ac:dyDescent="0.4">
      <c r="B5" s="32" t="s">
        <v>13</v>
      </c>
      <c r="C5" s="29">
        <v>2994.8620000000001</v>
      </c>
      <c r="D5" s="26"/>
      <c r="E5" s="26"/>
      <c r="F5" s="26"/>
      <c r="G5" s="26"/>
      <c r="H5" s="26"/>
      <c r="I5" s="27"/>
      <c r="J5" s="21"/>
      <c r="M5" s="1" t="s">
        <v>14</v>
      </c>
      <c r="N5" s="3">
        <f>202.575/415.481776</f>
        <v>0.48756651122045841</v>
      </c>
      <c r="W5" s="12" t="s">
        <v>41</v>
      </c>
      <c r="Y5" s="18">
        <f t="shared" ref="Y5" si="10">+Y3/X3-1</f>
        <v>0.84434976836532094</v>
      </c>
      <c r="Z5" s="18">
        <f t="shared" ref="Z5" si="11">+Z3/Y3-1</f>
        <v>-0.34634102581354143</v>
      </c>
      <c r="AA5" s="18">
        <f t="shared" ref="AA5" si="12">+AA3/Z3-1</f>
        <v>0.19258217251080767</v>
      </c>
      <c r="AB5" s="18">
        <f t="shared" ref="AB5" si="13">+AB3/AA3-1</f>
        <v>-0.13645386806294768</v>
      </c>
      <c r="AC5" s="18">
        <f t="shared" ref="AC5" si="14">+AC3/AB3-1</f>
        <v>5.6403251599147053E-2</v>
      </c>
      <c r="AD5" s="18">
        <f t="shared" ref="AD5:AK5" si="15">+AD3/AC3-1</f>
        <v>0.19477120060550623</v>
      </c>
      <c r="AE5" s="18">
        <f t="shared" si="15"/>
        <v>-2.3307377590075173E-2</v>
      </c>
      <c r="AF5" s="18">
        <f t="shared" si="15"/>
        <v>0.143748986541268</v>
      </c>
      <c r="AG5" s="18">
        <f t="shared" si="15"/>
        <v>0.11351338578956072</v>
      </c>
      <c r="AH5" s="18">
        <f t="shared" si="15"/>
        <v>-0.13536339522546414</v>
      </c>
      <c r="AI5" s="18">
        <f t="shared" si="15"/>
        <v>0.15189221027830957</v>
      </c>
      <c r="AJ5" s="18">
        <f t="shared" si="15"/>
        <v>0.16686907425162456</v>
      </c>
      <c r="AK5" s="18">
        <f t="shared" si="15"/>
        <v>-0.18264648419668783</v>
      </c>
      <c r="AN5" s="69" t="s">
        <v>186</v>
      </c>
      <c r="AO5" s="60">
        <v>53478</v>
      </c>
      <c r="AP5" s="61">
        <v>41332</v>
      </c>
      <c r="AQ5" s="61">
        <v>25665</v>
      </c>
      <c r="AR5" s="58">
        <v>137</v>
      </c>
      <c r="AS5" s="64">
        <v>137</v>
      </c>
      <c r="AT5" s="60">
        <v>57643</v>
      </c>
      <c r="AU5" s="61">
        <v>45125</v>
      </c>
      <c r="AV5" s="61">
        <v>27533</v>
      </c>
      <c r="AW5" s="58">
        <v>147</v>
      </c>
      <c r="AX5" s="64">
        <v>147</v>
      </c>
    </row>
    <row r="6" spans="1:50" ht="18" thickTop="1" thickBot="1" x14ac:dyDescent="0.4">
      <c r="B6" s="28" t="s">
        <v>15</v>
      </c>
      <c r="C6" s="30">
        <f t="shared" ref="C6:G6" si="16">C5/C$3*100</f>
        <v>16.806015248219449</v>
      </c>
      <c r="D6" s="30" t="e">
        <f t="shared" si="16"/>
        <v>#DIV/0!</v>
      </c>
      <c r="E6" s="30" t="e">
        <f t="shared" si="16"/>
        <v>#DIV/0!</v>
      </c>
      <c r="F6" s="30" t="e">
        <f t="shared" si="16"/>
        <v>#DIV/0!</v>
      </c>
      <c r="G6" s="30" t="e">
        <f t="shared" si="16"/>
        <v>#DIV/0!</v>
      </c>
      <c r="H6" s="30" t="e">
        <f>H5/H$3*100</f>
        <v>#DIV/0!</v>
      </c>
      <c r="I6" s="31" t="e">
        <f>I5/I$3*100</f>
        <v>#DIV/0!</v>
      </c>
      <c r="J6" s="23" t="e">
        <f>AVERAGE(D6:I6)</f>
        <v>#DIV/0!</v>
      </c>
      <c r="M6" s="1" t="s">
        <v>16</v>
      </c>
      <c r="N6" s="3">
        <f>261.001/415.481776</f>
        <v>0.62818880412218114</v>
      </c>
      <c r="AN6" s="69" t="s">
        <v>187</v>
      </c>
      <c r="AO6" s="60">
        <v>52983</v>
      </c>
      <c r="AP6" s="61">
        <v>39524</v>
      </c>
      <c r="AQ6" s="61">
        <v>24496</v>
      </c>
      <c r="AR6" s="74">
        <v>130.77000000000001</v>
      </c>
      <c r="AS6" s="64">
        <v>131</v>
      </c>
      <c r="AT6" s="60">
        <v>61766</v>
      </c>
      <c r="AU6" s="61">
        <v>46509</v>
      </c>
      <c r="AV6" s="61">
        <v>28449</v>
      </c>
      <c r="AW6" s="58">
        <v>151.87</v>
      </c>
      <c r="AX6" s="64">
        <v>151</v>
      </c>
    </row>
    <row r="7" spans="1:50" ht="18" thickTop="1" thickBot="1" x14ac:dyDescent="0.4">
      <c r="B7" s="32" t="s">
        <v>17</v>
      </c>
      <c r="C7" s="26">
        <v>2167.6080000000002</v>
      </c>
      <c r="D7" s="26"/>
      <c r="E7" s="26"/>
      <c r="F7" s="26"/>
      <c r="G7" s="26"/>
      <c r="H7" s="26"/>
      <c r="I7" s="27"/>
      <c r="J7" s="24"/>
      <c r="M7" s="1" t="s">
        <v>18</v>
      </c>
      <c r="N7" s="3">
        <f>'[1]LT Portfolio'!P294</f>
        <v>0</v>
      </c>
      <c r="W7" s="12" t="s">
        <v>107</v>
      </c>
      <c r="X7" s="13">
        <v>5535</v>
      </c>
      <c r="Y7" s="13">
        <v>11031</v>
      </c>
      <c r="Z7" s="13">
        <v>7205</v>
      </c>
      <c r="AA7" s="13">
        <v>8399</v>
      </c>
      <c r="AB7" s="13">
        <v>7707</v>
      </c>
      <c r="AC7" s="13">
        <v>8054</v>
      </c>
      <c r="AD7" s="13">
        <v>9456</v>
      </c>
      <c r="AE7" s="13">
        <v>9157</v>
      </c>
      <c r="AF7" s="13">
        <v>10139</v>
      </c>
      <c r="AG7" s="13">
        <v>12911</v>
      </c>
      <c r="AH7" s="13">
        <v>12065</v>
      </c>
      <c r="AI7" s="13">
        <v>12709</v>
      </c>
      <c r="AJ7" s="13">
        <v>14185</v>
      </c>
      <c r="AK7" s="13">
        <v>13223</v>
      </c>
      <c r="AN7" s="69" t="s">
        <v>197</v>
      </c>
      <c r="AO7" s="60">
        <v>53350</v>
      </c>
      <c r="AP7" s="61">
        <v>38499</v>
      </c>
      <c r="AQ7" s="61">
        <v>23816</v>
      </c>
      <c r="AR7" s="58">
        <v>127.14</v>
      </c>
      <c r="AS7" s="64">
        <v>125.87</v>
      </c>
      <c r="AT7" s="60">
        <v>55357</v>
      </c>
      <c r="AU7" s="61">
        <v>39013</v>
      </c>
      <c r="AV7" s="61">
        <v>24221</v>
      </c>
      <c r="AW7" s="58">
        <v>129.30000000000001</v>
      </c>
      <c r="AX7" s="64">
        <v>126.72</v>
      </c>
    </row>
    <row r="8" spans="1:50" ht="18" thickTop="1" thickBot="1" x14ac:dyDescent="0.4">
      <c r="B8" s="28" t="s">
        <v>19</v>
      </c>
      <c r="C8" s="30">
        <f t="shared" ref="C8:I8" si="17">C7/C$3*100</f>
        <v>12.16378353999699</v>
      </c>
      <c r="D8" s="30" t="e">
        <f t="shared" si="17"/>
        <v>#DIV/0!</v>
      </c>
      <c r="E8" s="30" t="e">
        <f t="shared" si="17"/>
        <v>#DIV/0!</v>
      </c>
      <c r="F8" s="30" t="e">
        <f t="shared" si="17"/>
        <v>#DIV/0!</v>
      </c>
      <c r="G8" s="30" t="e">
        <f t="shared" si="17"/>
        <v>#DIV/0!</v>
      </c>
      <c r="H8" s="30" t="e">
        <f t="shared" si="17"/>
        <v>#DIV/0!</v>
      </c>
      <c r="I8" s="31" t="e">
        <f t="shared" si="17"/>
        <v>#DIV/0!</v>
      </c>
      <c r="J8" s="23" t="e">
        <f>AVERAGE(D8:I8)</f>
        <v>#DIV/0!</v>
      </c>
      <c r="M8" s="1" t="s">
        <v>20</v>
      </c>
      <c r="N8" s="3">
        <f>'[1]LT Portfolio'!Q294</f>
        <v>0</v>
      </c>
      <c r="W8" s="12" t="s">
        <v>40</v>
      </c>
      <c r="X8" s="17"/>
      <c r="Y8" s="17"/>
      <c r="Z8" s="17"/>
      <c r="AA8" s="17"/>
      <c r="AB8" s="18">
        <f t="shared" ref="AB8:AK8" si="18">+AB7/X7-1</f>
        <v>0.3924119241192412</v>
      </c>
      <c r="AC8" s="18">
        <f t="shared" si="18"/>
        <v>-0.26987580455081139</v>
      </c>
      <c r="AD8" s="18">
        <f t="shared" si="18"/>
        <v>0.31242192921582235</v>
      </c>
      <c r="AE8" s="18">
        <f t="shared" si="18"/>
        <v>9.0248839147517579E-2</v>
      </c>
      <c r="AF8" s="18">
        <f t="shared" si="18"/>
        <v>0.31555728558453344</v>
      </c>
      <c r="AG8" s="18">
        <f t="shared" si="18"/>
        <v>0.60305438291532165</v>
      </c>
      <c r="AH8" s="18">
        <f t="shared" si="18"/>
        <v>0.27590947546531308</v>
      </c>
      <c r="AI8" s="18">
        <f t="shared" si="18"/>
        <v>0.38789996723817843</v>
      </c>
      <c r="AJ8" s="18">
        <f t="shared" si="18"/>
        <v>0.39905316106124866</v>
      </c>
      <c r="AK8" s="18">
        <f t="shared" si="18"/>
        <v>2.41654403222058E-2</v>
      </c>
      <c r="AN8" s="69" t="s">
        <v>377</v>
      </c>
      <c r="AO8" s="60">
        <v>58260</v>
      </c>
      <c r="AP8" s="61">
        <v>44375</v>
      </c>
      <c r="AQ8" s="61">
        <v>27337</v>
      </c>
      <c r="AR8" s="74">
        <v>145.94</v>
      </c>
      <c r="AS8" s="64"/>
      <c r="AT8" s="60"/>
      <c r="AU8" s="61"/>
      <c r="AV8" s="61"/>
      <c r="AW8" s="58"/>
      <c r="AX8" s="64"/>
    </row>
    <row r="9" spans="1:50" ht="18" thickTop="1" thickBot="1" x14ac:dyDescent="0.4">
      <c r="B9" s="32" t="s">
        <v>21</v>
      </c>
      <c r="C9" s="26">
        <v>2228.9470000000001</v>
      </c>
      <c r="D9" s="26"/>
      <c r="E9" s="26"/>
      <c r="F9" s="26"/>
      <c r="G9" s="26"/>
      <c r="H9" s="26"/>
      <c r="I9" s="27"/>
      <c r="J9" s="21"/>
      <c r="M9" s="1" t="s">
        <v>22</v>
      </c>
      <c r="N9" s="3">
        <f>'[1]LT Portfolio'!R294</f>
        <v>0</v>
      </c>
      <c r="O9" s="4">
        <f>N9/N5-1</f>
        <v>-1</v>
      </c>
      <c r="W9" s="12" t="s">
        <v>41</v>
      </c>
      <c r="Y9" s="18">
        <f t="shared" ref="Y9:AC9" si="19">+Y7/X7-1</f>
        <v>0.99295392953929529</v>
      </c>
      <c r="Z9" s="18">
        <f t="shared" si="19"/>
        <v>-0.34684072160275592</v>
      </c>
      <c r="AA9" s="18">
        <f t="shared" si="19"/>
        <v>0.1657182512144344</v>
      </c>
      <c r="AB9" s="18">
        <f t="shared" si="19"/>
        <v>-8.2390760804857743E-2</v>
      </c>
      <c r="AC9" s="18">
        <f t="shared" si="19"/>
        <v>4.502400415206953E-2</v>
      </c>
      <c r="AD9" s="18">
        <f t="shared" ref="AD9:AK9" si="20">+AD7/AC7-1</f>
        <v>0.17407499379190461</v>
      </c>
      <c r="AE9" s="18">
        <f t="shared" si="20"/>
        <v>-3.1620135363790158E-2</v>
      </c>
      <c r="AF9" s="18">
        <f t="shared" si="20"/>
        <v>0.10724036256415848</v>
      </c>
      <c r="AG9" s="18">
        <f t="shared" si="20"/>
        <v>0.27339974356445418</v>
      </c>
      <c r="AH9" s="18">
        <f t="shared" si="20"/>
        <v>-6.5525520873673582E-2</v>
      </c>
      <c r="AI9" s="18">
        <f t="shared" si="20"/>
        <v>5.3377538334024033E-2</v>
      </c>
      <c r="AJ9" s="18">
        <f t="shared" si="20"/>
        <v>0.1161381698009285</v>
      </c>
      <c r="AK9" s="18">
        <f t="shared" si="20"/>
        <v>-6.7818117729996463E-2</v>
      </c>
      <c r="AN9" s="70" t="s">
        <v>192</v>
      </c>
      <c r="AO9" s="62">
        <f>+AVERAGE(AO4:AO8)</f>
        <v>53251.199999999997</v>
      </c>
      <c r="AP9" s="63">
        <f t="shared" ref="AP9:AX9" si="21">+AVERAGE(AP4:AP8)</f>
        <v>40932.5</v>
      </c>
      <c r="AQ9" s="63">
        <f t="shared" si="21"/>
        <v>25098.2</v>
      </c>
      <c r="AR9" s="72">
        <f t="shared" si="21"/>
        <v>133.99</v>
      </c>
      <c r="AS9" s="65">
        <f t="shared" si="21"/>
        <v>130.74250000000001</v>
      </c>
      <c r="AT9" s="62">
        <f t="shared" si="21"/>
        <v>56967.5</v>
      </c>
      <c r="AU9" s="63">
        <f t="shared" si="21"/>
        <v>43549</v>
      </c>
      <c r="AV9" s="63">
        <f t="shared" si="21"/>
        <v>26606.75</v>
      </c>
      <c r="AW9" s="72">
        <f t="shared" si="21"/>
        <v>142.04250000000002</v>
      </c>
      <c r="AX9" s="65">
        <f t="shared" si="21"/>
        <v>141.18</v>
      </c>
    </row>
    <row r="10" spans="1:50"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N10" s="12"/>
      <c r="AO10" s="12"/>
      <c r="AP10" s="12"/>
      <c r="AQ10" s="12"/>
      <c r="AR10" s="12"/>
      <c r="AS10" s="99" t="s">
        <v>34</v>
      </c>
      <c r="AT10" s="99"/>
      <c r="AU10" s="99"/>
      <c r="AV10" s="99"/>
      <c r="AW10" s="99"/>
      <c r="AX10" s="99" t="s">
        <v>34</v>
      </c>
    </row>
    <row r="11" spans="1:50" ht="18" thickTop="1" thickBot="1" x14ac:dyDescent="0.4">
      <c r="B11" s="28" t="s">
        <v>25</v>
      </c>
      <c r="C11" s="30">
        <f t="shared" ref="C11:G11" si="22">C10/C$3*100</f>
        <v>12.180949473066461</v>
      </c>
      <c r="D11" s="30" t="e">
        <f t="shared" si="22"/>
        <v>#DIV/0!</v>
      </c>
      <c r="E11" s="30" t="e">
        <f t="shared" si="22"/>
        <v>#DIV/0!</v>
      </c>
      <c r="F11" s="30" t="e">
        <f t="shared" si="22"/>
        <v>#DIV/0!</v>
      </c>
      <c r="G11" s="30" t="e">
        <f t="shared" si="22"/>
        <v>#DIV/0!</v>
      </c>
      <c r="H11" s="30" t="e">
        <f>H10/H$3*100</f>
        <v>#DIV/0!</v>
      </c>
      <c r="I11" s="31" t="e">
        <f>I10/I$3*100</f>
        <v>#DIV/0!</v>
      </c>
      <c r="J11" s="23" t="e">
        <f>AVERAGE(D11:I11)</f>
        <v>#DIV/0!</v>
      </c>
      <c r="M11" s="1" t="s">
        <v>26</v>
      </c>
      <c r="N11" s="3">
        <f>'[1]LT Portfolio'!T294</f>
        <v>0</v>
      </c>
      <c r="O11" s="4" t="e">
        <f>N11/N7-1</f>
        <v>#DIV/0!</v>
      </c>
      <c r="W11" s="12" t="s">
        <v>108</v>
      </c>
      <c r="X11" s="48">
        <f t="shared" ref="X11:AI11" si="23">+X7/X3</f>
        <v>0.22894606221045666</v>
      </c>
      <c r="Y11" s="48">
        <f t="shared" si="23"/>
        <v>0.24739285473995828</v>
      </c>
      <c r="Z11" s="48">
        <f t="shared" si="23"/>
        <v>0.24720373293076237</v>
      </c>
      <c r="AA11" s="48">
        <f t="shared" si="23"/>
        <v>0.24163525993267931</v>
      </c>
      <c r="AB11" s="48">
        <f t="shared" si="23"/>
        <v>0.25676305970149255</v>
      </c>
      <c r="AC11" s="48">
        <f t="shared" si="23"/>
        <v>0.25399728783626102</v>
      </c>
      <c r="AD11" s="48">
        <f t="shared" si="23"/>
        <v>0.24959746601557345</v>
      </c>
      <c r="AE11" s="48">
        <f t="shared" si="23"/>
        <v>0.24747310956164531</v>
      </c>
      <c r="AF11" s="48">
        <f t="shared" si="23"/>
        <v>0.23957373408000757</v>
      </c>
      <c r="AG11" s="48">
        <f t="shared" si="23"/>
        <v>0.27397347480106099</v>
      </c>
      <c r="AH11" s="48">
        <f t="shared" si="23"/>
        <v>0.29610268492612773</v>
      </c>
      <c r="AI11" s="48">
        <f t="shared" si="23"/>
        <v>0.27077873655054863</v>
      </c>
      <c r="AJ11" s="48">
        <f>+AJ7/AJ3</f>
        <v>0.25900633593222194</v>
      </c>
      <c r="AK11" s="48">
        <f t="shared" ref="AK11" si="24">+AK7/AK3</f>
        <v>0.2953936198731123</v>
      </c>
      <c r="AN11" s="12" t="s">
        <v>193</v>
      </c>
      <c r="AO11" s="12"/>
      <c r="AP11" s="12"/>
      <c r="AQ11" s="12"/>
      <c r="AR11" s="58">
        <f>+$X$1/AR9</f>
        <v>9.1518023733114404</v>
      </c>
      <c r="AS11" s="75">
        <f>+AS9/$X$1</f>
        <v>0.1066197757390418</v>
      </c>
      <c r="AT11" s="12"/>
      <c r="AU11" s="12"/>
      <c r="AV11" s="12"/>
      <c r="AW11" s="58">
        <f>+$X$1/AW9</f>
        <v>8.6329795659749706</v>
      </c>
      <c r="AX11" s="75">
        <f>+AX9/$X$1</f>
        <v>0.11513149847094802</v>
      </c>
    </row>
    <row r="12" spans="1:50" ht="18" thickTop="1" thickBot="1" x14ac:dyDescent="0.4">
      <c r="B12" s="28" t="s">
        <v>27</v>
      </c>
      <c r="C12" s="29"/>
      <c r="D12" s="30">
        <f t="shared" ref="D12:I12" si="25">(D10/C10-1)*100</f>
        <v>-100</v>
      </c>
      <c r="E12" s="30" t="e">
        <f t="shared" si="25"/>
        <v>#DIV/0!</v>
      </c>
      <c r="F12" s="30" t="e">
        <f t="shared" si="25"/>
        <v>#DIV/0!</v>
      </c>
      <c r="G12" s="30" t="e">
        <f t="shared" si="25"/>
        <v>#DIV/0!</v>
      </c>
      <c r="H12" s="30" t="e">
        <f t="shared" si="25"/>
        <v>#DIV/0!</v>
      </c>
      <c r="I12" s="31" t="e">
        <f t="shared" si="25"/>
        <v>#DIV/0!</v>
      </c>
      <c r="J12" s="23" t="e">
        <f>AVERAGE(D12:I12)</f>
        <v>#DIV/0!</v>
      </c>
      <c r="S12" t="s">
        <v>20</v>
      </c>
      <c r="T12" t="s">
        <v>22</v>
      </c>
      <c r="W12" s="12" t="s">
        <v>40</v>
      </c>
      <c r="AB12" s="18">
        <f t="shared" ref="AB12:AK12" si="26">+AB11-X11</f>
        <v>2.7816997491035889E-2</v>
      </c>
      <c r="AC12" s="18">
        <f t="shared" si="26"/>
        <v>6.6044330963027365E-3</v>
      </c>
      <c r="AD12" s="18">
        <f t="shared" si="26"/>
        <v>2.3937330848110838E-3</v>
      </c>
      <c r="AE12" s="18">
        <f t="shared" si="26"/>
        <v>5.8378496289659965E-3</v>
      </c>
      <c r="AF12" s="18">
        <f t="shared" si="26"/>
        <v>-1.718932562148498E-2</v>
      </c>
      <c r="AG12" s="18">
        <f t="shared" si="26"/>
        <v>1.9976186964799969E-2</v>
      </c>
      <c r="AH12" s="18">
        <f t="shared" si="26"/>
        <v>4.6505218910554286E-2</v>
      </c>
      <c r="AI12" s="18">
        <f t="shared" si="26"/>
        <v>2.3305626988903316E-2</v>
      </c>
      <c r="AJ12" s="18">
        <f>+AJ11-AF11</f>
        <v>1.9432601852214376E-2</v>
      </c>
      <c r="AK12" s="18">
        <f t="shared" si="26"/>
        <v>2.1420145072051311E-2</v>
      </c>
    </row>
    <row r="13" spans="1:50"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t="s">
        <v>41</v>
      </c>
      <c r="X13" s="12"/>
      <c r="Y13" s="18">
        <f t="shared" ref="Y13:AK13" si="27">+Y11-X11</f>
        <v>1.8446792529501627E-2</v>
      </c>
      <c r="Z13" s="18">
        <f t="shared" si="27"/>
        <v>-1.8912180919591903E-4</v>
      </c>
      <c r="AA13" s="18">
        <f t="shared" si="27"/>
        <v>-5.5684729980830516E-3</v>
      </c>
      <c r="AB13" s="18">
        <f t="shared" si="27"/>
        <v>1.5127799768813233E-2</v>
      </c>
      <c r="AC13" s="18">
        <f t="shared" si="27"/>
        <v>-2.7657718652315255E-3</v>
      </c>
      <c r="AD13" s="18">
        <f t="shared" si="27"/>
        <v>-4.3998218206875717E-3</v>
      </c>
      <c r="AE13" s="18">
        <f t="shared" si="27"/>
        <v>-2.124356453928139E-3</v>
      </c>
      <c r="AF13" s="18">
        <f t="shared" si="27"/>
        <v>-7.8993754816377437E-3</v>
      </c>
      <c r="AG13" s="18">
        <f t="shared" si="27"/>
        <v>3.4399740721053423E-2</v>
      </c>
      <c r="AH13" s="18">
        <f t="shared" si="27"/>
        <v>2.2129210125066745E-2</v>
      </c>
      <c r="AI13" s="18">
        <f t="shared" si="27"/>
        <v>-2.5323948375579108E-2</v>
      </c>
      <c r="AJ13" s="18">
        <f>+AJ11-AI11</f>
        <v>-1.1772400618326684E-2</v>
      </c>
      <c r="AK13" s="18">
        <f t="shared" si="27"/>
        <v>3.6387283940890358E-2</v>
      </c>
      <c r="AL13" s="12"/>
      <c r="AM13" s="12"/>
    </row>
    <row r="14" spans="1:50"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row>
    <row r="15" spans="1:50" ht="18" thickTop="1" thickBot="1" x14ac:dyDescent="0.4">
      <c r="B15" s="32" t="s">
        <v>30</v>
      </c>
      <c r="C15" s="34">
        <f>1+0.6</f>
        <v>1.6</v>
      </c>
      <c r="D15" s="34"/>
      <c r="E15" s="34"/>
      <c r="F15" s="34"/>
      <c r="G15" s="34"/>
      <c r="H15" s="34"/>
      <c r="I15" s="35"/>
      <c r="J15" s="24"/>
      <c r="R15" s="6"/>
      <c r="S15" s="6"/>
      <c r="W15" s="12" t="s">
        <v>42</v>
      </c>
      <c r="X15" s="13">
        <f>+X7-434</f>
        <v>5101</v>
      </c>
      <c r="Y15" s="13">
        <f>+Y7-696</f>
        <v>10335</v>
      </c>
      <c r="Z15" s="13">
        <f>+Z7-426</f>
        <v>6779</v>
      </c>
      <c r="AA15" s="13">
        <f>+AA7-639</f>
        <v>7760</v>
      </c>
      <c r="AB15" s="13">
        <f>+AB7-496</f>
        <v>7211</v>
      </c>
      <c r="AC15" s="13">
        <f>+AC7-684</f>
        <v>7370</v>
      </c>
      <c r="AD15" s="13">
        <f>+AD7-826</f>
        <v>8630</v>
      </c>
      <c r="AE15" s="13">
        <f>+AE7-742</f>
        <v>8415</v>
      </c>
      <c r="AF15" s="13">
        <f>+AF7-877</f>
        <v>9262</v>
      </c>
      <c r="AG15" s="13">
        <f>+AG7-1004</f>
        <v>11907</v>
      </c>
      <c r="AH15" s="13">
        <f>+AH7-816</f>
        <v>11249</v>
      </c>
      <c r="AI15" s="13">
        <f>+AI7-893</f>
        <v>11816</v>
      </c>
      <c r="AJ15" s="13">
        <f>+AJ7-939</f>
        <v>13246</v>
      </c>
      <c r="AK15" s="13">
        <f>+AK7-655</f>
        <v>12568</v>
      </c>
    </row>
    <row r="16" spans="1:50" ht="18" thickTop="1" thickBot="1" x14ac:dyDescent="0.4">
      <c r="B16" s="32" t="s">
        <v>8</v>
      </c>
      <c r="C16" s="34">
        <v>31.7</v>
      </c>
      <c r="D16" s="34"/>
      <c r="E16" s="34"/>
      <c r="F16" s="34"/>
      <c r="G16" s="34"/>
      <c r="H16" s="34"/>
      <c r="I16" s="35"/>
      <c r="J16" s="22" t="e">
        <f>((I16/D16)^(1/5)-1)*100</f>
        <v>#DIV/0!</v>
      </c>
      <c r="W16" s="12" t="s">
        <v>43</v>
      </c>
      <c r="X16" s="19">
        <f t="shared" ref="X16:AJ16" si="28">+X15/X7</f>
        <v>0.92158988256549235</v>
      </c>
      <c r="Y16" s="19">
        <f t="shared" si="28"/>
        <v>0.93690508566766384</v>
      </c>
      <c r="Z16" s="19">
        <f t="shared" si="28"/>
        <v>0.94087439278278973</v>
      </c>
      <c r="AA16" s="19">
        <f t="shared" si="28"/>
        <v>0.92391951422788432</v>
      </c>
      <c r="AB16" s="19">
        <f t="shared" si="28"/>
        <v>0.93564292201894383</v>
      </c>
      <c r="AC16" s="19">
        <f t="shared" si="28"/>
        <v>0.91507325552520491</v>
      </c>
      <c r="AD16" s="19">
        <f t="shared" si="28"/>
        <v>0.91264805414551609</v>
      </c>
      <c r="AE16" s="19">
        <f t="shared" si="28"/>
        <v>0.91896909468166432</v>
      </c>
      <c r="AF16" s="19">
        <f t="shared" si="28"/>
        <v>0.91350231778281887</v>
      </c>
      <c r="AG16" s="19">
        <f t="shared" si="28"/>
        <v>0.92223685229649133</v>
      </c>
      <c r="AH16" s="19">
        <f t="shared" si="28"/>
        <v>0.93236634894322423</v>
      </c>
      <c r="AI16" s="19">
        <f t="shared" si="28"/>
        <v>0.92973483358250064</v>
      </c>
      <c r="AJ16" s="19">
        <f t="shared" si="28"/>
        <v>0.93380331335918221</v>
      </c>
      <c r="AK16" s="19">
        <f t="shared" ref="AK16" si="29">+AK15/AK7</f>
        <v>0.95046509869167362</v>
      </c>
    </row>
    <row r="17" spans="2:37" ht="18" thickTop="1" thickBot="1" x14ac:dyDescent="0.4">
      <c r="B17" s="32" t="s">
        <v>31</v>
      </c>
      <c r="C17" s="34">
        <v>14.6</v>
      </c>
      <c r="D17" s="34"/>
      <c r="E17" s="34"/>
      <c r="F17" s="34"/>
      <c r="G17" s="34"/>
      <c r="H17" s="34"/>
      <c r="I17" s="35"/>
      <c r="J17" s="22" t="e">
        <f>((I17/D17)^(1/6)-1)*100</f>
        <v>#DIV/0!</v>
      </c>
    </row>
    <row r="18" spans="2:37" ht="18" thickTop="1" thickBot="1" x14ac:dyDescent="0.4">
      <c r="B18" s="32" t="s">
        <v>32</v>
      </c>
      <c r="C18" s="36">
        <f t="shared" ref="C18:G18" si="30">C14/AVERAGE(B17:C17)*100</f>
        <v>22.19178082191781</v>
      </c>
      <c r="D18" s="36">
        <f t="shared" si="30"/>
        <v>0</v>
      </c>
      <c r="E18" s="36" t="e">
        <f t="shared" si="30"/>
        <v>#DIV/0!</v>
      </c>
      <c r="F18" s="36" t="e">
        <f t="shared" si="30"/>
        <v>#DIV/0!</v>
      </c>
      <c r="G18" s="36" t="e">
        <f t="shared" si="30"/>
        <v>#DIV/0!</v>
      </c>
      <c r="H18" s="36" t="e">
        <f>H14/AVERAGE(G17:H17)*100</f>
        <v>#DIV/0!</v>
      </c>
      <c r="I18" s="37" t="e">
        <f>I14/AVERAGE(H17:I17)*100</f>
        <v>#DIV/0!</v>
      </c>
      <c r="J18" s="23" t="e">
        <f>AVERAGE(D18:I18)</f>
        <v>#DIV/0!</v>
      </c>
      <c r="M18" s="9" t="s">
        <v>33</v>
      </c>
      <c r="N18" s="6"/>
      <c r="O18" s="6"/>
      <c r="P18" s="6"/>
      <c r="Q18" s="6"/>
      <c r="W18" s="12" t="s">
        <v>17</v>
      </c>
      <c r="X18" s="13">
        <f t="shared" ref="X18:AJ18" si="31">+X24-X21</f>
        <v>4019</v>
      </c>
      <c r="Y18" s="13">
        <f t="shared" si="31"/>
        <v>8358</v>
      </c>
      <c r="Z18" s="13">
        <f t="shared" si="31"/>
        <v>5863</v>
      </c>
      <c r="AA18" s="13">
        <f t="shared" si="31"/>
        <v>6577</v>
      </c>
      <c r="AB18" s="13">
        <f t="shared" si="31"/>
        <v>6264</v>
      </c>
      <c r="AC18" s="13">
        <f t="shared" si="31"/>
        <v>6101</v>
      </c>
      <c r="AD18" s="13">
        <f t="shared" si="31"/>
        <v>7186</v>
      </c>
      <c r="AE18" s="13">
        <f t="shared" si="31"/>
        <v>6590</v>
      </c>
      <c r="AF18" s="13">
        <f t="shared" si="31"/>
        <v>6180</v>
      </c>
      <c r="AG18" s="13">
        <f t="shared" si="31"/>
        <v>10579</v>
      </c>
      <c r="AH18" s="13">
        <f t="shared" si="31"/>
        <v>9865</v>
      </c>
      <c r="AI18" s="13">
        <f t="shared" si="31"/>
        <v>9626</v>
      </c>
      <c r="AJ18" s="13">
        <f t="shared" si="31"/>
        <v>9965</v>
      </c>
      <c r="AK18" s="13">
        <f t="shared" ref="AK18" si="32">+AK24-AK21</f>
        <v>11053</v>
      </c>
    </row>
    <row r="19" spans="2:37" ht="18" thickTop="1" thickBot="1" x14ac:dyDescent="0.4">
      <c r="B19" s="32" t="s">
        <v>34</v>
      </c>
      <c r="C19" s="30">
        <f t="shared" ref="C19:G19" si="33">C15/C16*100</f>
        <v>5.0473186119873823</v>
      </c>
      <c r="D19" s="30" t="e">
        <f t="shared" si="33"/>
        <v>#DIV/0!</v>
      </c>
      <c r="E19" s="30" t="e">
        <f t="shared" si="33"/>
        <v>#DIV/0!</v>
      </c>
      <c r="F19" s="30" t="e">
        <f t="shared" si="33"/>
        <v>#DIV/0!</v>
      </c>
      <c r="G19" s="30" t="e">
        <f t="shared" si="33"/>
        <v>#DIV/0!</v>
      </c>
      <c r="H19" s="30" t="e">
        <f>H15/H16*100</f>
        <v>#DIV/0!</v>
      </c>
      <c r="I19" s="31" t="e">
        <f>I15/I16*100</f>
        <v>#DIV/0!</v>
      </c>
      <c r="J19" s="23" t="e">
        <f>AVERAGE(D19:I19)</f>
        <v>#DIV/0!</v>
      </c>
      <c r="W19" s="12" t="s">
        <v>55</v>
      </c>
      <c r="X19" s="19">
        <f t="shared" ref="X19:AJ19" si="34">+X18/X7</f>
        <v>0.72610659439927727</v>
      </c>
      <c r="Y19" s="19">
        <f t="shared" si="34"/>
        <v>0.75768289366331243</v>
      </c>
      <c r="Z19" s="19">
        <f t="shared" si="34"/>
        <v>0.81374045801526718</v>
      </c>
      <c r="AA19" s="19">
        <f t="shared" si="34"/>
        <v>0.78306941302536015</v>
      </c>
      <c r="AB19" s="19">
        <f t="shared" si="34"/>
        <v>0.81276761385753216</v>
      </c>
      <c r="AC19" s="19">
        <f t="shared" si="34"/>
        <v>0.75751179538117708</v>
      </c>
      <c r="AD19" s="19">
        <f t="shared" si="34"/>
        <v>0.75994077834179352</v>
      </c>
      <c r="AE19" s="19">
        <f t="shared" si="34"/>
        <v>0.71966801354155296</v>
      </c>
      <c r="AF19" s="19">
        <f t="shared" si="34"/>
        <v>0.60952756682118547</v>
      </c>
      <c r="AG19" s="19">
        <f t="shared" si="34"/>
        <v>0.81937882425838438</v>
      </c>
      <c r="AH19" s="19">
        <f t="shared" si="34"/>
        <v>0.81765437215084957</v>
      </c>
      <c r="AI19" s="19">
        <f t="shared" si="34"/>
        <v>0.75741600440632617</v>
      </c>
      <c r="AJ19" s="19">
        <f t="shared" si="34"/>
        <v>0.70250264363764536</v>
      </c>
      <c r="AK19" s="19">
        <f t="shared" ref="AK19" si="35">+AK18/AK7</f>
        <v>0.83589200635256755</v>
      </c>
    </row>
    <row r="20" spans="2:37" ht="18" thickTop="1" thickBot="1" x14ac:dyDescent="0.4">
      <c r="B20" s="32" t="s">
        <v>35</v>
      </c>
      <c r="C20" s="30">
        <f t="shared" ref="C20:G20" si="36">C15/C14*100</f>
        <v>49.382716049382715</v>
      </c>
      <c r="D20" s="30" t="e">
        <f t="shared" si="36"/>
        <v>#DIV/0!</v>
      </c>
      <c r="E20" s="30" t="e">
        <f t="shared" si="36"/>
        <v>#DIV/0!</v>
      </c>
      <c r="F20" s="30" t="e">
        <f t="shared" si="36"/>
        <v>#DIV/0!</v>
      </c>
      <c r="G20" s="30" t="e">
        <f t="shared" si="36"/>
        <v>#DIV/0!</v>
      </c>
      <c r="H20" s="30" t="e">
        <f>H15/H14*100</f>
        <v>#DIV/0!</v>
      </c>
      <c r="I20" s="31" t="e">
        <f>I15/I14*100</f>
        <v>#DIV/0!</v>
      </c>
      <c r="J20" s="23" t="e">
        <f>AVERAGE(D20:I20)</f>
        <v>#DIV/0!</v>
      </c>
      <c r="M20" t="s">
        <v>36</v>
      </c>
      <c r="N20" s="4" t="e">
        <f>N13/H14-1</f>
        <v>#DIV/0!</v>
      </c>
    </row>
    <row r="21" spans="2:37" ht="18" thickTop="1" thickBot="1" x14ac:dyDescent="0.4">
      <c r="B21" s="32" t="s">
        <v>11</v>
      </c>
      <c r="C21" s="38">
        <f t="shared" ref="C21:G21" si="37">C16/C14</f>
        <v>9.7839506172839492</v>
      </c>
      <c r="D21" s="38" t="e">
        <f t="shared" si="37"/>
        <v>#DIV/0!</v>
      </c>
      <c r="E21" s="38" t="e">
        <f t="shared" si="37"/>
        <v>#DIV/0!</v>
      </c>
      <c r="F21" s="38" t="e">
        <f t="shared" si="37"/>
        <v>#DIV/0!</v>
      </c>
      <c r="G21" s="38" t="e">
        <f t="shared" si="37"/>
        <v>#DIV/0!</v>
      </c>
      <c r="H21" s="38" t="e">
        <f>H16/H14</f>
        <v>#DIV/0!</v>
      </c>
      <c r="I21" s="39" t="e">
        <f>I16/I14</f>
        <v>#DIV/0!</v>
      </c>
      <c r="J21" s="23" t="e">
        <f>AVERAGE(D21:I21)</f>
        <v>#DIV/0!</v>
      </c>
      <c r="W21" s="12" t="s">
        <v>44</v>
      </c>
      <c r="X21" s="13">
        <v>177</v>
      </c>
      <c r="Y21" s="13">
        <v>168</v>
      </c>
      <c r="Z21" s="13">
        <v>156</v>
      </c>
      <c r="AA21" s="13">
        <v>108</v>
      </c>
      <c r="AB21" s="13">
        <v>117</v>
      </c>
      <c r="AC21" s="13">
        <v>115</v>
      </c>
      <c r="AD21" s="13">
        <v>179</v>
      </c>
      <c r="AE21" s="13">
        <v>177</v>
      </c>
      <c r="AF21" s="13">
        <v>261</v>
      </c>
      <c r="AG21" s="13">
        <v>427</v>
      </c>
      <c r="AH21" s="13">
        <v>319</v>
      </c>
      <c r="AI21" s="13">
        <v>492</v>
      </c>
      <c r="AJ21" s="13">
        <v>359</v>
      </c>
      <c r="AK21" s="13">
        <v>311</v>
      </c>
    </row>
    <row r="22" spans="2:37" ht="18" thickTop="1" thickBot="1" x14ac:dyDescent="0.4">
      <c r="B22" s="32" t="s">
        <v>37</v>
      </c>
      <c r="C22" s="38">
        <f t="shared" ref="C22:G22" si="38">C16/C17</f>
        <v>2.1712328767123288</v>
      </c>
      <c r="D22" s="38" t="e">
        <f t="shared" si="38"/>
        <v>#DIV/0!</v>
      </c>
      <c r="E22" s="38" t="e">
        <f t="shared" si="38"/>
        <v>#DIV/0!</v>
      </c>
      <c r="F22" s="38" t="e">
        <f t="shared" si="38"/>
        <v>#DIV/0!</v>
      </c>
      <c r="G22" s="38" t="e">
        <f t="shared" si="38"/>
        <v>#DIV/0!</v>
      </c>
      <c r="H22" s="38" t="e">
        <f>H16/H17</f>
        <v>#DIV/0!</v>
      </c>
      <c r="I22" s="39" t="e">
        <f>I16/I17</f>
        <v>#DIV/0!</v>
      </c>
      <c r="J22" s="23" t="e">
        <f>AVERAGE(D22:I22)</f>
        <v>#DIV/0!</v>
      </c>
      <c r="W22" s="12" t="s">
        <v>45</v>
      </c>
      <c r="X22" s="15">
        <f t="shared" ref="X22:AJ22" si="39">+X21/X18</f>
        <v>4.4040806170689228E-2</v>
      </c>
      <c r="Y22" s="15">
        <f t="shared" si="39"/>
        <v>2.0100502512562814E-2</v>
      </c>
      <c r="Z22" s="15">
        <f t="shared" si="39"/>
        <v>2.6607538802660754E-2</v>
      </c>
      <c r="AA22" s="15">
        <f t="shared" si="39"/>
        <v>1.642086057473012E-2</v>
      </c>
      <c r="AB22" s="15">
        <f t="shared" si="39"/>
        <v>1.8678160919540231E-2</v>
      </c>
      <c r="AC22" s="15">
        <f t="shared" si="39"/>
        <v>1.8849368955908868E-2</v>
      </c>
      <c r="AD22" s="15">
        <f t="shared" si="39"/>
        <v>2.4909546340105761E-2</v>
      </c>
      <c r="AE22" s="15">
        <f t="shared" si="39"/>
        <v>2.685887708649469E-2</v>
      </c>
      <c r="AF22" s="15">
        <f t="shared" si="39"/>
        <v>4.2233009708737862E-2</v>
      </c>
      <c r="AG22" s="15">
        <f t="shared" si="39"/>
        <v>4.0362983268739959E-2</v>
      </c>
      <c r="AH22" s="15">
        <f t="shared" si="39"/>
        <v>3.233654333502281E-2</v>
      </c>
      <c r="AI22" s="15">
        <f t="shared" si="39"/>
        <v>5.1111572823602743E-2</v>
      </c>
      <c r="AJ22" s="15">
        <f t="shared" si="39"/>
        <v>3.6026091319618668E-2</v>
      </c>
      <c r="AK22" s="15">
        <f t="shared" ref="AK22" si="40">+AK21/AK18</f>
        <v>2.8137157332850809E-2</v>
      </c>
    </row>
    <row r="23" spans="2:37" ht="15.75" thickTop="1" x14ac:dyDescent="0.25"/>
    <row r="24" spans="2:37" x14ac:dyDescent="0.25">
      <c r="G24" s="10">
        <v>701.95658000000003</v>
      </c>
      <c r="H24" s="10">
        <v>709.32254499999999</v>
      </c>
      <c r="I24" s="10">
        <v>716.73997499999996</v>
      </c>
      <c r="W24" s="12" t="s">
        <v>21</v>
      </c>
      <c r="X24" s="13">
        <v>4196</v>
      </c>
      <c r="Y24" s="13">
        <v>8526</v>
      </c>
      <c r="Z24" s="13">
        <v>6019</v>
      </c>
      <c r="AA24" s="13">
        <v>6685</v>
      </c>
      <c r="AB24" s="13">
        <v>6381</v>
      </c>
      <c r="AC24" s="13">
        <v>6216</v>
      </c>
      <c r="AD24" s="13">
        <v>7365</v>
      </c>
      <c r="AE24" s="13">
        <v>6767</v>
      </c>
      <c r="AF24" s="13">
        <v>6441</v>
      </c>
      <c r="AG24" s="13">
        <v>11006</v>
      </c>
      <c r="AH24" s="13">
        <v>10184</v>
      </c>
      <c r="AI24" s="13">
        <v>10118</v>
      </c>
      <c r="AJ24" s="13">
        <v>10324</v>
      </c>
      <c r="AK24" s="13">
        <v>11364</v>
      </c>
    </row>
    <row r="25" spans="2:37" x14ac:dyDescent="0.25">
      <c r="G25">
        <f>+G10/G24</f>
        <v>0</v>
      </c>
      <c r="H25">
        <f>+H10/H24</f>
        <v>0</v>
      </c>
      <c r="I25">
        <f>+I10/I24</f>
        <v>0</v>
      </c>
      <c r="M25" s="10"/>
      <c r="W25" s="12" t="s">
        <v>46</v>
      </c>
      <c r="X25" s="19">
        <f t="shared" ref="X25:AJ25" si="41">+X24/X7</f>
        <v>0.75808491418247514</v>
      </c>
      <c r="Y25" s="19">
        <f t="shared" si="41"/>
        <v>0.77291270057111772</v>
      </c>
      <c r="Z25" s="19">
        <f t="shared" si="41"/>
        <v>0.83539208882720328</v>
      </c>
      <c r="AA25" s="19">
        <f t="shared" si="41"/>
        <v>0.79592808667698534</v>
      </c>
      <c r="AB25" s="19">
        <f t="shared" si="41"/>
        <v>0.82794861813935383</v>
      </c>
      <c r="AC25" s="19">
        <f t="shared" si="41"/>
        <v>0.77179041470076981</v>
      </c>
      <c r="AD25" s="19">
        <f t="shared" si="41"/>
        <v>0.77887055837563457</v>
      </c>
      <c r="AE25" s="19">
        <f t="shared" si="41"/>
        <v>0.73899748826034728</v>
      </c>
      <c r="AF25" s="19">
        <f t="shared" si="41"/>
        <v>0.63526975046848799</v>
      </c>
      <c r="AG25" s="19">
        <f t="shared" si="41"/>
        <v>0.85245139803268533</v>
      </c>
      <c r="AH25" s="19">
        <f t="shared" si="41"/>
        <v>0.84409448818897637</v>
      </c>
      <c r="AI25" s="19">
        <f t="shared" si="41"/>
        <v>0.79612872767330234</v>
      </c>
      <c r="AJ25" s="19">
        <f t="shared" si="41"/>
        <v>0.72781106802960871</v>
      </c>
      <c r="AK25" s="19">
        <f t="shared" ref="AK25" si="42">+AK24/AK7</f>
        <v>0.859411631248582</v>
      </c>
    </row>
    <row r="26" spans="2:37" x14ac:dyDescent="0.25">
      <c r="M26" s="10"/>
    </row>
    <row r="27" spans="2:37" x14ac:dyDescent="0.25">
      <c r="W27" s="12" t="s">
        <v>47</v>
      </c>
      <c r="X27" s="13">
        <v>-1094</v>
      </c>
      <c r="Y27" s="13">
        <v>-3593</v>
      </c>
      <c r="Z27" s="13">
        <v>-2406</v>
      </c>
      <c r="AA27" s="13">
        <v>-2766</v>
      </c>
      <c r="AB27" s="13">
        <v>-2466</v>
      </c>
      <c r="AC27" s="13">
        <v>-2409</v>
      </c>
      <c r="AD27" s="13">
        <v>-2859</v>
      </c>
      <c r="AE27" s="13">
        <v>-2581</v>
      </c>
      <c r="AF27" s="13">
        <v>-3081</v>
      </c>
      <c r="AG27" s="13">
        <v>-4438</v>
      </c>
      <c r="AH27" s="13">
        <v>-3824</v>
      </c>
      <c r="AI27" s="13">
        <v>-4119</v>
      </c>
      <c r="AJ27" s="13">
        <v>-4078</v>
      </c>
      <c r="AK27" s="13">
        <v>-4492</v>
      </c>
    </row>
    <row r="28" spans="2:37" x14ac:dyDescent="0.25">
      <c r="W28" s="12" t="s">
        <v>48</v>
      </c>
      <c r="X28" s="14">
        <f t="shared" ref="X28:AJ28" si="43">+X27/X24</f>
        <v>-0.26072449952335558</v>
      </c>
      <c r="Y28" s="14">
        <f t="shared" si="43"/>
        <v>-0.42141684259910861</v>
      </c>
      <c r="Z28" s="14">
        <f t="shared" si="43"/>
        <v>-0.39973417511214487</v>
      </c>
      <c r="AA28" s="14">
        <f t="shared" si="43"/>
        <v>-0.41376215407629019</v>
      </c>
      <c r="AB28" s="14">
        <f t="shared" si="43"/>
        <v>-0.38645980253878703</v>
      </c>
      <c r="AC28" s="14">
        <f t="shared" si="43"/>
        <v>-0.38754826254826252</v>
      </c>
      <c r="AD28" s="14">
        <f t="shared" si="43"/>
        <v>-0.38818737270875764</v>
      </c>
      <c r="AE28" s="14">
        <f t="shared" si="43"/>
        <v>-0.38140978276932169</v>
      </c>
      <c r="AF28" s="14">
        <f t="shared" si="43"/>
        <v>-0.4783418723800652</v>
      </c>
      <c r="AG28" s="14">
        <f t="shared" si="43"/>
        <v>-0.40323459930946759</v>
      </c>
      <c r="AH28" s="14">
        <f t="shared" si="43"/>
        <v>-0.37549096622152395</v>
      </c>
      <c r="AI28" s="14">
        <f t="shared" si="43"/>
        <v>-0.40709626408381105</v>
      </c>
      <c r="AJ28" s="14">
        <f t="shared" si="43"/>
        <v>-0.39500193723363036</v>
      </c>
      <c r="AK28" s="14">
        <f t="shared" ref="AK28" si="44">+AK27/AK24</f>
        <v>-0.39528335093277017</v>
      </c>
    </row>
    <row r="29" spans="2:37" x14ac:dyDescent="0.25">
      <c r="M29" s="10"/>
    </row>
    <row r="30" spans="2:37" x14ac:dyDescent="0.25">
      <c r="M30" s="10"/>
      <c r="W30" s="12" t="s">
        <v>74</v>
      </c>
      <c r="X30" s="13">
        <v>0</v>
      </c>
      <c r="Y30" s="13">
        <v>0</v>
      </c>
      <c r="Z30" s="13">
        <v>0</v>
      </c>
      <c r="AA30" s="13">
        <v>0</v>
      </c>
      <c r="AB30" s="13">
        <v>0</v>
      </c>
      <c r="AC30" s="13">
        <v>0</v>
      </c>
      <c r="AD30" s="13">
        <v>0</v>
      </c>
      <c r="AE30" s="13">
        <v>0</v>
      </c>
      <c r="AF30" s="13">
        <v>0</v>
      </c>
      <c r="AG30" s="13">
        <v>0</v>
      </c>
      <c r="AH30" s="13">
        <v>0</v>
      </c>
      <c r="AI30" s="13">
        <v>0</v>
      </c>
      <c r="AJ30" s="13">
        <v>0</v>
      </c>
      <c r="AK30" s="13">
        <v>0</v>
      </c>
    </row>
    <row r="32" spans="2:37" x14ac:dyDescent="0.25">
      <c r="W32" s="12" t="s">
        <v>49</v>
      </c>
      <c r="X32" s="13">
        <f t="shared" ref="X32:AF32" si="45">+X24+X27-X30</f>
        <v>3102</v>
      </c>
      <c r="Y32" s="13">
        <f t="shared" si="45"/>
        <v>4933</v>
      </c>
      <c r="Z32" s="13">
        <f t="shared" si="45"/>
        <v>3613</v>
      </c>
      <c r="AA32" s="13">
        <f t="shared" si="45"/>
        <v>3919</v>
      </c>
      <c r="AB32" s="13">
        <f t="shared" si="45"/>
        <v>3915</v>
      </c>
      <c r="AC32" s="13">
        <f t="shared" si="45"/>
        <v>3807</v>
      </c>
      <c r="AD32" s="13">
        <f t="shared" si="45"/>
        <v>4506</v>
      </c>
      <c r="AE32" s="13">
        <f t="shared" si="45"/>
        <v>4186</v>
      </c>
      <c r="AF32" s="13">
        <f t="shared" si="45"/>
        <v>3360</v>
      </c>
      <c r="AG32" s="13">
        <f>+AG24+AG27-AG30</f>
        <v>6568</v>
      </c>
      <c r="AH32" s="13">
        <f t="shared" ref="AH32:AJ32" si="46">+AH24+AH27-AH30</f>
        <v>6360</v>
      </c>
      <c r="AI32" s="13">
        <f t="shared" si="46"/>
        <v>5999</v>
      </c>
      <c r="AJ32" s="13">
        <f t="shared" si="46"/>
        <v>6246</v>
      </c>
      <c r="AK32" s="13">
        <f>+AK24+AK27-AK30</f>
        <v>6872</v>
      </c>
    </row>
    <row r="33" spans="23:40" x14ac:dyDescent="0.25">
      <c r="W33" s="12" t="s">
        <v>25</v>
      </c>
      <c r="X33" s="19">
        <f t="shared" ref="X33:AJ33" si="47">+X32/X7</f>
        <v>0.56043360433604339</v>
      </c>
      <c r="Y33" s="19">
        <f t="shared" si="47"/>
        <v>0.44719427069168705</v>
      </c>
      <c r="Z33" s="19">
        <f t="shared" si="47"/>
        <v>0.50145732130464959</v>
      </c>
      <c r="AA33" s="19">
        <f t="shared" si="47"/>
        <v>0.4666031670436957</v>
      </c>
      <c r="AB33" s="19">
        <f t="shared" si="47"/>
        <v>0.50797975866095757</v>
      </c>
      <c r="AC33" s="19">
        <f t="shared" si="47"/>
        <v>0.47268438043208344</v>
      </c>
      <c r="AD33" s="19">
        <f t="shared" si="47"/>
        <v>0.47652284263959394</v>
      </c>
      <c r="AE33" s="19">
        <f t="shared" si="47"/>
        <v>0.45713661679589385</v>
      </c>
      <c r="AF33" s="19">
        <f t="shared" si="47"/>
        <v>0.33139362856297466</v>
      </c>
      <c r="AG33" s="19">
        <f t="shared" si="47"/>
        <v>0.50871350011618</v>
      </c>
      <c r="AH33" s="19">
        <f t="shared" si="47"/>
        <v>0.52714463323663485</v>
      </c>
      <c r="AI33" s="19">
        <f t="shared" si="47"/>
        <v>0.47202769690770319</v>
      </c>
      <c r="AJ33" s="19">
        <f t="shared" si="47"/>
        <v>0.44032428621783576</v>
      </c>
      <c r="AK33" s="19">
        <f t="shared" ref="AK33" si="48">+AK32/AK7</f>
        <v>0.51970052181804427</v>
      </c>
    </row>
    <row r="35" spans="23:40" x14ac:dyDescent="0.25">
      <c r="W35" s="12" t="s">
        <v>29</v>
      </c>
      <c r="X35" s="16">
        <f t="shared" ref="X35:AJ35" si="49">+X32/X49</f>
        <v>16.559565903631729</v>
      </c>
      <c r="Y35" s="16">
        <f t="shared" si="49"/>
        <v>26.334087234885661</v>
      </c>
      <c r="Z35" s="16">
        <f t="shared" si="49"/>
        <v>19.287463446106202</v>
      </c>
      <c r="AA35" s="16">
        <f t="shared" si="49"/>
        <v>20.920998960777805</v>
      </c>
      <c r="AB35" s="16">
        <f t="shared" si="49"/>
        <v>20.89964555535726</v>
      </c>
      <c r="AC35" s="16">
        <f t="shared" si="49"/>
        <v>20.32310360900258</v>
      </c>
      <c r="AD35" s="16">
        <f t="shared" si="49"/>
        <v>24.054611206242608</v>
      </c>
      <c r="AE35" s="16">
        <f t="shared" si="49"/>
        <v>22.346338772599104</v>
      </c>
      <c r="AF35" s="16">
        <f t="shared" si="49"/>
        <v>17.936860553256807</v>
      </c>
      <c r="AG35" s="16">
        <f t="shared" si="49"/>
        <v>35.062291700532946</v>
      </c>
      <c r="AH35" s="16">
        <f t="shared" si="49"/>
        <v>33.951914618664667</v>
      </c>
      <c r="AI35" s="16">
        <f t="shared" si="49"/>
        <v>32.024769779460591</v>
      </c>
      <c r="AJ35" s="16">
        <f t="shared" si="49"/>
        <v>33.343342564179167</v>
      </c>
      <c r="AK35" s="16">
        <f t="shared" ref="AK35" si="50">+AK32/AK49</f>
        <v>36.685150512494275</v>
      </c>
    </row>
    <row r="36" spans="23:40" x14ac:dyDescent="0.25">
      <c r="W36" s="12" t="s">
        <v>40</v>
      </c>
      <c r="AA36" s="17"/>
      <c r="AB36" s="18">
        <f t="shared" ref="AB36:AK36" si="51">+AB35/X35-1</f>
        <v>0.26208897485493243</v>
      </c>
      <c r="AC36" s="18">
        <f t="shared" si="51"/>
        <v>-0.22825866612608947</v>
      </c>
      <c r="AD36" s="18">
        <f t="shared" si="51"/>
        <v>0.24716302241904242</v>
      </c>
      <c r="AE36" s="18">
        <f t="shared" si="51"/>
        <v>6.8129624904312402E-2</v>
      </c>
      <c r="AF36" s="18">
        <f t="shared" si="51"/>
        <v>-0.14176245210727967</v>
      </c>
      <c r="AG36" s="18">
        <f t="shared" si="51"/>
        <v>0.7252429734699235</v>
      </c>
      <c r="AH36" s="18">
        <f t="shared" si="51"/>
        <v>0.41145139813581899</v>
      </c>
      <c r="AI36" s="18">
        <f t="shared" si="51"/>
        <v>0.43311036789297663</v>
      </c>
      <c r="AJ36" s="18">
        <f t="shared" si="51"/>
        <v>0.85892857142857126</v>
      </c>
      <c r="AK36" s="18">
        <f t="shared" si="51"/>
        <v>4.628501827040199E-2</v>
      </c>
    </row>
    <row r="37" spans="23:40" x14ac:dyDescent="0.25">
      <c r="W37" s="12" t="s">
        <v>41</v>
      </c>
      <c r="Y37" s="18">
        <f t="shared" ref="Y37:AD37" si="52">+Y35/X35-1</f>
        <v>0.59026434558349461</v>
      </c>
      <c r="Z37" s="18">
        <f t="shared" si="52"/>
        <v>-0.26758564767889725</v>
      </c>
      <c r="AA37" s="18">
        <f t="shared" si="52"/>
        <v>8.4694159977857897E-2</v>
      </c>
      <c r="AB37" s="18">
        <f t="shared" si="52"/>
        <v>-1.0206685378923996E-3</v>
      </c>
      <c r="AC37" s="18">
        <f t="shared" si="52"/>
        <v>-2.7586206896551557E-2</v>
      </c>
      <c r="AD37" s="18">
        <f t="shared" si="52"/>
        <v>0.18360914105594928</v>
      </c>
      <c r="AE37" s="18">
        <f>+AE35/AD35-1</f>
        <v>-7.101642254771412E-2</v>
      </c>
      <c r="AF37" s="18">
        <f>+AF35/AE35-1</f>
        <v>-0.19732441471571904</v>
      </c>
      <c r="AG37" s="18">
        <f>+AG35/AF35-1</f>
        <v>0.9547619047619047</v>
      </c>
      <c r="AH37" s="18">
        <f t="shared" ref="AH37" si="53">+AH35/AG35-1</f>
        <v>-3.166869671132766E-2</v>
      </c>
      <c r="AI37" s="18">
        <f>+AI35/AH35-1</f>
        <v>-5.6761006289308025E-2</v>
      </c>
      <c r="AJ37" s="18">
        <f>+AJ35/AI35-1</f>
        <v>4.1173528921486735E-2</v>
      </c>
      <c r="AK37" s="18">
        <f>+AK35/AJ35-1</f>
        <v>0.10022414345180919</v>
      </c>
    </row>
    <row r="38" spans="23:40" x14ac:dyDescent="0.25">
      <c r="Y38" s="18"/>
      <c r="Z38" s="18"/>
      <c r="AA38" s="18"/>
      <c r="AB38" s="18"/>
      <c r="AC38" s="18"/>
      <c r="AD38" s="18"/>
      <c r="AE38" s="18"/>
      <c r="AF38" s="18"/>
      <c r="AG38" s="18"/>
      <c r="AH38" s="18"/>
      <c r="AI38" s="18"/>
      <c r="AJ38" s="18"/>
      <c r="AK38" s="18"/>
    </row>
    <row r="39" spans="23:40" x14ac:dyDescent="0.25">
      <c r="W39" s="12" t="s">
        <v>88</v>
      </c>
      <c r="X39" s="18">
        <f t="shared" ref="X39:AJ39" si="54">+X32*4/X44</f>
        <v>2.1564129301355579</v>
      </c>
      <c r="Y39" s="18">
        <f t="shared" si="54"/>
        <v>2.5097939455609262</v>
      </c>
      <c r="Z39" s="18">
        <f t="shared" si="54"/>
        <v>3.1403737505432421</v>
      </c>
      <c r="AA39" s="18">
        <f t="shared" si="54"/>
        <v>1.8304530593180757</v>
      </c>
      <c r="AB39" s="18">
        <f t="shared" si="54"/>
        <v>2.302941176470588</v>
      </c>
      <c r="AC39" s="18">
        <f t="shared" si="54"/>
        <v>2.1405678942929436</v>
      </c>
      <c r="AD39" s="18">
        <f t="shared" si="54"/>
        <v>2.0051173656691512</v>
      </c>
      <c r="AE39" s="18">
        <f t="shared" si="54"/>
        <v>1.2627450980392156</v>
      </c>
      <c r="AF39" s="18">
        <f t="shared" si="54"/>
        <v>1.584718783162363</v>
      </c>
      <c r="AG39" s="18">
        <f t="shared" si="54"/>
        <v>2.0245048932727134</v>
      </c>
      <c r="AH39" s="18">
        <f t="shared" si="54"/>
        <v>1.4542960041159321</v>
      </c>
      <c r="AI39" s="18">
        <f t="shared" si="54"/>
        <v>1.9574190390733339</v>
      </c>
      <c r="AJ39" s="18">
        <f t="shared" si="54"/>
        <v>2.689053923151437</v>
      </c>
      <c r="AK39" s="18">
        <f t="shared" ref="AK39" si="55">+AK32*4/AK44</f>
        <v>2.755412991178829</v>
      </c>
      <c r="AM39" s="14">
        <f>+AVERAGE(X39:AK39)</f>
        <v>2.1295579181417361</v>
      </c>
      <c r="AN39" s="50" t="s">
        <v>88</v>
      </c>
    </row>
    <row r="40" spans="23:40" x14ac:dyDescent="0.25">
      <c r="AM40" s="56">
        <f>AVERAGE(X39:AK39)*AK51</f>
        <v>113.41044409996873</v>
      </c>
      <c r="AN40" s="50" t="s">
        <v>183</v>
      </c>
    </row>
    <row r="41" spans="23:40" x14ac:dyDescent="0.25">
      <c r="W41" s="12" t="s">
        <v>52</v>
      </c>
      <c r="X41" s="13">
        <f>95+118</f>
        <v>213</v>
      </c>
      <c r="Y41" s="13">
        <f>74+108</f>
        <v>182</v>
      </c>
      <c r="Z41" s="13">
        <f>84+105</f>
        <v>189</v>
      </c>
      <c r="AA41" s="13">
        <f>62+93</f>
        <v>155</v>
      </c>
      <c r="AB41" s="13">
        <f>41+88</f>
        <v>129</v>
      </c>
      <c r="AC41" s="13">
        <f>104+133</f>
        <v>237</v>
      </c>
      <c r="AD41" s="13">
        <f>100+122</f>
        <v>222</v>
      </c>
      <c r="AE41" s="13">
        <f>83+104</f>
        <v>187</v>
      </c>
      <c r="AF41" s="13">
        <f>76+87</f>
        <v>163</v>
      </c>
      <c r="AG41" s="13">
        <f>63+365+67</f>
        <v>495</v>
      </c>
      <c r="AH41" s="13">
        <f>57+367+63</f>
        <v>487</v>
      </c>
      <c r="AI41" s="13">
        <f>123+326+177</f>
        <v>626</v>
      </c>
      <c r="AJ41" s="13">
        <f>66+308+190</f>
        <v>564</v>
      </c>
      <c r="AK41" s="13">
        <f>52+324+246</f>
        <v>622</v>
      </c>
      <c r="AM41" s="56">
        <f>+X1/AM40</f>
        <v>10.812496236405604</v>
      </c>
      <c r="AN41" s="50" t="s">
        <v>11</v>
      </c>
    </row>
    <row r="42" spans="23:40" x14ac:dyDescent="0.25">
      <c r="W42" s="12" t="s">
        <v>53</v>
      </c>
      <c r="X42" s="13">
        <v>6632</v>
      </c>
      <c r="Y42" s="13">
        <v>21570</v>
      </c>
      <c r="Z42" s="13">
        <v>9782</v>
      </c>
      <c r="AA42" s="13">
        <v>15404</v>
      </c>
      <c r="AB42" s="13">
        <v>6490</v>
      </c>
      <c r="AC42" s="13">
        <v>13669</v>
      </c>
      <c r="AD42" s="13">
        <v>8593</v>
      </c>
      <c r="AE42" s="13">
        <v>19239</v>
      </c>
      <c r="AF42" s="13">
        <v>11459</v>
      </c>
      <c r="AG42" s="13">
        <v>25640</v>
      </c>
      <c r="AH42" s="13">
        <v>24217</v>
      </c>
      <c r="AI42" s="13">
        <v>24223</v>
      </c>
      <c r="AJ42" s="13">
        <v>17365</v>
      </c>
      <c r="AK42" s="13">
        <v>20195</v>
      </c>
    </row>
    <row r="43" spans="23:40" x14ac:dyDescent="0.25">
      <c r="W43" s="12" t="s">
        <v>50</v>
      </c>
      <c r="X43" s="13">
        <f t="shared" ref="X43:AJ43" si="56">+X41-X42</f>
        <v>-6419</v>
      </c>
      <c r="Y43" s="13">
        <f t="shared" si="56"/>
        <v>-21388</v>
      </c>
      <c r="Z43" s="13">
        <f t="shared" si="56"/>
        <v>-9593</v>
      </c>
      <c r="AA43" s="13">
        <f t="shared" si="56"/>
        <v>-15249</v>
      </c>
      <c r="AB43" s="13">
        <f t="shared" si="56"/>
        <v>-6361</v>
      </c>
      <c r="AC43" s="13">
        <f t="shared" si="56"/>
        <v>-13432</v>
      </c>
      <c r="AD43" s="13">
        <f t="shared" si="56"/>
        <v>-8371</v>
      </c>
      <c r="AE43" s="13">
        <f t="shared" si="56"/>
        <v>-19052</v>
      </c>
      <c r="AF43" s="13">
        <f t="shared" si="56"/>
        <v>-11296</v>
      </c>
      <c r="AG43" s="13">
        <f t="shared" si="56"/>
        <v>-25145</v>
      </c>
      <c r="AH43" s="13">
        <f t="shared" si="56"/>
        <v>-23730</v>
      </c>
      <c r="AI43" s="13">
        <f t="shared" si="56"/>
        <v>-23597</v>
      </c>
      <c r="AJ43" s="13">
        <f t="shared" si="56"/>
        <v>-16801</v>
      </c>
      <c r="AK43" s="13">
        <f t="shared" ref="AK43" si="57">+AK41-AK42</f>
        <v>-19573</v>
      </c>
    </row>
    <row r="44" spans="23:40" x14ac:dyDescent="0.25">
      <c r="W44" s="12" t="s">
        <v>54</v>
      </c>
      <c r="X44" s="13">
        <v>5754</v>
      </c>
      <c r="Y44" s="13">
        <v>7862</v>
      </c>
      <c r="Z44" s="13">
        <v>4602</v>
      </c>
      <c r="AA44" s="13">
        <v>8564</v>
      </c>
      <c r="AB44" s="13">
        <v>6800</v>
      </c>
      <c r="AC44" s="13">
        <v>7114</v>
      </c>
      <c r="AD44" s="13">
        <v>8989</v>
      </c>
      <c r="AE44" s="13">
        <v>13260</v>
      </c>
      <c r="AF44" s="13">
        <v>8481</v>
      </c>
      <c r="AG44" s="13">
        <v>12977</v>
      </c>
      <c r="AH44" s="13">
        <v>17493</v>
      </c>
      <c r="AI44" s="13">
        <v>12259</v>
      </c>
      <c r="AJ44" s="13">
        <v>9291</v>
      </c>
      <c r="AK44" s="13">
        <v>9976</v>
      </c>
    </row>
    <row r="45" spans="23:40" x14ac:dyDescent="0.25">
      <c r="W45" s="12" t="s">
        <v>75</v>
      </c>
      <c r="X45" s="13">
        <v>3149</v>
      </c>
      <c r="Y45" s="13">
        <v>3178</v>
      </c>
      <c r="Z45" s="13">
        <v>3732</v>
      </c>
      <c r="AA45" s="13">
        <v>3577</v>
      </c>
      <c r="AB45" s="13">
        <v>3836</v>
      </c>
      <c r="AC45" s="13">
        <v>4274</v>
      </c>
      <c r="AD45" s="13">
        <v>4612</v>
      </c>
      <c r="AE45" s="13">
        <v>5678</v>
      </c>
      <c r="AF45" s="13">
        <v>5667</v>
      </c>
      <c r="AG45" s="13">
        <v>5819</v>
      </c>
      <c r="AH45" s="13">
        <v>6303</v>
      </c>
      <c r="AI45" s="13">
        <v>7011</v>
      </c>
      <c r="AJ45" s="13">
        <v>6197</v>
      </c>
      <c r="AK45" s="13">
        <v>6147</v>
      </c>
    </row>
    <row r="47" spans="23:40" x14ac:dyDescent="0.25">
      <c r="W47" s="12" t="s">
        <v>51</v>
      </c>
      <c r="X47" s="14">
        <f t="shared" ref="X47:AJ47" si="58">+X41/X44</f>
        <v>3.70177267987487E-2</v>
      </c>
      <c r="Y47" s="14">
        <f t="shared" si="58"/>
        <v>2.3149325871279571E-2</v>
      </c>
      <c r="Z47" s="14">
        <f t="shared" si="58"/>
        <v>4.1069100391134289E-2</v>
      </c>
      <c r="AA47" s="14">
        <f t="shared" si="58"/>
        <v>1.8099019149929941E-2</v>
      </c>
      <c r="AB47" s="14">
        <f t="shared" si="58"/>
        <v>1.8970588235294118E-2</v>
      </c>
      <c r="AC47" s="14">
        <f t="shared" si="58"/>
        <v>3.3314590947427607E-2</v>
      </c>
      <c r="AD47" s="14">
        <f t="shared" si="58"/>
        <v>2.4696851707642676E-2</v>
      </c>
      <c r="AE47" s="14">
        <f t="shared" si="58"/>
        <v>1.4102564102564103E-2</v>
      </c>
      <c r="AF47" s="14">
        <f t="shared" si="58"/>
        <v>1.9219431670793537E-2</v>
      </c>
      <c r="AG47" s="14">
        <f t="shared" si="58"/>
        <v>3.8144409339600831E-2</v>
      </c>
      <c r="AH47" s="14">
        <f t="shared" si="58"/>
        <v>2.7839707311496029E-2</v>
      </c>
      <c r="AI47" s="14">
        <f t="shared" si="58"/>
        <v>5.1064524023166656E-2</v>
      </c>
      <c r="AJ47" s="14">
        <f t="shared" si="58"/>
        <v>6.0703907006780758E-2</v>
      </c>
      <c r="AK47" s="14">
        <f t="shared" ref="AK47" si="59">+AK41/AK44</f>
        <v>6.2349639133921414E-2</v>
      </c>
    </row>
    <row r="49" spans="23:37" x14ac:dyDescent="0.25">
      <c r="W49" s="12" t="s">
        <v>56</v>
      </c>
      <c r="X49" s="13">
        <v>187.32375099999999</v>
      </c>
      <c r="Y49" s="13">
        <v>187.32375099999999</v>
      </c>
      <c r="Z49" s="13">
        <v>187.32375099999999</v>
      </c>
      <c r="AA49" s="13">
        <v>187.32375099999999</v>
      </c>
      <c r="AB49" s="13">
        <v>187.32375099999999</v>
      </c>
      <c r="AC49" s="13">
        <v>187.32375099999999</v>
      </c>
      <c r="AD49" s="13">
        <v>187.32375099999999</v>
      </c>
      <c r="AE49" s="13">
        <v>187.32375099999999</v>
      </c>
      <c r="AF49" s="13">
        <v>187.32375099999999</v>
      </c>
      <c r="AG49" s="13">
        <v>187.32375099999999</v>
      </c>
      <c r="AH49" s="13">
        <v>187.32375099999999</v>
      </c>
      <c r="AI49" s="13">
        <v>187.32375099999999</v>
      </c>
      <c r="AJ49" s="13">
        <v>187.32375099999999</v>
      </c>
      <c r="AK49" s="13">
        <v>187.32375099999999</v>
      </c>
    </row>
    <row r="51" spans="23:37" x14ac:dyDescent="0.25">
      <c r="W51" s="12" t="s">
        <v>57</v>
      </c>
      <c r="X51" s="16">
        <f t="shared" ref="X51:AJ51" si="60">+X44/X49</f>
        <v>30.716873697452282</v>
      </c>
      <c r="Y51" s="16">
        <f t="shared" si="60"/>
        <v>41.97011835407887</v>
      </c>
      <c r="Z51" s="16">
        <f t="shared" si="60"/>
        <v>24.567092936335662</v>
      </c>
      <c r="AA51" s="16">
        <f t="shared" si="60"/>
        <v>45.717641005384316</v>
      </c>
      <c r="AB51" s="16">
        <f t="shared" si="60"/>
        <v>36.300789214924492</v>
      </c>
      <c r="AC51" s="16">
        <f t="shared" si="60"/>
        <v>37.977031540437181</v>
      </c>
      <c r="AD51" s="16">
        <f t="shared" si="60"/>
        <v>47.986440331317091</v>
      </c>
      <c r="AE51" s="16">
        <f t="shared" si="60"/>
        <v>70.78653896910275</v>
      </c>
      <c r="AF51" s="16">
        <f t="shared" si="60"/>
        <v>45.274557842908031</v>
      </c>
      <c r="AG51" s="16">
        <f t="shared" si="60"/>
        <v>69.275785535599283</v>
      </c>
      <c r="AH51" s="16">
        <f t="shared" si="60"/>
        <v>93.383780255393248</v>
      </c>
      <c r="AI51" s="16">
        <f t="shared" si="60"/>
        <v>65.442849262611659</v>
      </c>
      <c r="AJ51" s="16">
        <f t="shared" si="60"/>
        <v>49.59862244056815</v>
      </c>
      <c r="AK51" s="16">
        <f t="shared" ref="AK51" si="61">+AK44/AK49</f>
        <v>53.255393118836281</v>
      </c>
    </row>
    <row r="53" spans="23:37" x14ac:dyDescent="0.25">
      <c r="W53" s="12" t="s">
        <v>67</v>
      </c>
      <c r="X53" s="13"/>
      <c r="Y53" s="13">
        <f>+Y57-X57</f>
        <v>20122</v>
      </c>
      <c r="Z53" s="13">
        <f>+Z57-Y57</f>
        <v>-7404</v>
      </c>
      <c r="AA53" s="13">
        <f>+AA57</f>
        <v>9190</v>
      </c>
      <c r="AB53" s="13">
        <f t="shared" ref="AB53:AD54" si="62">+AB57-AA57</f>
        <v>-6554</v>
      </c>
      <c r="AC53" s="13">
        <f t="shared" si="62"/>
        <v>9206</v>
      </c>
      <c r="AD53" s="13">
        <f t="shared" si="62"/>
        <v>-3816</v>
      </c>
      <c r="AE53" s="13">
        <f>+AE57</f>
        <v>11254</v>
      </c>
      <c r="AF53" s="13">
        <f>+AF57-AE57</f>
        <v>-6465</v>
      </c>
      <c r="AG53" s="13">
        <f>+AG57-AF57</f>
        <v>14925</v>
      </c>
      <c r="AH53" s="13">
        <f t="shared" ref="AH53:AH54" si="63">+AH57-AG57</f>
        <v>1708</v>
      </c>
      <c r="AI53" s="13">
        <f>+AI57</f>
        <v>16488</v>
      </c>
      <c r="AJ53" s="13">
        <f>+AJ57-AI57</f>
        <v>1514</v>
      </c>
      <c r="AK53" s="13">
        <f>+AK57-AJ57</f>
        <v>8376</v>
      </c>
    </row>
    <row r="54" spans="23:37" x14ac:dyDescent="0.25">
      <c r="W54" s="12" t="s">
        <v>60</v>
      </c>
      <c r="Y54" s="13">
        <f>+Y58-X58</f>
        <v>-63</v>
      </c>
      <c r="Z54" s="13">
        <f>+Z58-Y58</f>
        <v>-818</v>
      </c>
      <c r="AA54" s="13">
        <f>+AA58</f>
        <v>-29</v>
      </c>
      <c r="AB54" s="13">
        <f t="shared" si="62"/>
        <v>-404</v>
      </c>
      <c r="AC54" s="13">
        <f t="shared" si="62"/>
        <v>35</v>
      </c>
      <c r="AD54" s="13">
        <f t="shared" si="62"/>
        <v>-450</v>
      </c>
      <c r="AE54" s="13">
        <f>+AE58</f>
        <v>-28</v>
      </c>
      <c r="AF54" s="13">
        <f>+AF58-AE58</f>
        <v>-73</v>
      </c>
      <c r="AG54" s="13">
        <f>+AG58-AF58</f>
        <v>-79</v>
      </c>
      <c r="AH54" s="13">
        <f t="shared" si="63"/>
        <v>-361</v>
      </c>
      <c r="AI54" s="13">
        <f>+AI58</f>
        <v>-27</v>
      </c>
      <c r="AJ54" s="13">
        <f>+AJ58-AI58</f>
        <v>-123</v>
      </c>
      <c r="AK54" s="13">
        <f>+AK58-AJ58</f>
        <v>8</v>
      </c>
    </row>
    <row r="55" spans="23:37" x14ac:dyDescent="0.25">
      <c r="W55" s="12" t="s">
        <v>68</v>
      </c>
      <c r="Y55" s="13">
        <f t="shared" ref="Y55:AJ55" si="64">+Y53+Y54</f>
        <v>20059</v>
      </c>
      <c r="Z55" s="13">
        <f t="shared" si="64"/>
        <v>-8222</v>
      </c>
      <c r="AA55" s="13">
        <f t="shared" si="64"/>
        <v>9161</v>
      </c>
      <c r="AB55" s="13">
        <f t="shared" si="64"/>
        <v>-6958</v>
      </c>
      <c r="AC55" s="13">
        <f t="shared" si="64"/>
        <v>9241</v>
      </c>
      <c r="AD55" s="13">
        <f t="shared" si="64"/>
        <v>-4266</v>
      </c>
      <c r="AE55" s="13">
        <f t="shared" si="64"/>
        <v>11226</v>
      </c>
      <c r="AF55" s="13">
        <f t="shared" si="64"/>
        <v>-6538</v>
      </c>
      <c r="AG55" s="13">
        <f t="shared" si="64"/>
        <v>14846</v>
      </c>
      <c r="AH55" s="13">
        <f t="shared" si="64"/>
        <v>1347</v>
      </c>
      <c r="AI55" s="13">
        <f t="shared" si="64"/>
        <v>16461</v>
      </c>
      <c r="AJ55" s="13">
        <f t="shared" si="64"/>
        <v>1391</v>
      </c>
      <c r="AK55" s="13">
        <f t="shared" ref="AK55" si="65">+AK53+AK54</f>
        <v>8384</v>
      </c>
    </row>
    <row r="57" spans="23:37" x14ac:dyDescent="0.25">
      <c r="W57" s="12" t="s">
        <v>67</v>
      </c>
      <c r="X57" s="13">
        <v>-2774</v>
      </c>
      <c r="Y57" s="13">
        <v>17348</v>
      </c>
      <c r="Z57" s="13">
        <v>9944</v>
      </c>
      <c r="AA57" s="13">
        <v>9190</v>
      </c>
      <c r="AB57" s="13">
        <v>2636</v>
      </c>
      <c r="AC57" s="13">
        <v>11842</v>
      </c>
      <c r="AD57" s="13">
        <v>8026</v>
      </c>
      <c r="AE57" s="13">
        <v>11254</v>
      </c>
      <c r="AF57" s="13">
        <v>4789</v>
      </c>
      <c r="AG57" s="13">
        <v>19714</v>
      </c>
      <c r="AH57" s="13">
        <v>21422</v>
      </c>
      <c r="AI57" s="13">
        <v>16488</v>
      </c>
      <c r="AJ57" s="13">
        <v>18002</v>
      </c>
      <c r="AK57" s="13">
        <v>26378</v>
      </c>
    </row>
    <row r="58" spans="23:37" x14ac:dyDescent="0.25">
      <c r="W58" s="12" t="s">
        <v>60</v>
      </c>
      <c r="X58" s="13">
        <v>-71</v>
      </c>
      <c r="Y58" s="13">
        <v>-134</v>
      </c>
      <c r="Z58" s="13">
        <v>-952</v>
      </c>
      <c r="AA58" s="13">
        <v>-29</v>
      </c>
      <c r="AB58" s="13">
        <v>-433</v>
      </c>
      <c r="AC58" s="13">
        <v>-398</v>
      </c>
      <c r="AD58" s="13">
        <v>-848</v>
      </c>
      <c r="AE58" s="13">
        <v>-28</v>
      </c>
      <c r="AF58" s="13">
        <v>-101</v>
      </c>
      <c r="AG58" s="13">
        <v>-180</v>
      </c>
      <c r="AH58" s="13">
        <v>-541</v>
      </c>
      <c r="AI58" s="13">
        <v>-27</v>
      </c>
      <c r="AJ58" s="13">
        <v>-150</v>
      </c>
      <c r="AK58" s="13">
        <v>-142</v>
      </c>
    </row>
    <row r="59" spans="23:37" x14ac:dyDescent="0.25">
      <c r="W59" s="12" t="s">
        <v>68</v>
      </c>
      <c r="X59" s="13">
        <f t="shared" ref="X59:AF59" si="66">+X57+X58</f>
        <v>-2845</v>
      </c>
      <c r="Y59" s="13">
        <f t="shared" si="66"/>
        <v>17214</v>
      </c>
      <c r="Z59" s="13">
        <f t="shared" si="66"/>
        <v>8992</v>
      </c>
      <c r="AA59" s="13">
        <f t="shared" si="66"/>
        <v>9161</v>
      </c>
      <c r="AB59" s="13">
        <f t="shared" si="66"/>
        <v>2203</v>
      </c>
      <c r="AC59" s="13">
        <f t="shared" si="66"/>
        <v>11444</v>
      </c>
      <c r="AD59" s="13">
        <f t="shared" si="66"/>
        <v>7178</v>
      </c>
      <c r="AE59" s="13">
        <f t="shared" si="66"/>
        <v>11226</v>
      </c>
      <c r="AF59" s="13">
        <f t="shared" si="66"/>
        <v>4688</v>
      </c>
      <c r="AG59" s="13">
        <f>+AG57+AG58</f>
        <v>19534</v>
      </c>
      <c r="AH59" s="13">
        <f t="shared" ref="AH59:AJ59" si="67">+AH57+AH58</f>
        <v>20881</v>
      </c>
      <c r="AI59" s="13">
        <f t="shared" si="67"/>
        <v>16461</v>
      </c>
      <c r="AJ59" s="13">
        <f t="shared" si="67"/>
        <v>17852</v>
      </c>
      <c r="AK59" s="13">
        <f>+AK57+AK58</f>
        <v>26236</v>
      </c>
    </row>
    <row r="61" spans="23:37" x14ac:dyDescent="0.25">
      <c r="W61" s="47"/>
    </row>
    <row r="62" spans="23:37" x14ac:dyDescent="0.25">
      <c r="W62" s="47"/>
      <c r="AC62" s="13"/>
      <c r="AG62" s="13"/>
      <c r="AK62" s="13"/>
    </row>
    <row r="63" spans="23:37" x14ac:dyDescent="0.25">
      <c r="Z63" s="13"/>
      <c r="AA63" s="13"/>
      <c r="AB63" s="13"/>
      <c r="AC63" s="13"/>
      <c r="AD63" s="13"/>
      <c r="AE63" s="13"/>
      <c r="AF63" s="13"/>
      <c r="AG63" s="13"/>
      <c r="AH63" s="13"/>
      <c r="AI63" s="13"/>
      <c r="AJ63" s="13"/>
      <c r="AK63" s="13"/>
    </row>
    <row r="64" spans="23:37" x14ac:dyDescent="0.25">
      <c r="X64" s="17"/>
      <c r="Y64" s="17"/>
      <c r="Z64" s="17"/>
      <c r="AA64" s="17"/>
      <c r="AB64" s="18"/>
      <c r="AC64" s="18"/>
      <c r="AD64" s="18"/>
      <c r="AE64" s="18"/>
      <c r="AF64" s="18"/>
      <c r="AG64" s="18"/>
      <c r="AH64" s="18"/>
      <c r="AI64" s="18"/>
      <c r="AJ64" s="18"/>
      <c r="AK64" s="18"/>
    </row>
    <row r="65" spans="23:37" x14ac:dyDescent="0.25">
      <c r="Y65" s="18"/>
      <c r="Z65" s="18"/>
      <c r="AA65" s="18"/>
      <c r="AB65" s="18"/>
      <c r="AC65" s="18"/>
      <c r="AD65" s="18"/>
      <c r="AE65" s="18"/>
      <c r="AF65" s="18"/>
      <c r="AG65" s="18"/>
      <c r="AH65" s="18"/>
      <c r="AI65" s="18"/>
      <c r="AJ65" s="18"/>
      <c r="AK65" s="18"/>
    </row>
    <row r="66" spans="23:37" x14ac:dyDescent="0.25">
      <c r="Z66" s="13"/>
      <c r="AA66" s="13"/>
      <c r="AB66" s="13"/>
      <c r="AC66" s="13"/>
      <c r="AD66" s="13"/>
      <c r="AE66" s="13"/>
      <c r="AF66" s="13"/>
      <c r="AG66" s="13"/>
      <c r="AH66" s="13"/>
      <c r="AI66" s="13"/>
      <c r="AJ66" s="13"/>
      <c r="AK66" s="13"/>
    </row>
    <row r="67" spans="23:37" x14ac:dyDescent="0.25">
      <c r="X67" s="19"/>
      <c r="Y67" s="19"/>
      <c r="Z67" s="19"/>
      <c r="AA67" s="19"/>
      <c r="AB67" s="19"/>
      <c r="AC67" s="19"/>
      <c r="AD67" s="19"/>
      <c r="AE67" s="19"/>
      <c r="AF67" s="19"/>
      <c r="AG67" s="19"/>
      <c r="AH67" s="19"/>
      <c r="AI67" s="19"/>
      <c r="AJ67" s="19"/>
      <c r="AK67" s="19"/>
    </row>
    <row r="68" spans="23:37" x14ac:dyDescent="0.25">
      <c r="Z68" s="13"/>
      <c r="AA68" s="13"/>
      <c r="AB68" s="13"/>
      <c r="AC68" s="13"/>
      <c r="AD68" s="13"/>
      <c r="AE68" s="13"/>
      <c r="AF68" s="13"/>
      <c r="AG68" s="13"/>
      <c r="AH68" s="13"/>
      <c r="AI68" s="13"/>
      <c r="AJ68" s="13"/>
      <c r="AK68" s="13"/>
    </row>
    <row r="69" spans="23:37" x14ac:dyDescent="0.25">
      <c r="Z69" s="19"/>
      <c r="AA69" s="19"/>
      <c r="AB69" s="19"/>
      <c r="AC69" s="19"/>
      <c r="AD69" s="19"/>
      <c r="AE69" s="19"/>
      <c r="AF69" s="19"/>
      <c r="AG69" s="19"/>
      <c r="AH69" s="19"/>
      <c r="AI69" s="19"/>
      <c r="AJ69" s="19"/>
      <c r="AK69" s="19"/>
    </row>
    <row r="72" spans="23:37" x14ac:dyDescent="0.25">
      <c r="W72" s="47"/>
      <c r="AC72" s="13"/>
      <c r="AG72" s="13"/>
      <c r="AK72" s="13"/>
    </row>
    <row r="73" spans="23:37" x14ac:dyDescent="0.25">
      <c r="Z73" s="13"/>
      <c r="AA73" s="13"/>
      <c r="AB73" s="13"/>
      <c r="AC73" s="13"/>
      <c r="AD73" s="13"/>
      <c r="AE73" s="13"/>
      <c r="AF73" s="13"/>
      <c r="AG73" s="13"/>
      <c r="AH73" s="13"/>
      <c r="AI73" s="13"/>
      <c r="AJ73" s="13"/>
      <c r="AK73" s="13"/>
    </row>
    <row r="74" spans="23:37" x14ac:dyDescent="0.25">
      <c r="X74" s="17"/>
      <c r="Y74" s="17"/>
      <c r="Z74" s="17"/>
      <c r="AA74" s="17"/>
      <c r="AB74" s="18"/>
      <c r="AC74" s="18"/>
      <c r="AD74" s="18"/>
      <c r="AE74" s="18"/>
      <c r="AF74" s="18"/>
      <c r="AG74" s="18"/>
      <c r="AH74" s="18"/>
      <c r="AI74" s="18"/>
      <c r="AJ74" s="18"/>
      <c r="AK74" s="18"/>
    </row>
    <row r="75" spans="23:37" x14ac:dyDescent="0.25">
      <c r="Y75" s="18"/>
      <c r="Z75" s="18"/>
      <c r="AA75" s="18"/>
      <c r="AB75" s="18"/>
      <c r="AC75" s="18"/>
      <c r="AD75" s="18"/>
      <c r="AE75" s="18"/>
      <c r="AF75" s="18"/>
      <c r="AG75" s="18"/>
      <c r="AH75" s="18"/>
      <c r="AI75" s="18"/>
      <c r="AJ75" s="18"/>
      <c r="AK75" s="18"/>
    </row>
    <row r="76" spans="23:37" x14ac:dyDescent="0.25">
      <c r="Z76" s="13"/>
      <c r="AA76" s="13"/>
      <c r="AB76" s="13"/>
      <c r="AC76" s="13"/>
      <c r="AD76" s="13"/>
      <c r="AE76" s="13"/>
      <c r="AF76" s="13"/>
      <c r="AG76" s="13"/>
      <c r="AH76" s="13"/>
      <c r="AI76" s="13"/>
      <c r="AJ76" s="13"/>
      <c r="AK76" s="13"/>
    </row>
    <row r="77" spans="23:37" x14ac:dyDescent="0.25">
      <c r="X77" s="19"/>
      <c r="Y77" s="19"/>
      <c r="Z77" s="19"/>
      <c r="AA77" s="19"/>
      <c r="AB77" s="19"/>
      <c r="AC77" s="19"/>
      <c r="AD77" s="19"/>
      <c r="AE77" s="19"/>
      <c r="AF77" s="19"/>
      <c r="AG77" s="19"/>
      <c r="AH77" s="19"/>
      <c r="AI77" s="19"/>
      <c r="AJ77" s="19"/>
      <c r="AK77" s="19"/>
    </row>
    <row r="78" spans="23:37" x14ac:dyDescent="0.25">
      <c r="Z78" s="13"/>
      <c r="AA78" s="13"/>
      <c r="AB78" s="13"/>
      <c r="AC78" s="13"/>
      <c r="AD78" s="13"/>
      <c r="AE78" s="13"/>
      <c r="AF78" s="13"/>
      <c r="AG78" s="13"/>
      <c r="AH78" s="13"/>
      <c r="AI78" s="13"/>
      <c r="AJ78" s="13"/>
      <c r="AK78" s="13"/>
    </row>
    <row r="79" spans="23:37" x14ac:dyDescent="0.25">
      <c r="Z79" s="19"/>
      <c r="AA79" s="19"/>
      <c r="AB79" s="19"/>
      <c r="AC79" s="19"/>
      <c r="AD79" s="19"/>
      <c r="AE79" s="19"/>
      <c r="AF79" s="19"/>
      <c r="AG79" s="19"/>
      <c r="AH79" s="19"/>
      <c r="AI79" s="19"/>
      <c r="AJ79" s="19"/>
      <c r="AK79" s="19"/>
    </row>
    <row r="82" spans="23:37" x14ac:dyDescent="0.25">
      <c r="W82" s="47"/>
      <c r="AC82" s="13"/>
      <c r="AG82" s="13"/>
      <c r="AK82" s="13"/>
    </row>
    <row r="83" spans="23:37" x14ac:dyDescent="0.25">
      <c r="Z83" s="13"/>
      <c r="AA83" s="13"/>
      <c r="AB83" s="13"/>
      <c r="AC83" s="13"/>
      <c r="AD83" s="13"/>
      <c r="AE83" s="13"/>
      <c r="AF83" s="13"/>
      <c r="AG83" s="13"/>
      <c r="AH83" s="13"/>
      <c r="AI83" s="13"/>
      <c r="AJ83" s="13"/>
      <c r="AK83" s="13"/>
    </row>
    <row r="84" spans="23:37" x14ac:dyDescent="0.25">
      <c r="X84" s="17"/>
      <c r="Y84" s="17"/>
      <c r="Z84" s="17"/>
      <c r="AA84" s="17"/>
      <c r="AB84" s="18"/>
      <c r="AC84" s="18"/>
      <c r="AD84" s="18"/>
      <c r="AE84" s="18"/>
      <c r="AF84" s="18"/>
      <c r="AG84" s="18"/>
      <c r="AH84" s="18"/>
      <c r="AI84" s="18"/>
      <c r="AJ84" s="18"/>
      <c r="AK84" s="18"/>
    </row>
    <row r="85" spans="23:37" x14ac:dyDescent="0.25">
      <c r="Y85" s="18"/>
      <c r="Z85" s="18"/>
      <c r="AA85" s="18"/>
      <c r="AB85" s="18"/>
      <c r="AC85" s="18"/>
      <c r="AD85" s="18"/>
      <c r="AE85" s="18"/>
      <c r="AF85" s="18"/>
      <c r="AG85" s="18"/>
      <c r="AH85" s="18"/>
      <c r="AI85" s="18"/>
      <c r="AJ85" s="18"/>
      <c r="AK85" s="18"/>
    </row>
    <row r="86" spans="23:37" x14ac:dyDescent="0.25">
      <c r="Z86" s="13"/>
      <c r="AA86" s="13"/>
      <c r="AB86" s="13"/>
      <c r="AC86" s="13"/>
      <c r="AD86" s="13"/>
      <c r="AE86" s="13"/>
      <c r="AF86" s="13"/>
      <c r="AG86" s="13"/>
      <c r="AH86" s="13"/>
      <c r="AI86" s="13"/>
      <c r="AJ86" s="13"/>
      <c r="AK86" s="13"/>
    </row>
    <row r="87" spans="23:37" x14ac:dyDescent="0.25">
      <c r="X87" s="19"/>
      <c r="Y87" s="19"/>
      <c r="Z87" s="19"/>
      <c r="AA87" s="19"/>
      <c r="AB87" s="19"/>
      <c r="AC87" s="19"/>
      <c r="AD87" s="19"/>
      <c r="AE87" s="19"/>
      <c r="AF87" s="19"/>
      <c r="AG87" s="19"/>
      <c r="AH87" s="19"/>
      <c r="AI87" s="19"/>
      <c r="AJ87" s="19"/>
      <c r="AK87" s="19"/>
    </row>
    <row r="88" spans="23:37" x14ac:dyDescent="0.25">
      <c r="Z88" s="13"/>
      <c r="AA88" s="13"/>
      <c r="AB88" s="13"/>
      <c r="AC88" s="13"/>
      <c r="AD88" s="13"/>
      <c r="AE88" s="13"/>
      <c r="AF88" s="13"/>
      <c r="AG88" s="13"/>
      <c r="AH88" s="13"/>
      <c r="AI88" s="13"/>
      <c r="AJ88" s="13"/>
      <c r="AK88" s="13"/>
    </row>
    <row r="89" spans="23:37" x14ac:dyDescent="0.25">
      <c r="Z89" s="19"/>
      <c r="AA89" s="19"/>
      <c r="AB89" s="19"/>
      <c r="AC89" s="19"/>
      <c r="AD89" s="19"/>
      <c r="AE89" s="19"/>
      <c r="AF89" s="19"/>
      <c r="AG89" s="19"/>
      <c r="AH89" s="19"/>
      <c r="AI89" s="19"/>
      <c r="AJ89" s="19"/>
      <c r="AK89" s="19"/>
    </row>
  </sheetData>
  <mergeCells count="3">
    <mergeCell ref="B13:H13"/>
    <mergeCell ref="AO2:AS2"/>
    <mergeCell ref="AT2:AX2"/>
  </mergeCells>
  <pageMargins left="0.7" right="0.7" top="0.75" bottom="0.75" header="0.3" footer="0.3"/>
  <pageSetup paperSize="9" orientation="portrait" r:id="rId1"/>
  <ignoredErrors>
    <ignoredError sqref="AS11:AX11" evalError="1"/>
  </ignoredError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B0073-A349-492C-AB33-9998DB468802}">
  <sheetPr>
    <tabColor rgb="FF92D050"/>
  </sheetPr>
  <dimension ref="A1:BC96"/>
  <sheetViews>
    <sheetView topLeftCell="V1" zoomScale="85" zoomScaleNormal="85" workbookViewId="0">
      <selection activeCell="AH33" sqref="AH33:AK33"/>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7" width="12" style="12" customWidth="1"/>
    <col min="38" max="39" width="8.85546875" style="12"/>
    <col min="40" max="40" width="14.28515625" style="50" bestFit="1" customWidth="1"/>
    <col min="41" max="16384" width="8.85546875" style="50"/>
  </cols>
  <sheetData>
    <row r="1" spans="1:55" ht="15.75" thickBot="1" x14ac:dyDescent="0.3">
      <c r="W1" s="20" t="s">
        <v>194</v>
      </c>
      <c r="X1" s="59">
        <f>+'Valuation Sheet'!C20</f>
        <v>25.5</v>
      </c>
    </row>
    <row r="2" spans="1:55"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375</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c r="AN2" s="71" t="str">
        <f>+W2</f>
        <v>DIST</v>
      </c>
      <c r="AO2" s="189" t="s">
        <v>190</v>
      </c>
      <c r="AP2" s="190"/>
      <c r="AQ2" s="190"/>
      <c r="AR2" s="190"/>
      <c r="AS2" s="191"/>
      <c r="AT2" s="192" t="s">
        <v>191</v>
      </c>
      <c r="AU2" s="192"/>
      <c r="AV2" s="192"/>
      <c r="AW2" s="192"/>
      <c r="AX2" s="192"/>
      <c r="AY2" s="192" t="s">
        <v>991</v>
      </c>
      <c r="AZ2" s="192"/>
      <c r="BA2" s="192"/>
      <c r="BB2" s="192"/>
      <c r="BC2" s="192"/>
    </row>
    <row r="3" spans="1:55" ht="18" thickTop="1" thickBot="1" x14ac:dyDescent="0.4">
      <c r="B3" s="25" t="s">
        <v>10</v>
      </c>
      <c r="C3" s="26">
        <v>17820.179</v>
      </c>
      <c r="D3" s="26"/>
      <c r="E3" s="26"/>
      <c r="F3" s="26"/>
      <c r="G3" s="26"/>
      <c r="H3" s="26"/>
      <c r="I3" s="27"/>
      <c r="J3" s="21"/>
      <c r="M3" s="1" t="s">
        <v>11</v>
      </c>
      <c r="N3" s="2">
        <f>'[1]LT Portfolio'!W294</f>
        <v>0</v>
      </c>
      <c r="W3" s="12" t="s">
        <v>106</v>
      </c>
      <c r="X3" s="13"/>
      <c r="Y3" s="13"/>
      <c r="Z3" s="13"/>
      <c r="AA3" s="13"/>
      <c r="AB3" s="13"/>
      <c r="AC3" s="13">
        <v>30950371</v>
      </c>
      <c r="AD3" s="13">
        <v>33605499</v>
      </c>
      <c r="AE3" s="13">
        <v>32398896</v>
      </c>
      <c r="AF3" s="13">
        <v>30035318</v>
      </c>
      <c r="AG3" s="13">
        <v>30241107</v>
      </c>
      <c r="AH3" s="13">
        <v>30682601</v>
      </c>
      <c r="AI3" s="13">
        <v>29742734</v>
      </c>
      <c r="AJ3" s="13">
        <v>27549611</v>
      </c>
      <c r="AK3" s="13">
        <v>30245051</v>
      </c>
      <c r="AN3" s="69"/>
      <c r="AO3" s="66" t="s">
        <v>78</v>
      </c>
      <c r="AP3" s="67" t="s">
        <v>17</v>
      </c>
      <c r="AQ3" s="67" t="s">
        <v>184</v>
      </c>
      <c r="AR3" s="67" t="s">
        <v>29</v>
      </c>
      <c r="AS3" s="68" t="s">
        <v>30</v>
      </c>
      <c r="AT3" s="66" t="s">
        <v>78</v>
      </c>
      <c r="AU3" s="67" t="s">
        <v>17</v>
      </c>
      <c r="AV3" s="67" t="s">
        <v>184</v>
      </c>
      <c r="AW3" s="67" t="s">
        <v>29</v>
      </c>
      <c r="AX3" s="68" t="s">
        <v>30</v>
      </c>
      <c r="AY3" s="66" t="s">
        <v>78</v>
      </c>
      <c r="AZ3" s="67" t="s">
        <v>17</v>
      </c>
      <c r="BA3" s="67" t="s">
        <v>184</v>
      </c>
      <c r="BB3" s="67" t="s">
        <v>29</v>
      </c>
      <c r="BC3" s="68" t="s">
        <v>30</v>
      </c>
    </row>
    <row r="4" spans="1:55"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K4" si="1">+AB3/X3-1</f>
        <v>#DIV/0!</v>
      </c>
      <c r="AC4" s="18" t="e">
        <f t="shared" si="1"/>
        <v>#DIV/0!</v>
      </c>
      <c r="AD4" s="18" t="e">
        <f t="shared" si="1"/>
        <v>#DIV/0!</v>
      </c>
      <c r="AE4" s="18" t="e">
        <f t="shared" si="1"/>
        <v>#DIV/0!</v>
      </c>
      <c r="AF4" s="18" t="e">
        <f t="shared" si="1"/>
        <v>#DIV/0!</v>
      </c>
      <c r="AG4" s="18">
        <f t="shared" si="1"/>
        <v>-2.291617118256839E-2</v>
      </c>
      <c r="AH4" s="18">
        <f t="shared" si="1"/>
        <v>-8.6976777223275237E-2</v>
      </c>
      <c r="AI4" s="18">
        <f t="shared" si="1"/>
        <v>-8.1983102140270492E-2</v>
      </c>
      <c r="AJ4" s="18">
        <f t="shared" si="1"/>
        <v>-8.2759470034577287E-2</v>
      </c>
      <c r="AK4" s="18">
        <f t="shared" si="1"/>
        <v>1.3041850617434569E-4</v>
      </c>
      <c r="AL4" s="46"/>
      <c r="AN4" s="69" t="s">
        <v>185</v>
      </c>
      <c r="AO4" s="60">
        <v>48868</v>
      </c>
      <c r="AP4" s="61"/>
      <c r="AQ4" s="61">
        <v>11580</v>
      </c>
      <c r="AR4" s="74">
        <v>2.5</v>
      </c>
      <c r="AS4" s="64">
        <v>1.8</v>
      </c>
      <c r="AT4" s="60">
        <v>52063</v>
      </c>
      <c r="AU4" s="61"/>
      <c r="AV4" s="61">
        <v>12741</v>
      </c>
      <c r="AW4" s="58">
        <v>2.8</v>
      </c>
      <c r="AX4" s="64">
        <v>1.9</v>
      </c>
      <c r="AY4" s="60">
        <v>55817</v>
      </c>
      <c r="AZ4" s="61"/>
      <c r="BA4" s="61">
        <v>13343</v>
      </c>
      <c r="BB4" s="58">
        <v>2.9</v>
      </c>
      <c r="BC4" s="64">
        <v>2</v>
      </c>
    </row>
    <row r="5" spans="1:55"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K5" si="2">+Y3/X3-1</f>
        <v>#DIV/0!</v>
      </c>
      <c r="Z5" s="18" t="e">
        <f t="shared" si="2"/>
        <v>#DIV/0!</v>
      </c>
      <c r="AA5" s="18" t="e">
        <f t="shared" si="2"/>
        <v>#DIV/0!</v>
      </c>
      <c r="AB5" s="18" t="e">
        <f t="shared" si="2"/>
        <v>#DIV/0!</v>
      </c>
      <c r="AC5" s="18" t="e">
        <f t="shared" si="2"/>
        <v>#DIV/0!</v>
      </c>
      <c r="AD5" s="18">
        <f t="shared" si="2"/>
        <v>8.5786629181278551E-2</v>
      </c>
      <c r="AE5" s="18">
        <f t="shared" si="2"/>
        <v>-3.5904927345372872E-2</v>
      </c>
      <c r="AF5" s="18">
        <f t="shared" si="2"/>
        <v>-7.295242405790614E-2</v>
      </c>
      <c r="AG5" s="18">
        <f t="shared" si="2"/>
        <v>6.8515672116407078E-3</v>
      </c>
      <c r="AH5" s="18">
        <f t="shared" si="2"/>
        <v>1.4599134879553111E-2</v>
      </c>
      <c r="AI5" s="18">
        <f t="shared" si="2"/>
        <v>-3.0631920677129054E-2</v>
      </c>
      <c r="AJ5" s="18">
        <f t="shared" si="2"/>
        <v>-7.3736429206541665E-2</v>
      </c>
      <c r="AK5" s="18">
        <f t="shared" si="2"/>
        <v>9.7839493995033111E-2</v>
      </c>
      <c r="AN5" s="69" t="s">
        <v>186</v>
      </c>
      <c r="AO5" s="60"/>
      <c r="AP5" s="61"/>
      <c r="AQ5" s="61"/>
      <c r="AR5" s="58"/>
      <c r="AS5" s="64"/>
      <c r="AT5" s="60"/>
      <c r="AU5" s="61"/>
      <c r="AV5" s="61"/>
      <c r="AW5" s="58"/>
      <c r="AX5" s="64"/>
      <c r="AY5" s="60"/>
      <c r="AZ5" s="61"/>
      <c r="BA5" s="61"/>
      <c r="BB5" s="58"/>
      <c r="BC5" s="64"/>
    </row>
    <row r="6" spans="1:55"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N6" s="69" t="s">
        <v>187</v>
      </c>
      <c r="AO6" s="60">
        <v>50966</v>
      </c>
      <c r="AP6" s="61">
        <v>24590</v>
      </c>
      <c r="AQ6" s="61">
        <v>15421</v>
      </c>
      <c r="AR6" s="58">
        <v>3.35</v>
      </c>
      <c r="AS6" s="64">
        <v>2.5</v>
      </c>
      <c r="AT6" s="60">
        <v>70260</v>
      </c>
      <c r="AU6" s="61">
        <v>35816</v>
      </c>
      <c r="AV6" s="61">
        <v>21859</v>
      </c>
      <c r="AW6" s="58">
        <v>4.75</v>
      </c>
      <c r="AX6" s="64">
        <v>3.3</v>
      </c>
      <c r="AY6" s="60">
        <v>86944</v>
      </c>
      <c r="AZ6" s="61">
        <v>45781</v>
      </c>
      <c r="BA6" s="61">
        <v>27792</v>
      </c>
      <c r="BB6" s="58">
        <v>6.04</v>
      </c>
      <c r="BC6" s="64">
        <v>4.2</v>
      </c>
    </row>
    <row r="7" spans="1:55" ht="18" thickTop="1" thickBot="1" x14ac:dyDescent="0.4">
      <c r="B7" s="32" t="s">
        <v>17</v>
      </c>
      <c r="C7" s="26">
        <v>2167.6080000000002</v>
      </c>
      <c r="D7" s="26"/>
      <c r="E7" s="26"/>
      <c r="F7" s="26"/>
      <c r="G7" s="26"/>
      <c r="H7" s="26"/>
      <c r="I7" s="27"/>
      <c r="J7" s="24"/>
      <c r="M7" s="1" t="s">
        <v>18</v>
      </c>
      <c r="N7" s="3">
        <f>'[1]LT Portfolio'!P294</f>
        <v>0</v>
      </c>
      <c r="W7" s="12" t="s">
        <v>107</v>
      </c>
      <c r="X7" s="13"/>
      <c r="Y7" s="13"/>
      <c r="Z7" s="13"/>
      <c r="AA7" s="13"/>
      <c r="AB7" s="13"/>
      <c r="AC7" s="13">
        <v>8707070</v>
      </c>
      <c r="AD7" s="13">
        <v>9665830</v>
      </c>
      <c r="AE7" s="13">
        <v>12646539</v>
      </c>
      <c r="AF7" s="13">
        <v>15427694</v>
      </c>
      <c r="AG7" s="13">
        <v>14786195</v>
      </c>
      <c r="AH7" s="13">
        <v>14098265</v>
      </c>
      <c r="AI7" s="13">
        <v>12904209</v>
      </c>
      <c r="AJ7" s="13">
        <v>10655681</v>
      </c>
      <c r="AK7" s="13">
        <v>11730194</v>
      </c>
      <c r="AN7" s="69" t="s">
        <v>188</v>
      </c>
      <c r="AO7" s="60"/>
      <c r="AP7" s="61"/>
      <c r="AQ7" s="61"/>
      <c r="AR7" s="74"/>
      <c r="AS7" s="64"/>
      <c r="AT7" s="60"/>
      <c r="AU7" s="61"/>
      <c r="AV7" s="61"/>
      <c r="AW7" s="58"/>
      <c r="AX7" s="64"/>
      <c r="AY7" s="60"/>
      <c r="AZ7" s="61"/>
      <c r="BA7" s="61"/>
      <c r="BB7" s="58"/>
      <c r="BC7" s="64"/>
    </row>
    <row r="8" spans="1:55"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X8" s="17"/>
      <c r="Y8" s="17"/>
      <c r="Z8" s="17"/>
      <c r="AA8" s="17"/>
      <c r="AB8" s="18" t="e">
        <f t="shared" ref="AB8:AK8" si="5">+AB7/X7-1</f>
        <v>#DIV/0!</v>
      </c>
      <c r="AC8" s="18" t="e">
        <f t="shared" si="5"/>
        <v>#DIV/0!</v>
      </c>
      <c r="AD8" s="18" t="e">
        <f t="shared" si="5"/>
        <v>#DIV/0!</v>
      </c>
      <c r="AE8" s="18" t="e">
        <f t="shared" si="5"/>
        <v>#DIV/0!</v>
      </c>
      <c r="AF8" s="18" t="e">
        <f t="shared" si="5"/>
        <v>#DIV/0!</v>
      </c>
      <c r="AG8" s="18">
        <f t="shared" si="5"/>
        <v>0.69818262630253347</v>
      </c>
      <c r="AH8" s="18">
        <f t="shared" si="5"/>
        <v>0.45856744842398434</v>
      </c>
      <c r="AI8" s="18">
        <f t="shared" si="5"/>
        <v>2.0374744426123303E-2</v>
      </c>
      <c r="AJ8" s="18">
        <f t="shared" si="5"/>
        <v>-0.30931472973212981</v>
      </c>
      <c r="AK8" s="18">
        <f t="shared" si="5"/>
        <v>-0.2066793383963893</v>
      </c>
      <c r="AN8" s="69" t="s">
        <v>189</v>
      </c>
      <c r="AO8" s="60">
        <v>59064</v>
      </c>
      <c r="AP8" s="61">
        <v>30466</v>
      </c>
      <c r="AQ8" s="61">
        <v>19144</v>
      </c>
      <c r="AR8" s="74">
        <v>4.2</v>
      </c>
      <c r="AS8" s="64"/>
      <c r="AT8" s="60">
        <v>73861</v>
      </c>
      <c r="AU8" s="61">
        <v>38307</v>
      </c>
      <c r="AV8" s="61">
        <v>23976</v>
      </c>
      <c r="AW8" s="58">
        <f>+AV8/(AK51/1000)</f>
        <v>5.2121739130434781</v>
      </c>
      <c r="AX8" s="64"/>
      <c r="AY8" s="60"/>
      <c r="AZ8" s="61"/>
      <c r="BA8" s="61"/>
      <c r="BB8" s="58"/>
      <c r="BC8" s="64"/>
    </row>
    <row r="9" spans="1:55"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K9" si="6">+Y7/X7-1</f>
        <v>#DIV/0!</v>
      </c>
      <c r="Z9" s="18" t="e">
        <f t="shared" si="6"/>
        <v>#DIV/0!</v>
      </c>
      <c r="AA9" s="18" t="e">
        <f t="shared" si="6"/>
        <v>#DIV/0!</v>
      </c>
      <c r="AB9" s="18" t="e">
        <f t="shared" si="6"/>
        <v>#DIV/0!</v>
      </c>
      <c r="AC9" s="18" t="e">
        <f t="shared" si="6"/>
        <v>#DIV/0!</v>
      </c>
      <c r="AD9" s="18">
        <f t="shared" si="6"/>
        <v>0.11011281636646997</v>
      </c>
      <c r="AE9" s="18">
        <f t="shared" si="6"/>
        <v>0.3083758973621511</v>
      </c>
      <c r="AF9" s="18">
        <f t="shared" si="6"/>
        <v>0.21991431805966832</v>
      </c>
      <c r="AG9" s="18">
        <f t="shared" si="6"/>
        <v>-4.1581003615964951E-2</v>
      </c>
      <c r="AH9" s="18">
        <f t="shared" si="6"/>
        <v>-4.6525154037262428E-2</v>
      </c>
      <c r="AI9" s="18">
        <f t="shared" si="6"/>
        <v>-8.4695244414826898E-2</v>
      </c>
      <c r="AJ9" s="18">
        <f t="shared" si="6"/>
        <v>-0.17424764276524041</v>
      </c>
      <c r="AK9" s="18">
        <f t="shared" si="6"/>
        <v>0.10083944892869812</v>
      </c>
      <c r="AN9" s="69" t="s">
        <v>195</v>
      </c>
      <c r="AO9" s="60"/>
      <c r="AP9" s="61"/>
      <c r="AQ9" s="61"/>
      <c r="AR9" s="74"/>
      <c r="AS9" s="64"/>
      <c r="AT9" s="60"/>
      <c r="AU9" s="61"/>
      <c r="AV9" s="61"/>
      <c r="AW9" s="58"/>
      <c r="AX9" s="64"/>
      <c r="AY9" s="60"/>
      <c r="AZ9" s="61"/>
      <c r="BA9" s="61"/>
      <c r="BB9" s="58"/>
      <c r="BC9" s="64"/>
    </row>
    <row r="10" spans="1:55"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N10" s="69" t="s">
        <v>374</v>
      </c>
      <c r="AO10" s="60"/>
      <c r="AP10" s="61"/>
      <c r="AQ10" s="61"/>
      <c r="AR10" s="58"/>
      <c r="AS10" s="64"/>
      <c r="AT10" s="60"/>
      <c r="AU10" s="61"/>
      <c r="AV10" s="61"/>
      <c r="AW10" s="58"/>
      <c r="AX10" s="64"/>
      <c r="AY10" s="60"/>
      <c r="AZ10" s="61"/>
      <c r="BA10" s="61"/>
      <c r="BB10" s="58"/>
      <c r="BC10" s="64"/>
    </row>
    <row r="11" spans="1:55" ht="18" thickTop="1" thickBot="1" x14ac:dyDescent="0.4">
      <c r="B11" s="28" t="s">
        <v>25</v>
      </c>
      <c r="C11" s="30">
        <f t="shared" ref="C11:G11" si="7">C10/C$3*100</f>
        <v>12.180949473066461</v>
      </c>
      <c r="D11" s="30" t="e">
        <f t="shared" si="7"/>
        <v>#DIV/0!</v>
      </c>
      <c r="E11" s="30" t="e">
        <f t="shared" si="7"/>
        <v>#DIV/0!</v>
      </c>
      <c r="F11" s="30" t="e">
        <f t="shared" si="7"/>
        <v>#DIV/0!</v>
      </c>
      <c r="G11" s="30" t="e">
        <f t="shared" si="7"/>
        <v>#DIV/0!</v>
      </c>
      <c r="H11" s="30" t="e">
        <f>H10/H$3*100</f>
        <v>#DIV/0!</v>
      </c>
      <c r="I11" s="31" t="e">
        <f>I10/I$3*100</f>
        <v>#DIV/0!</v>
      </c>
      <c r="J11" s="23" t="e">
        <f>AVERAGE(D11:I11)</f>
        <v>#DIV/0!</v>
      </c>
      <c r="M11" s="1" t="s">
        <v>26</v>
      </c>
      <c r="N11" s="3">
        <f>'[1]LT Portfolio'!T294</f>
        <v>0</v>
      </c>
      <c r="O11" s="4" t="e">
        <f>N11/N7-1</f>
        <v>#DIV/0!</v>
      </c>
      <c r="W11" s="12" t="s">
        <v>108</v>
      </c>
      <c r="X11" s="48" t="e">
        <f t="shared" ref="X11:AI11" si="8">+X7/X3</f>
        <v>#DIV/0!</v>
      </c>
      <c r="Y11" s="48" t="e">
        <f t="shared" si="8"/>
        <v>#DIV/0!</v>
      </c>
      <c r="Z11" s="48" t="e">
        <f t="shared" si="8"/>
        <v>#DIV/0!</v>
      </c>
      <c r="AA11" s="48" t="e">
        <f t="shared" si="8"/>
        <v>#DIV/0!</v>
      </c>
      <c r="AB11" s="48" t="e">
        <f t="shared" si="8"/>
        <v>#DIV/0!</v>
      </c>
      <c r="AC11" s="48">
        <f t="shared" si="8"/>
        <v>0.28132360675094975</v>
      </c>
      <c r="AD11" s="48">
        <f t="shared" si="8"/>
        <v>0.28762643875634758</v>
      </c>
      <c r="AE11" s="48">
        <f t="shared" si="8"/>
        <v>0.39033857820340545</v>
      </c>
      <c r="AF11" s="48">
        <f t="shared" si="8"/>
        <v>0.51365176156949632</v>
      </c>
      <c r="AG11" s="48">
        <f t="shared" si="8"/>
        <v>0.48894357604038768</v>
      </c>
      <c r="AH11" s="48">
        <f t="shared" si="8"/>
        <v>0.45948728401480698</v>
      </c>
      <c r="AI11" s="48">
        <f t="shared" si="8"/>
        <v>0.43386088851145965</v>
      </c>
      <c r="AJ11" s="48">
        <f>+AJ7/AJ3</f>
        <v>0.3867815411259346</v>
      </c>
      <c r="AK11" s="48">
        <f t="shared" ref="AK11" si="9">+AK7/AK3</f>
        <v>0.3878384599186161</v>
      </c>
      <c r="AN11" s="70" t="s">
        <v>192</v>
      </c>
      <c r="AO11" s="62">
        <f>+AVERAGE(AO4:AO10)</f>
        <v>52966</v>
      </c>
      <c r="AP11" s="63">
        <f t="shared" ref="AP11:AX11" si="10">+AVERAGE(AP4:AP10)</f>
        <v>27528</v>
      </c>
      <c r="AQ11" s="63">
        <f t="shared" si="10"/>
        <v>15381.666666666666</v>
      </c>
      <c r="AR11" s="72">
        <f t="shared" si="10"/>
        <v>3.35</v>
      </c>
      <c r="AS11" s="65">
        <f t="shared" si="10"/>
        <v>2.15</v>
      </c>
      <c r="AT11" s="62">
        <f t="shared" si="10"/>
        <v>65394.666666666664</v>
      </c>
      <c r="AU11" s="63">
        <f t="shared" si="10"/>
        <v>37061.5</v>
      </c>
      <c r="AV11" s="63">
        <f t="shared" si="10"/>
        <v>19525.333333333332</v>
      </c>
      <c r="AW11" s="72">
        <f t="shared" si="10"/>
        <v>4.2540579710144923</v>
      </c>
      <c r="AX11" s="65">
        <f t="shared" si="10"/>
        <v>2.5999999999999996</v>
      </c>
      <c r="AY11" s="62">
        <f t="shared" ref="AY11:BC11" si="11">+AVERAGE(AY4:AY10)</f>
        <v>71380.5</v>
      </c>
      <c r="AZ11" s="63">
        <f t="shared" si="11"/>
        <v>45781</v>
      </c>
      <c r="BA11" s="63">
        <f t="shared" si="11"/>
        <v>20567.5</v>
      </c>
      <c r="BB11" s="72">
        <f t="shared" si="11"/>
        <v>4.47</v>
      </c>
      <c r="BC11" s="65">
        <f t="shared" si="11"/>
        <v>3.1</v>
      </c>
    </row>
    <row r="12" spans="1:55" ht="18" thickTop="1" thickBot="1" x14ac:dyDescent="0.4">
      <c r="B12" s="28" t="s">
        <v>27</v>
      </c>
      <c r="C12" s="29"/>
      <c r="D12" s="30">
        <f t="shared" ref="D12:I12" si="12">(D10/C10-1)*100</f>
        <v>-100</v>
      </c>
      <c r="E12" s="30" t="e">
        <f t="shared" si="12"/>
        <v>#DIV/0!</v>
      </c>
      <c r="F12" s="30" t="e">
        <f t="shared" si="12"/>
        <v>#DIV/0!</v>
      </c>
      <c r="G12" s="30" t="e">
        <f t="shared" si="12"/>
        <v>#DIV/0!</v>
      </c>
      <c r="H12" s="30" t="e">
        <f t="shared" si="12"/>
        <v>#DIV/0!</v>
      </c>
      <c r="I12" s="31" t="e">
        <f t="shared" si="12"/>
        <v>#DIV/0!</v>
      </c>
      <c r="J12" s="23" t="e">
        <f>AVERAGE(D12:I12)</f>
        <v>#DIV/0!</v>
      </c>
      <c r="S12" t="s">
        <v>20</v>
      </c>
      <c r="T12" t="s">
        <v>22</v>
      </c>
      <c r="W12" s="12" t="s">
        <v>40</v>
      </c>
      <c r="AB12" s="18" t="e">
        <f t="shared" ref="AB12:AK12" si="13">+AB11-X11</f>
        <v>#DIV/0!</v>
      </c>
      <c r="AC12" s="18" t="e">
        <f t="shared" si="13"/>
        <v>#DIV/0!</v>
      </c>
      <c r="AD12" s="18" t="e">
        <f t="shared" si="13"/>
        <v>#DIV/0!</v>
      </c>
      <c r="AE12" s="18" t="e">
        <f t="shared" si="13"/>
        <v>#DIV/0!</v>
      </c>
      <c r="AF12" s="18" t="e">
        <f t="shared" si="13"/>
        <v>#DIV/0!</v>
      </c>
      <c r="AG12" s="18">
        <f t="shared" si="13"/>
        <v>0.20761996928943793</v>
      </c>
      <c r="AH12" s="18">
        <f t="shared" si="13"/>
        <v>0.1718608452584594</v>
      </c>
      <c r="AI12" s="18">
        <f t="shared" si="13"/>
        <v>4.3522310308054202E-2</v>
      </c>
      <c r="AJ12" s="18">
        <f>+AJ11-AF11</f>
        <v>-0.12687022044356172</v>
      </c>
      <c r="AK12" s="18">
        <f t="shared" si="13"/>
        <v>-0.10110511612177159</v>
      </c>
      <c r="AN12" s="12"/>
      <c r="AO12" s="12"/>
      <c r="AP12" s="12"/>
      <c r="AQ12" s="12"/>
      <c r="AR12" s="12"/>
      <c r="AS12" s="99" t="s">
        <v>34</v>
      </c>
      <c r="AT12" s="12"/>
      <c r="AU12" s="12"/>
      <c r="AV12" s="12"/>
      <c r="AW12" s="12"/>
      <c r="AX12" s="99" t="s">
        <v>34</v>
      </c>
      <c r="AY12" s="12"/>
      <c r="AZ12" s="12"/>
      <c r="BA12" s="12"/>
      <c r="BB12" s="12"/>
      <c r="BC12" s="99" t="s">
        <v>34</v>
      </c>
    </row>
    <row r="13" spans="1:55"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t="s">
        <v>41</v>
      </c>
      <c r="X13" s="12"/>
      <c r="Y13" s="18" t="e">
        <f t="shared" ref="Y13:AK13" si="14">+Y11-X11</f>
        <v>#DIV/0!</v>
      </c>
      <c r="Z13" s="18" t="e">
        <f t="shared" si="14"/>
        <v>#DIV/0!</v>
      </c>
      <c r="AA13" s="18" t="e">
        <f t="shared" si="14"/>
        <v>#DIV/0!</v>
      </c>
      <c r="AB13" s="18" t="e">
        <f t="shared" si="14"/>
        <v>#DIV/0!</v>
      </c>
      <c r="AC13" s="18" t="e">
        <f t="shared" si="14"/>
        <v>#DIV/0!</v>
      </c>
      <c r="AD13" s="18">
        <f t="shared" si="14"/>
        <v>6.3028320053978293E-3</v>
      </c>
      <c r="AE13" s="18">
        <f t="shared" si="14"/>
        <v>0.10271213944705787</v>
      </c>
      <c r="AF13" s="18">
        <f t="shared" si="14"/>
        <v>0.12331318336609087</v>
      </c>
      <c r="AG13" s="18">
        <f t="shared" si="14"/>
        <v>-2.4708185529108639E-2</v>
      </c>
      <c r="AH13" s="18">
        <f t="shared" si="14"/>
        <v>-2.9456292025580699E-2</v>
      </c>
      <c r="AI13" s="18">
        <f t="shared" si="14"/>
        <v>-2.5626395503347332E-2</v>
      </c>
      <c r="AJ13" s="18">
        <f>+AJ11-AI11</f>
        <v>-4.707934738552505E-2</v>
      </c>
      <c r="AK13" s="18">
        <f t="shared" si="14"/>
        <v>1.0569187926814938E-3</v>
      </c>
      <c r="AL13" s="12"/>
      <c r="AM13" s="12"/>
      <c r="AN13" s="12" t="s">
        <v>193</v>
      </c>
      <c r="AO13" s="12"/>
      <c r="AP13" s="12"/>
      <c r="AQ13" s="12"/>
      <c r="AR13" s="58">
        <f>+$X$1/AR11</f>
        <v>7.6119402985074629</v>
      </c>
      <c r="AS13" s="75">
        <f>+AS11/$X$1</f>
        <v>8.431372549019607E-2</v>
      </c>
      <c r="AT13" s="12"/>
      <c r="AU13" s="12"/>
      <c r="AV13" s="12"/>
      <c r="AW13" s="58">
        <f>+$X$1/AW11</f>
        <v>5.9942765645760234</v>
      </c>
      <c r="AX13" s="75">
        <f>+AX11/$X$1</f>
        <v>0.10196078431372547</v>
      </c>
      <c r="AY13" s="12"/>
      <c r="AZ13" s="12"/>
      <c r="BA13" s="12"/>
      <c r="BB13" s="58">
        <f>+$X$1/BB11</f>
        <v>5.7046979865771812</v>
      </c>
      <c r="BC13" s="75">
        <f>+BC11/$X$1</f>
        <v>0.12156862745098039</v>
      </c>
    </row>
    <row r="14" spans="1:55"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row>
    <row r="15" spans="1:55" ht="18" thickTop="1" thickBot="1" x14ac:dyDescent="0.4">
      <c r="B15" s="32" t="s">
        <v>30</v>
      </c>
      <c r="C15" s="34">
        <f>1+0.6</f>
        <v>1.6</v>
      </c>
      <c r="D15" s="34"/>
      <c r="E15" s="34"/>
      <c r="F15" s="34"/>
      <c r="G15" s="34"/>
      <c r="H15" s="34"/>
      <c r="I15" s="35"/>
      <c r="J15" s="24"/>
      <c r="R15" s="6"/>
      <c r="S15" s="6"/>
      <c r="W15" s="12" t="s">
        <v>42</v>
      </c>
      <c r="X15" s="13"/>
      <c r="Y15" s="13"/>
      <c r="Z15" s="13"/>
      <c r="AA15" s="13"/>
      <c r="AB15" s="13"/>
      <c r="AC15" s="13">
        <v>3790711</v>
      </c>
      <c r="AD15" s="13">
        <v>4193015</v>
      </c>
      <c r="AE15" s="13">
        <v>6852220</v>
      </c>
      <c r="AF15" s="13">
        <v>8208248</v>
      </c>
      <c r="AG15" s="13">
        <v>9468410</v>
      </c>
      <c r="AH15" s="13">
        <v>8089469</v>
      </c>
      <c r="AI15" s="13">
        <v>7160179</v>
      </c>
      <c r="AJ15" s="13">
        <v>5537918</v>
      </c>
      <c r="AK15" s="13">
        <v>6458243</v>
      </c>
    </row>
    <row r="16" spans="1:55" ht="18" thickTop="1" thickBot="1" x14ac:dyDescent="0.4">
      <c r="B16" s="32" t="s">
        <v>8</v>
      </c>
      <c r="C16" s="34">
        <v>31.7</v>
      </c>
      <c r="D16" s="34"/>
      <c r="E16" s="34"/>
      <c r="F16" s="34"/>
      <c r="G16" s="34"/>
      <c r="H16" s="34"/>
      <c r="I16" s="35"/>
      <c r="J16" s="22" t="e">
        <f>((I16/D16)^(1/5)-1)*100</f>
        <v>#DIV/0!</v>
      </c>
      <c r="W16" s="12" t="s">
        <v>43</v>
      </c>
      <c r="X16" s="19" t="e">
        <f t="shared" ref="X16:AJ16" si="15">+X15/X7</f>
        <v>#DIV/0!</v>
      </c>
      <c r="Y16" s="19" t="e">
        <f t="shared" si="15"/>
        <v>#DIV/0!</v>
      </c>
      <c r="Z16" s="19" t="e">
        <f t="shared" si="15"/>
        <v>#DIV/0!</v>
      </c>
      <c r="AA16" s="19" t="e">
        <f t="shared" si="15"/>
        <v>#DIV/0!</v>
      </c>
      <c r="AB16" s="19" t="e">
        <f t="shared" si="15"/>
        <v>#DIV/0!</v>
      </c>
      <c r="AC16" s="19">
        <f t="shared" si="15"/>
        <v>0.43536011540047342</v>
      </c>
      <c r="AD16" s="19">
        <f t="shared" si="15"/>
        <v>0.43379771835424374</v>
      </c>
      <c r="AE16" s="19">
        <f t="shared" si="15"/>
        <v>0.54182571215729458</v>
      </c>
      <c r="AF16" s="19">
        <f t="shared" si="15"/>
        <v>0.53204633174601468</v>
      </c>
      <c r="AG16" s="19">
        <f t="shared" si="15"/>
        <v>0.64035473629287321</v>
      </c>
      <c r="AH16" s="19">
        <f t="shared" si="15"/>
        <v>0.57379181055257511</v>
      </c>
      <c r="AI16" s="19">
        <f t="shared" si="15"/>
        <v>0.5548715926718174</v>
      </c>
      <c r="AJ16" s="19">
        <f t="shared" si="15"/>
        <v>0.51971507029912023</v>
      </c>
      <c r="AK16" s="19">
        <f t="shared" ref="AK16" si="16">+AK15/AK7</f>
        <v>0.55056574511896395</v>
      </c>
    </row>
    <row r="17" spans="1:37" s="12" customFormat="1" ht="18" thickTop="1" thickBot="1" x14ac:dyDescent="0.4">
      <c r="A17"/>
      <c r="B17" s="32" t="s">
        <v>31</v>
      </c>
      <c r="C17" s="34">
        <v>14.6</v>
      </c>
      <c r="D17" s="34"/>
      <c r="E17" s="34"/>
      <c r="F17" s="34"/>
      <c r="G17" s="34"/>
      <c r="H17" s="34"/>
      <c r="I17" s="35"/>
      <c r="J17" s="22" t="e">
        <f>((I17/D17)^(1/6)-1)*100</f>
        <v>#DIV/0!</v>
      </c>
      <c r="K17"/>
      <c r="L17"/>
      <c r="M17"/>
      <c r="N17"/>
      <c r="O17"/>
      <c r="P17"/>
      <c r="Q17"/>
      <c r="R17"/>
      <c r="S17"/>
      <c r="T17"/>
      <c r="U17"/>
      <c r="V17"/>
    </row>
    <row r="18" spans="1:37" s="12" customFormat="1" ht="18" thickTop="1" thickBot="1" x14ac:dyDescent="0.4">
      <c r="A18"/>
      <c r="B18" s="32" t="s">
        <v>32</v>
      </c>
      <c r="C18" s="36">
        <f t="shared" ref="C18:G18" si="17">C14/AVERAGE(B17:C17)*100</f>
        <v>22.19178082191781</v>
      </c>
      <c r="D18" s="36">
        <f t="shared" si="17"/>
        <v>0</v>
      </c>
      <c r="E18" s="36" t="e">
        <f t="shared" si="17"/>
        <v>#DIV/0!</v>
      </c>
      <c r="F18" s="36" t="e">
        <f t="shared" si="17"/>
        <v>#DIV/0!</v>
      </c>
      <c r="G18" s="36" t="e">
        <f t="shared" si="17"/>
        <v>#DIV/0!</v>
      </c>
      <c r="H18" s="36" t="e">
        <f>H14/AVERAGE(G17:H17)*100</f>
        <v>#DIV/0!</v>
      </c>
      <c r="I18" s="37" t="e">
        <f>I14/AVERAGE(H17:I17)*100</f>
        <v>#DIV/0!</v>
      </c>
      <c r="J18" s="23" t="e">
        <f>AVERAGE(D18:I18)</f>
        <v>#DIV/0!</v>
      </c>
      <c r="K18"/>
      <c r="L18"/>
      <c r="M18" s="9" t="s">
        <v>33</v>
      </c>
      <c r="N18" s="6"/>
      <c r="O18" s="6"/>
      <c r="P18" s="6"/>
      <c r="Q18" s="6"/>
      <c r="R18"/>
      <c r="S18"/>
      <c r="T18"/>
      <c r="U18"/>
      <c r="V18"/>
      <c r="W18" s="12" t="s">
        <v>17</v>
      </c>
      <c r="X18" s="13"/>
      <c r="Y18" s="13"/>
      <c r="Z18" s="13"/>
      <c r="AA18" s="13"/>
      <c r="AB18" s="13"/>
      <c r="AC18" s="13">
        <v>3257462</v>
      </c>
      <c r="AD18" s="13">
        <v>3242736</v>
      </c>
      <c r="AE18" s="13">
        <v>6150190</v>
      </c>
      <c r="AF18" s="13">
        <v>7606680</v>
      </c>
      <c r="AG18" s="13">
        <v>8617345</v>
      </c>
      <c r="AH18" s="13">
        <v>7048232</v>
      </c>
      <c r="AI18" s="13">
        <v>6588040</v>
      </c>
      <c r="AJ18" s="13">
        <v>4650466</v>
      </c>
      <c r="AK18" s="13">
        <v>5588602</v>
      </c>
    </row>
    <row r="19" spans="1:37" s="12" customFormat="1" ht="18" thickTop="1" thickBot="1" x14ac:dyDescent="0.4">
      <c r="A19"/>
      <c r="B19" s="32" t="s">
        <v>34</v>
      </c>
      <c r="C19" s="30">
        <f t="shared" ref="C19:G19" si="18">C15/C16*100</f>
        <v>5.0473186119873823</v>
      </c>
      <c r="D19" s="30" t="e">
        <f t="shared" si="18"/>
        <v>#DIV/0!</v>
      </c>
      <c r="E19" s="30" t="e">
        <f t="shared" si="18"/>
        <v>#DIV/0!</v>
      </c>
      <c r="F19" s="30" t="e">
        <f t="shared" si="18"/>
        <v>#DIV/0!</v>
      </c>
      <c r="G19" s="30" t="e">
        <f t="shared" si="18"/>
        <v>#DIV/0!</v>
      </c>
      <c r="H19" s="30" t="e">
        <f>H15/H16*100</f>
        <v>#DIV/0!</v>
      </c>
      <c r="I19" s="31" t="e">
        <f>I15/I16*100</f>
        <v>#DIV/0!</v>
      </c>
      <c r="J19" s="23" t="e">
        <f>AVERAGE(D19:I19)</f>
        <v>#DIV/0!</v>
      </c>
      <c r="K19"/>
      <c r="L19"/>
      <c r="M19"/>
      <c r="N19"/>
      <c r="O19"/>
      <c r="P19"/>
      <c r="Q19"/>
      <c r="R19"/>
      <c r="S19"/>
      <c r="T19"/>
      <c r="U19"/>
      <c r="V19"/>
      <c r="W19" s="12" t="s">
        <v>55</v>
      </c>
      <c r="X19" s="19" t="e">
        <f t="shared" ref="X19:AJ19" si="19">+X18/X7</f>
        <v>#DIV/0!</v>
      </c>
      <c r="Y19" s="19" t="e">
        <f t="shared" si="19"/>
        <v>#DIV/0!</v>
      </c>
      <c r="Z19" s="19" t="e">
        <f t="shared" si="19"/>
        <v>#DIV/0!</v>
      </c>
      <c r="AA19" s="19" t="e">
        <f t="shared" si="19"/>
        <v>#DIV/0!</v>
      </c>
      <c r="AB19" s="19" t="e">
        <f t="shared" si="19"/>
        <v>#DIV/0!</v>
      </c>
      <c r="AC19" s="19">
        <f t="shared" si="19"/>
        <v>0.37411689580995672</v>
      </c>
      <c r="AD19" s="19">
        <f t="shared" si="19"/>
        <v>0.3354844850364635</v>
      </c>
      <c r="AE19" s="19">
        <f t="shared" si="19"/>
        <v>0.48631408166297513</v>
      </c>
      <c r="AF19" s="19">
        <f t="shared" si="19"/>
        <v>0.49305359569615526</v>
      </c>
      <c r="AG19" s="19">
        <f t="shared" si="19"/>
        <v>0.58279665593480945</v>
      </c>
      <c r="AH19" s="19">
        <f t="shared" si="19"/>
        <v>0.49993612689220979</v>
      </c>
      <c r="AI19" s="19">
        <f t="shared" si="19"/>
        <v>0.51053419857040439</v>
      </c>
      <c r="AJ19" s="19">
        <f t="shared" si="19"/>
        <v>0.43643067017490483</v>
      </c>
      <c r="AK19" s="19">
        <f t="shared" ref="AK19" si="20">+AK18/AK7</f>
        <v>0.47642877858627058</v>
      </c>
    </row>
    <row r="20" spans="1:37" s="12" customFormat="1" ht="18" thickTop="1" thickBot="1" x14ac:dyDescent="0.4">
      <c r="A20"/>
      <c r="B20" s="32" t="s">
        <v>35</v>
      </c>
      <c r="C20" s="30">
        <f t="shared" ref="C20:G20" si="21">C15/C14*100</f>
        <v>49.382716049382715</v>
      </c>
      <c r="D20" s="30" t="e">
        <f t="shared" si="21"/>
        <v>#DIV/0!</v>
      </c>
      <c r="E20" s="30" t="e">
        <f t="shared" si="21"/>
        <v>#DIV/0!</v>
      </c>
      <c r="F20" s="30" t="e">
        <f t="shared" si="21"/>
        <v>#DIV/0!</v>
      </c>
      <c r="G20" s="30" t="e">
        <f t="shared" si="21"/>
        <v>#DIV/0!</v>
      </c>
      <c r="H20" s="30" t="e">
        <f>H15/H14*100</f>
        <v>#DIV/0!</v>
      </c>
      <c r="I20" s="31" t="e">
        <f>I15/I14*100</f>
        <v>#DIV/0!</v>
      </c>
      <c r="J20" s="23" t="e">
        <f>AVERAGE(D20:I20)</f>
        <v>#DIV/0!</v>
      </c>
      <c r="K20"/>
      <c r="L20"/>
      <c r="M20" t="s">
        <v>36</v>
      </c>
      <c r="N20" s="4" t="e">
        <f>N13/H14-1</f>
        <v>#DIV/0!</v>
      </c>
      <c r="O20"/>
      <c r="P20"/>
      <c r="Q20"/>
      <c r="R20"/>
      <c r="S20"/>
      <c r="T20"/>
      <c r="U20"/>
      <c r="V20"/>
    </row>
    <row r="21" spans="1:37" s="12" customFormat="1" ht="18" thickTop="1" thickBot="1" x14ac:dyDescent="0.4">
      <c r="A21"/>
      <c r="B21" s="32" t="s">
        <v>11</v>
      </c>
      <c r="C21" s="38">
        <f t="shared" ref="C21:G21" si="22">C16/C14</f>
        <v>9.7839506172839492</v>
      </c>
      <c r="D21" s="38" t="e">
        <f t="shared" si="22"/>
        <v>#DIV/0!</v>
      </c>
      <c r="E21" s="38" t="e">
        <f t="shared" si="22"/>
        <v>#DIV/0!</v>
      </c>
      <c r="F21" s="38" t="e">
        <f t="shared" si="22"/>
        <v>#DIV/0!</v>
      </c>
      <c r="G21" s="38" t="e">
        <f t="shared" si="22"/>
        <v>#DIV/0!</v>
      </c>
      <c r="H21" s="38" t="e">
        <f>H16/H14</f>
        <v>#DIV/0!</v>
      </c>
      <c r="I21" s="39" t="e">
        <f>I16/I14</f>
        <v>#DIV/0!</v>
      </c>
      <c r="J21" s="23" t="e">
        <f>AVERAGE(D21:I21)</f>
        <v>#DIV/0!</v>
      </c>
      <c r="K21"/>
      <c r="L21"/>
      <c r="M21"/>
      <c r="N21"/>
      <c r="O21"/>
      <c r="P21"/>
      <c r="Q21"/>
      <c r="R21"/>
      <c r="S21"/>
      <c r="T21"/>
      <c r="U21"/>
      <c r="V21"/>
      <c r="W21" s="12" t="s">
        <v>44</v>
      </c>
      <c r="X21" s="13"/>
      <c r="Y21" s="13"/>
      <c r="Z21" s="13"/>
      <c r="AA21" s="13"/>
      <c r="AB21" s="13"/>
      <c r="AC21" s="13">
        <v>-34251</v>
      </c>
      <c r="AD21" s="13">
        <v>86535</v>
      </c>
      <c r="AE21" s="13">
        <v>164463</v>
      </c>
      <c r="AF21" s="13">
        <v>319862</v>
      </c>
      <c r="AG21" s="13">
        <v>460905</v>
      </c>
      <c r="AH21" s="13">
        <v>508966</v>
      </c>
      <c r="AI21" s="13">
        <v>450943</v>
      </c>
      <c r="AJ21" s="13">
        <v>243377</v>
      </c>
      <c r="AK21" s="13">
        <v>187370</v>
      </c>
    </row>
    <row r="22" spans="1:37" s="12" customFormat="1" ht="18" thickTop="1" thickBot="1" x14ac:dyDescent="0.4">
      <c r="A22"/>
      <c r="B22" s="32" t="s">
        <v>37</v>
      </c>
      <c r="C22" s="38">
        <f t="shared" ref="C22:G22" si="23">C16/C17</f>
        <v>2.1712328767123288</v>
      </c>
      <c r="D22" s="38" t="e">
        <f t="shared" si="23"/>
        <v>#DIV/0!</v>
      </c>
      <c r="E22" s="38" t="e">
        <f t="shared" si="23"/>
        <v>#DIV/0!</v>
      </c>
      <c r="F22" s="38" t="e">
        <f t="shared" si="23"/>
        <v>#DIV/0!</v>
      </c>
      <c r="G22" s="38" t="e">
        <f t="shared" si="23"/>
        <v>#DIV/0!</v>
      </c>
      <c r="H22" s="38" t="e">
        <f>H16/H17</f>
        <v>#DIV/0!</v>
      </c>
      <c r="I22" s="39" t="e">
        <f>I16/I17</f>
        <v>#DIV/0!</v>
      </c>
      <c r="J22" s="23" t="e">
        <f>AVERAGE(D22:I22)</f>
        <v>#DIV/0!</v>
      </c>
      <c r="K22"/>
      <c r="L22"/>
      <c r="M22"/>
      <c r="N22"/>
      <c r="O22"/>
      <c r="P22"/>
      <c r="Q22"/>
      <c r="R22"/>
      <c r="S22"/>
      <c r="T22"/>
      <c r="U22"/>
      <c r="V22"/>
      <c r="W22" s="12" t="s">
        <v>45</v>
      </c>
      <c r="X22" s="15" t="e">
        <f t="shared" ref="X22:AJ22" si="24">+X21/X18</f>
        <v>#DIV/0!</v>
      </c>
      <c r="Y22" s="15" t="e">
        <f t="shared" si="24"/>
        <v>#DIV/0!</v>
      </c>
      <c r="Z22" s="15" t="e">
        <f t="shared" si="24"/>
        <v>#DIV/0!</v>
      </c>
      <c r="AA22" s="15" t="e">
        <f t="shared" si="24"/>
        <v>#DIV/0!</v>
      </c>
      <c r="AB22" s="15" t="e">
        <f t="shared" si="24"/>
        <v>#DIV/0!</v>
      </c>
      <c r="AC22" s="15">
        <f t="shared" si="24"/>
        <v>-1.0514627645694715E-2</v>
      </c>
      <c r="AD22" s="15">
        <f t="shared" si="24"/>
        <v>2.6685798658910253E-2</v>
      </c>
      <c r="AE22" s="15">
        <f t="shared" si="24"/>
        <v>2.6741125070932768E-2</v>
      </c>
      <c r="AF22" s="15">
        <f t="shared" si="24"/>
        <v>4.2050145398518146E-2</v>
      </c>
      <c r="AG22" s="15">
        <f t="shared" si="24"/>
        <v>5.3485731394066267E-2</v>
      </c>
      <c r="AH22" s="15">
        <f t="shared" si="24"/>
        <v>7.2211868167790169E-2</v>
      </c>
      <c r="AI22" s="15">
        <f t="shared" si="24"/>
        <v>6.8448734373197498E-2</v>
      </c>
      <c r="AJ22" s="15">
        <f t="shared" si="24"/>
        <v>5.2333895140831047E-2</v>
      </c>
      <c r="AK22" s="15">
        <f t="shared" ref="AK22" si="25">+AK21/AK18</f>
        <v>3.3527168332974866E-2</v>
      </c>
    </row>
    <row r="23" spans="1:37" s="12" customFormat="1" ht="15.75" thickTop="1" x14ac:dyDescent="0.25">
      <c r="A23"/>
      <c r="B23"/>
      <c r="C23"/>
      <c r="D23"/>
      <c r="E23"/>
      <c r="F23"/>
      <c r="G23"/>
      <c r="H23"/>
      <c r="I23"/>
      <c r="J23"/>
      <c r="K23"/>
      <c r="L23"/>
      <c r="M23"/>
      <c r="N23"/>
      <c r="O23"/>
      <c r="P23"/>
      <c r="Q23"/>
      <c r="R23"/>
      <c r="S23"/>
      <c r="T23"/>
      <c r="U23"/>
      <c r="V23"/>
    </row>
    <row r="24" spans="1:37" s="12" customFormat="1" x14ac:dyDescent="0.25">
      <c r="A24"/>
      <c r="B24"/>
      <c r="C24"/>
      <c r="D24"/>
      <c r="E24"/>
      <c r="F24"/>
      <c r="G24" s="10">
        <v>701.95658000000003</v>
      </c>
      <c r="H24" s="10">
        <v>709.32254499999999</v>
      </c>
      <c r="I24" s="10">
        <v>716.73997499999996</v>
      </c>
      <c r="J24"/>
      <c r="K24"/>
      <c r="L24"/>
      <c r="M24"/>
      <c r="N24"/>
      <c r="O24"/>
      <c r="P24"/>
      <c r="Q24"/>
      <c r="R24"/>
      <c r="S24"/>
      <c r="T24"/>
      <c r="U24"/>
      <c r="V24"/>
      <c r="W24" s="12" t="s">
        <v>21</v>
      </c>
      <c r="X24" s="13"/>
      <c r="Y24" s="13"/>
      <c r="Z24" s="13"/>
      <c r="AA24" s="13"/>
      <c r="AB24" s="13"/>
      <c r="AC24" s="13">
        <f t="shared" ref="AC24:AJ24" si="26">+AC18+AC21</f>
        <v>3223211</v>
      </c>
      <c r="AD24" s="13">
        <f t="shared" si="26"/>
        <v>3329271</v>
      </c>
      <c r="AE24" s="13">
        <f t="shared" si="26"/>
        <v>6314653</v>
      </c>
      <c r="AF24" s="13">
        <f t="shared" si="26"/>
        <v>7926542</v>
      </c>
      <c r="AG24" s="13">
        <f t="shared" si="26"/>
        <v>9078250</v>
      </c>
      <c r="AH24" s="13">
        <f t="shared" si="26"/>
        <v>7557198</v>
      </c>
      <c r="AI24" s="13">
        <f t="shared" si="26"/>
        <v>7038983</v>
      </c>
      <c r="AJ24" s="13">
        <f t="shared" si="26"/>
        <v>4893843</v>
      </c>
      <c r="AK24" s="13">
        <f t="shared" ref="AK24" si="27">+AK18+AK21</f>
        <v>5775972</v>
      </c>
    </row>
    <row r="25" spans="1:37" s="12" customFormat="1" x14ac:dyDescent="0.25">
      <c r="A25"/>
      <c r="B25"/>
      <c r="C25"/>
      <c r="D25"/>
      <c r="E25"/>
      <c r="F25"/>
      <c r="G25">
        <f>+G10/G24</f>
        <v>0</v>
      </c>
      <c r="H25">
        <f>+H10/H24</f>
        <v>0</v>
      </c>
      <c r="I25">
        <f>+I10/I24</f>
        <v>0</v>
      </c>
      <c r="J25"/>
      <c r="K25"/>
      <c r="L25"/>
      <c r="M25" s="10"/>
      <c r="N25"/>
      <c r="O25"/>
      <c r="P25"/>
      <c r="Q25"/>
      <c r="R25"/>
      <c r="S25"/>
      <c r="T25"/>
      <c r="U25"/>
      <c r="V25"/>
      <c r="W25" s="12" t="s">
        <v>46</v>
      </c>
      <c r="X25" s="19" t="e">
        <f t="shared" ref="X25:AJ25" si="28">+X24/X7</f>
        <v>#DIV/0!</v>
      </c>
      <c r="Y25" s="19" t="e">
        <f t="shared" si="28"/>
        <v>#DIV/0!</v>
      </c>
      <c r="Z25" s="19" t="e">
        <f t="shared" si="28"/>
        <v>#DIV/0!</v>
      </c>
      <c r="AA25" s="19" t="e">
        <f t="shared" si="28"/>
        <v>#DIV/0!</v>
      </c>
      <c r="AB25" s="19" t="e">
        <f t="shared" si="28"/>
        <v>#DIV/0!</v>
      </c>
      <c r="AC25" s="19">
        <f t="shared" si="28"/>
        <v>0.3701831959545519</v>
      </c>
      <c r="AD25" s="19">
        <f t="shared" si="28"/>
        <v>0.34443715645733475</v>
      </c>
      <c r="AE25" s="19">
        <f t="shared" si="28"/>
        <v>0.49931866734448055</v>
      </c>
      <c r="AF25" s="19">
        <f t="shared" si="28"/>
        <v>0.5137865710844407</v>
      </c>
      <c r="AG25" s="19">
        <f t="shared" si="28"/>
        <v>0.61396796133149878</v>
      </c>
      <c r="AH25" s="19">
        <f t="shared" si="28"/>
        <v>0.53603744857966562</v>
      </c>
      <c r="AI25" s="19">
        <f t="shared" si="28"/>
        <v>0.54547961831678327</v>
      </c>
      <c r="AJ25" s="19">
        <f t="shared" si="28"/>
        <v>0.45927078710408092</v>
      </c>
      <c r="AK25" s="19">
        <f t="shared" ref="AK25" si="29">+AK24/AK7</f>
        <v>0.49240208644460609</v>
      </c>
    </row>
    <row r="26" spans="1:37" s="12" customFormat="1" x14ac:dyDescent="0.25">
      <c r="A26"/>
      <c r="B26"/>
      <c r="C26"/>
      <c r="D26"/>
      <c r="E26"/>
      <c r="F26"/>
      <c r="G26"/>
      <c r="H26"/>
      <c r="I26"/>
      <c r="J26"/>
      <c r="K26"/>
      <c r="L26"/>
      <c r="M26" s="10"/>
      <c r="N26"/>
      <c r="O26"/>
      <c r="P26"/>
      <c r="Q26"/>
      <c r="R26"/>
      <c r="S26"/>
      <c r="T26"/>
      <c r="U26"/>
      <c r="V26"/>
    </row>
    <row r="27" spans="1:37" x14ac:dyDescent="0.25">
      <c r="W27" s="12" t="s">
        <v>47</v>
      </c>
      <c r="X27" s="13"/>
      <c r="Y27" s="13"/>
      <c r="Z27" s="13"/>
      <c r="AA27" s="13"/>
      <c r="AB27" s="13"/>
      <c r="AC27" s="13">
        <v>-1361739</v>
      </c>
      <c r="AD27" s="13">
        <v>-1178902</v>
      </c>
      <c r="AE27" s="13">
        <v>-2574787</v>
      </c>
      <c r="AF27" s="13">
        <v>-3196067</v>
      </c>
      <c r="AG27" s="13">
        <v>-3618135</v>
      </c>
      <c r="AH27" s="13">
        <v>-3031390</v>
      </c>
      <c r="AI27" s="13">
        <v>-2796365</v>
      </c>
      <c r="AJ27" s="13">
        <v>-2028618</v>
      </c>
      <c r="AK27" s="13">
        <v>-2294543</v>
      </c>
    </row>
    <row r="28" spans="1:37" s="12" customFormat="1" x14ac:dyDescent="0.25">
      <c r="A28"/>
      <c r="B28"/>
      <c r="C28"/>
      <c r="D28"/>
      <c r="E28"/>
      <c r="F28"/>
      <c r="G28"/>
      <c r="H28"/>
      <c r="I28"/>
      <c r="J28"/>
      <c r="K28"/>
      <c r="L28"/>
      <c r="M28"/>
      <c r="N28"/>
      <c r="O28"/>
      <c r="P28"/>
      <c r="Q28"/>
      <c r="R28"/>
      <c r="S28"/>
      <c r="T28"/>
      <c r="U28"/>
      <c r="V28"/>
      <c r="W28" s="12" t="s">
        <v>48</v>
      </c>
      <c r="X28" s="14" t="e">
        <f t="shared" ref="X28:AJ28" si="30">+X27/X24</f>
        <v>#DIV/0!</v>
      </c>
      <c r="Y28" s="14" t="e">
        <f t="shared" si="30"/>
        <v>#DIV/0!</v>
      </c>
      <c r="Z28" s="14" t="e">
        <f t="shared" si="30"/>
        <v>#DIV/0!</v>
      </c>
      <c r="AA28" s="14" t="e">
        <f t="shared" si="30"/>
        <v>#DIV/0!</v>
      </c>
      <c r="AB28" s="14" t="e">
        <f t="shared" si="30"/>
        <v>#DIV/0!</v>
      </c>
      <c r="AC28" s="14">
        <f t="shared" si="30"/>
        <v>-0.42247901238857771</v>
      </c>
      <c r="AD28" s="14">
        <f t="shared" si="30"/>
        <v>-0.354102144283238</v>
      </c>
      <c r="AE28" s="14">
        <f t="shared" si="30"/>
        <v>-0.40774797918428773</v>
      </c>
      <c r="AF28" s="14">
        <f t="shared" si="30"/>
        <v>-0.40321075697321734</v>
      </c>
      <c r="AG28" s="14">
        <f t="shared" si="30"/>
        <v>-0.39854983063916505</v>
      </c>
      <c r="AH28" s="14">
        <f t="shared" si="30"/>
        <v>-0.40112618459910671</v>
      </c>
      <c r="AI28" s="14">
        <f t="shared" si="30"/>
        <v>-0.39726832697280273</v>
      </c>
      <c r="AJ28" s="14">
        <f t="shared" si="30"/>
        <v>-0.41452453623869828</v>
      </c>
      <c r="AK28" s="14">
        <f t="shared" ref="AK28" si="31">+AK27/AK24</f>
        <v>-0.39725660027437804</v>
      </c>
    </row>
    <row r="29" spans="1:37" s="12" customFormat="1" x14ac:dyDescent="0.25">
      <c r="A29"/>
      <c r="B29"/>
      <c r="C29"/>
      <c r="D29"/>
      <c r="E29"/>
      <c r="F29"/>
      <c r="G29"/>
      <c r="H29"/>
      <c r="I29"/>
      <c r="J29"/>
      <c r="K29"/>
      <c r="L29"/>
      <c r="M29" s="10"/>
      <c r="N29"/>
      <c r="O29"/>
      <c r="P29"/>
      <c r="Q29"/>
      <c r="R29"/>
      <c r="S29"/>
      <c r="T29"/>
      <c r="U29"/>
      <c r="V29"/>
    </row>
    <row r="30" spans="1:37" s="12" customFormat="1" x14ac:dyDescent="0.25">
      <c r="A30"/>
      <c r="B30"/>
      <c r="C30"/>
      <c r="D30"/>
      <c r="E30"/>
      <c r="F30"/>
      <c r="G30"/>
      <c r="H30"/>
      <c r="I30"/>
      <c r="J30"/>
      <c r="K30"/>
      <c r="L30"/>
      <c r="M30" s="10"/>
      <c r="N30"/>
      <c r="O30"/>
      <c r="P30"/>
      <c r="Q30"/>
      <c r="R30"/>
      <c r="S30"/>
      <c r="T30"/>
      <c r="U30"/>
      <c r="V30"/>
      <c r="W30" s="12" t="s">
        <v>74</v>
      </c>
      <c r="Y30" s="13">
        <v>0</v>
      </c>
      <c r="Z30" s="13">
        <v>0</v>
      </c>
      <c r="AA30" s="13">
        <v>0</v>
      </c>
      <c r="AB30" s="13">
        <v>0</v>
      </c>
      <c r="AC30" s="13">
        <v>0</v>
      </c>
      <c r="AD30" s="13">
        <v>0</v>
      </c>
      <c r="AE30" s="13">
        <v>0</v>
      </c>
      <c r="AF30" s="13">
        <v>0</v>
      </c>
      <c r="AG30" s="13">
        <v>0</v>
      </c>
      <c r="AH30" s="13">
        <v>0</v>
      </c>
      <c r="AI30" s="13">
        <v>0</v>
      </c>
      <c r="AJ30" s="13">
        <v>0</v>
      </c>
      <c r="AK30" s="13">
        <v>0</v>
      </c>
    </row>
    <row r="31" spans="1:37" s="12" customFormat="1" x14ac:dyDescent="0.25">
      <c r="A31"/>
      <c r="B31"/>
      <c r="C31"/>
      <c r="D31"/>
      <c r="E31"/>
      <c r="F31"/>
      <c r="G31"/>
      <c r="H31"/>
      <c r="I31"/>
      <c r="J31"/>
      <c r="K31"/>
      <c r="L31"/>
      <c r="M31"/>
      <c r="N31"/>
      <c r="O31"/>
      <c r="P31"/>
      <c r="Q31"/>
      <c r="R31"/>
      <c r="S31"/>
      <c r="T31"/>
      <c r="U31"/>
      <c r="V31"/>
    </row>
    <row r="32" spans="1:37" s="12" customFormat="1" x14ac:dyDescent="0.25">
      <c r="A32"/>
      <c r="B32"/>
      <c r="C32"/>
      <c r="D32"/>
      <c r="E32"/>
      <c r="F32"/>
      <c r="G32"/>
      <c r="H32"/>
      <c r="I32"/>
      <c r="J32"/>
      <c r="K32"/>
      <c r="L32"/>
      <c r="M32"/>
      <c r="N32"/>
      <c r="O32"/>
      <c r="P32"/>
      <c r="Q32"/>
      <c r="R32"/>
      <c r="S32"/>
      <c r="T32"/>
      <c r="U32"/>
      <c r="V32"/>
      <c r="W32" s="12" t="s">
        <v>49</v>
      </c>
      <c r="X32" s="13">
        <f t="shared" ref="X32:AF32" si="32">+X24+X27-X30</f>
        <v>0</v>
      </c>
      <c r="Y32" s="13">
        <f t="shared" si="32"/>
        <v>0</v>
      </c>
      <c r="Z32" s="13">
        <f t="shared" si="32"/>
        <v>0</v>
      </c>
      <c r="AA32" s="13">
        <f t="shared" si="32"/>
        <v>0</v>
      </c>
      <c r="AB32" s="13">
        <f t="shared" si="32"/>
        <v>0</v>
      </c>
      <c r="AC32" s="13">
        <f t="shared" si="32"/>
        <v>1861472</v>
      </c>
      <c r="AD32" s="13">
        <f t="shared" si="32"/>
        <v>2150369</v>
      </c>
      <c r="AE32" s="13">
        <f t="shared" si="32"/>
        <v>3739866</v>
      </c>
      <c r="AF32" s="13">
        <f t="shared" si="32"/>
        <v>4730475</v>
      </c>
      <c r="AG32" s="13">
        <f>+AG24+AG27-AG30</f>
        <v>5460115</v>
      </c>
      <c r="AH32" s="13">
        <f t="shared" ref="AH32:AJ32" si="33">+AH24+AH27-AH30</f>
        <v>4525808</v>
      </c>
      <c r="AI32" s="13">
        <f t="shared" si="33"/>
        <v>4242618</v>
      </c>
      <c r="AJ32" s="13">
        <f t="shared" si="33"/>
        <v>2865225</v>
      </c>
      <c r="AK32" s="13">
        <f>+AK24+AK27-AK30</f>
        <v>3481429</v>
      </c>
    </row>
    <row r="33" spans="23:40" x14ac:dyDescent="0.25">
      <c r="W33" s="12" t="s">
        <v>25</v>
      </c>
      <c r="X33" s="19" t="e">
        <f t="shared" ref="X33:AJ33" si="34">+X32/X7</f>
        <v>#DIV/0!</v>
      </c>
      <c r="Y33" s="19" t="e">
        <f t="shared" si="34"/>
        <v>#DIV/0!</v>
      </c>
      <c r="Z33" s="19" t="e">
        <f t="shared" si="34"/>
        <v>#DIV/0!</v>
      </c>
      <c r="AA33" s="19" t="e">
        <f t="shared" si="34"/>
        <v>#DIV/0!</v>
      </c>
      <c r="AB33" s="19" t="e">
        <f t="shared" si="34"/>
        <v>#DIV/0!</v>
      </c>
      <c r="AC33" s="19">
        <f t="shared" si="34"/>
        <v>0.21378856492482545</v>
      </c>
      <c r="AD33" s="19">
        <f t="shared" si="34"/>
        <v>0.22247122078497139</v>
      </c>
      <c r="AE33" s="19">
        <f t="shared" si="34"/>
        <v>0.29572248976577703</v>
      </c>
      <c r="AF33" s="19">
        <f t="shared" si="34"/>
        <v>0.30662229883480968</v>
      </c>
      <c r="AG33" s="19">
        <f t="shared" si="34"/>
        <v>0.36927113432495651</v>
      </c>
      <c r="AH33" s="19">
        <f t="shared" si="34"/>
        <v>0.32101879202866451</v>
      </c>
      <c r="AI33" s="19">
        <f t="shared" si="34"/>
        <v>0.32877784295031182</v>
      </c>
      <c r="AJ33" s="19">
        <f t="shared" si="34"/>
        <v>0.26889177707177986</v>
      </c>
      <c r="AK33" s="19">
        <f t="shared" ref="AK33" si="35">+AK32/AK7</f>
        <v>0.29679210761561148</v>
      </c>
    </row>
    <row r="35" spans="23:40" x14ac:dyDescent="0.25">
      <c r="W35" s="12" t="s">
        <v>29</v>
      </c>
      <c r="X35" s="16">
        <f t="shared" ref="X35:AJ35" si="36">+X32/X51</f>
        <v>0</v>
      </c>
      <c r="Y35" s="16">
        <f t="shared" si="36"/>
        <v>0</v>
      </c>
      <c r="Z35" s="16">
        <f t="shared" si="36"/>
        <v>0</v>
      </c>
      <c r="AA35" s="16">
        <f t="shared" si="36"/>
        <v>0</v>
      </c>
      <c r="AB35" s="16">
        <f t="shared" si="36"/>
        <v>0</v>
      </c>
      <c r="AC35" s="16">
        <f t="shared" si="36"/>
        <v>0.40466782608695651</v>
      </c>
      <c r="AD35" s="16">
        <f t="shared" si="36"/>
        <v>0.46747152173913042</v>
      </c>
      <c r="AE35" s="16">
        <f t="shared" si="36"/>
        <v>0.81301434782608695</v>
      </c>
      <c r="AF35" s="16">
        <f t="shared" si="36"/>
        <v>1.0283641304347826</v>
      </c>
      <c r="AG35" s="16">
        <f t="shared" si="36"/>
        <v>1.1869815217391304</v>
      </c>
      <c r="AH35" s="16">
        <f t="shared" si="36"/>
        <v>0.9838713043478261</v>
      </c>
      <c r="AI35" s="16">
        <f t="shared" si="36"/>
        <v>0.92230826086956519</v>
      </c>
      <c r="AJ35" s="16">
        <f t="shared" si="36"/>
        <v>0.62287499999999996</v>
      </c>
      <c r="AK35" s="16">
        <f t="shared" ref="AK35" si="37">+AK32/AK51</f>
        <v>0.75683239130434787</v>
      </c>
    </row>
    <row r="36" spans="23:40" x14ac:dyDescent="0.25">
      <c r="W36" s="12" t="s">
        <v>40</v>
      </c>
      <c r="AA36" s="17"/>
      <c r="AB36" s="18" t="e">
        <f t="shared" ref="AB36:AK36" si="38">+AB35/X35-1</f>
        <v>#DIV/0!</v>
      </c>
      <c r="AC36" s="18" t="e">
        <f t="shared" si="38"/>
        <v>#DIV/0!</v>
      </c>
      <c r="AD36" s="18" t="e">
        <f t="shared" si="38"/>
        <v>#DIV/0!</v>
      </c>
      <c r="AE36" s="18" t="e">
        <f t="shared" si="38"/>
        <v>#DIV/0!</v>
      </c>
      <c r="AF36" s="18" t="e">
        <f t="shared" si="38"/>
        <v>#DIV/0!</v>
      </c>
      <c r="AG36" s="18">
        <f t="shared" si="38"/>
        <v>1.9332243514809786</v>
      </c>
      <c r="AH36" s="18">
        <f t="shared" si="38"/>
        <v>1.104665757365364</v>
      </c>
      <c r="AI36" s="18">
        <f t="shared" si="38"/>
        <v>0.13443048494250864</v>
      </c>
      <c r="AJ36" s="18">
        <f t="shared" si="38"/>
        <v>-0.39430501165316378</v>
      </c>
      <c r="AK36" s="18">
        <f t="shared" si="38"/>
        <v>-0.36238907055986913</v>
      </c>
    </row>
    <row r="37" spans="23:40" x14ac:dyDescent="0.25">
      <c r="W37" s="12" t="s">
        <v>41</v>
      </c>
      <c r="Y37" s="18" t="e">
        <f t="shared" ref="Y37:AD37" si="39">+Y35/X35-1</f>
        <v>#DIV/0!</v>
      </c>
      <c r="Z37" s="18" t="e">
        <f t="shared" si="39"/>
        <v>#DIV/0!</v>
      </c>
      <c r="AA37" s="18" t="e">
        <f t="shared" si="39"/>
        <v>#DIV/0!</v>
      </c>
      <c r="AB37" s="18" t="e">
        <f t="shared" si="39"/>
        <v>#DIV/0!</v>
      </c>
      <c r="AC37" s="18" t="e">
        <f t="shared" si="39"/>
        <v>#DIV/0!</v>
      </c>
      <c r="AD37" s="18">
        <f t="shared" si="39"/>
        <v>0.15519814426432421</v>
      </c>
      <c r="AE37" s="18">
        <f>+AE35/AD35-1</f>
        <v>0.73917406733448998</v>
      </c>
      <c r="AF37" s="18">
        <f>+AF35/AE35-1</f>
        <v>0.2648782068662352</v>
      </c>
      <c r="AG37" s="18">
        <f>+AG35/AF35-1</f>
        <v>0.1542424386557375</v>
      </c>
      <c r="AH37" s="18">
        <f t="shared" ref="AH37" si="40">+AH35/AG35-1</f>
        <v>-0.17111489410021585</v>
      </c>
      <c r="AI37" s="18">
        <f>+AI35/AH35-1</f>
        <v>-6.2572252291745567E-2</v>
      </c>
      <c r="AJ37" s="18">
        <f>+AJ35/AI35-1</f>
        <v>-0.32465637962220495</v>
      </c>
      <c r="AK37" s="18">
        <f>+AK35/AJ35-1</f>
        <v>0.21506304042439961</v>
      </c>
    </row>
    <row r="38" spans="23:40" x14ac:dyDescent="0.25">
      <c r="Y38" s="18"/>
      <c r="Z38" s="18"/>
      <c r="AA38" s="18"/>
      <c r="AB38" s="18"/>
      <c r="AC38" s="18"/>
      <c r="AD38" s="18"/>
      <c r="AE38" s="18"/>
      <c r="AF38" s="18"/>
      <c r="AG38" s="18"/>
      <c r="AH38" s="18"/>
      <c r="AI38" s="18"/>
      <c r="AJ38" s="18"/>
      <c r="AK38" s="18"/>
    </row>
    <row r="39" spans="23:40" x14ac:dyDescent="0.25">
      <c r="W39" s="12" t="s">
        <v>88</v>
      </c>
      <c r="X39" s="18" t="e">
        <f>+X32*4/X43</f>
        <v>#DIV/0!</v>
      </c>
      <c r="Y39" s="18" t="e">
        <f>+Y32*4/Y43</f>
        <v>#DIV/0!</v>
      </c>
      <c r="Z39" s="18" t="e">
        <f t="shared" ref="Z39:AJ39" si="41">+Z32*4/Z44</f>
        <v>#DIV/0!</v>
      </c>
      <c r="AA39" s="18" t="e">
        <f t="shared" si="41"/>
        <v>#DIV/0!</v>
      </c>
      <c r="AB39" s="18" t="e">
        <f t="shared" si="41"/>
        <v>#DIV/0!</v>
      </c>
      <c r="AC39" s="18">
        <f t="shared" si="41"/>
        <v>0.94201712609353305</v>
      </c>
      <c r="AD39" s="18">
        <f t="shared" si="41"/>
        <v>1.3497887236971713</v>
      </c>
      <c r="AE39" s="18">
        <f t="shared" si="41"/>
        <v>2.2048639626834037</v>
      </c>
      <c r="AF39" s="18">
        <f t="shared" si="41"/>
        <v>3.1838364843475127</v>
      </c>
      <c r="AG39" s="18">
        <f t="shared" si="41"/>
        <v>3.244140654301463</v>
      </c>
      <c r="AH39" s="18">
        <f t="shared" si="41"/>
        <v>1.4962697876312649</v>
      </c>
      <c r="AI39" s="18">
        <f t="shared" si="41"/>
        <v>2.0163714830029482</v>
      </c>
      <c r="AJ39" s="18">
        <f t="shared" si="41"/>
        <v>0.95827467915369413</v>
      </c>
      <c r="AK39" s="18">
        <f t="shared" ref="AK39" si="42">+AK32*4/AK44</f>
        <v>1.5778609113188051</v>
      </c>
      <c r="AM39" s="14">
        <f>+AVERAGE(AC39:AK39)</f>
        <v>1.8859359791366441</v>
      </c>
      <c r="AN39" s="50" t="s">
        <v>88</v>
      </c>
    </row>
    <row r="40" spans="23:40" x14ac:dyDescent="0.25">
      <c r="AM40" s="56">
        <f>AVERAGE(AC39:AK39)*AK53</f>
        <v>3.6184112977205274</v>
      </c>
      <c r="AN40" s="50" t="s">
        <v>183</v>
      </c>
    </row>
    <row r="41" spans="23:40" x14ac:dyDescent="0.25">
      <c r="W41" s="12" t="s">
        <v>52</v>
      </c>
      <c r="X41" s="13"/>
      <c r="Y41" s="13"/>
      <c r="Z41" s="13"/>
      <c r="AA41" s="13"/>
      <c r="AB41" s="13"/>
      <c r="AC41" s="13">
        <f>270847+800000+300445+1043930</f>
        <v>2415222</v>
      </c>
      <c r="AD41" s="13">
        <f>422880+1220026+197468+10000</f>
        <v>1850374</v>
      </c>
      <c r="AE41" s="13">
        <f>1105165+164576</f>
        <v>1269741</v>
      </c>
      <c r="AF41" s="13">
        <f>902023+498311+5067</f>
        <v>1405401</v>
      </c>
      <c r="AG41" s="13">
        <f>791324+498311+784888</f>
        <v>2074523</v>
      </c>
      <c r="AH41" s="13">
        <f>864090+355935+741384</f>
        <v>1961409</v>
      </c>
      <c r="AI41" s="13">
        <f>777375+305935+2125121</f>
        <v>3208431</v>
      </c>
      <c r="AJ41" s="13">
        <f>650659+22177+295935</f>
        <v>968771</v>
      </c>
      <c r="AK41" s="13">
        <f>8+543313+266355+1377970</f>
        <v>2187646</v>
      </c>
      <c r="AM41" s="56">
        <f>+X1/AM40</f>
        <v>7.0472917260854535</v>
      </c>
      <c r="AN41" s="50" t="s">
        <v>11</v>
      </c>
    </row>
    <row r="42" spans="23:40" x14ac:dyDescent="0.25">
      <c r="W42" s="12" t="s">
        <v>53</v>
      </c>
      <c r="X42" s="13"/>
      <c r="Y42" s="13"/>
      <c r="Z42" s="13"/>
      <c r="AA42" s="13"/>
      <c r="AB42" s="13"/>
      <c r="AC42" s="13">
        <f>644806+48890</f>
        <v>693696</v>
      </c>
      <c r="AD42" s="13">
        <f>7027682+21214</f>
        <v>7048896</v>
      </c>
      <c r="AE42" s="13">
        <f>6031046+17449</f>
        <v>6048495</v>
      </c>
      <c r="AF42" s="13">
        <f>5814365+23329</f>
        <v>5837694</v>
      </c>
      <c r="AG42" s="13">
        <f>19801+8090727</f>
        <v>8110528</v>
      </c>
      <c r="AH42" s="13">
        <f>5837597+22466</f>
        <v>5860063</v>
      </c>
      <c r="AI42" s="13">
        <f>10854071+20691</f>
        <v>10874762</v>
      </c>
      <c r="AJ42" s="13">
        <f>1004821+17591</f>
        <v>1022412</v>
      </c>
      <c r="AK42" s="13">
        <f>2490979+16230</f>
        <v>2507209</v>
      </c>
    </row>
    <row r="43" spans="23:40" x14ac:dyDescent="0.25">
      <c r="W43" s="12" t="s">
        <v>50</v>
      </c>
      <c r="X43" s="13">
        <f t="shared" ref="X43:AJ43" si="43">+X41-X42</f>
        <v>0</v>
      </c>
      <c r="Y43" s="13">
        <f t="shared" si="43"/>
        <v>0</v>
      </c>
      <c r="Z43" s="13">
        <f t="shared" si="43"/>
        <v>0</v>
      </c>
      <c r="AA43" s="13">
        <f t="shared" si="43"/>
        <v>0</v>
      </c>
      <c r="AB43" s="13">
        <f t="shared" si="43"/>
        <v>0</v>
      </c>
      <c r="AC43" s="13">
        <f t="shared" si="43"/>
        <v>1721526</v>
      </c>
      <c r="AD43" s="13">
        <f t="shared" si="43"/>
        <v>-5198522</v>
      </c>
      <c r="AE43" s="13">
        <f t="shared" si="43"/>
        <v>-4778754</v>
      </c>
      <c r="AF43" s="13">
        <f t="shared" si="43"/>
        <v>-4432293</v>
      </c>
      <c r="AG43" s="13">
        <f t="shared" si="43"/>
        <v>-6036005</v>
      </c>
      <c r="AH43" s="13">
        <f t="shared" si="43"/>
        <v>-3898654</v>
      </c>
      <c r="AI43" s="13">
        <f t="shared" si="43"/>
        <v>-7666331</v>
      </c>
      <c r="AJ43" s="13">
        <f t="shared" si="43"/>
        <v>-53641</v>
      </c>
      <c r="AK43" s="13">
        <f t="shared" ref="AK43" si="44">+AK41-AK42</f>
        <v>-319563</v>
      </c>
    </row>
    <row r="44" spans="23:40" x14ac:dyDescent="0.25">
      <c r="W44" s="12" t="s">
        <v>54</v>
      </c>
      <c r="X44" s="13"/>
      <c r="Y44" s="13"/>
      <c r="Z44" s="13"/>
      <c r="AA44" s="13"/>
      <c r="AB44" s="13"/>
      <c r="AC44" s="13">
        <v>7904196</v>
      </c>
      <c r="AD44" s="13">
        <v>6372461</v>
      </c>
      <c r="AE44" s="13">
        <v>6784756</v>
      </c>
      <c r="AF44" s="13">
        <v>5943113</v>
      </c>
      <c r="AG44" s="13">
        <v>6732279</v>
      </c>
      <c r="AH44" s="13">
        <v>12098909</v>
      </c>
      <c r="AI44" s="13">
        <v>8416342</v>
      </c>
      <c r="AJ44" s="13">
        <v>11959932</v>
      </c>
      <c r="AK44" s="13">
        <v>8825693</v>
      </c>
    </row>
    <row r="45" spans="23:40" x14ac:dyDescent="0.25">
      <c r="W45" s="12" t="s">
        <v>75</v>
      </c>
      <c r="X45" s="13"/>
      <c r="Y45" s="13"/>
      <c r="Z45" s="13"/>
      <c r="AA45" s="13"/>
      <c r="AB45" s="13"/>
      <c r="AC45" s="13">
        <v>4343928</v>
      </c>
      <c r="AD45" s="13">
        <v>3381008</v>
      </c>
      <c r="AE45" s="13">
        <v>3197772</v>
      </c>
      <c r="AF45" s="13">
        <v>6057130</v>
      </c>
      <c r="AG45" s="13">
        <v>7690933</v>
      </c>
      <c r="AH45" s="13">
        <v>6788986</v>
      </c>
      <c r="AI45" s="13">
        <v>6611498</v>
      </c>
      <c r="AJ45" s="13">
        <v>6045102</v>
      </c>
      <c r="AK45" s="13">
        <v>6075382</v>
      </c>
    </row>
    <row r="47" spans="23:40" x14ac:dyDescent="0.25">
      <c r="W47" s="12" t="s">
        <v>51</v>
      </c>
      <c r="X47" s="14" t="e">
        <f t="shared" ref="X47:AJ47" si="45">+X41/X44</f>
        <v>#DIV/0!</v>
      </c>
      <c r="Y47" s="14" t="e">
        <f t="shared" si="45"/>
        <v>#DIV/0!</v>
      </c>
      <c r="Z47" s="14" t="e">
        <f t="shared" si="45"/>
        <v>#DIV/0!</v>
      </c>
      <c r="AA47" s="14" t="e">
        <f t="shared" si="45"/>
        <v>#DIV/0!</v>
      </c>
      <c r="AB47" s="14" t="e">
        <f t="shared" si="45"/>
        <v>#DIV/0!</v>
      </c>
      <c r="AC47" s="14">
        <f t="shared" si="45"/>
        <v>0.30556200782470477</v>
      </c>
      <c r="AD47" s="14">
        <f t="shared" si="45"/>
        <v>0.29037039222366368</v>
      </c>
      <c r="AE47" s="14">
        <f t="shared" si="45"/>
        <v>0.18714615529283588</v>
      </c>
      <c r="AF47" s="14">
        <f t="shared" si="45"/>
        <v>0.23647556423712623</v>
      </c>
      <c r="AG47" s="14">
        <f t="shared" si="45"/>
        <v>0.30814572598669782</v>
      </c>
      <c r="AH47" s="14">
        <f t="shared" si="45"/>
        <v>0.16211453445926405</v>
      </c>
      <c r="AI47" s="14">
        <f t="shared" si="45"/>
        <v>0.38121442783575099</v>
      </c>
      <c r="AJ47" s="14">
        <f t="shared" si="45"/>
        <v>8.1001380275406251E-2</v>
      </c>
      <c r="AK47" s="14">
        <f t="shared" ref="AK47" si="46">+AK41/AK44</f>
        <v>0.24787243336019052</v>
      </c>
    </row>
    <row r="49" spans="1:37" s="12" customFormat="1" x14ac:dyDescent="0.25">
      <c r="A49"/>
      <c r="B49"/>
      <c r="C49"/>
      <c r="D49"/>
      <c r="E49"/>
      <c r="F49"/>
      <c r="G49"/>
      <c r="H49"/>
      <c r="I49"/>
      <c r="J49"/>
      <c r="K49"/>
      <c r="L49"/>
      <c r="M49"/>
      <c r="N49"/>
      <c r="O49"/>
      <c r="P49"/>
      <c r="Q49"/>
      <c r="R49"/>
      <c r="S49"/>
      <c r="T49"/>
      <c r="U49"/>
      <c r="V49"/>
      <c r="W49" s="12" t="s">
        <v>63</v>
      </c>
      <c r="X49" s="16"/>
      <c r="Y49" s="16"/>
      <c r="Z49" s="16"/>
      <c r="AA49" s="16"/>
      <c r="AB49" s="16"/>
      <c r="AC49" s="16"/>
      <c r="AD49" s="16"/>
      <c r="AE49" s="16"/>
      <c r="AF49" s="16"/>
      <c r="AG49" s="16"/>
      <c r="AH49" s="16"/>
      <c r="AI49" s="16"/>
      <c r="AJ49" s="16"/>
      <c r="AK49" s="16"/>
    </row>
    <row r="51" spans="1:37" s="12" customFormat="1" x14ac:dyDescent="0.25">
      <c r="A51"/>
      <c r="B51"/>
      <c r="C51"/>
      <c r="D51"/>
      <c r="E51"/>
      <c r="F51"/>
      <c r="G51"/>
      <c r="H51"/>
      <c r="I51"/>
      <c r="J51"/>
      <c r="K51"/>
      <c r="L51"/>
      <c r="M51"/>
      <c r="N51"/>
      <c r="O51"/>
      <c r="P51"/>
      <c r="Q51"/>
      <c r="R51"/>
      <c r="S51"/>
      <c r="T51"/>
      <c r="U51"/>
      <c r="V51"/>
      <c r="W51" s="12" t="s">
        <v>56</v>
      </c>
      <c r="X51" s="13">
        <f t="shared" ref="X51:AG51" si="47">Y51</f>
        <v>4600000</v>
      </c>
      <c r="Y51" s="13">
        <f t="shared" si="47"/>
        <v>4600000</v>
      </c>
      <c r="Z51" s="13">
        <f t="shared" si="47"/>
        <v>4600000</v>
      </c>
      <c r="AA51" s="13">
        <f t="shared" si="47"/>
        <v>4600000</v>
      </c>
      <c r="AB51" s="13">
        <f t="shared" si="47"/>
        <v>4600000</v>
      </c>
      <c r="AC51" s="13">
        <f t="shared" si="47"/>
        <v>4600000</v>
      </c>
      <c r="AD51" s="13">
        <f t="shared" si="47"/>
        <v>4600000</v>
      </c>
      <c r="AE51" s="13">
        <f t="shared" si="47"/>
        <v>4600000</v>
      </c>
      <c r="AF51" s="13">
        <f t="shared" si="47"/>
        <v>4600000</v>
      </c>
      <c r="AG51" s="13">
        <f t="shared" si="47"/>
        <v>4600000</v>
      </c>
      <c r="AH51" s="13">
        <f>AI51</f>
        <v>4600000</v>
      </c>
      <c r="AI51" s="13">
        <v>4600000</v>
      </c>
      <c r="AJ51" s="13">
        <f>AI51</f>
        <v>4600000</v>
      </c>
      <c r="AK51" s="13">
        <f>AJ51</f>
        <v>4600000</v>
      </c>
    </row>
    <row r="52" spans="1:37" s="12" customFormat="1" x14ac:dyDescent="0.25">
      <c r="A52"/>
      <c r="B52"/>
      <c r="C52"/>
      <c r="D52"/>
      <c r="E52"/>
      <c r="F52"/>
      <c r="G52"/>
      <c r="H52"/>
      <c r="I52"/>
      <c r="J52"/>
      <c r="K52"/>
      <c r="L52"/>
      <c r="M52"/>
      <c r="N52"/>
      <c r="O52"/>
      <c r="P52"/>
      <c r="Q52"/>
      <c r="R52"/>
      <c r="S52"/>
      <c r="T52"/>
      <c r="U52"/>
      <c r="V52"/>
    </row>
    <row r="53" spans="1:37" s="12" customFormat="1" x14ac:dyDescent="0.25">
      <c r="A53"/>
      <c r="B53"/>
      <c r="C53"/>
      <c r="D53"/>
      <c r="E53"/>
      <c r="F53"/>
      <c r="G53"/>
      <c r="H53"/>
      <c r="I53"/>
      <c r="J53"/>
      <c r="K53"/>
      <c r="L53"/>
      <c r="M53"/>
      <c r="N53"/>
      <c r="O53"/>
      <c r="P53"/>
      <c r="Q53"/>
      <c r="R53"/>
      <c r="S53"/>
      <c r="T53"/>
      <c r="U53"/>
      <c r="V53"/>
      <c r="W53" s="12" t="s">
        <v>57</v>
      </c>
      <c r="X53" s="16">
        <f t="shared" ref="X53:AJ53" si="48">+X44/X51</f>
        <v>0</v>
      </c>
      <c r="Y53" s="16">
        <f t="shared" si="48"/>
        <v>0</v>
      </c>
      <c r="Z53" s="16">
        <f t="shared" si="48"/>
        <v>0</v>
      </c>
      <c r="AA53" s="16">
        <f t="shared" si="48"/>
        <v>0</v>
      </c>
      <c r="AB53" s="16">
        <f t="shared" si="48"/>
        <v>0</v>
      </c>
      <c r="AC53" s="16">
        <f t="shared" si="48"/>
        <v>1.7183034782608695</v>
      </c>
      <c r="AD53" s="16">
        <f t="shared" si="48"/>
        <v>1.3853176086956522</v>
      </c>
      <c r="AE53" s="16">
        <f t="shared" si="48"/>
        <v>1.4749469565217392</v>
      </c>
      <c r="AF53" s="16">
        <f t="shared" si="48"/>
        <v>1.2919810869565218</v>
      </c>
      <c r="AG53" s="16">
        <f t="shared" si="48"/>
        <v>1.4635389130434782</v>
      </c>
      <c r="AH53" s="16">
        <f t="shared" si="48"/>
        <v>2.630197608695652</v>
      </c>
      <c r="AI53" s="16">
        <f t="shared" si="48"/>
        <v>1.8296395652173914</v>
      </c>
      <c r="AJ53" s="16">
        <f t="shared" si="48"/>
        <v>2.5999852173913043</v>
      </c>
      <c r="AK53" s="16">
        <f t="shared" ref="AK53" si="49">+AK44/AK51</f>
        <v>1.9186289130434782</v>
      </c>
    </row>
    <row r="55" spans="1:37" s="12" customFormat="1" x14ac:dyDescent="0.25">
      <c r="A55"/>
      <c r="B55"/>
      <c r="C55"/>
      <c r="D55"/>
      <c r="E55"/>
      <c r="F55"/>
      <c r="G55"/>
      <c r="H55"/>
      <c r="I55"/>
      <c r="J55"/>
      <c r="K55"/>
      <c r="L55"/>
      <c r="M55"/>
      <c r="N55"/>
      <c r="O55"/>
      <c r="P55"/>
      <c r="Q55"/>
      <c r="R55"/>
      <c r="S55"/>
      <c r="T55"/>
      <c r="U55"/>
      <c r="V55"/>
      <c r="W55" s="12" t="s">
        <v>67</v>
      </c>
      <c r="X55" s="13"/>
      <c r="Y55" s="13">
        <f>+Y59-X59</f>
        <v>0</v>
      </c>
      <c r="Z55" s="13">
        <f>+Z59-Y59</f>
        <v>0</v>
      </c>
      <c r="AA55" s="13">
        <f>+AA59</f>
        <v>0</v>
      </c>
      <c r="AB55" s="13">
        <f t="shared" ref="AB55:AD56" si="50">+AB59-AA59</f>
        <v>0</v>
      </c>
      <c r="AC55" s="13">
        <f t="shared" si="50"/>
        <v>4835303</v>
      </c>
      <c r="AD55" s="13">
        <f t="shared" si="50"/>
        <v>7438468</v>
      </c>
      <c r="AE55" s="13">
        <f>+AE59</f>
        <v>2244071</v>
      </c>
      <c r="AF55" s="13">
        <f>+AF59-AE59</f>
        <v>1570952</v>
      </c>
      <c r="AG55" s="13">
        <f>+AG59-AF59</f>
        <v>4808920</v>
      </c>
      <c r="AH55" s="13">
        <f t="shared" ref="AH55:AH56" si="51">+AH59-AG59</f>
        <v>2097172</v>
      </c>
      <c r="AI55" s="13">
        <f>+AI59</f>
        <v>3393244</v>
      </c>
      <c r="AJ55" s="13">
        <f>+AJ59-AI59</f>
        <v>3853736</v>
      </c>
      <c r="AK55" s="13">
        <f>+AK59-AJ59</f>
        <v>6678275</v>
      </c>
    </row>
    <row r="56" spans="1:37" s="12" customFormat="1" x14ac:dyDescent="0.25">
      <c r="A56"/>
      <c r="B56"/>
      <c r="C56"/>
      <c r="D56"/>
      <c r="E56"/>
      <c r="F56"/>
      <c r="G56"/>
      <c r="H56"/>
      <c r="I56"/>
      <c r="J56"/>
      <c r="K56"/>
      <c r="L56"/>
      <c r="M56"/>
      <c r="N56"/>
      <c r="O56"/>
      <c r="P56"/>
      <c r="Q56"/>
      <c r="R56"/>
      <c r="S56"/>
      <c r="T56"/>
      <c r="U56"/>
      <c r="V56"/>
      <c r="W56" s="12" t="s">
        <v>60</v>
      </c>
      <c r="Y56" s="13">
        <f>+Y60-X60</f>
        <v>0</v>
      </c>
      <c r="Z56" s="13">
        <f>+Z60-Y60</f>
        <v>0</v>
      </c>
      <c r="AA56" s="13">
        <f>+AA60</f>
        <v>0</v>
      </c>
      <c r="AB56" s="13">
        <f t="shared" si="50"/>
        <v>0</v>
      </c>
      <c r="AC56" s="13">
        <f t="shared" si="50"/>
        <v>-49245</v>
      </c>
      <c r="AD56" s="13">
        <f t="shared" si="50"/>
        <v>-27910</v>
      </c>
      <c r="AE56" s="13">
        <f>+AE60</f>
        <v>-28468</v>
      </c>
      <c r="AF56" s="13">
        <f>+AF60-AE60</f>
        <v>-12500</v>
      </c>
      <c r="AG56" s="13">
        <f>+AG60-AF60</f>
        <v>-83914</v>
      </c>
      <c r="AH56" s="13">
        <f t="shared" si="51"/>
        <v>0</v>
      </c>
      <c r="AI56" s="13">
        <f>+AI60</f>
        <v>0</v>
      </c>
      <c r="AJ56" s="13">
        <f>+AJ60-AI60</f>
        <v>0</v>
      </c>
      <c r="AK56" s="13">
        <f>+AK60-AJ60</f>
        <v>-5000</v>
      </c>
    </row>
    <row r="57" spans="1:37" s="12" customFormat="1" x14ac:dyDescent="0.25">
      <c r="A57"/>
      <c r="B57"/>
      <c r="C57"/>
      <c r="D57"/>
      <c r="E57"/>
      <c r="F57"/>
      <c r="G57"/>
      <c r="H57"/>
      <c r="I57"/>
      <c r="J57"/>
      <c r="K57"/>
      <c r="L57"/>
      <c r="M57"/>
      <c r="N57"/>
      <c r="O57"/>
      <c r="P57"/>
      <c r="Q57"/>
      <c r="R57"/>
      <c r="S57"/>
      <c r="T57"/>
      <c r="U57"/>
      <c r="V57"/>
      <c r="W57" s="12" t="s">
        <v>68</v>
      </c>
      <c r="Y57" s="13">
        <f t="shared" ref="Y57:AJ57" si="52">+Y55+Y56</f>
        <v>0</v>
      </c>
      <c r="Z57" s="13">
        <f t="shared" si="52"/>
        <v>0</v>
      </c>
      <c r="AA57" s="13">
        <f t="shared" si="52"/>
        <v>0</v>
      </c>
      <c r="AB57" s="13">
        <f t="shared" si="52"/>
        <v>0</v>
      </c>
      <c r="AC57" s="13">
        <f t="shared" si="52"/>
        <v>4786058</v>
      </c>
      <c r="AD57" s="13">
        <f t="shared" si="52"/>
        <v>7410558</v>
      </c>
      <c r="AE57" s="13">
        <f t="shared" si="52"/>
        <v>2215603</v>
      </c>
      <c r="AF57" s="13">
        <f t="shared" si="52"/>
        <v>1558452</v>
      </c>
      <c r="AG57" s="13">
        <f t="shared" si="52"/>
        <v>4725006</v>
      </c>
      <c r="AH57" s="13">
        <f t="shared" si="52"/>
        <v>2097172</v>
      </c>
      <c r="AI57" s="13">
        <f t="shared" si="52"/>
        <v>3393244</v>
      </c>
      <c r="AJ57" s="13">
        <f t="shared" si="52"/>
        <v>3853736</v>
      </c>
      <c r="AK57" s="13">
        <f t="shared" ref="AK57" si="53">+AK55+AK56</f>
        <v>6673275</v>
      </c>
    </row>
    <row r="59" spans="1:37" s="12" customFormat="1" x14ac:dyDescent="0.25">
      <c r="A59"/>
      <c r="B59"/>
      <c r="C59"/>
      <c r="D59"/>
      <c r="E59"/>
      <c r="F59"/>
      <c r="G59"/>
      <c r="H59"/>
      <c r="I59"/>
      <c r="J59"/>
      <c r="K59"/>
      <c r="L59"/>
      <c r="M59"/>
      <c r="N59"/>
      <c r="O59"/>
      <c r="P59"/>
      <c r="Q59"/>
      <c r="R59"/>
      <c r="S59"/>
      <c r="T59"/>
      <c r="U59"/>
      <c r="V59"/>
      <c r="W59" s="12" t="s">
        <v>67</v>
      </c>
      <c r="X59" s="13"/>
      <c r="Y59" s="13"/>
      <c r="Z59" s="13"/>
      <c r="AA59" s="13"/>
      <c r="AB59" s="13"/>
      <c r="AC59" s="13">
        <v>4835303</v>
      </c>
      <c r="AD59" s="13">
        <v>12273771</v>
      </c>
      <c r="AE59" s="13">
        <v>2244071</v>
      </c>
      <c r="AF59" s="13">
        <v>3815023</v>
      </c>
      <c r="AG59" s="13">
        <v>8623943</v>
      </c>
      <c r="AH59" s="13">
        <v>10721115</v>
      </c>
      <c r="AI59" s="13">
        <v>3393244</v>
      </c>
      <c r="AJ59" s="13">
        <v>7246980</v>
      </c>
      <c r="AK59" s="13">
        <v>13925255</v>
      </c>
    </row>
    <row r="60" spans="1:37" s="12" customFormat="1" x14ac:dyDescent="0.25">
      <c r="A60"/>
      <c r="B60"/>
      <c r="C60"/>
      <c r="D60"/>
      <c r="E60"/>
      <c r="F60"/>
      <c r="G60"/>
      <c r="H60"/>
      <c r="I60"/>
      <c r="J60"/>
      <c r="K60"/>
      <c r="L60"/>
      <c r="M60"/>
      <c r="N60"/>
      <c r="O60"/>
      <c r="P60"/>
      <c r="Q60"/>
      <c r="R60"/>
      <c r="S60"/>
      <c r="T60"/>
      <c r="U60"/>
      <c r="V60"/>
      <c r="W60" s="12" t="s">
        <v>60</v>
      </c>
      <c r="X60" s="13"/>
      <c r="Y60" s="13"/>
      <c r="Z60" s="13"/>
      <c r="AA60" s="13"/>
      <c r="AB60" s="13"/>
      <c r="AC60" s="13">
        <v>-49245</v>
      </c>
      <c r="AD60" s="13">
        <v>-77155</v>
      </c>
      <c r="AE60" s="13">
        <v>-28468</v>
      </c>
      <c r="AF60" s="10">
        <v>-40968</v>
      </c>
      <c r="AG60" s="13">
        <v>-124882</v>
      </c>
      <c r="AH60" s="13">
        <v>-124882</v>
      </c>
      <c r="AI60" s="13">
        <v>0</v>
      </c>
      <c r="AJ60" s="13">
        <v>0</v>
      </c>
      <c r="AK60" s="13">
        <v>-5000</v>
      </c>
    </row>
    <row r="61" spans="1:37" s="12" customFormat="1" x14ac:dyDescent="0.25">
      <c r="A61"/>
      <c r="B61"/>
      <c r="C61"/>
      <c r="D61"/>
      <c r="E61"/>
      <c r="F61"/>
      <c r="G61"/>
      <c r="H61"/>
      <c r="I61"/>
      <c r="J61"/>
      <c r="K61"/>
      <c r="L61"/>
      <c r="M61"/>
      <c r="N61"/>
      <c r="O61"/>
      <c r="P61"/>
      <c r="Q61"/>
      <c r="R61"/>
      <c r="S61"/>
      <c r="T61"/>
      <c r="U61"/>
      <c r="V61"/>
      <c r="W61" s="12" t="s">
        <v>68</v>
      </c>
      <c r="X61" s="13">
        <f t="shared" ref="X61:AF61" si="54">+X59+X60</f>
        <v>0</v>
      </c>
      <c r="Y61" s="13">
        <f t="shared" si="54"/>
        <v>0</v>
      </c>
      <c r="Z61" s="13">
        <f t="shared" si="54"/>
        <v>0</v>
      </c>
      <c r="AA61" s="13">
        <f t="shared" si="54"/>
        <v>0</v>
      </c>
      <c r="AB61" s="13">
        <f t="shared" si="54"/>
        <v>0</v>
      </c>
      <c r="AC61" s="13">
        <f t="shared" si="54"/>
        <v>4786058</v>
      </c>
      <c r="AD61" s="13">
        <f t="shared" si="54"/>
        <v>12196616</v>
      </c>
      <c r="AE61" s="13">
        <f t="shared" si="54"/>
        <v>2215603</v>
      </c>
      <c r="AF61" s="13">
        <f t="shared" si="54"/>
        <v>3774055</v>
      </c>
      <c r="AG61" s="13">
        <f>+AG59+AG60</f>
        <v>8499061</v>
      </c>
      <c r="AH61" s="13">
        <f t="shared" ref="AH61:AJ61" si="55">+AH59+AH60</f>
        <v>10596233</v>
      </c>
      <c r="AI61" s="13">
        <f t="shared" si="55"/>
        <v>3393244</v>
      </c>
      <c r="AJ61" s="13">
        <f t="shared" si="55"/>
        <v>7246980</v>
      </c>
      <c r="AK61" s="13">
        <f>+AK59+AK60</f>
        <v>13920255</v>
      </c>
    </row>
    <row r="62" spans="1:37" s="12" customFormat="1" x14ac:dyDescent="0.25">
      <c r="A62"/>
      <c r="B62"/>
      <c r="C62"/>
      <c r="D62"/>
      <c r="E62"/>
      <c r="F62"/>
      <c r="G62"/>
      <c r="H62"/>
      <c r="I62"/>
      <c r="J62"/>
      <c r="K62"/>
      <c r="L62"/>
      <c r="M62"/>
      <c r="N62"/>
      <c r="O62"/>
      <c r="P62"/>
      <c r="Q62"/>
      <c r="R62"/>
      <c r="S62"/>
      <c r="T62"/>
      <c r="U62"/>
      <c r="V62"/>
    </row>
    <row r="63" spans="1:37" s="12" customFormat="1" x14ac:dyDescent="0.25">
      <c r="A63"/>
      <c r="B63"/>
      <c r="C63"/>
      <c r="D63"/>
      <c r="E63"/>
      <c r="F63"/>
      <c r="G63"/>
      <c r="H63"/>
      <c r="I63"/>
      <c r="J63"/>
      <c r="K63"/>
      <c r="L63"/>
      <c r="M63"/>
      <c r="N63"/>
      <c r="O63"/>
      <c r="P63"/>
      <c r="Q63"/>
      <c r="R63"/>
      <c r="S63"/>
      <c r="T63"/>
      <c r="U63"/>
      <c r="V63"/>
      <c r="W63" s="47" t="s">
        <v>76</v>
      </c>
    </row>
    <row r="64" spans="1:37" s="12" customFormat="1" x14ac:dyDescent="0.25">
      <c r="A64"/>
      <c r="B64"/>
      <c r="C64"/>
      <c r="D64"/>
      <c r="E64"/>
      <c r="F64"/>
      <c r="G64"/>
      <c r="H64"/>
      <c r="I64"/>
      <c r="J64"/>
      <c r="K64"/>
      <c r="L64"/>
      <c r="M64"/>
      <c r="N64"/>
      <c r="O64"/>
      <c r="P64"/>
      <c r="Q64"/>
      <c r="R64"/>
      <c r="S64"/>
      <c r="T64"/>
      <c r="U64"/>
      <c r="V64"/>
      <c r="W64" s="47" t="s">
        <v>355</v>
      </c>
      <c r="AC64" s="13"/>
      <c r="AG64" s="13"/>
      <c r="AK64" s="13"/>
    </row>
    <row r="65" spans="1:37" s="12" customFormat="1" x14ac:dyDescent="0.25">
      <c r="A65"/>
      <c r="B65"/>
      <c r="C65"/>
      <c r="D65"/>
      <c r="E65"/>
      <c r="F65"/>
      <c r="G65"/>
      <c r="H65"/>
      <c r="I65"/>
      <c r="J65"/>
      <c r="K65"/>
      <c r="L65"/>
      <c r="M65"/>
      <c r="N65"/>
      <c r="O65"/>
      <c r="P65"/>
      <c r="Q65"/>
      <c r="R65"/>
      <c r="S65"/>
      <c r="T65"/>
      <c r="U65"/>
      <c r="V65"/>
      <c r="W65" s="12" t="s">
        <v>78</v>
      </c>
      <c r="Y65" s="13"/>
      <c r="Z65" s="13"/>
      <c r="AA65" s="13"/>
      <c r="AB65" s="13"/>
      <c r="AC65" s="13"/>
      <c r="AD65" s="13"/>
      <c r="AE65" s="13"/>
      <c r="AF65" s="13"/>
      <c r="AG65" s="13"/>
      <c r="AH65" s="13"/>
      <c r="AI65" s="13"/>
      <c r="AJ65" s="13"/>
      <c r="AK65" s="13"/>
    </row>
    <row r="66" spans="1:37" s="12" customFormat="1" x14ac:dyDescent="0.25">
      <c r="A66"/>
      <c r="B66"/>
      <c r="C66"/>
      <c r="D66"/>
      <c r="E66"/>
      <c r="F66"/>
      <c r="G66"/>
      <c r="H66"/>
      <c r="I66"/>
      <c r="J66"/>
      <c r="K66"/>
      <c r="L66"/>
      <c r="M66"/>
      <c r="N66"/>
      <c r="O66"/>
      <c r="P66"/>
      <c r="Q66"/>
      <c r="R66"/>
      <c r="S66"/>
      <c r="T66"/>
      <c r="U66"/>
      <c r="V66"/>
      <c r="W66" s="12" t="s">
        <v>40</v>
      </c>
      <c r="X66" s="17"/>
      <c r="Y66" s="17"/>
      <c r="Z66" s="17"/>
      <c r="AA66" s="17"/>
      <c r="AB66" s="18"/>
      <c r="AC66" s="18" t="e">
        <f t="shared" ref="AC66:AK66" si="56">+AC65/Y65-1</f>
        <v>#DIV/0!</v>
      </c>
      <c r="AD66" s="18" t="e">
        <f t="shared" si="56"/>
        <v>#DIV/0!</v>
      </c>
      <c r="AE66" s="18" t="e">
        <f t="shared" si="56"/>
        <v>#DIV/0!</v>
      </c>
      <c r="AF66" s="18" t="e">
        <f t="shared" si="56"/>
        <v>#DIV/0!</v>
      </c>
      <c r="AG66" s="18" t="e">
        <f t="shared" si="56"/>
        <v>#DIV/0!</v>
      </c>
      <c r="AH66" s="18" t="e">
        <f t="shared" si="56"/>
        <v>#DIV/0!</v>
      </c>
      <c r="AI66" s="18" t="e">
        <f t="shared" si="56"/>
        <v>#DIV/0!</v>
      </c>
      <c r="AJ66" s="18" t="e">
        <f t="shared" si="56"/>
        <v>#DIV/0!</v>
      </c>
      <c r="AK66" s="18" t="e">
        <f t="shared" si="56"/>
        <v>#DIV/0!</v>
      </c>
    </row>
    <row r="67" spans="1:37" s="12" customFormat="1" x14ac:dyDescent="0.25">
      <c r="A67"/>
      <c r="B67"/>
      <c r="C67"/>
      <c r="D67"/>
      <c r="E67"/>
      <c r="F67"/>
      <c r="G67"/>
      <c r="H67"/>
      <c r="I67"/>
      <c r="J67"/>
      <c r="K67"/>
      <c r="L67"/>
      <c r="M67"/>
      <c r="N67"/>
      <c r="O67"/>
      <c r="P67"/>
      <c r="Q67"/>
      <c r="R67"/>
      <c r="S67"/>
      <c r="T67"/>
      <c r="U67"/>
      <c r="V67"/>
      <c r="W67" s="12" t="s">
        <v>41</v>
      </c>
      <c r="Y67" s="18"/>
      <c r="Z67" s="18"/>
      <c r="AA67" s="18" t="e">
        <f t="shared" ref="AA67:AK67" si="57">+AA65/Z65-1</f>
        <v>#DIV/0!</v>
      </c>
      <c r="AB67" s="18" t="e">
        <f t="shared" si="57"/>
        <v>#DIV/0!</v>
      </c>
      <c r="AC67" s="18" t="e">
        <f t="shared" si="57"/>
        <v>#DIV/0!</v>
      </c>
      <c r="AD67" s="18" t="e">
        <f t="shared" si="57"/>
        <v>#DIV/0!</v>
      </c>
      <c r="AE67" s="18" t="e">
        <f t="shared" si="57"/>
        <v>#DIV/0!</v>
      </c>
      <c r="AF67" s="18" t="e">
        <f t="shared" si="57"/>
        <v>#DIV/0!</v>
      </c>
      <c r="AG67" s="18" t="e">
        <f t="shared" si="57"/>
        <v>#DIV/0!</v>
      </c>
      <c r="AH67" s="18" t="e">
        <f t="shared" si="57"/>
        <v>#DIV/0!</v>
      </c>
      <c r="AI67" s="18" t="e">
        <f t="shared" si="57"/>
        <v>#DIV/0!</v>
      </c>
      <c r="AJ67" s="18" t="e">
        <f t="shared" si="57"/>
        <v>#DIV/0!</v>
      </c>
      <c r="AK67" s="18" t="e">
        <f t="shared" si="57"/>
        <v>#DIV/0!</v>
      </c>
    </row>
    <row r="68" spans="1:37" x14ac:dyDescent="0.25">
      <c r="W68" s="12" t="s">
        <v>79</v>
      </c>
      <c r="Y68" s="13"/>
      <c r="Z68" s="13"/>
      <c r="AA68" s="13"/>
      <c r="AB68" s="13"/>
      <c r="AC68" s="13"/>
      <c r="AD68" s="13"/>
      <c r="AE68" s="13"/>
      <c r="AF68" s="13"/>
      <c r="AG68" s="13"/>
      <c r="AH68" s="13"/>
      <c r="AI68" s="13"/>
      <c r="AJ68" s="13"/>
      <c r="AK68" s="13"/>
    </row>
    <row r="69" spans="1:37" x14ac:dyDescent="0.25">
      <c r="W69" s="12" t="s">
        <v>82</v>
      </c>
      <c r="X69" s="19"/>
      <c r="Y69" s="19" t="e">
        <f t="shared" ref="Y69:AF69" si="58">+Y68/Y65</f>
        <v>#DIV/0!</v>
      </c>
      <c r="Z69" s="19" t="e">
        <f t="shared" si="58"/>
        <v>#DIV/0!</v>
      </c>
      <c r="AA69" s="19" t="e">
        <f t="shared" si="58"/>
        <v>#DIV/0!</v>
      </c>
      <c r="AB69" s="19" t="e">
        <f t="shared" si="58"/>
        <v>#DIV/0!</v>
      </c>
      <c r="AC69" s="19" t="e">
        <f t="shared" si="58"/>
        <v>#DIV/0!</v>
      </c>
      <c r="AD69" s="19" t="e">
        <f t="shared" si="58"/>
        <v>#DIV/0!</v>
      </c>
      <c r="AE69" s="19" t="e">
        <f t="shared" si="58"/>
        <v>#DIV/0!</v>
      </c>
      <c r="AF69" s="19" t="e">
        <f t="shared" si="58"/>
        <v>#DIV/0!</v>
      </c>
      <c r="AG69" s="19" t="e">
        <f>+AG68/AG65</f>
        <v>#DIV/0!</v>
      </c>
      <c r="AH69" s="19" t="e">
        <f t="shared" ref="AH69:AJ69" si="59">+AH68/AH65</f>
        <v>#DIV/0!</v>
      </c>
      <c r="AI69" s="19" t="e">
        <f t="shared" si="59"/>
        <v>#DIV/0!</v>
      </c>
      <c r="AJ69" s="19" t="e">
        <f t="shared" si="59"/>
        <v>#DIV/0!</v>
      </c>
      <c r="AK69" s="19" t="e">
        <f>+AK68/AK65</f>
        <v>#DIV/0!</v>
      </c>
    </row>
    <row r="70" spans="1:37" x14ac:dyDescent="0.25">
      <c r="W70" s="12" t="s">
        <v>21</v>
      </c>
      <c r="Y70" s="13"/>
      <c r="Z70" s="13"/>
      <c r="AA70" s="13"/>
      <c r="AB70" s="13"/>
      <c r="AC70" s="13"/>
      <c r="AD70" s="10"/>
      <c r="AE70" s="13"/>
      <c r="AF70" s="13"/>
      <c r="AG70" s="13"/>
      <c r="AH70" s="13"/>
      <c r="AI70" s="13"/>
      <c r="AJ70" s="13"/>
      <c r="AK70" s="13"/>
    </row>
    <row r="71" spans="1:37" x14ac:dyDescent="0.25">
      <c r="W71" s="12" t="s">
        <v>82</v>
      </c>
      <c r="Y71" s="19" t="e">
        <f t="shared" ref="Y71:AF71" si="60">+Y70/Y65</f>
        <v>#DIV/0!</v>
      </c>
      <c r="Z71" s="19" t="e">
        <f t="shared" si="60"/>
        <v>#DIV/0!</v>
      </c>
      <c r="AA71" s="19" t="e">
        <f t="shared" si="60"/>
        <v>#DIV/0!</v>
      </c>
      <c r="AB71" s="19" t="e">
        <f t="shared" si="60"/>
        <v>#DIV/0!</v>
      </c>
      <c r="AC71" s="19" t="e">
        <f t="shared" si="60"/>
        <v>#DIV/0!</v>
      </c>
      <c r="AD71" s="19" t="e">
        <f t="shared" si="60"/>
        <v>#DIV/0!</v>
      </c>
      <c r="AE71" s="19" t="e">
        <f t="shared" si="60"/>
        <v>#DIV/0!</v>
      </c>
      <c r="AF71" s="19" t="e">
        <f t="shared" si="60"/>
        <v>#DIV/0!</v>
      </c>
      <c r="AG71" s="19" t="e">
        <f>+AG70/AG65</f>
        <v>#DIV/0!</v>
      </c>
      <c r="AH71" s="19" t="e">
        <f t="shared" ref="AH71:AJ71" si="61">+AH70/AH65</f>
        <v>#DIV/0!</v>
      </c>
      <c r="AI71" s="19" t="e">
        <f t="shared" si="61"/>
        <v>#DIV/0!</v>
      </c>
      <c r="AJ71" s="19" t="e">
        <f t="shared" si="61"/>
        <v>#DIV/0!</v>
      </c>
      <c r="AK71" s="19" t="e">
        <f>+AK70/AK65</f>
        <v>#DIV/0!</v>
      </c>
    </row>
    <row r="72" spans="1:37" x14ac:dyDescent="0.25">
      <c r="W72" s="12" t="s">
        <v>354</v>
      </c>
      <c r="Y72" s="13"/>
      <c r="Z72" s="13"/>
      <c r="AA72" s="13"/>
      <c r="AB72" s="13"/>
      <c r="AC72" s="13"/>
      <c r="AD72" s="13"/>
      <c r="AE72" s="13"/>
      <c r="AF72" s="13"/>
      <c r="AG72" s="13"/>
      <c r="AH72" s="13"/>
      <c r="AI72" s="13"/>
      <c r="AJ72" s="13"/>
      <c r="AK72" s="13"/>
    </row>
    <row r="73" spans="1:37" x14ac:dyDescent="0.25">
      <c r="W73" s="12" t="s">
        <v>82</v>
      </c>
      <c r="Y73" s="19" t="e">
        <f>+Y72/Y65</f>
        <v>#DIV/0!</v>
      </c>
      <c r="Z73" s="19" t="e">
        <f>+Z72/Z65</f>
        <v>#DIV/0!</v>
      </c>
      <c r="AA73" s="19" t="e">
        <f t="shared" ref="AA73:AJ73" si="62">+AA72/AA65</f>
        <v>#DIV/0!</v>
      </c>
      <c r="AB73" s="19" t="e">
        <f t="shared" si="62"/>
        <v>#DIV/0!</v>
      </c>
      <c r="AC73" s="19" t="e">
        <f t="shared" si="62"/>
        <v>#DIV/0!</v>
      </c>
      <c r="AD73" s="19" t="e">
        <f t="shared" si="62"/>
        <v>#DIV/0!</v>
      </c>
      <c r="AE73" s="19" t="e">
        <f t="shared" si="62"/>
        <v>#DIV/0!</v>
      </c>
      <c r="AF73" s="19" t="e">
        <f t="shared" si="62"/>
        <v>#DIV/0!</v>
      </c>
      <c r="AG73" s="19" t="e">
        <f t="shared" si="62"/>
        <v>#DIV/0!</v>
      </c>
      <c r="AH73" s="19" t="e">
        <f t="shared" si="62"/>
        <v>#DIV/0!</v>
      </c>
      <c r="AI73" s="19" t="e">
        <f t="shared" si="62"/>
        <v>#DIV/0!</v>
      </c>
      <c r="AJ73" s="19" t="e">
        <f t="shared" si="62"/>
        <v>#DIV/0!</v>
      </c>
      <c r="AK73" s="19" t="e">
        <f t="shared" ref="AK73" si="63">+AK72/AK65</f>
        <v>#DIV/0!</v>
      </c>
    </row>
    <row r="76" spans="1:37" x14ac:dyDescent="0.25">
      <c r="W76" s="47" t="s">
        <v>356</v>
      </c>
      <c r="AC76" s="13"/>
      <c r="AG76" s="13"/>
      <c r="AK76" s="13"/>
    </row>
    <row r="77" spans="1:37" x14ac:dyDescent="0.25">
      <c r="W77" s="12" t="s">
        <v>78</v>
      </c>
      <c r="Y77" s="13"/>
      <c r="Z77" s="13"/>
      <c r="AA77" s="13"/>
      <c r="AB77" s="13"/>
      <c r="AC77" s="13"/>
      <c r="AD77" s="13"/>
      <c r="AE77" s="13"/>
      <c r="AF77" s="13"/>
      <c r="AG77" s="13"/>
      <c r="AH77" s="13"/>
      <c r="AI77" s="13"/>
      <c r="AJ77" s="13"/>
      <c r="AK77" s="13"/>
    </row>
    <row r="78" spans="1:37" x14ac:dyDescent="0.25">
      <c r="W78" s="12" t="s">
        <v>40</v>
      </c>
      <c r="X78" s="17"/>
      <c r="Y78" s="17"/>
      <c r="Z78" s="17"/>
      <c r="AA78" s="17"/>
      <c r="AB78" s="18"/>
      <c r="AC78" s="18" t="e">
        <f t="shared" ref="AC78:AK78" si="64">+AC77/Y77-1</f>
        <v>#DIV/0!</v>
      </c>
      <c r="AD78" s="18" t="e">
        <f t="shared" si="64"/>
        <v>#DIV/0!</v>
      </c>
      <c r="AE78" s="18" t="e">
        <f t="shared" si="64"/>
        <v>#DIV/0!</v>
      </c>
      <c r="AF78" s="18" t="e">
        <f t="shared" si="64"/>
        <v>#DIV/0!</v>
      </c>
      <c r="AG78" s="18" t="e">
        <f t="shared" si="64"/>
        <v>#DIV/0!</v>
      </c>
      <c r="AH78" s="18" t="e">
        <f t="shared" si="64"/>
        <v>#DIV/0!</v>
      </c>
      <c r="AI78" s="18" t="e">
        <f t="shared" si="64"/>
        <v>#DIV/0!</v>
      </c>
      <c r="AJ78" s="18" t="e">
        <f t="shared" si="64"/>
        <v>#DIV/0!</v>
      </c>
      <c r="AK78" s="18" t="e">
        <f t="shared" si="64"/>
        <v>#DIV/0!</v>
      </c>
    </row>
    <row r="79" spans="1:37" x14ac:dyDescent="0.25">
      <c r="W79" s="12" t="s">
        <v>41</v>
      </c>
      <c r="Y79" s="18"/>
      <c r="Z79" s="18" t="e">
        <f t="shared" ref="Z79:AK79" si="65">+Z77/Y77-1</f>
        <v>#DIV/0!</v>
      </c>
      <c r="AA79" s="18" t="e">
        <f t="shared" si="65"/>
        <v>#DIV/0!</v>
      </c>
      <c r="AB79" s="18" t="e">
        <f t="shared" si="65"/>
        <v>#DIV/0!</v>
      </c>
      <c r="AC79" s="18" t="e">
        <f t="shared" si="65"/>
        <v>#DIV/0!</v>
      </c>
      <c r="AD79" s="18" t="e">
        <f t="shared" si="65"/>
        <v>#DIV/0!</v>
      </c>
      <c r="AE79" s="18" t="e">
        <f t="shared" si="65"/>
        <v>#DIV/0!</v>
      </c>
      <c r="AF79" s="18" t="e">
        <f t="shared" si="65"/>
        <v>#DIV/0!</v>
      </c>
      <c r="AG79" s="18" t="e">
        <f t="shared" si="65"/>
        <v>#DIV/0!</v>
      </c>
      <c r="AH79" s="18" t="e">
        <f t="shared" si="65"/>
        <v>#DIV/0!</v>
      </c>
      <c r="AI79" s="18" t="e">
        <f t="shared" si="65"/>
        <v>#DIV/0!</v>
      </c>
      <c r="AJ79" s="18" t="e">
        <f t="shared" si="65"/>
        <v>#DIV/0!</v>
      </c>
      <c r="AK79" s="18" t="e">
        <f t="shared" si="65"/>
        <v>#DIV/0!</v>
      </c>
    </row>
    <row r="80" spans="1:37" x14ac:dyDescent="0.25">
      <c r="W80" s="12" t="s">
        <v>79</v>
      </c>
      <c r="Y80" s="13"/>
      <c r="Z80" s="13"/>
      <c r="AA80" s="13"/>
      <c r="AB80" s="13"/>
      <c r="AC80" s="13"/>
      <c r="AD80" s="13"/>
      <c r="AE80" s="13"/>
      <c r="AF80" s="13"/>
      <c r="AG80" s="13"/>
      <c r="AH80" s="13"/>
      <c r="AI80" s="13"/>
      <c r="AJ80" s="13"/>
      <c r="AK80" s="13"/>
    </row>
    <row r="81" spans="23:38" x14ac:dyDescent="0.25">
      <c r="W81" s="12" t="s">
        <v>82</v>
      </c>
      <c r="X81" s="19"/>
      <c r="Y81" s="19" t="e">
        <f t="shared" ref="Y81:AF81" si="66">+Y80/Y77</f>
        <v>#DIV/0!</v>
      </c>
      <c r="Z81" s="19" t="e">
        <f t="shared" si="66"/>
        <v>#DIV/0!</v>
      </c>
      <c r="AA81" s="19" t="e">
        <f t="shared" si="66"/>
        <v>#DIV/0!</v>
      </c>
      <c r="AB81" s="19" t="e">
        <f t="shared" si="66"/>
        <v>#DIV/0!</v>
      </c>
      <c r="AC81" s="19" t="e">
        <f t="shared" si="66"/>
        <v>#DIV/0!</v>
      </c>
      <c r="AD81" s="19" t="e">
        <f t="shared" si="66"/>
        <v>#DIV/0!</v>
      </c>
      <c r="AE81" s="19" t="e">
        <f t="shared" si="66"/>
        <v>#DIV/0!</v>
      </c>
      <c r="AF81" s="19" t="e">
        <f t="shared" si="66"/>
        <v>#DIV/0!</v>
      </c>
      <c r="AG81" s="19" t="e">
        <f>+AG80/AG77</f>
        <v>#DIV/0!</v>
      </c>
      <c r="AH81" s="19" t="e">
        <f t="shared" ref="AH81:AJ81" si="67">+AH80/AH77</f>
        <v>#DIV/0!</v>
      </c>
      <c r="AI81" s="19" t="e">
        <f t="shared" si="67"/>
        <v>#DIV/0!</v>
      </c>
      <c r="AJ81" s="19" t="e">
        <f t="shared" si="67"/>
        <v>#DIV/0!</v>
      </c>
      <c r="AK81" s="19" t="e">
        <f>+AK80/AK77</f>
        <v>#DIV/0!</v>
      </c>
    </row>
    <row r="82" spans="23:38" x14ac:dyDescent="0.25">
      <c r="W82" s="12" t="s">
        <v>21</v>
      </c>
      <c r="Y82" s="13"/>
      <c r="Z82" s="13"/>
      <c r="AA82" s="13"/>
      <c r="AB82" s="13"/>
      <c r="AC82" s="13"/>
      <c r="AD82" s="13"/>
      <c r="AE82" s="13"/>
      <c r="AF82" s="13"/>
      <c r="AG82" s="13"/>
      <c r="AH82" s="13"/>
      <c r="AI82" s="13"/>
      <c r="AJ82" s="13"/>
      <c r="AK82" s="13"/>
    </row>
    <row r="83" spans="23:38" x14ac:dyDescent="0.25">
      <c r="W83" s="12" t="s">
        <v>82</v>
      </c>
      <c r="Y83" s="19" t="e">
        <f t="shared" ref="Y83:AF83" si="68">+Y82/Y77</f>
        <v>#DIV/0!</v>
      </c>
      <c r="Z83" s="19" t="e">
        <f t="shared" si="68"/>
        <v>#DIV/0!</v>
      </c>
      <c r="AA83" s="19" t="e">
        <f t="shared" si="68"/>
        <v>#DIV/0!</v>
      </c>
      <c r="AB83" s="19" t="e">
        <f t="shared" si="68"/>
        <v>#DIV/0!</v>
      </c>
      <c r="AC83" s="19" t="e">
        <f t="shared" si="68"/>
        <v>#DIV/0!</v>
      </c>
      <c r="AD83" s="19" t="e">
        <f t="shared" si="68"/>
        <v>#DIV/0!</v>
      </c>
      <c r="AE83" s="19" t="e">
        <f t="shared" si="68"/>
        <v>#DIV/0!</v>
      </c>
      <c r="AF83" s="19" t="e">
        <f t="shared" si="68"/>
        <v>#DIV/0!</v>
      </c>
      <c r="AG83" s="19" t="e">
        <f>+AG82/AG77</f>
        <v>#DIV/0!</v>
      </c>
      <c r="AH83" s="19" t="e">
        <f t="shared" ref="AH83:AJ83" si="69">+AH82/AH77</f>
        <v>#DIV/0!</v>
      </c>
      <c r="AI83" s="19" t="e">
        <f t="shared" si="69"/>
        <v>#DIV/0!</v>
      </c>
      <c r="AJ83" s="19" t="e">
        <f t="shared" si="69"/>
        <v>#DIV/0!</v>
      </c>
      <c r="AK83" s="19" t="e">
        <f>+AK82/AK77</f>
        <v>#DIV/0!</v>
      </c>
    </row>
    <row r="84" spans="23:38" x14ac:dyDescent="0.25">
      <c r="W84" s="12" t="s">
        <v>354</v>
      </c>
      <c r="Y84" s="13"/>
      <c r="Z84" s="13"/>
      <c r="AA84" s="13"/>
      <c r="AB84" s="13"/>
      <c r="AC84" s="13"/>
      <c r="AD84" s="13"/>
      <c r="AE84" s="13"/>
      <c r="AF84" s="13"/>
      <c r="AG84" s="13"/>
      <c r="AH84" s="13"/>
      <c r="AI84" s="13"/>
      <c r="AJ84" s="13"/>
      <c r="AK84" s="13"/>
      <c r="AL84" s="13"/>
    </row>
    <row r="85" spans="23:38" x14ac:dyDescent="0.25">
      <c r="W85" s="12" t="s">
        <v>82</v>
      </c>
      <c r="Y85" s="19" t="e">
        <f>+Y84/Y77</f>
        <v>#DIV/0!</v>
      </c>
      <c r="Z85" s="19" t="e">
        <f>+Z84/Z77</f>
        <v>#DIV/0!</v>
      </c>
      <c r="AA85" s="19" t="e">
        <f t="shared" ref="AA85:AJ85" si="70">+AA84/AA77</f>
        <v>#DIV/0!</v>
      </c>
      <c r="AB85" s="19" t="e">
        <f t="shared" si="70"/>
        <v>#DIV/0!</v>
      </c>
      <c r="AC85" s="19" t="e">
        <f t="shared" si="70"/>
        <v>#DIV/0!</v>
      </c>
      <c r="AD85" s="19" t="e">
        <f t="shared" si="70"/>
        <v>#DIV/0!</v>
      </c>
      <c r="AE85" s="19" t="e">
        <f t="shared" si="70"/>
        <v>#DIV/0!</v>
      </c>
      <c r="AF85" s="19" t="e">
        <f t="shared" si="70"/>
        <v>#DIV/0!</v>
      </c>
      <c r="AG85" s="19" t="e">
        <f t="shared" si="70"/>
        <v>#DIV/0!</v>
      </c>
      <c r="AH85" s="19" t="e">
        <f t="shared" si="70"/>
        <v>#DIV/0!</v>
      </c>
      <c r="AI85" s="19" t="e">
        <f t="shared" si="70"/>
        <v>#DIV/0!</v>
      </c>
      <c r="AJ85" s="19" t="e">
        <f t="shared" si="70"/>
        <v>#DIV/0!</v>
      </c>
      <c r="AK85" s="19" t="e">
        <f t="shared" ref="AK85" si="71">+AK84/AK77</f>
        <v>#DIV/0!</v>
      </c>
      <c r="AL85" s="18"/>
    </row>
    <row r="86" spans="23:38" x14ac:dyDescent="0.25">
      <c r="AL86" s="13"/>
    </row>
    <row r="87" spans="23:38" x14ac:dyDescent="0.25">
      <c r="W87" s="47" t="s">
        <v>164</v>
      </c>
      <c r="AL87" s="18"/>
    </row>
    <row r="88" spans="23:38" x14ac:dyDescent="0.25">
      <c r="W88" s="12" t="s">
        <v>357</v>
      </c>
      <c r="X88" s="56"/>
      <c r="Y88" s="56"/>
      <c r="Z88" s="56"/>
      <c r="AA88" s="56"/>
      <c r="AB88" s="56"/>
      <c r="AC88" s="56"/>
      <c r="AD88" s="56"/>
      <c r="AE88" s="56"/>
      <c r="AF88" s="56"/>
      <c r="AG88" s="56"/>
      <c r="AH88" s="56"/>
      <c r="AI88" s="56"/>
      <c r="AJ88" s="56"/>
      <c r="AK88" s="56"/>
      <c r="AL88" s="18"/>
    </row>
    <row r="89" spans="23:38" x14ac:dyDescent="0.25">
      <c r="W89" s="12" t="s">
        <v>358</v>
      </c>
      <c r="X89" s="56"/>
      <c r="Y89" s="56"/>
      <c r="Z89" s="56"/>
      <c r="AA89" s="56"/>
      <c r="AB89" s="56"/>
      <c r="AC89" s="56"/>
      <c r="AD89" s="56"/>
      <c r="AE89" s="56"/>
      <c r="AF89" s="56"/>
      <c r="AG89" s="56"/>
      <c r="AH89" s="56"/>
      <c r="AI89" s="56"/>
      <c r="AJ89" s="56"/>
      <c r="AK89" s="56"/>
      <c r="AL89" s="14"/>
    </row>
    <row r="90" spans="23:38" x14ac:dyDescent="0.25">
      <c r="W90" s="12" t="s">
        <v>359</v>
      </c>
      <c r="X90" s="56"/>
      <c r="Y90" s="56"/>
      <c r="Z90" s="56"/>
      <c r="AA90" s="56"/>
      <c r="AB90" s="56"/>
      <c r="AC90" s="56"/>
      <c r="AD90" s="56"/>
      <c r="AE90" s="56"/>
      <c r="AF90" s="56"/>
      <c r="AG90" s="56"/>
      <c r="AH90" s="56"/>
      <c r="AI90" s="56"/>
      <c r="AJ90" s="56"/>
      <c r="AK90" s="56"/>
    </row>
    <row r="91" spans="23:38" x14ac:dyDescent="0.25">
      <c r="W91" s="12" t="s">
        <v>364</v>
      </c>
      <c r="X91" s="56"/>
      <c r="Y91" s="56"/>
      <c r="Z91" s="56"/>
      <c r="AA91" s="56"/>
      <c r="AB91" s="56"/>
      <c r="AC91" s="56"/>
      <c r="AD91" s="56"/>
      <c r="AE91" s="56"/>
      <c r="AF91" s="56"/>
      <c r="AG91" s="56"/>
      <c r="AH91" s="56"/>
      <c r="AI91" s="56"/>
      <c r="AJ91" s="56"/>
      <c r="AK91" s="56"/>
    </row>
    <row r="92" spans="23:38" x14ac:dyDescent="0.25">
      <c r="Y92" s="17"/>
      <c r="Z92" s="17"/>
      <c r="AA92" s="17"/>
      <c r="AB92" s="18"/>
      <c r="AC92" s="18"/>
      <c r="AD92" s="18"/>
      <c r="AE92" s="18"/>
      <c r="AF92" s="18"/>
      <c r="AG92" s="18"/>
      <c r="AH92" s="18"/>
      <c r="AI92" s="18"/>
      <c r="AJ92" s="18"/>
      <c r="AK92" s="18"/>
    </row>
    <row r="93" spans="23:38" x14ac:dyDescent="0.25">
      <c r="W93" s="12" t="s">
        <v>360</v>
      </c>
      <c r="Y93" s="14"/>
      <c r="Z93" s="14"/>
      <c r="AA93" s="14"/>
      <c r="AB93" s="14"/>
      <c r="AC93" s="14"/>
      <c r="AD93" s="14"/>
      <c r="AE93" s="14"/>
      <c r="AF93" s="14"/>
      <c r="AG93" s="14"/>
      <c r="AH93" s="14"/>
      <c r="AI93" s="14"/>
      <c r="AJ93" s="14"/>
      <c r="AK93" s="14"/>
    </row>
    <row r="94" spans="23:38" x14ac:dyDescent="0.25">
      <c r="W94" s="12" t="s">
        <v>361</v>
      </c>
      <c r="X94" s="56"/>
      <c r="Y94" s="56"/>
      <c r="Z94" s="56"/>
      <c r="AA94" s="56"/>
      <c r="AB94" s="56"/>
      <c r="AC94" s="56"/>
      <c r="AD94" s="56"/>
      <c r="AE94" s="56"/>
      <c r="AF94" s="56"/>
      <c r="AG94" s="56"/>
      <c r="AH94" s="56"/>
      <c r="AI94" s="56"/>
      <c r="AJ94" s="56"/>
      <c r="AK94" s="56"/>
    </row>
    <row r="95" spans="23:38" x14ac:dyDescent="0.25">
      <c r="W95" s="12" t="s">
        <v>362</v>
      </c>
      <c r="X95" s="56"/>
      <c r="Y95" s="56"/>
      <c r="Z95" s="56"/>
      <c r="AA95" s="56"/>
      <c r="AB95" s="56"/>
      <c r="AC95" s="56"/>
      <c r="AD95" s="56"/>
      <c r="AE95" s="56"/>
      <c r="AF95" s="56"/>
      <c r="AG95" s="56"/>
      <c r="AH95" s="56"/>
      <c r="AI95" s="56"/>
      <c r="AJ95" s="56"/>
      <c r="AK95" s="56"/>
    </row>
    <row r="96" spans="23:38" x14ac:dyDescent="0.25">
      <c r="W96" s="12" t="s">
        <v>363</v>
      </c>
      <c r="X96" s="56"/>
      <c r="Y96" s="56"/>
      <c r="Z96" s="56"/>
      <c r="AA96" s="56"/>
      <c r="AB96" s="56"/>
      <c r="AC96" s="56"/>
      <c r="AD96" s="56"/>
      <c r="AE96" s="56"/>
      <c r="AF96" s="56"/>
      <c r="AG96" s="56"/>
      <c r="AH96" s="56"/>
      <c r="AI96" s="56"/>
      <c r="AJ96" s="56"/>
      <c r="AK96" s="56"/>
    </row>
  </sheetData>
  <mergeCells count="4">
    <mergeCell ref="AO2:AS2"/>
    <mergeCell ref="AT2:AX2"/>
    <mergeCell ref="B13:H13"/>
    <mergeCell ref="AY2:BC2"/>
  </mergeCell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3EB9-F931-4B2A-A9EF-EDF4E64F7F84}">
  <sheetPr>
    <tabColor rgb="FF92D050"/>
  </sheetPr>
  <dimension ref="A1:AY87"/>
  <sheetViews>
    <sheetView topLeftCell="Y4" zoomScale="85" zoomScaleNormal="85" workbookViewId="0">
      <selection activeCell="AI28" sqref="AI28"/>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8" width="12" style="12" customWidth="1"/>
    <col min="39" max="40" width="8.85546875" style="12"/>
    <col min="41" max="41" width="14.28515625" style="50" bestFit="1" customWidth="1"/>
    <col min="42" max="16384" width="8.85546875" style="50"/>
  </cols>
  <sheetData>
    <row r="1" spans="1:51" ht="15.75" thickBot="1" x14ac:dyDescent="0.3">
      <c r="W1" s="20" t="s">
        <v>194</v>
      </c>
      <c r="X1" s="59">
        <f>+'Valuation Sheet'!C21</f>
        <v>77.900000000000006</v>
      </c>
    </row>
    <row r="2" spans="1:51"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367</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c r="AL2" s="11" t="s">
        <v>1018</v>
      </c>
      <c r="AO2" s="71" t="str">
        <f>+W2</f>
        <v>HHL</v>
      </c>
      <c r="AP2" s="189" t="s">
        <v>190</v>
      </c>
      <c r="AQ2" s="190"/>
      <c r="AR2" s="190"/>
      <c r="AS2" s="190"/>
      <c r="AT2" s="191"/>
      <c r="AU2" s="192" t="s">
        <v>191</v>
      </c>
      <c r="AV2" s="192"/>
      <c r="AW2" s="192"/>
      <c r="AX2" s="192"/>
      <c r="AY2" s="192"/>
    </row>
    <row r="3" spans="1:51" ht="18" thickTop="1" thickBot="1" x14ac:dyDescent="0.4">
      <c r="B3" s="25" t="s">
        <v>10</v>
      </c>
      <c r="C3" s="26">
        <v>17820.179</v>
      </c>
      <c r="D3" s="26"/>
      <c r="E3" s="26"/>
      <c r="F3" s="26"/>
      <c r="G3" s="26"/>
      <c r="H3" s="26"/>
      <c r="I3" s="27"/>
      <c r="J3" s="21"/>
      <c r="M3" s="1" t="s">
        <v>11</v>
      </c>
      <c r="N3" s="2">
        <f>'[1]LT Portfolio'!W294</f>
        <v>0</v>
      </c>
      <c r="W3" s="12" t="s">
        <v>62</v>
      </c>
      <c r="X3" s="13"/>
      <c r="Y3" s="13"/>
      <c r="Z3" s="13">
        <v>16590733</v>
      </c>
      <c r="AA3" s="13">
        <v>16404119</v>
      </c>
      <c r="AB3" s="13">
        <v>19829479</v>
      </c>
      <c r="AC3" s="13">
        <v>21545185</v>
      </c>
      <c r="AD3" s="13">
        <v>21108711</v>
      </c>
      <c r="AE3" s="13">
        <v>24841247</v>
      </c>
      <c r="AF3" s="13">
        <v>27118911</v>
      </c>
      <c r="AG3" s="13">
        <v>29770003</v>
      </c>
      <c r="AH3" s="13">
        <v>32209413</v>
      </c>
      <c r="AI3" s="13">
        <v>29121435</v>
      </c>
      <c r="AJ3" s="13">
        <v>29829387</v>
      </c>
      <c r="AK3" s="13">
        <v>31222706</v>
      </c>
      <c r="AL3" s="13">
        <v>31440244</v>
      </c>
      <c r="AO3" s="69"/>
      <c r="AP3" s="66" t="s">
        <v>78</v>
      </c>
      <c r="AQ3" s="67" t="s">
        <v>17</v>
      </c>
      <c r="AR3" s="67" t="s">
        <v>184</v>
      </c>
      <c r="AS3" s="67" t="s">
        <v>29</v>
      </c>
      <c r="AT3" s="68" t="s">
        <v>30</v>
      </c>
      <c r="AU3" s="66" t="s">
        <v>78</v>
      </c>
      <c r="AV3" s="67" t="s">
        <v>17</v>
      </c>
      <c r="AW3" s="67" t="s">
        <v>184</v>
      </c>
      <c r="AX3" s="67" t="s">
        <v>29</v>
      </c>
      <c r="AY3" s="68" t="s">
        <v>30</v>
      </c>
    </row>
    <row r="4" spans="1:51"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L4" si="1">+AB3/X3-1</f>
        <v>#DIV/0!</v>
      </c>
      <c r="AC4" s="18" t="e">
        <f t="shared" si="1"/>
        <v>#DIV/0!</v>
      </c>
      <c r="AD4" s="18">
        <f t="shared" si="1"/>
        <v>0.27231937250753169</v>
      </c>
      <c r="AE4" s="18">
        <f t="shared" si="1"/>
        <v>0.51432984605878551</v>
      </c>
      <c r="AF4" s="18">
        <f t="shared" si="1"/>
        <v>0.36760582564978139</v>
      </c>
      <c r="AG4" s="18">
        <f t="shared" si="1"/>
        <v>0.3817473834641012</v>
      </c>
      <c r="AH4" s="18">
        <f t="shared" si="1"/>
        <v>0.52588251362198291</v>
      </c>
      <c r="AI4" s="18">
        <f t="shared" si="1"/>
        <v>0.1723016561930244</v>
      </c>
      <c r="AJ4" s="18">
        <f t="shared" si="1"/>
        <v>9.9947818701127122E-2</v>
      </c>
      <c r="AK4" s="18">
        <f t="shared" si="1"/>
        <v>4.8797542949525319E-2</v>
      </c>
      <c r="AL4" s="18">
        <f t="shared" si="1"/>
        <v>-2.3880255129145045E-2</v>
      </c>
      <c r="AM4" s="46"/>
      <c r="AO4" s="69" t="s">
        <v>185</v>
      </c>
      <c r="AP4" s="60">
        <v>120591</v>
      </c>
      <c r="AQ4" s="61"/>
      <c r="AR4" s="61">
        <v>5901</v>
      </c>
      <c r="AS4" s="74">
        <v>9.9</v>
      </c>
      <c r="AT4" s="64">
        <v>3.5</v>
      </c>
      <c r="AU4" s="60">
        <v>128151</v>
      </c>
      <c r="AV4" s="61"/>
      <c r="AW4" s="61">
        <v>7915</v>
      </c>
      <c r="AX4" s="58">
        <v>13.3</v>
      </c>
      <c r="AY4" s="64">
        <v>4.5</v>
      </c>
    </row>
    <row r="5" spans="1:51"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L5" si="2">+Y3/X3-1</f>
        <v>#DIV/0!</v>
      </c>
      <c r="Z5" s="18" t="e">
        <f t="shared" si="2"/>
        <v>#DIV/0!</v>
      </c>
      <c r="AA5" s="18">
        <f t="shared" si="2"/>
        <v>-1.1248086507087973E-2</v>
      </c>
      <c r="AB5" s="18">
        <f t="shared" si="2"/>
        <v>0.20881096997650417</v>
      </c>
      <c r="AC5" s="18">
        <f t="shared" si="2"/>
        <v>8.6522999419198054E-2</v>
      </c>
      <c r="AD5" s="18">
        <f t="shared" si="2"/>
        <v>-2.0258540365283517E-2</v>
      </c>
      <c r="AE5" s="18">
        <f t="shared" si="2"/>
        <v>0.17682443991961416</v>
      </c>
      <c r="AF5" s="18">
        <f t="shared" si="2"/>
        <v>9.1688794849952515E-2</v>
      </c>
      <c r="AG5" s="18">
        <f t="shared" si="2"/>
        <v>9.7758055255242393E-2</v>
      </c>
      <c r="AH5" s="18">
        <f t="shared" si="2"/>
        <v>8.1941879549021213E-2</v>
      </c>
      <c r="AI5" s="18">
        <f t="shared" si="2"/>
        <v>-9.5871911729654924E-2</v>
      </c>
      <c r="AJ5" s="18">
        <f t="shared" si="2"/>
        <v>2.4310340476010106E-2</v>
      </c>
      <c r="AK5" s="18">
        <f t="shared" si="2"/>
        <v>4.6709608883347187E-2</v>
      </c>
      <c r="AL5" s="18">
        <f t="shared" si="2"/>
        <v>6.9673012966908754E-3</v>
      </c>
      <c r="AO5" s="69" t="s">
        <v>186</v>
      </c>
      <c r="AP5" s="60">
        <v>123415</v>
      </c>
      <c r="AQ5" s="61">
        <v>12499</v>
      </c>
      <c r="AR5" s="61">
        <v>5557</v>
      </c>
      <c r="AS5" s="58">
        <v>9.32</v>
      </c>
      <c r="AT5" s="64">
        <v>3</v>
      </c>
      <c r="AU5" s="60">
        <v>142513</v>
      </c>
      <c r="AV5" s="61">
        <v>13525</v>
      </c>
      <c r="AW5" s="61">
        <v>7045</v>
      </c>
      <c r="AX5" s="58">
        <v>11.81</v>
      </c>
      <c r="AY5" s="64">
        <v>4</v>
      </c>
    </row>
    <row r="6" spans="1:51"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O6" s="69" t="s">
        <v>187</v>
      </c>
      <c r="AP6" s="60">
        <v>127645</v>
      </c>
      <c r="AQ6" s="61"/>
      <c r="AR6" s="61">
        <v>7752</v>
      </c>
      <c r="AS6" s="58">
        <v>12.71</v>
      </c>
      <c r="AT6" s="64"/>
      <c r="AU6" s="60">
        <v>150786</v>
      </c>
      <c r="AV6" s="61"/>
      <c r="AW6" s="61">
        <v>9621</v>
      </c>
      <c r="AX6" s="58">
        <v>15.77</v>
      </c>
      <c r="AY6" s="64"/>
    </row>
    <row r="7" spans="1:51"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K7" s="13"/>
      <c r="AL7" s="13"/>
      <c r="AO7" s="69" t="s">
        <v>188</v>
      </c>
      <c r="AP7" s="60">
        <v>121494</v>
      </c>
      <c r="AQ7" s="61">
        <v>13315</v>
      </c>
      <c r="AR7" s="61">
        <v>5623</v>
      </c>
      <c r="AS7" s="74">
        <v>9.4</v>
      </c>
      <c r="AT7" s="64">
        <v>3.3</v>
      </c>
      <c r="AU7" s="60">
        <v>131723</v>
      </c>
      <c r="AV7" s="61">
        <v>15050</v>
      </c>
      <c r="AW7" s="61">
        <v>6742</v>
      </c>
      <c r="AX7" s="58">
        <v>11.3</v>
      </c>
      <c r="AY7" s="64">
        <v>4</v>
      </c>
    </row>
    <row r="8" spans="1:51"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L8" si="5">+AB7/X7-1</f>
        <v>#DIV/0!</v>
      </c>
      <c r="AC8" s="18" t="e">
        <f t="shared" si="5"/>
        <v>#DIV/0!</v>
      </c>
      <c r="AD8" s="18" t="e">
        <f t="shared" si="5"/>
        <v>#DIV/0!</v>
      </c>
      <c r="AE8" s="18" t="e">
        <f t="shared" si="5"/>
        <v>#DIV/0!</v>
      </c>
      <c r="AF8" s="18" t="e">
        <f t="shared" si="5"/>
        <v>#DIV/0!</v>
      </c>
      <c r="AG8" s="18" t="e">
        <f t="shared" si="5"/>
        <v>#DIV/0!</v>
      </c>
      <c r="AH8" s="18" t="e">
        <f t="shared" si="5"/>
        <v>#DIV/0!</v>
      </c>
      <c r="AI8" s="18" t="e">
        <f t="shared" si="5"/>
        <v>#DIV/0!</v>
      </c>
      <c r="AJ8" s="18" t="e">
        <f t="shared" si="5"/>
        <v>#DIV/0!</v>
      </c>
      <c r="AK8" s="18" t="e">
        <f t="shared" si="5"/>
        <v>#DIV/0!</v>
      </c>
      <c r="AL8" s="18" t="e">
        <f t="shared" si="5"/>
        <v>#DIV/0!</v>
      </c>
      <c r="AO8" s="69" t="s">
        <v>197</v>
      </c>
      <c r="AP8" s="60">
        <v>127142</v>
      </c>
      <c r="AQ8" s="61">
        <v>12441</v>
      </c>
      <c r="AR8" s="61">
        <v>6189</v>
      </c>
      <c r="AS8" s="58">
        <v>10.37</v>
      </c>
      <c r="AT8" s="64">
        <v>2</v>
      </c>
      <c r="AU8" s="60">
        <v>147299</v>
      </c>
      <c r="AV8" s="61">
        <v>15685</v>
      </c>
      <c r="AW8" s="61">
        <v>8555</v>
      </c>
      <c r="AX8" s="58">
        <v>14.34</v>
      </c>
      <c r="AY8" s="64">
        <v>3</v>
      </c>
    </row>
    <row r="9" spans="1:51"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L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8" t="e">
        <f t="shared" si="6"/>
        <v>#DIV/0!</v>
      </c>
      <c r="AJ9" s="18" t="e">
        <f t="shared" si="6"/>
        <v>#DIV/0!</v>
      </c>
      <c r="AK9" s="18" t="e">
        <f t="shared" si="6"/>
        <v>#DIV/0!</v>
      </c>
      <c r="AL9" s="18" t="e">
        <f t="shared" si="6"/>
        <v>#DIV/0!</v>
      </c>
      <c r="AO9" s="69" t="s">
        <v>195</v>
      </c>
      <c r="AP9" s="60"/>
      <c r="AQ9" s="61"/>
      <c r="AR9" s="61"/>
      <c r="AS9" s="74"/>
      <c r="AT9" s="64"/>
      <c r="AU9" s="60"/>
      <c r="AV9" s="61"/>
      <c r="AW9" s="61"/>
      <c r="AX9" s="58"/>
      <c r="AY9" s="64"/>
    </row>
    <row r="10" spans="1:51"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O10" s="69" t="s">
        <v>196</v>
      </c>
      <c r="AP10" s="60"/>
      <c r="AQ10" s="61"/>
      <c r="AR10" s="61"/>
      <c r="AS10" s="58"/>
      <c r="AT10" s="64"/>
      <c r="AU10" s="60"/>
      <c r="AV10" s="61"/>
      <c r="AW10" s="61"/>
      <c r="AX10" s="58"/>
      <c r="AY10" s="64"/>
    </row>
    <row r="11" spans="1:51" ht="18" thickTop="1" thickBot="1" x14ac:dyDescent="0.4">
      <c r="B11" s="28" t="s">
        <v>25</v>
      </c>
      <c r="C11" s="30">
        <f t="shared" ref="C11:G11" si="7">C10/C$3*100</f>
        <v>12.180949473066461</v>
      </c>
      <c r="D11" s="30" t="e">
        <f t="shared" si="7"/>
        <v>#DIV/0!</v>
      </c>
      <c r="E11" s="30" t="e">
        <f t="shared" si="7"/>
        <v>#DIV/0!</v>
      </c>
      <c r="F11" s="30" t="e">
        <f t="shared" si="7"/>
        <v>#DIV/0!</v>
      </c>
      <c r="G11" s="30" t="e">
        <f t="shared" si="7"/>
        <v>#DIV/0!</v>
      </c>
      <c r="H11" s="30" t="e">
        <f>H10/H$3*100</f>
        <v>#DIV/0!</v>
      </c>
      <c r="I11" s="31" t="e">
        <f>I10/I$3*100</f>
        <v>#DIV/0!</v>
      </c>
      <c r="J11" s="23" t="e">
        <f>AVERAGE(D11:I11)</f>
        <v>#DIV/0!</v>
      </c>
      <c r="M11" s="1" t="s">
        <v>26</v>
      </c>
      <c r="N11" s="3">
        <f>'[1]LT Portfolio'!T294</f>
        <v>0</v>
      </c>
      <c r="O11" s="4" t="e">
        <f>N11/N7-1</f>
        <v>#DIV/0!</v>
      </c>
      <c r="W11" s="12" t="s">
        <v>42</v>
      </c>
      <c r="X11" s="13"/>
      <c r="Y11" s="13"/>
      <c r="Z11" s="13">
        <v>4902448</v>
      </c>
      <c r="AA11" s="13">
        <v>4656680</v>
      </c>
      <c r="AB11" s="13">
        <v>5430535</v>
      </c>
      <c r="AC11" s="13">
        <v>6091718</v>
      </c>
      <c r="AD11" s="13">
        <v>5727374</v>
      </c>
      <c r="AE11" s="13">
        <v>6339351</v>
      </c>
      <c r="AF11" s="13">
        <v>7592795</v>
      </c>
      <c r="AG11" s="13">
        <v>7974516</v>
      </c>
      <c r="AH11" s="13">
        <v>9886198</v>
      </c>
      <c r="AI11" s="13">
        <v>7855379</v>
      </c>
      <c r="AJ11" s="13">
        <v>8654858</v>
      </c>
      <c r="AK11" s="13">
        <v>9851289</v>
      </c>
      <c r="AL11" s="13">
        <v>9635703</v>
      </c>
      <c r="AO11" s="70" t="s">
        <v>192</v>
      </c>
      <c r="AP11" s="62">
        <f>+AVERAGE(AP4:AP10)</f>
        <v>124057.4</v>
      </c>
      <c r="AQ11" s="63">
        <f t="shared" ref="AQ11:AY11" si="8">+AVERAGE(AQ4:AQ10)</f>
        <v>12751.666666666666</v>
      </c>
      <c r="AR11" s="63">
        <f t="shared" si="8"/>
        <v>6204.4</v>
      </c>
      <c r="AS11" s="72">
        <f t="shared" si="8"/>
        <v>10.34</v>
      </c>
      <c r="AT11" s="65">
        <f t="shared" si="8"/>
        <v>2.95</v>
      </c>
      <c r="AU11" s="62">
        <f t="shared" si="8"/>
        <v>140094.39999999999</v>
      </c>
      <c r="AV11" s="63">
        <f t="shared" si="8"/>
        <v>14753.333333333334</v>
      </c>
      <c r="AW11" s="63">
        <f t="shared" si="8"/>
        <v>7975.6</v>
      </c>
      <c r="AX11" s="72">
        <f t="shared" si="8"/>
        <v>13.303999999999998</v>
      </c>
      <c r="AY11" s="65">
        <f t="shared" si="8"/>
        <v>3.875</v>
      </c>
    </row>
    <row r="12" spans="1:51" ht="18" thickTop="1" thickBot="1" x14ac:dyDescent="0.4">
      <c r="B12" s="28" t="s">
        <v>27</v>
      </c>
      <c r="C12" s="29"/>
      <c r="D12" s="30">
        <f t="shared" ref="D12:I12" si="9">(D10/C10-1)*100</f>
        <v>-100</v>
      </c>
      <c r="E12" s="30" t="e">
        <f t="shared" si="9"/>
        <v>#DIV/0!</v>
      </c>
      <c r="F12" s="30" t="e">
        <f t="shared" si="9"/>
        <v>#DIV/0!</v>
      </c>
      <c r="G12" s="30" t="e">
        <f t="shared" si="9"/>
        <v>#DIV/0!</v>
      </c>
      <c r="H12" s="30" t="e">
        <f t="shared" si="9"/>
        <v>#DIV/0!</v>
      </c>
      <c r="I12" s="31" t="e">
        <f t="shared" si="9"/>
        <v>#DIV/0!</v>
      </c>
      <c r="J12" s="23" t="e">
        <f>AVERAGE(D12:I12)</f>
        <v>#DIV/0!</v>
      </c>
      <c r="S12" t="s">
        <v>20</v>
      </c>
      <c r="T12" t="s">
        <v>22</v>
      </c>
      <c r="W12" s="12" t="s">
        <v>43</v>
      </c>
      <c r="X12" s="19" t="e">
        <f t="shared" ref="X12:AJ12" si="10">+X11/X3</f>
        <v>#DIV/0!</v>
      </c>
      <c r="Y12" s="19" t="e">
        <f t="shared" si="10"/>
        <v>#DIV/0!</v>
      </c>
      <c r="Z12" s="19">
        <f t="shared" si="10"/>
        <v>0.29549315271362636</v>
      </c>
      <c r="AA12" s="19">
        <f t="shared" si="10"/>
        <v>0.28387260541087272</v>
      </c>
      <c r="AB12" s="19">
        <f t="shared" si="10"/>
        <v>0.27386170862078624</v>
      </c>
      <c r="AC12" s="19">
        <f t="shared" si="10"/>
        <v>0.28274150349602473</v>
      </c>
      <c r="AD12" s="19">
        <f t="shared" si="10"/>
        <v>0.27132751023972995</v>
      </c>
      <c r="AE12" s="19">
        <f t="shared" si="10"/>
        <v>0.25519455605429148</v>
      </c>
      <c r="AF12" s="19">
        <f t="shared" si="10"/>
        <v>0.27998155973150984</v>
      </c>
      <c r="AG12" s="19">
        <f t="shared" si="10"/>
        <v>0.26787084972749248</v>
      </c>
      <c r="AH12" s="19">
        <f t="shared" si="10"/>
        <v>0.30693505653145559</v>
      </c>
      <c r="AI12" s="19">
        <f t="shared" si="10"/>
        <v>0.2697456014787733</v>
      </c>
      <c r="AJ12" s="19">
        <f t="shared" si="10"/>
        <v>0.29014535229973049</v>
      </c>
      <c r="AK12" s="19">
        <f t="shared" ref="AK12:AL12" si="11">+AK11/AK3</f>
        <v>0.31551682291727051</v>
      </c>
      <c r="AL12" s="19">
        <f t="shared" si="11"/>
        <v>0.3064767245445042</v>
      </c>
      <c r="AO12" s="12"/>
      <c r="AP12" s="12"/>
      <c r="AQ12" s="12"/>
      <c r="AR12" s="12"/>
      <c r="AS12" s="12"/>
      <c r="AT12" s="99" t="s">
        <v>34</v>
      </c>
      <c r="AU12" s="12"/>
      <c r="AV12" s="12"/>
      <c r="AW12" s="12"/>
      <c r="AX12" s="12"/>
      <c r="AY12" s="99" t="s">
        <v>34</v>
      </c>
    </row>
    <row r="13" spans="1:51"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c r="AN13" s="12"/>
      <c r="AO13" s="12" t="s">
        <v>193</v>
      </c>
      <c r="AP13" s="12"/>
      <c r="AQ13" s="12"/>
      <c r="AR13" s="12"/>
      <c r="AS13" s="58">
        <f>+$X$1/AS11</f>
        <v>7.5338491295938113</v>
      </c>
      <c r="AT13" s="75">
        <f>+AT11/$X$1</f>
        <v>3.7869062901155326E-2</v>
      </c>
      <c r="AU13" s="12"/>
      <c r="AV13" s="12"/>
      <c r="AW13" s="12"/>
      <c r="AX13" s="58">
        <f>+$X$1/AX11</f>
        <v>5.855381840048107</v>
      </c>
      <c r="AY13" s="75">
        <f>+AY11/$X$1</f>
        <v>4.9743260590500639E-2</v>
      </c>
    </row>
    <row r="14" spans="1:51"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c r="Y14" s="13"/>
      <c r="Z14" s="13">
        <v>1317356</v>
      </c>
      <c r="AA14" s="13">
        <v>1091586</v>
      </c>
      <c r="AB14" s="13">
        <v>1546611</v>
      </c>
      <c r="AC14" s="13">
        <v>2615923</v>
      </c>
      <c r="AD14" s="13">
        <v>1528524</v>
      </c>
      <c r="AE14" s="13">
        <v>2030969</v>
      </c>
      <c r="AF14" s="13">
        <v>2693268</v>
      </c>
      <c r="AG14" s="13">
        <v>3234767</v>
      </c>
      <c r="AH14" s="13">
        <v>3004147</v>
      </c>
      <c r="AI14" s="13">
        <v>2153159</v>
      </c>
      <c r="AJ14" s="13">
        <v>2766724</v>
      </c>
      <c r="AK14" s="13">
        <v>3868472</v>
      </c>
      <c r="AL14" s="13">
        <v>3132623</v>
      </c>
    </row>
    <row r="15" spans="1:51" ht="18" thickTop="1" thickBot="1" x14ac:dyDescent="0.4">
      <c r="B15" s="32" t="s">
        <v>30</v>
      </c>
      <c r="C15" s="34">
        <f>1+0.6</f>
        <v>1.6</v>
      </c>
      <c r="D15" s="34"/>
      <c r="E15" s="34"/>
      <c r="F15" s="34"/>
      <c r="G15" s="34"/>
      <c r="H15" s="34"/>
      <c r="I15" s="35"/>
      <c r="J15" s="24"/>
      <c r="R15" s="6"/>
      <c r="S15" s="6"/>
      <c r="W15" s="12" t="s">
        <v>55</v>
      </c>
      <c r="X15" s="19" t="e">
        <f t="shared" ref="X15:AJ15" si="12">+X14/X3</f>
        <v>#DIV/0!</v>
      </c>
      <c r="Y15" s="19" t="e">
        <f t="shared" si="12"/>
        <v>#DIV/0!</v>
      </c>
      <c r="Z15" s="19">
        <f t="shared" si="12"/>
        <v>7.9403122212864261E-2</v>
      </c>
      <c r="AA15" s="19">
        <f t="shared" si="12"/>
        <v>6.6543409005994161E-2</v>
      </c>
      <c r="AB15" s="19">
        <f t="shared" si="12"/>
        <v>7.7995543907129386E-2</v>
      </c>
      <c r="AC15" s="19">
        <f t="shared" si="12"/>
        <v>0.12141566665591406</v>
      </c>
      <c r="AD15" s="19">
        <f t="shared" si="12"/>
        <v>7.2412000903323753E-2</v>
      </c>
      <c r="AE15" s="19">
        <f t="shared" si="12"/>
        <v>8.1757932683492102E-2</v>
      </c>
      <c r="AF15" s="19">
        <f t="shared" si="12"/>
        <v>9.9313279946971325E-2</v>
      </c>
      <c r="AG15" s="19">
        <f t="shared" si="12"/>
        <v>0.1086586051066236</v>
      </c>
      <c r="AH15" s="19">
        <f t="shared" si="12"/>
        <v>9.3269225365889163E-2</v>
      </c>
      <c r="AI15" s="19">
        <f t="shared" si="12"/>
        <v>7.393725618260226E-2</v>
      </c>
      <c r="AJ15" s="19">
        <f t="shared" si="12"/>
        <v>9.2751621077563545E-2</v>
      </c>
      <c r="AK15" s="19">
        <f t="shared" ref="AK15:AL15" si="13">+AK14/AK3</f>
        <v>0.1238993186561088</v>
      </c>
      <c r="AL15" s="19">
        <f t="shared" si="13"/>
        <v>9.9637362865250031E-2</v>
      </c>
    </row>
    <row r="16" spans="1:51" ht="18" thickTop="1" thickBot="1" x14ac:dyDescent="0.4">
      <c r="B16" s="32" t="s">
        <v>8</v>
      </c>
      <c r="C16" s="34">
        <v>31.7</v>
      </c>
      <c r="D16" s="34"/>
      <c r="E16" s="34"/>
      <c r="F16" s="34"/>
      <c r="G16" s="34"/>
      <c r="H16" s="34"/>
      <c r="I16" s="35"/>
      <c r="J16" s="22" t="e">
        <f>((I16/D16)^(1/5)-1)*100</f>
        <v>#DIV/0!</v>
      </c>
    </row>
    <row r="17" spans="2:38" ht="18" thickTop="1" thickBot="1" x14ac:dyDescent="0.4">
      <c r="B17" s="32" t="s">
        <v>31</v>
      </c>
      <c r="C17" s="34">
        <v>14.6</v>
      </c>
      <c r="D17" s="34"/>
      <c r="E17" s="34"/>
      <c r="F17" s="34"/>
      <c r="G17" s="34"/>
      <c r="H17" s="34"/>
      <c r="I17" s="35"/>
      <c r="J17" s="22" t="e">
        <f>((I17/D17)^(1/6)-1)*100</f>
        <v>#DIV/0!</v>
      </c>
      <c r="W17" s="12" t="s">
        <v>44</v>
      </c>
      <c r="X17" s="13"/>
      <c r="Y17" s="13"/>
      <c r="Z17" s="13">
        <f>-125100+78980</f>
        <v>-46120</v>
      </c>
      <c r="AA17" s="13">
        <f>-141087+95275</f>
        <v>-45812</v>
      </c>
      <c r="AB17" s="13">
        <f>-113183+24777</f>
        <v>-88406</v>
      </c>
      <c r="AC17" s="13">
        <f>-171792+83965</f>
        <v>-87827</v>
      </c>
      <c r="AD17" s="13">
        <f>-60189+147770</f>
        <v>87581</v>
      </c>
      <c r="AE17" s="13">
        <f>-375196+264188</f>
        <v>-111008</v>
      </c>
      <c r="AF17" s="13">
        <f>-969781+173582</f>
        <v>-796199</v>
      </c>
      <c r="AG17" s="13">
        <f>-1415730+214480</f>
        <v>-1201250</v>
      </c>
      <c r="AH17" s="13">
        <f>-1348837+259143</f>
        <v>-1089694</v>
      </c>
      <c r="AI17" s="13">
        <f>-970529+229189</f>
        <v>-741340</v>
      </c>
      <c r="AJ17" s="13">
        <f>-899532+136444</f>
        <v>-763088</v>
      </c>
      <c r="AK17" s="13">
        <f>-691449+175874</f>
        <v>-515575</v>
      </c>
      <c r="AL17" s="13">
        <f>-694967+261980</f>
        <v>-432987</v>
      </c>
    </row>
    <row r="18" spans="2:38" ht="18" thickTop="1" thickBot="1" x14ac:dyDescent="0.4">
      <c r="B18" s="32" t="s">
        <v>32</v>
      </c>
      <c r="C18" s="36">
        <f t="shared" ref="C18:G18" si="14">C14/AVERAGE(B17:C17)*100</f>
        <v>22.19178082191781</v>
      </c>
      <c r="D18" s="36">
        <f t="shared" si="14"/>
        <v>0</v>
      </c>
      <c r="E18" s="36" t="e">
        <f t="shared" si="14"/>
        <v>#DIV/0!</v>
      </c>
      <c r="F18" s="36" t="e">
        <f t="shared" si="14"/>
        <v>#DIV/0!</v>
      </c>
      <c r="G18" s="36" t="e">
        <f t="shared" si="14"/>
        <v>#DIV/0!</v>
      </c>
      <c r="H18" s="36" t="e">
        <f>H14/AVERAGE(G17:H17)*100</f>
        <v>#DIV/0!</v>
      </c>
      <c r="I18" s="37" t="e">
        <f>I14/AVERAGE(H17:I17)*100</f>
        <v>#DIV/0!</v>
      </c>
      <c r="J18" s="23" t="e">
        <f>AVERAGE(D18:I18)</f>
        <v>#DIV/0!</v>
      </c>
      <c r="M18" s="9" t="s">
        <v>33</v>
      </c>
      <c r="N18" s="6"/>
      <c r="O18" s="6"/>
      <c r="P18" s="6"/>
      <c r="Q18" s="6"/>
      <c r="W18" s="12" t="s">
        <v>45</v>
      </c>
      <c r="X18" s="15" t="e">
        <f t="shared" ref="X18:AJ18" si="15">+X17/X14</f>
        <v>#DIV/0!</v>
      </c>
      <c r="Y18" s="15" t="e">
        <f t="shared" si="15"/>
        <v>#DIV/0!</v>
      </c>
      <c r="Z18" s="15">
        <f t="shared" si="15"/>
        <v>-3.5009519066979619E-2</v>
      </c>
      <c r="AA18" s="15">
        <f t="shared" si="15"/>
        <v>-4.1968292008142283E-2</v>
      </c>
      <c r="AB18" s="15">
        <f t="shared" si="15"/>
        <v>-5.7161109031294878E-2</v>
      </c>
      <c r="AC18" s="15">
        <f t="shared" si="15"/>
        <v>-3.3574000457964548E-2</v>
      </c>
      <c r="AD18" s="15">
        <f t="shared" si="15"/>
        <v>5.7297759145423954E-2</v>
      </c>
      <c r="AE18" s="15">
        <f t="shared" si="15"/>
        <v>-5.4657653563397572E-2</v>
      </c>
      <c r="AF18" s="15">
        <f t="shared" si="15"/>
        <v>-0.2956256117103831</v>
      </c>
      <c r="AG18" s="15">
        <f t="shared" si="15"/>
        <v>-0.37135595855899356</v>
      </c>
      <c r="AH18" s="15">
        <f t="shared" si="15"/>
        <v>-0.36272991967437013</v>
      </c>
      <c r="AI18" s="15">
        <f t="shared" si="15"/>
        <v>-0.3443034165149903</v>
      </c>
      <c r="AJ18" s="15">
        <f t="shared" si="15"/>
        <v>-0.27580922419439019</v>
      </c>
      <c r="AK18" s="15">
        <f t="shared" ref="AK18:AL18" si="16">+AK17/AK14</f>
        <v>-0.13327613590068638</v>
      </c>
      <c r="AL18" s="15">
        <f t="shared" si="16"/>
        <v>-0.13821867489321249</v>
      </c>
    </row>
    <row r="19" spans="2:38" ht="18" thickTop="1" thickBot="1" x14ac:dyDescent="0.4">
      <c r="B19" s="32" t="s">
        <v>34</v>
      </c>
      <c r="C19" s="30">
        <f t="shared" ref="C19:G19" si="17">C15/C16*100</f>
        <v>5.0473186119873823</v>
      </c>
      <c r="D19" s="30" t="e">
        <f t="shared" si="17"/>
        <v>#DIV/0!</v>
      </c>
      <c r="E19" s="30" t="e">
        <f t="shared" si="17"/>
        <v>#DIV/0!</v>
      </c>
      <c r="F19" s="30" t="e">
        <f t="shared" si="17"/>
        <v>#DIV/0!</v>
      </c>
      <c r="G19" s="30" t="e">
        <f t="shared" si="17"/>
        <v>#DIV/0!</v>
      </c>
      <c r="H19" s="30" t="e">
        <f>H15/H16*100</f>
        <v>#DIV/0!</v>
      </c>
      <c r="I19" s="31" t="e">
        <f>I15/I16*100</f>
        <v>#DIV/0!</v>
      </c>
      <c r="J19" s="23" t="e">
        <f>AVERAGE(D19:I19)</f>
        <v>#DIV/0!</v>
      </c>
    </row>
    <row r="20" spans="2:38" ht="18" thickTop="1" thickBot="1" x14ac:dyDescent="0.4">
      <c r="B20" s="32" t="s">
        <v>35</v>
      </c>
      <c r="C20" s="30">
        <f t="shared" ref="C20:G20" si="18">C15/C14*100</f>
        <v>49.382716049382715</v>
      </c>
      <c r="D20" s="30" t="e">
        <f t="shared" si="18"/>
        <v>#DIV/0!</v>
      </c>
      <c r="E20" s="30" t="e">
        <f t="shared" si="18"/>
        <v>#DIV/0!</v>
      </c>
      <c r="F20" s="30" t="e">
        <f t="shared" si="18"/>
        <v>#DIV/0!</v>
      </c>
      <c r="G20" s="30" t="e">
        <f t="shared" si="18"/>
        <v>#DIV/0!</v>
      </c>
      <c r="H20" s="30" t="e">
        <f>H15/H14*100</f>
        <v>#DIV/0!</v>
      </c>
      <c r="I20" s="31" t="e">
        <f>I15/I14*100</f>
        <v>#DIV/0!</v>
      </c>
      <c r="J20" s="23" t="e">
        <f>AVERAGE(D20:I20)</f>
        <v>#DIV/0!</v>
      </c>
      <c r="M20" t="s">
        <v>36</v>
      </c>
      <c r="N20" s="4" t="e">
        <f>N13/H14-1</f>
        <v>#DIV/0!</v>
      </c>
      <c r="W20" s="12" t="s">
        <v>21</v>
      </c>
      <c r="X20" s="13"/>
      <c r="Y20" s="13"/>
      <c r="Z20" s="13">
        <f t="shared" ref="Z20:AJ20" si="19">+Z14+Z17</f>
        <v>1271236</v>
      </c>
      <c r="AA20" s="13">
        <f t="shared" si="19"/>
        <v>1045774</v>
      </c>
      <c r="AB20" s="13">
        <f t="shared" si="19"/>
        <v>1458205</v>
      </c>
      <c r="AC20" s="13">
        <f t="shared" si="19"/>
        <v>2528096</v>
      </c>
      <c r="AD20" s="13">
        <f t="shared" si="19"/>
        <v>1616105</v>
      </c>
      <c r="AE20" s="13">
        <f t="shared" si="19"/>
        <v>1919961</v>
      </c>
      <c r="AF20" s="13">
        <f t="shared" si="19"/>
        <v>1897069</v>
      </c>
      <c r="AG20" s="13">
        <f t="shared" si="19"/>
        <v>2033517</v>
      </c>
      <c r="AH20" s="13">
        <f t="shared" si="19"/>
        <v>1914453</v>
      </c>
      <c r="AI20" s="13">
        <f t="shared" si="19"/>
        <v>1411819</v>
      </c>
      <c r="AJ20" s="13">
        <f t="shared" si="19"/>
        <v>2003636</v>
      </c>
      <c r="AK20" s="13">
        <f t="shared" ref="AK20:AL20" si="20">+AK14+AK17</f>
        <v>3352897</v>
      </c>
      <c r="AL20" s="13">
        <f t="shared" si="20"/>
        <v>2699636</v>
      </c>
    </row>
    <row r="21" spans="2:38" ht="18" thickTop="1" thickBot="1" x14ac:dyDescent="0.4">
      <c r="B21" s="32" t="s">
        <v>11</v>
      </c>
      <c r="C21" s="38">
        <f t="shared" ref="C21:G21" si="21">C16/C14</f>
        <v>9.7839506172839492</v>
      </c>
      <c r="D21" s="38" t="e">
        <f t="shared" si="21"/>
        <v>#DIV/0!</v>
      </c>
      <c r="E21" s="38" t="e">
        <f t="shared" si="21"/>
        <v>#DIV/0!</v>
      </c>
      <c r="F21" s="38" t="e">
        <f t="shared" si="21"/>
        <v>#DIV/0!</v>
      </c>
      <c r="G21" s="38" t="e">
        <f t="shared" si="21"/>
        <v>#DIV/0!</v>
      </c>
      <c r="H21" s="38" t="e">
        <f>H16/H14</f>
        <v>#DIV/0!</v>
      </c>
      <c r="I21" s="39" t="e">
        <f>I16/I14</f>
        <v>#DIV/0!</v>
      </c>
      <c r="J21" s="23" t="e">
        <f>AVERAGE(D21:I21)</f>
        <v>#DIV/0!</v>
      </c>
      <c r="W21" s="12" t="s">
        <v>46</v>
      </c>
      <c r="X21" s="19" t="e">
        <f t="shared" ref="X21:AJ21" si="22">+X20/X3</f>
        <v>#DIV/0!</v>
      </c>
      <c r="Y21" s="19" t="e">
        <f t="shared" si="22"/>
        <v>#DIV/0!</v>
      </c>
      <c r="Z21" s="19">
        <f t="shared" si="22"/>
        <v>7.6623257091775268E-2</v>
      </c>
      <c r="AA21" s="19">
        <f t="shared" si="22"/>
        <v>6.3750695785613362E-2</v>
      </c>
      <c r="AB21" s="19">
        <f t="shared" si="22"/>
        <v>7.353723211789881E-2</v>
      </c>
      <c r="AC21" s="19">
        <f t="shared" si="22"/>
        <v>0.11733925700800434</v>
      </c>
      <c r="AD21" s="19">
        <f t="shared" si="22"/>
        <v>7.6561046290320622E-2</v>
      </c>
      <c r="AE21" s="19">
        <f t="shared" si="22"/>
        <v>7.7289235922818209E-2</v>
      </c>
      <c r="AF21" s="19">
        <f t="shared" si="22"/>
        <v>6.9953730811683407E-2</v>
      </c>
      <c r="AG21" s="19">
        <f t="shared" si="22"/>
        <v>6.8307584651570247E-2</v>
      </c>
      <c r="AH21" s="19">
        <f t="shared" si="22"/>
        <v>5.9437686740829457E-2</v>
      </c>
      <c r="AI21" s="19">
        <f t="shared" si="22"/>
        <v>4.8480406271188214E-2</v>
      </c>
      <c r="AJ21" s="19">
        <f t="shared" si="22"/>
        <v>6.716986842538869E-2</v>
      </c>
      <c r="AK21" s="19">
        <f t="shared" ref="AK21:AL21" si="23">+AK20/AK3</f>
        <v>0.1073864962248948</v>
      </c>
      <c r="AL21" s="19">
        <f t="shared" si="23"/>
        <v>8.5865618600160995E-2</v>
      </c>
    </row>
    <row r="22" spans="2:38" ht="18" thickTop="1" thickBot="1" x14ac:dyDescent="0.4">
      <c r="B22" s="32" t="s">
        <v>37</v>
      </c>
      <c r="C22" s="38">
        <f t="shared" ref="C22:G22" si="24">C16/C17</f>
        <v>2.1712328767123288</v>
      </c>
      <c r="D22" s="38" t="e">
        <f t="shared" si="24"/>
        <v>#DIV/0!</v>
      </c>
      <c r="E22" s="38" t="e">
        <f t="shared" si="24"/>
        <v>#DIV/0!</v>
      </c>
      <c r="F22" s="38" t="e">
        <f t="shared" si="24"/>
        <v>#DIV/0!</v>
      </c>
      <c r="G22" s="38" t="e">
        <f t="shared" si="24"/>
        <v>#DIV/0!</v>
      </c>
      <c r="H22" s="38" t="e">
        <f>H16/H17</f>
        <v>#DIV/0!</v>
      </c>
      <c r="I22" s="39" t="e">
        <f>I16/I17</f>
        <v>#DIV/0!</v>
      </c>
      <c r="J22" s="23" t="e">
        <f>AVERAGE(D22:I22)</f>
        <v>#DIV/0!</v>
      </c>
    </row>
    <row r="23" spans="2:38" ht="15.75" thickTop="1" x14ac:dyDescent="0.25">
      <c r="W23" s="12" t="s">
        <v>47</v>
      </c>
      <c r="X23" s="13"/>
      <c r="Y23" s="13"/>
      <c r="Z23" s="13">
        <v>-373118</v>
      </c>
      <c r="AA23" s="13">
        <v>-376413</v>
      </c>
      <c r="AB23" s="13">
        <v>-432071</v>
      </c>
      <c r="AC23" s="13">
        <v>-693579</v>
      </c>
      <c r="AD23" s="13">
        <v>-311651</v>
      </c>
      <c r="AE23" s="13">
        <v>-700715</v>
      </c>
      <c r="AF23" s="13">
        <v>-556759</v>
      </c>
      <c r="AG23" s="13">
        <v>-854064</v>
      </c>
      <c r="AH23" s="13">
        <v>-584779</v>
      </c>
      <c r="AI23" s="13">
        <v>-285834</v>
      </c>
      <c r="AJ23" s="13">
        <v>-726347</v>
      </c>
      <c r="AK23" s="13">
        <v>-1055468</v>
      </c>
      <c r="AL23" s="13">
        <v>-1045686</v>
      </c>
    </row>
    <row r="24" spans="2:38" x14ac:dyDescent="0.25">
      <c r="G24" s="10">
        <v>701.95658000000003</v>
      </c>
      <c r="H24" s="10">
        <v>709.32254499999999</v>
      </c>
      <c r="I24" s="10">
        <v>716.73997499999996</v>
      </c>
      <c r="W24" s="12" t="s">
        <v>48</v>
      </c>
      <c r="X24" s="14" t="e">
        <f t="shared" ref="X24:AJ24" si="25">+X23/X20</f>
        <v>#DIV/0!</v>
      </c>
      <c r="Y24" s="14" t="e">
        <f t="shared" si="25"/>
        <v>#DIV/0!</v>
      </c>
      <c r="Z24" s="14">
        <f t="shared" si="25"/>
        <v>-0.29350805043280714</v>
      </c>
      <c r="AA24" s="14">
        <f t="shared" si="25"/>
        <v>-0.35993723309242726</v>
      </c>
      <c r="AB24" s="14">
        <f t="shared" si="25"/>
        <v>-0.29630333183605873</v>
      </c>
      <c r="AC24" s="14">
        <f t="shared" si="25"/>
        <v>-0.27434836335329038</v>
      </c>
      <c r="AD24" s="14">
        <f t="shared" si="25"/>
        <v>-0.19284081170468503</v>
      </c>
      <c r="AE24" s="14">
        <f t="shared" si="25"/>
        <v>-0.36496314248049833</v>
      </c>
      <c r="AF24" s="14">
        <f t="shared" si="25"/>
        <v>-0.29348378999393276</v>
      </c>
      <c r="AG24" s="14">
        <f t="shared" si="25"/>
        <v>-0.41999353828859065</v>
      </c>
      <c r="AH24" s="14">
        <f t="shared" si="25"/>
        <v>-0.30545487405540905</v>
      </c>
      <c r="AI24" s="14">
        <f t="shared" si="25"/>
        <v>-0.20245796380414202</v>
      </c>
      <c r="AJ24" s="14">
        <f t="shared" si="25"/>
        <v>-0.36251444873220484</v>
      </c>
      <c r="AK24" s="14">
        <f t="shared" ref="AK24:AL24" si="26">+AK23/AK20</f>
        <v>-0.31479284928824236</v>
      </c>
      <c r="AL24" s="14">
        <f t="shared" si="26"/>
        <v>-0.3873433307305133</v>
      </c>
    </row>
    <row r="25" spans="2:38" x14ac:dyDescent="0.25">
      <c r="G25">
        <f>+G10/G24</f>
        <v>0</v>
      </c>
      <c r="H25">
        <f>+H10/H24</f>
        <v>0</v>
      </c>
      <c r="I25">
        <f>+I10/I24</f>
        <v>0</v>
      </c>
      <c r="M25" s="10"/>
    </row>
    <row r="26" spans="2:38" x14ac:dyDescent="0.25">
      <c r="M26" s="10"/>
      <c r="W26" s="12" t="s">
        <v>74</v>
      </c>
      <c r="Z26" s="13">
        <v>38288</v>
      </c>
      <c r="AA26" s="13">
        <v>32056</v>
      </c>
      <c r="AB26" s="13">
        <v>82014</v>
      </c>
      <c r="AC26" s="13">
        <v>230227</v>
      </c>
      <c r="AD26" s="13">
        <v>241616</v>
      </c>
      <c r="AE26" s="13">
        <v>139096</v>
      </c>
      <c r="AF26" s="13">
        <v>189696</v>
      </c>
      <c r="AG26" s="13">
        <v>199691</v>
      </c>
      <c r="AH26" s="13">
        <v>271345</v>
      </c>
      <c r="AI26" s="13">
        <v>32340</v>
      </c>
      <c r="AJ26" s="13">
        <v>57568</v>
      </c>
      <c r="AK26" s="13">
        <v>77368</v>
      </c>
      <c r="AL26" s="13">
        <v>78857</v>
      </c>
    </row>
    <row r="28" spans="2:38" x14ac:dyDescent="0.25">
      <c r="W28" s="12" t="s">
        <v>49</v>
      </c>
      <c r="X28" s="13">
        <f t="shared" ref="X28:AF28" si="27">+X20+X23-X26</f>
        <v>0</v>
      </c>
      <c r="Y28" s="13">
        <f t="shared" si="27"/>
        <v>0</v>
      </c>
      <c r="Z28" s="13">
        <f t="shared" si="27"/>
        <v>859830</v>
      </c>
      <c r="AA28" s="13">
        <f t="shared" si="27"/>
        <v>637305</v>
      </c>
      <c r="AB28" s="13">
        <f t="shared" si="27"/>
        <v>944120</v>
      </c>
      <c r="AC28" s="13">
        <f t="shared" si="27"/>
        <v>1604290</v>
      </c>
      <c r="AD28" s="13">
        <f t="shared" si="27"/>
        <v>1062838</v>
      </c>
      <c r="AE28" s="13">
        <f t="shared" si="27"/>
        <v>1080150</v>
      </c>
      <c r="AF28" s="13">
        <f t="shared" si="27"/>
        <v>1150614</v>
      </c>
      <c r="AG28" s="13">
        <f>+AG20+AG23-AG26</f>
        <v>979762</v>
      </c>
      <c r="AH28" s="13">
        <f t="shared" ref="AH28:AJ28" si="28">+AH20+AH23-AH26</f>
        <v>1058329</v>
      </c>
      <c r="AI28" s="13">
        <f t="shared" si="28"/>
        <v>1093645</v>
      </c>
      <c r="AJ28" s="13">
        <f t="shared" si="28"/>
        <v>1219721</v>
      </c>
      <c r="AK28" s="13">
        <f>+AK20+AK23-AK26</f>
        <v>2220061</v>
      </c>
      <c r="AL28" s="13">
        <f t="shared" ref="AL28" si="29">+AL20+AL23-AL26</f>
        <v>1575093</v>
      </c>
    </row>
    <row r="29" spans="2:38" x14ac:dyDescent="0.25">
      <c r="M29" s="10"/>
      <c r="W29" s="12" t="s">
        <v>25</v>
      </c>
      <c r="X29" s="19" t="e">
        <f t="shared" ref="X29:AJ29" si="30">+X28/X3</f>
        <v>#DIV/0!</v>
      </c>
      <c r="Y29" s="19" t="e">
        <f t="shared" si="30"/>
        <v>#DIV/0!</v>
      </c>
      <c r="Z29" s="19">
        <f t="shared" si="30"/>
        <v>5.182591992770904E-2</v>
      </c>
      <c r="AA29" s="19">
        <f t="shared" si="30"/>
        <v>3.8850303390264358E-2</v>
      </c>
      <c r="AB29" s="19">
        <f t="shared" si="30"/>
        <v>4.7611941796352794E-2</v>
      </c>
      <c r="AC29" s="19">
        <f t="shared" si="30"/>
        <v>7.4461648855649182E-2</v>
      </c>
      <c r="AD29" s="19">
        <f t="shared" si="30"/>
        <v>5.0350682237300041E-2</v>
      </c>
      <c r="AE29" s="19">
        <f t="shared" si="30"/>
        <v>4.3482116658636341E-2</v>
      </c>
      <c r="AF29" s="19">
        <f t="shared" si="30"/>
        <v>4.2428473621230589E-2</v>
      </c>
      <c r="AG29" s="19">
        <f t="shared" si="30"/>
        <v>3.2911048077489277E-2</v>
      </c>
      <c r="AH29" s="19">
        <f t="shared" si="30"/>
        <v>3.2857754967468671E-2</v>
      </c>
      <c r="AI29" s="19">
        <f t="shared" si="30"/>
        <v>3.7554639735301508E-2</v>
      </c>
      <c r="AJ29" s="19">
        <f t="shared" si="30"/>
        <v>4.0889911683401337E-2</v>
      </c>
      <c r="AK29" s="19">
        <f t="shared" ref="AK29:AL29" si="31">+AK28/AK3</f>
        <v>7.110405485033873E-2</v>
      </c>
      <c r="AL29" s="19">
        <f t="shared" si="31"/>
        <v>5.0097989061408048E-2</v>
      </c>
    </row>
    <row r="30" spans="2:38" x14ac:dyDescent="0.25">
      <c r="M30" s="10"/>
    </row>
    <row r="31" spans="2:38" x14ac:dyDescent="0.25">
      <c r="W31" s="12" t="s">
        <v>29</v>
      </c>
      <c r="X31" s="16">
        <f t="shared" ref="X31:AJ31" si="32">+X28/X47</f>
        <v>0</v>
      </c>
      <c r="Y31" s="16">
        <f t="shared" si="32"/>
        <v>0</v>
      </c>
      <c r="Z31" s="16">
        <f t="shared" si="32"/>
        <v>1.4413352152064443</v>
      </c>
      <c r="AA31" s="16">
        <f t="shared" si="32"/>
        <v>1.0683159919136842</v>
      </c>
      <c r="AB31" s="16">
        <f t="shared" si="32"/>
        <v>1.5826307565224618</v>
      </c>
      <c r="AC31" s="16">
        <f t="shared" si="32"/>
        <v>2.6892754060727664</v>
      </c>
      <c r="AD31" s="16">
        <f t="shared" si="32"/>
        <v>1.7816380417752193</v>
      </c>
      <c r="AE31" s="16">
        <f t="shared" si="32"/>
        <v>1.8106581913927646</v>
      </c>
      <c r="AF31" s="16">
        <f t="shared" si="32"/>
        <v>1.9287771737547512</v>
      </c>
      <c r="AG31" s="16">
        <f t="shared" si="32"/>
        <v>1.6423775317459222</v>
      </c>
      <c r="AH31" s="16">
        <f t="shared" si="32"/>
        <v>1.774079593610622</v>
      </c>
      <c r="AI31" s="16">
        <f t="shared" si="32"/>
        <v>1.8332798942051938</v>
      </c>
      <c r="AJ31" s="16">
        <f t="shared" si="32"/>
        <v>2.0446214135664253</v>
      </c>
      <c r="AK31" s="16">
        <f t="shared" ref="AK31:AL31" si="33">+AK28/AK47</f>
        <v>3.7214938990340345</v>
      </c>
      <c r="AL31" s="16">
        <f t="shared" si="33"/>
        <v>2.6403324007363826</v>
      </c>
    </row>
    <row r="32" spans="2:38" x14ac:dyDescent="0.25">
      <c r="W32" s="12" t="s">
        <v>40</v>
      </c>
      <c r="AA32" s="17"/>
      <c r="AB32" s="18" t="e">
        <f t="shared" ref="AB32:AL32" si="34">+AB31/X31-1</f>
        <v>#DIV/0!</v>
      </c>
      <c r="AC32" s="18" t="e">
        <f t="shared" si="34"/>
        <v>#DIV/0!</v>
      </c>
      <c r="AD32" s="18">
        <f t="shared" si="34"/>
        <v>0.23610248537501599</v>
      </c>
      <c r="AE32" s="18">
        <f t="shared" si="34"/>
        <v>0.69487137241979879</v>
      </c>
      <c r="AF32" s="18">
        <f t="shared" si="34"/>
        <v>0.21871584120662613</v>
      </c>
      <c r="AG32" s="18">
        <f t="shared" si="34"/>
        <v>-0.38928622630571785</v>
      </c>
      <c r="AH32" s="18">
        <f t="shared" si="34"/>
        <v>-4.2424151187668846E-3</v>
      </c>
      <c r="AI32" s="18">
        <f t="shared" si="34"/>
        <v>1.2493635143267179E-2</v>
      </c>
      <c r="AJ32" s="18">
        <f t="shared" si="34"/>
        <v>6.0060976139695965E-2</v>
      </c>
      <c r="AK32" s="18">
        <f t="shared" si="34"/>
        <v>1.2659186618791094</v>
      </c>
      <c r="AL32" s="18">
        <f t="shared" si="34"/>
        <v>0.48828294415063733</v>
      </c>
    </row>
    <row r="33" spans="23:41" x14ac:dyDescent="0.25">
      <c r="W33" s="12" t="s">
        <v>41</v>
      </c>
      <c r="Y33" s="18" t="e">
        <f t="shared" ref="Y33:AD33" si="35">+Y31/X31-1</f>
        <v>#DIV/0!</v>
      </c>
      <c r="Z33" s="18" t="e">
        <f t="shared" si="35"/>
        <v>#DIV/0!</v>
      </c>
      <c r="AA33" s="18">
        <f t="shared" si="35"/>
        <v>-0.25880115836851458</v>
      </c>
      <c r="AB33" s="18">
        <f t="shared" si="35"/>
        <v>0.48142569099567711</v>
      </c>
      <c r="AC33" s="18">
        <f t="shared" si="35"/>
        <v>0.69924374020251667</v>
      </c>
      <c r="AD33" s="18">
        <f t="shared" si="35"/>
        <v>-0.33750257123088723</v>
      </c>
      <c r="AE33" s="18">
        <f>+AE31/AD31-1</f>
        <v>1.628846541053286E-2</v>
      </c>
      <c r="AF33" s="18">
        <f>+AF31/AE31-1</f>
        <v>6.5235383974447947E-2</v>
      </c>
      <c r="AG33" s="18">
        <f>+AG31/AF31-1</f>
        <v>-0.14848767701418553</v>
      </c>
      <c r="AH33" s="18">
        <f t="shared" ref="AH33" si="36">+AH31/AG31-1</f>
        <v>8.0189882849100114E-2</v>
      </c>
      <c r="AI33" s="18">
        <f>+AI31/AH31-1</f>
        <v>3.3369585450271133E-2</v>
      </c>
      <c r="AJ33" s="18">
        <f>+AJ31/AI31-1</f>
        <v>0.11528055264733994</v>
      </c>
      <c r="AK33" s="18">
        <f>+AK31/AJ31-1</f>
        <v>0.82013837590727712</v>
      </c>
      <c r="AL33" s="18">
        <f t="shared" ref="AL33" si="37">+AL31/AK31-1</f>
        <v>-0.29051814342038351</v>
      </c>
    </row>
    <row r="34" spans="23:41" x14ac:dyDescent="0.25">
      <c r="Y34" s="18"/>
      <c r="Z34" s="18"/>
      <c r="AA34" s="18"/>
      <c r="AB34" s="18"/>
      <c r="AC34" s="18"/>
      <c r="AD34" s="18"/>
      <c r="AE34" s="18"/>
      <c r="AF34" s="18"/>
      <c r="AG34" s="18"/>
      <c r="AH34" s="18"/>
      <c r="AI34" s="18"/>
      <c r="AJ34" s="18"/>
      <c r="AK34" s="18"/>
      <c r="AL34" s="18"/>
    </row>
    <row r="35" spans="23:41" x14ac:dyDescent="0.25">
      <c r="W35" s="12" t="s">
        <v>88</v>
      </c>
      <c r="X35" s="18" t="e">
        <f>+X28*4/X39</f>
        <v>#DIV/0!</v>
      </c>
      <c r="Y35" s="18" t="e">
        <f>+Y28*4/Y39</f>
        <v>#DIV/0!</v>
      </c>
      <c r="Z35" s="18">
        <f t="shared" ref="Z35:AJ35" si="38">+Z28*4/Z40</f>
        <v>0.10783128416521238</v>
      </c>
      <c r="AA35" s="18">
        <f t="shared" si="38"/>
        <v>8.4619995071285772E-2</v>
      </c>
      <c r="AB35" s="18">
        <f t="shared" si="38"/>
        <v>0.11557376780771973</v>
      </c>
      <c r="AC35" s="18">
        <f t="shared" si="38"/>
        <v>0.19724685056856517</v>
      </c>
      <c r="AD35" s="18">
        <f t="shared" si="38"/>
        <v>0.11946098585621483</v>
      </c>
      <c r="AE35" s="18">
        <f t="shared" si="38"/>
        <v>0.12671595623885598</v>
      </c>
      <c r="AF35" s="18">
        <f t="shared" si="38"/>
        <v>0.1309826934989331</v>
      </c>
      <c r="AG35" s="18">
        <f t="shared" si="38"/>
        <v>0.11004876091639308</v>
      </c>
      <c r="AH35" s="18">
        <f t="shared" si="38"/>
        <v>0.11022951728204977</v>
      </c>
      <c r="AI35" s="18">
        <f t="shared" si="38"/>
        <v>0.1158394411294707</v>
      </c>
      <c r="AJ35" s="18">
        <f t="shared" si="38"/>
        <v>0.12543967600364733</v>
      </c>
      <c r="AK35" s="18">
        <f t="shared" ref="AK35:AL35" si="39">+AK28*4/AK40</f>
        <v>0.21707259879141308</v>
      </c>
      <c r="AL35" s="18">
        <f t="shared" si="39"/>
        <v>0.14506367447294169</v>
      </c>
      <c r="AN35" s="14">
        <f>+AVERAGE(Z35:AL35)</f>
        <v>0.13124040013866942</v>
      </c>
      <c r="AO35" s="50" t="s">
        <v>88</v>
      </c>
    </row>
    <row r="36" spans="23:41" x14ac:dyDescent="0.25">
      <c r="AN36" s="56">
        <f>AVERAGE(Z35:AL35)*AL49</f>
        <v>9.5549290897459418</v>
      </c>
      <c r="AO36" s="50" t="s">
        <v>183</v>
      </c>
    </row>
    <row r="37" spans="23:41" x14ac:dyDescent="0.25">
      <c r="W37" s="12" t="s">
        <v>52</v>
      </c>
      <c r="X37" s="13"/>
      <c r="Y37" s="13"/>
      <c r="Z37" s="13">
        <f>3195867+3259651+504070</f>
        <v>6959588</v>
      </c>
      <c r="AA37" s="13">
        <f>3568496+3942462+747462</f>
        <v>8258420</v>
      </c>
      <c r="AB37" s="13">
        <f>3280613+5974725+877103</f>
        <v>10132441</v>
      </c>
      <c r="AC37" s="13">
        <f>3210740+4567455+461281</f>
        <v>8239476</v>
      </c>
      <c r="AD37" s="13">
        <f>3092910+2678177+796191</f>
        <v>6567278</v>
      </c>
      <c r="AE37" s="13">
        <f>3075725+5918646+2962028</f>
        <v>11956399</v>
      </c>
      <c r="AF37" s="13">
        <f>3026021+13480154+3723811</f>
        <v>20229986</v>
      </c>
      <c r="AG37" s="13">
        <f>3981392+13922030+5016662</f>
        <v>22920084</v>
      </c>
      <c r="AH37" s="13">
        <f>5449482+11739284+4268634</f>
        <v>21457400</v>
      </c>
      <c r="AI37" s="13">
        <f>7169099+12769340+1578788</f>
        <v>21517227</v>
      </c>
      <c r="AJ37" s="13">
        <f>6986008+12767579+2433182</f>
        <v>22186769</v>
      </c>
      <c r="AK37" s="13">
        <f>6645466+12693660+1983247</f>
        <v>21322373</v>
      </c>
      <c r="AL37" s="13">
        <f>5407779+5887178+1410408</f>
        <v>12705365</v>
      </c>
      <c r="AN37" s="56">
        <f>+X1/AN36</f>
        <v>8.1528600859633702</v>
      </c>
      <c r="AO37" s="50" t="s">
        <v>11</v>
      </c>
    </row>
    <row r="38" spans="23:41" x14ac:dyDescent="0.25">
      <c r="W38" s="12" t="s">
        <v>53</v>
      </c>
      <c r="X38" s="13"/>
      <c r="Y38" s="13"/>
      <c r="Z38" s="13">
        <f>8458109+109678</f>
        <v>8567787</v>
      </c>
      <c r="AA38" s="13">
        <f>6663737+69619</f>
        <v>6733356</v>
      </c>
      <c r="AB38" s="13">
        <f>8006759+118487</f>
        <v>8125246</v>
      </c>
      <c r="AC38" s="13">
        <f>13332571+54474</f>
        <v>13387045</v>
      </c>
      <c r="AD38" s="13">
        <f>359197+13894926</f>
        <v>14254123</v>
      </c>
      <c r="AE38" s="13">
        <f>10999347+358907</f>
        <v>11358254</v>
      </c>
      <c r="AF38" s="13">
        <f>11156229+232339</f>
        <v>11388568</v>
      </c>
      <c r="AG38" s="13">
        <f>10842305+124767</f>
        <v>10967072</v>
      </c>
      <c r="AH38" s="13">
        <f>16330774+139171</f>
        <v>16469945</v>
      </c>
      <c r="AI38" s="13">
        <f>14843722+160014</f>
        <v>15003736</v>
      </c>
      <c r="AJ38" s="13">
        <f>15049825+163585</f>
        <v>15213410</v>
      </c>
      <c r="AK38" s="13">
        <f>13912652+197973</f>
        <v>14110625</v>
      </c>
      <c r="AL38" s="13">
        <f>13222991+168880</f>
        <v>13391871</v>
      </c>
    </row>
    <row r="39" spans="23:41" x14ac:dyDescent="0.25">
      <c r="W39" s="12" t="s">
        <v>50</v>
      </c>
      <c r="X39" s="13">
        <f t="shared" ref="X39:AJ39" si="40">+X37-X38</f>
        <v>0</v>
      </c>
      <c r="Y39" s="13">
        <f t="shared" si="40"/>
        <v>0</v>
      </c>
      <c r="Z39" s="13">
        <f t="shared" si="40"/>
        <v>-1608199</v>
      </c>
      <c r="AA39" s="13">
        <f t="shared" si="40"/>
        <v>1525064</v>
      </c>
      <c r="AB39" s="13">
        <f t="shared" si="40"/>
        <v>2007195</v>
      </c>
      <c r="AC39" s="13">
        <f t="shared" si="40"/>
        <v>-5147569</v>
      </c>
      <c r="AD39" s="13">
        <f t="shared" si="40"/>
        <v>-7686845</v>
      </c>
      <c r="AE39" s="13">
        <f t="shared" si="40"/>
        <v>598145</v>
      </c>
      <c r="AF39" s="13">
        <f t="shared" si="40"/>
        <v>8841418</v>
      </c>
      <c r="AG39" s="13">
        <f t="shared" si="40"/>
        <v>11953012</v>
      </c>
      <c r="AH39" s="13">
        <f t="shared" si="40"/>
        <v>4987455</v>
      </c>
      <c r="AI39" s="13">
        <f t="shared" si="40"/>
        <v>6513491</v>
      </c>
      <c r="AJ39" s="13">
        <f t="shared" si="40"/>
        <v>6973359</v>
      </c>
      <c r="AK39" s="13">
        <f t="shared" ref="AK39:AL39" si="41">+AK37-AK38</f>
        <v>7211748</v>
      </c>
      <c r="AL39" s="13">
        <f t="shared" si="41"/>
        <v>-686506</v>
      </c>
    </row>
    <row r="40" spans="23:41" x14ac:dyDescent="0.25">
      <c r="W40" s="12" t="s">
        <v>54</v>
      </c>
      <c r="X40" s="13"/>
      <c r="Y40" s="13"/>
      <c r="Z40" s="13">
        <v>31895382</v>
      </c>
      <c r="AA40" s="13">
        <v>30125504</v>
      </c>
      <c r="AB40" s="13">
        <v>32675927</v>
      </c>
      <c r="AC40" s="13">
        <v>32533650</v>
      </c>
      <c r="AD40" s="13">
        <v>35587786</v>
      </c>
      <c r="AE40" s="13">
        <v>34096732</v>
      </c>
      <c r="AF40" s="13">
        <v>35137894</v>
      </c>
      <c r="AG40" s="13">
        <v>35611923</v>
      </c>
      <c r="AH40" s="13">
        <v>38404559</v>
      </c>
      <c r="AI40" s="13">
        <v>37764167</v>
      </c>
      <c r="AJ40" s="13">
        <v>38894265</v>
      </c>
      <c r="AK40" s="13">
        <v>40909097</v>
      </c>
      <c r="AL40" s="13">
        <v>43431769</v>
      </c>
    </row>
    <row r="41" spans="23:41" x14ac:dyDescent="0.25">
      <c r="W41" s="12" t="s">
        <v>75</v>
      </c>
      <c r="X41" s="13"/>
      <c r="Y41" s="13"/>
      <c r="Z41" s="13">
        <v>15450580</v>
      </c>
      <c r="AA41" s="13">
        <v>17062024</v>
      </c>
      <c r="AB41" s="13">
        <v>16670257</v>
      </c>
      <c r="AC41" s="13">
        <v>16402453</v>
      </c>
      <c r="AD41" s="10">
        <v>16807120</v>
      </c>
      <c r="AE41" s="13">
        <v>21233582</v>
      </c>
      <c r="AF41" s="13">
        <v>25617073</v>
      </c>
      <c r="AG41" s="13">
        <v>29180263</v>
      </c>
      <c r="AH41" s="13">
        <v>28602360</v>
      </c>
      <c r="AI41" s="13">
        <v>27988085</v>
      </c>
      <c r="AJ41" s="13">
        <v>24592748</v>
      </c>
      <c r="AK41" s="13">
        <v>25845303</v>
      </c>
      <c r="AL41" s="13">
        <v>22775145</v>
      </c>
    </row>
    <row r="43" spans="23:41" x14ac:dyDescent="0.25">
      <c r="W43" s="12" t="s">
        <v>51</v>
      </c>
      <c r="X43" s="14" t="e">
        <f t="shared" ref="X43:AJ43" si="42">+X37/X40</f>
        <v>#DIV/0!</v>
      </c>
      <c r="Y43" s="14" t="e">
        <f t="shared" si="42"/>
        <v>#DIV/0!</v>
      </c>
      <c r="Z43" s="14">
        <f t="shared" si="42"/>
        <v>0.2182004905913966</v>
      </c>
      <c r="AA43" s="14">
        <f t="shared" si="42"/>
        <v>0.2741338368977993</v>
      </c>
      <c r="AB43" s="14">
        <f t="shared" si="42"/>
        <v>0.31008886144224768</v>
      </c>
      <c r="AC43" s="14">
        <f t="shared" si="42"/>
        <v>0.25326011683287919</v>
      </c>
      <c r="AD43" s="14">
        <f t="shared" si="42"/>
        <v>0.1845374140442454</v>
      </c>
      <c r="AE43" s="14">
        <f t="shared" si="42"/>
        <v>0.35066114253999475</v>
      </c>
      <c r="AF43" s="14">
        <f t="shared" si="42"/>
        <v>0.5757313173066092</v>
      </c>
      <c r="AG43" s="14">
        <f t="shared" si="42"/>
        <v>0.64360703015110976</v>
      </c>
      <c r="AH43" s="14">
        <f t="shared" si="42"/>
        <v>0.55872012486850842</v>
      </c>
      <c r="AI43" s="14">
        <f t="shared" si="42"/>
        <v>0.56977893885492037</v>
      </c>
      <c r="AJ43" s="14">
        <f t="shared" si="42"/>
        <v>0.57043805815587467</v>
      </c>
      <c r="AK43" s="14">
        <f t="shared" ref="AK43:AL43" si="43">+AK37/AK40</f>
        <v>0.5212134846193256</v>
      </c>
      <c r="AL43" s="14">
        <f t="shared" si="43"/>
        <v>0.29253620776993911</v>
      </c>
    </row>
    <row r="45" spans="23:41" x14ac:dyDescent="0.25">
      <c r="W45" s="12" t="s">
        <v>63</v>
      </c>
      <c r="X45" s="16" t="e">
        <f t="shared" ref="X45:AJ45" si="44">+(X3*1000)/X7</f>
        <v>#DIV/0!</v>
      </c>
      <c r="Y45" s="16" t="e">
        <f t="shared" si="44"/>
        <v>#DIV/0!</v>
      </c>
      <c r="Z45" s="16" t="e">
        <f t="shared" si="44"/>
        <v>#DIV/0!</v>
      </c>
      <c r="AA45" s="16" t="e">
        <f t="shared" si="44"/>
        <v>#DIV/0!</v>
      </c>
      <c r="AB45" s="16" t="e">
        <f t="shared" si="44"/>
        <v>#DIV/0!</v>
      </c>
      <c r="AC45" s="16" t="e">
        <f t="shared" si="44"/>
        <v>#DIV/0!</v>
      </c>
      <c r="AD45" s="16" t="e">
        <f t="shared" si="44"/>
        <v>#DIV/0!</v>
      </c>
      <c r="AE45" s="16" t="e">
        <f t="shared" si="44"/>
        <v>#DIV/0!</v>
      </c>
      <c r="AF45" s="16" t="e">
        <f t="shared" si="44"/>
        <v>#DIV/0!</v>
      </c>
      <c r="AG45" s="16" t="e">
        <f t="shared" si="44"/>
        <v>#DIV/0!</v>
      </c>
      <c r="AH45" s="16" t="e">
        <f t="shared" si="44"/>
        <v>#DIV/0!</v>
      </c>
      <c r="AI45" s="16" t="e">
        <f t="shared" si="44"/>
        <v>#DIV/0!</v>
      </c>
      <c r="AJ45" s="16" t="e">
        <f t="shared" si="44"/>
        <v>#DIV/0!</v>
      </c>
      <c r="AK45" s="16" t="e">
        <f t="shared" ref="AK45:AL45" si="45">+(AK3*1000)/AK7</f>
        <v>#DIV/0!</v>
      </c>
      <c r="AL45" s="16" t="e">
        <f t="shared" si="45"/>
        <v>#DIV/0!</v>
      </c>
    </row>
    <row r="47" spans="23:41" x14ac:dyDescent="0.25">
      <c r="W47" s="12" t="s">
        <v>56</v>
      </c>
      <c r="X47" s="13">
        <f t="shared" ref="X47:AG47" si="46">Y47</f>
        <v>596551.02500000002</v>
      </c>
      <c r="Y47" s="13">
        <f t="shared" si="46"/>
        <v>596551.02500000002</v>
      </c>
      <c r="Z47" s="13">
        <f t="shared" si="46"/>
        <v>596551.02500000002</v>
      </c>
      <c r="AA47" s="13">
        <f t="shared" si="46"/>
        <v>596551.02500000002</v>
      </c>
      <c r="AB47" s="13">
        <f t="shared" si="46"/>
        <v>596551.02500000002</v>
      </c>
      <c r="AC47" s="13">
        <f t="shared" si="46"/>
        <v>596551.02500000002</v>
      </c>
      <c r="AD47" s="13">
        <f t="shared" si="46"/>
        <v>596551.02500000002</v>
      </c>
      <c r="AE47" s="13">
        <f t="shared" si="46"/>
        <v>596551.02500000002</v>
      </c>
      <c r="AF47" s="13">
        <f t="shared" si="46"/>
        <v>596551.02500000002</v>
      </c>
      <c r="AG47" s="13">
        <f t="shared" si="46"/>
        <v>596551.02500000002</v>
      </c>
      <c r="AH47" s="13">
        <f>AI47</f>
        <v>596551.02500000002</v>
      </c>
      <c r="AI47" s="13">
        <f>AJ47</f>
        <v>596551.02500000002</v>
      </c>
      <c r="AJ47" s="13">
        <v>596551.02500000002</v>
      </c>
      <c r="AK47" s="13">
        <v>596551.02500000002</v>
      </c>
      <c r="AL47" s="13">
        <v>596551.02500000002</v>
      </c>
    </row>
    <row r="49" spans="23:38" x14ac:dyDescent="0.25">
      <c r="W49" s="12" t="s">
        <v>57</v>
      </c>
      <c r="X49" s="16">
        <f t="shared" ref="X49:AJ49" si="47">+X40/X47</f>
        <v>0</v>
      </c>
      <c r="Y49" s="16">
        <f t="shared" si="47"/>
        <v>0</v>
      </c>
      <c r="Z49" s="16">
        <f t="shared" si="47"/>
        <v>53.466309943897926</v>
      </c>
      <c r="AA49" s="16">
        <f t="shared" si="47"/>
        <v>50.499458952400595</v>
      </c>
      <c r="AB49" s="16">
        <f t="shared" si="47"/>
        <v>54.774739512014079</v>
      </c>
      <c r="AC49" s="16">
        <f t="shared" si="47"/>
        <v>54.536240215160134</v>
      </c>
      <c r="AD49" s="16">
        <f t="shared" si="47"/>
        <v>59.655896157415867</v>
      </c>
      <c r="AE49" s="16">
        <f t="shared" si="47"/>
        <v>57.156438546057309</v>
      </c>
      <c r="AF49" s="16">
        <f t="shared" si="47"/>
        <v>58.901741053919068</v>
      </c>
      <c r="AG49" s="16">
        <f t="shared" si="47"/>
        <v>59.696357071886681</v>
      </c>
      <c r="AH49" s="16">
        <f t="shared" si="47"/>
        <v>64.377659899251697</v>
      </c>
      <c r="AI49" s="16">
        <f t="shared" si="47"/>
        <v>63.304169161388998</v>
      </c>
      <c r="AJ49" s="16">
        <f t="shared" si="47"/>
        <v>65.198555312179707</v>
      </c>
      <c r="AK49" s="16">
        <f t="shared" ref="AK49:AL49" si="48">+AK40/AK47</f>
        <v>68.576023316697842</v>
      </c>
      <c r="AL49" s="16">
        <f t="shared" si="48"/>
        <v>72.804784804451558</v>
      </c>
    </row>
    <row r="51" spans="23:38" x14ac:dyDescent="0.25">
      <c r="W51" s="12" t="s">
        <v>67</v>
      </c>
      <c r="X51" s="13"/>
      <c r="Y51" s="13">
        <f>+Y55-X55</f>
        <v>0</v>
      </c>
      <c r="Z51" s="13">
        <f>+Z55-Y55</f>
        <v>6539456</v>
      </c>
      <c r="AA51" s="13">
        <f>+AA55</f>
        <v>-2495346</v>
      </c>
      <c r="AB51" s="13">
        <f t="shared" ref="AB51:AD52" si="49">+AB55-AA55</f>
        <v>1063567</v>
      </c>
      <c r="AC51" s="13">
        <f t="shared" si="49"/>
        <v>7137177</v>
      </c>
      <c r="AD51" s="13">
        <f t="shared" si="49"/>
        <v>2346938</v>
      </c>
      <c r="AE51" s="13">
        <f>+AE55</f>
        <v>-7926711</v>
      </c>
      <c r="AF51" s="13">
        <f>+AF55-AE55</f>
        <v>-6511373</v>
      </c>
      <c r="AG51" s="13">
        <f>+AG55-AF55</f>
        <v>-2542378</v>
      </c>
      <c r="AH51" s="13">
        <f t="shared" ref="AH51:AH52" si="50">+AH55-AG55</f>
        <v>7718759</v>
      </c>
      <c r="AI51" s="13">
        <f>+AI55</f>
        <v>2443481</v>
      </c>
      <c r="AJ51" s="13">
        <f>+AJ55-AI55</f>
        <v>1833089</v>
      </c>
      <c r="AK51" s="13">
        <f>+AK55-AJ55</f>
        <v>495837</v>
      </c>
      <c r="AL51" s="13">
        <f t="shared" ref="AL51:AL52" si="51">+AL55-AK55</f>
        <v>9133185</v>
      </c>
    </row>
    <row r="52" spans="23:38" x14ac:dyDescent="0.25">
      <c r="W52" s="12" t="s">
        <v>60</v>
      </c>
      <c r="Y52" s="13">
        <f>+Y56-X56</f>
        <v>0</v>
      </c>
      <c r="Z52" s="13">
        <f>+Z56-Y56</f>
        <v>-1820200</v>
      </c>
      <c r="AA52" s="13">
        <f>+AA56</f>
        <v>-336080</v>
      </c>
      <c r="AB52" s="13">
        <f t="shared" si="49"/>
        <v>-500231</v>
      </c>
      <c r="AC52" s="13">
        <f t="shared" si="49"/>
        <v>-387795</v>
      </c>
      <c r="AD52" s="13">
        <f t="shared" si="49"/>
        <v>-307133</v>
      </c>
      <c r="AE52" s="13">
        <f>+AE56</f>
        <v>-181657</v>
      </c>
      <c r="AF52" s="13">
        <f>+AF56-AE56</f>
        <v>-386978</v>
      </c>
      <c r="AG52" s="13">
        <f>+AG56-AF56</f>
        <v>-363737</v>
      </c>
      <c r="AH52" s="13">
        <f t="shared" si="50"/>
        <v>-487358</v>
      </c>
      <c r="AI52" s="13">
        <f>+AI56</f>
        <v>-3492267</v>
      </c>
      <c r="AJ52" s="13">
        <f>+AJ56-AI56</f>
        <v>-639925</v>
      </c>
      <c r="AK52" s="13">
        <f>+AK56-AJ56</f>
        <v>-519543</v>
      </c>
      <c r="AL52" s="13">
        <f t="shared" si="51"/>
        <v>-1137495</v>
      </c>
    </row>
    <row r="53" spans="23:38" x14ac:dyDescent="0.25">
      <c r="W53" s="12" t="s">
        <v>68</v>
      </c>
      <c r="Y53" s="13">
        <f t="shared" ref="Y53:AJ53" si="52">+Y51+Y52</f>
        <v>0</v>
      </c>
      <c r="Z53" s="13">
        <f t="shared" si="52"/>
        <v>4719256</v>
      </c>
      <c r="AA53" s="13">
        <f t="shared" si="52"/>
        <v>-2831426</v>
      </c>
      <c r="AB53" s="13">
        <f t="shared" si="52"/>
        <v>563336</v>
      </c>
      <c r="AC53" s="13">
        <f t="shared" si="52"/>
        <v>6749382</v>
      </c>
      <c r="AD53" s="13">
        <f t="shared" si="52"/>
        <v>2039805</v>
      </c>
      <c r="AE53" s="13">
        <f t="shared" si="52"/>
        <v>-8108368</v>
      </c>
      <c r="AF53" s="13">
        <f t="shared" si="52"/>
        <v>-6898351</v>
      </c>
      <c r="AG53" s="13">
        <f t="shared" si="52"/>
        <v>-2906115</v>
      </c>
      <c r="AH53" s="13">
        <f t="shared" si="52"/>
        <v>7231401</v>
      </c>
      <c r="AI53" s="13">
        <f t="shared" si="52"/>
        <v>-1048786</v>
      </c>
      <c r="AJ53" s="13">
        <f t="shared" si="52"/>
        <v>1193164</v>
      </c>
      <c r="AK53" s="13">
        <f t="shared" ref="AK53:AL53" si="53">+AK51+AK52</f>
        <v>-23706</v>
      </c>
      <c r="AL53" s="13">
        <f t="shared" si="53"/>
        <v>7995690</v>
      </c>
    </row>
    <row r="55" spans="23:38" x14ac:dyDescent="0.25">
      <c r="W55" s="12" t="s">
        <v>67</v>
      </c>
      <c r="X55" s="13"/>
      <c r="Y55" s="13"/>
      <c r="Z55" s="13">
        <v>6539456</v>
      </c>
      <c r="AA55" s="13">
        <v>-2495346</v>
      </c>
      <c r="AB55" s="13">
        <v>-1431779</v>
      </c>
      <c r="AC55" s="13">
        <v>5705398</v>
      </c>
      <c r="AD55" s="13">
        <v>8052336</v>
      </c>
      <c r="AE55" s="13">
        <v>-7926711</v>
      </c>
      <c r="AF55" s="13">
        <v>-14438084</v>
      </c>
      <c r="AG55" s="13">
        <v>-16980462</v>
      </c>
      <c r="AH55" s="13">
        <v>-9261703</v>
      </c>
      <c r="AI55" s="13">
        <v>2443481</v>
      </c>
      <c r="AJ55" s="13">
        <v>4276570</v>
      </c>
      <c r="AK55" s="13">
        <v>4772407</v>
      </c>
      <c r="AL55" s="13">
        <v>13905592</v>
      </c>
    </row>
    <row r="56" spans="23:38" x14ac:dyDescent="0.25">
      <c r="W56" s="12" t="s">
        <v>60</v>
      </c>
      <c r="X56" s="13"/>
      <c r="Y56" s="13"/>
      <c r="Z56" s="13">
        <v>-1820200</v>
      </c>
      <c r="AA56" s="13">
        <v>-336080</v>
      </c>
      <c r="AB56" s="13">
        <v>-836311</v>
      </c>
      <c r="AC56" s="13">
        <v>-1224106</v>
      </c>
      <c r="AD56" s="13">
        <v>-1531239</v>
      </c>
      <c r="AE56" s="13">
        <v>-181657</v>
      </c>
      <c r="AF56" s="10">
        <v>-568635</v>
      </c>
      <c r="AG56" s="13">
        <v>-932372</v>
      </c>
      <c r="AH56" s="13">
        <v>-1419730</v>
      </c>
      <c r="AI56" s="13">
        <f>-230846-3261421</f>
        <v>-3492267</v>
      </c>
      <c r="AJ56" s="13">
        <f>-722096-3410096</f>
        <v>-4132192</v>
      </c>
      <c r="AK56" s="13">
        <f>-1241639-3410096</f>
        <v>-4651735</v>
      </c>
      <c r="AL56" s="13">
        <f>-2379134-3410096</f>
        <v>-5789230</v>
      </c>
    </row>
    <row r="57" spans="23:38" x14ac:dyDescent="0.25">
      <c r="W57" s="12" t="s">
        <v>68</v>
      </c>
      <c r="X57" s="13">
        <f t="shared" ref="X57:AF57" si="54">+X55+X56</f>
        <v>0</v>
      </c>
      <c r="Y57" s="13">
        <f t="shared" si="54"/>
        <v>0</v>
      </c>
      <c r="Z57" s="13">
        <f t="shared" si="54"/>
        <v>4719256</v>
      </c>
      <c r="AA57" s="13">
        <f t="shared" si="54"/>
        <v>-2831426</v>
      </c>
      <c r="AB57" s="13">
        <f t="shared" si="54"/>
        <v>-2268090</v>
      </c>
      <c r="AC57" s="13">
        <f t="shared" si="54"/>
        <v>4481292</v>
      </c>
      <c r="AD57" s="13">
        <f t="shared" si="54"/>
        <v>6521097</v>
      </c>
      <c r="AE57" s="13">
        <f t="shared" si="54"/>
        <v>-8108368</v>
      </c>
      <c r="AF57" s="13">
        <f t="shared" si="54"/>
        <v>-15006719</v>
      </c>
      <c r="AG57" s="13">
        <f>+AG55+AG56</f>
        <v>-17912834</v>
      </c>
      <c r="AH57" s="13">
        <f t="shared" ref="AH57:AJ57" si="55">+AH55+AH56</f>
        <v>-10681433</v>
      </c>
      <c r="AI57" s="13">
        <f t="shared" si="55"/>
        <v>-1048786</v>
      </c>
      <c r="AJ57" s="13">
        <f t="shared" si="55"/>
        <v>144378</v>
      </c>
      <c r="AK57" s="13">
        <f>+AK55+AK56</f>
        <v>120672</v>
      </c>
      <c r="AL57" s="13">
        <f t="shared" ref="AL57" si="56">+AL55+AL56</f>
        <v>8116362</v>
      </c>
    </row>
    <row r="59" spans="23:38" x14ac:dyDescent="0.25">
      <c r="W59" s="47" t="s">
        <v>76</v>
      </c>
    </row>
    <row r="60" spans="23:38" x14ac:dyDescent="0.25">
      <c r="W60" s="47" t="s">
        <v>80</v>
      </c>
      <c r="AC60" s="13"/>
      <c r="AG60" s="13"/>
      <c r="AK60" s="13"/>
    </row>
    <row r="61" spans="23:38" x14ac:dyDescent="0.25">
      <c r="W61" s="12" t="s">
        <v>78</v>
      </c>
      <c r="Z61" s="13">
        <v>5826929</v>
      </c>
      <c r="AA61" s="13">
        <v>5353965</v>
      </c>
      <c r="AB61" s="13">
        <v>7447973</v>
      </c>
      <c r="AC61" s="13">
        <v>9697611</v>
      </c>
      <c r="AD61" s="13">
        <v>8261772</v>
      </c>
      <c r="AE61" s="13">
        <v>8712721</v>
      </c>
      <c r="AF61" s="13">
        <v>10118965</v>
      </c>
      <c r="AG61" s="13">
        <v>13627955</v>
      </c>
      <c r="AH61" s="13">
        <v>15135255</v>
      </c>
      <c r="AI61" s="13">
        <v>11054554</v>
      </c>
      <c r="AJ61" s="13">
        <v>11521005</v>
      </c>
      <c r="AK61" s="13">
        <v>15433081</v>
      </c>
      <c r="AL61" s="13">
        <v>12741276</v>
      </c>
    </row>
    <row r="62" spans="23:38" x14ac:dyDescent="0.25">
      <c r="W62" s="12" t="s">
        <v>40</v>
      </c>
      <c r="X62" s="17"/>
      <c r="Y62" s="17"/>
      <c r="Z62" s="17"/>
      <c r="AA62" s="17"/>
      <c r="AB62" s="18"/>
      <c r="AC62" s="18"/>
      <c r="AD62" s="18">
        <f t="shared" ref="AD62:AL62" si="57">+AD61/Z61-1</f>
        <v>0.41786042012868174</v>
      </c>
      <c r="AE62" s="18">
        <f t="shared" si="57"/>
        <v>0.62733992471000466</v>
      </c>
      <c r="AF62" s="18">
        <f t="shared" si="57"/>
        <v>0.35861998962670794</v>
      </c>
      <c r="AG62" s="18">
        <f t="shared" si="57"/>
        <v>0.40528992140435416</v>
      </c>
      <c r="AH62" s="18">
        <f t="shared" si="57"/>
        <v>0.83196231994782721</v>
      </c>
      <c r="AI62" s="18">
        <f t="shared" si="57"/>
        <v>0.26878319643197579</v>
      </c>
      <c r="AJ62" s="18">
        <f t="shared" si="57"/>
        <v>0.13855567244278433</v>
      </c>
      <c r="AK62" s="18">
        <f t="shared" si="57"/>
        <v>0.1324575844284781</v>
      </c>
      <c r="AL62" s="18">
        <f t="shared" si="57"/>
        <v>-0.15817235983140021</v>
      </c>
    </row>
    <row r="63" spans="23:38" x14ac:dyDescent="0.25">
      <c r="W63" s="12" t="s">
        <v>41</v>
      </c>
      <c r="Y63" s="18"/>
      <c r="Z63" s="18"/>
      <c r="AA63" s="18">
        <f t="shared" ref="AA63:AL63" si="58">+AA61/Z61-1</f>
        <v>-8.116865676585383E-2</v>
      </c>
      <c r="AB63" s="18">
        <f t="shared" si="58"/>
        <v>0.39111350186263816</v>
      </c>
      <c r="AC63" s="18">
        <f t="shared" si="58"/>
        <v>0.3020470133283244</v>
      </c>
      <c r="AD63" s="18">
        <f t="shared" si="58"/>
        <v>-0.1480611049463626</v>
      </c>
      <c r="AE63" s="18">
        <f t="shared" si="58"/>
        <v>5.4582600439711859E-2</v>
      </c>
      <c r="AF63" s="18">
        <f t="shared" si="58"/>
        <v>0.16140124307894177</v>
      </c>
      <c r="AG63" s="18">
        <f t="shared" si="58"/>
        <v>0.34677360777510358</v>
      </c>
      <c r="AH63" s="18">
        <f t="shared" si="58"/>
        <v>0.11060353515989751</v>
      </c>
      <c r="AI63" s="18">
        <f t="shared" si="58"/>
        <v>-0.26961560938352214</v>
      </c>
      <c r="AJ63" s="18">
        <f t="shared" si="58"/>
        <v>4.2195370342394733E-2</v>
      </c>
      <c r="AK63" s="18">
        <f t="shared" si="58"/>
        <v>0.33956030745581667</v>
      </c>
      <c r="AL63" s="18">
        <f t="shared" si="58"/>
        <v>-0.17441786251235247</v>
      </c>
    </row>
    <row r="64" spans="23:38" x14ac:dyDescent="0.25">
      <c r="W64" s="12" t="s">
        <v>79</v>
      </c>
      <c r="Z64" s="13">
        <v>741003</v>
      </c>
      <c r="AA64" s="13">
        <v>216902</v>
      </c>
      <c r="AB64" s="13">
        <v>668073</v>
      </c>
      <c r="AC64" s="13">
        <v>1301330</v>
      </c>
      <c r="AD64" s="13">
        <v>830919</v>
      </c>
      <c r="AE64" s="13">
        <v>704272</v>
      </c>
      <c r="AF64" s="13">
        <v>1210647</v>
      </c>
      <c r="AG64" s="13">
        <v>1785144</v>
      </c>
      <c r="AH64" s="13">
        <v>2170558</v>
      </c>
      <c r="AI64" s="13">
        <v>1146604</v>
      </c>
      <c r="AJ64" s="13">
        <v>1476879</v>
      </c>
      <c r="AK64" s="13">
        <v>3102543</v>
      </c>
      <c r="AL64" s="13">
        <v>1843244</v>
      </c>
    </row>
    <row r="65" spans="23:38" x14ac:dyDescent="0.25">
      <c r="W65" s="12" t="s">
        <v>82</v>
      </c>
      <c r="X65" s="19"/>
      <c r="Y65" s="19"/>
      <c r="Z65" s="19">
        <f t="shared" ref="Z65:AF65" si="59">+Z64/Z61</f>
        <v>0.12716870241597247</v>
      </c>
      <c r="AA65" s="19">
        <f t="shared" si="59"/>
        <v>4.0512405292152637E-2</v>
      </c>
      <c r="AB65" s="19">
        <f t="shared" si="59"/>
        <v>8.9698633440266226E-2</v>
      </c>
      <c r="AC65" s="19">
        <f t="shared" si="59"/>
        <v>0.13419078162652637</v>
      </c>
      <c r="AD65" s="19">
        <f t="shared" si="59"/>
        <v>0.10057394466949705</v>
      </c>
      <c r="AE65" s="19">
        <f t="shared" si="59"/>
        <v>8.083261245252775E-2</v>
      </c>
      <c r="AF65" s="19">
        <f t="shared" si="59"/>
        <v>0.11964138624849478</v>
      </c>
      <c r="AG65" s="19">
        <f>+AG64/AG61</f>
        <v>0.13099133362268953</v>
      </c>
      <c r="AH65" s="19">
        <f t="shared" ref="AH65:AJ65" si="60">+AH64/AH61</f>
        <v>0.14341073209536279</v>
      </c>
      <c r="AI65" s="19">
        <f t="shared" si="60"/>
        <v>0.1037223211357057</v>
      </c>
      <c r="AJ65" s="19">
        <f t="shared" si="60"/>
        <v>0.12819011883077908</v>
      </c>
      <c r="AK65" s="19">
        <f>+AK64/AK61</f>
        <v>0.20103199095501409</v>
      </c>
      <c r="AL65" s="19">
        <f t="shared" ref="AL65" si="61">+AL64/AL61</f>
        <v>0.14466714322804089</v>
      </c>
    </row>
    <row r="66" spans="23:38" x14ac:dyDescent="0.25">
      <c r="W66" s="12" t="s">
        <v>184</v>
      </c>
      <c r="Z66" s="13">
        <v>620119</v>
      </c>
      <c r="AA66" s="13">
        <v>230149</v>
      </c>
      <c r="AB66" s="13">
        <v>497642</v>
      </c>
      <c r="AC66" s="13">
        <v>879753</v>
      </c>
      <c r="AD66" s="13">
        <v>618035</v>
      </c>
      <c r="AE66" s="13">
        <v>498980</v>
      </c>
      <c r="AF66" s="13">
        <v>616103</v>
      </c>
      <c r="AG66" s="13">
        <v>762073</v>
      </c>
      <c r="AH66" s="13">
        <v>1371412</v>
      </c>
      <c r="AI66" s="13">
        <v>919221</v>
      </c>
      <c r="AJ66" s="13">
        <v>1031462</v>
      </c>
      <c r="AK66" s="13">
        <v>2127301</v>
      </c>
      <c r="AL66" s="13">
        <v>998741</v>
      </c>
    </row>
    <row r="67" spans="23:38" x14ac:dyDescent="0.25">
      <c r="W67" s="12" t="s">
        <v>82</v>
      </c>
      <c r="Z67" s="19">
        <f t="shared" ref="Z67:AF67" si="62">+Z66/Z61</f>
        <v>0.10642295452716173</v>
      </c>
      <c r="AA67" s="19">
        <f t="shared" si="62"/>
        <v>4.2986646345278684E-2</v>
      </c>
      <c r="AB67" s="19">
        <f t="shared" si="62"/>
        <v>6.6815763161332614E-2</v>
      </c>
      <c r="AC67" s="19">
        <f t="shared" si="62"/>
        <v>9.0718528511815957E-2</v>
      </c>
      <c r="AD67" s="19">
        <f t="shared" si="62"/>
        <v>7.4806591128392316E-2</v>
      </c>
      <c r="AE67" s="19">
        <f t="shared" si="62"/>
        <v>5.7270283301852541E-2</v>
      </c>
      <c r="AF67" s="19">
        <f t="shared" si="62"/>
        <v>6.0885970057214349E-2</v>
      </c>
      <c r="AG67" s="19">
        <f>+AG66/AG61</f>
        <v>5.591983536781564E-2</v>
      </c>
      <c r="AH67" s="19">
        <f t="shared" ref="AH67:AJ67" si="63">+AH66/AH61</f>
        <v>9.0610432397736279E-2</v>
      </c>
      <c r="AI67" s="19">
        <f t="shared" si="63"/>
        <v>8.3153151180952206E-2</v>
      </c>
      <c r="AJ67" s="19">
        <f t="shared" si="63"/>
        <v>8.9528821487361562E-2</v>
      </c>
      <c r="AK67" s="19">
        <f>+AK66/AK61</f>
        <v>0.13784033142831298</v>
      </c>
      <c r="AL67" s="19">
        <f t="shared" ref="AL67" si="64">+AL66/AL61</f>
        <v>7.838626209808186E-2</v>
      </c>
    </row>
    <row r="70" spans="23:38" x14ac:dyDescent="0.25">
      <c r="W70" s="47" t="s">
        <v>368</v>
      </c>
      <c r="AC70" s="13"/>
      <c r="AG70" s="13"/>
      <c r="AK70" s="13"/>
    </row>
    <row r="71" spans="23:38" x14ac:dyDescent="0.25">
      <c r="W71" s="12" t="s">
        <v>78</v>
      </c>
      <c r="Z71" s="13">
        <v>10021070</v>
      </c>
      <c r="AA71" s="13">
        <v>10459378</v>
      </c>
      <c r="AB71" s="13">
        <v>11725803</v>
      </c>
      <c r="AC71" s="13">
        <v>11476809</v>
      </c>
      <c r="AD71" s="13">
        <v>12427156</v>
      </c>
      <c r="AE71" s="13">
        <v>15675379</v>
      </c>
      <c r="AF71" s="13">
        <v>16522835</v>
      </c>
      <c r="AG71" s="13">
        <v>15757010</v>
      </c>
      <c r="AH71" s="13">
        <v>16712295</v>
      </c>
      <c r="AI71" s="13">
        <v>17638619</v>
      </c>
      <c r="AJ71" s="13">
        <v>17912100</v>
      </c>
      <c r="AK71" s="13">
        <v>15325953</v>
      </c>
      <c r="AL71" s="13">
        <v>18236841</v>
      </c>
    </row>
    <row r="72" spans="23:38" x14ac:dyDescent="0.25">
      <c r="W72" s="12" t="s">
        <v>40</v>
      </c>
      <c r="X72" s="17"/>
      <c r="Y72" s="17"/>
      <c r="Z72" s="17"/>
      <c r="AA72" s="17"/>
      <c r="AB72" s="18"/>
      <c r="AC72" s="18"/>
      <c r="AD72" s="18">
        <f t="shared" ref="AD72:AL72" si="65">+AD71/Z71-1</f>
        <v>0.24010270360350749</v>
      </c>
      <c r="AE72" s="18">
        <f t="shared" si="65"/>
        <v>0.4986913179732102</v>
      </c>
      <c r="AF72" s="18">
        <f t="shared" si="65"/>
        <v>0.40910051106947654</v>
      </c>
      <c r="AG72" s="18">
        <f t="shared" si="65"/>
        <v>0.37294347235368308</v>
      </c>
      <c r="AH72" s="18">
        <f t="shared" si="65"/>
        <v>0.34482056876086542</v>
      </c>
      <c r="AI72" s="18">
        <f t="shared" si="65"/>
        <v>0.12524354275580829</v>
      </c>
      <c r="AJ72" s="18">
        <f t="shared" si="65"/>
        <v>8.4081515066875667E-2</v>
      </c>
      <c r="AK72" s="18">
        <f t="shared" si="65"/>
        <v>-2.7356522588993681E-2</v>
      </c>
      <c r="AL72" s="18">
        <f t="shared" si="65"/>
        <v>9.1223018741591222E-2</v>
      </c>
    </row>
    <row r="73" spans="23:38" x14ac:dyDescent="0.25">
      <c r="W73" s="12" t="s">
        <v>41</v>
      </c>
      <c r="Y73" s="18"/>
      <c r="Z73" s="18"/>
      <c r="AA73" s="18">
        <f t="shared" ref="AA73:AL73" si="66">+AA71/Z71-1</f>
        <v>4.3738642679873596E-2</v>
      </c>
      <c r="AB73" s="18">
        <f t="shared" si="66"/>
        <v>0.12108033575227894</v>
      </c>
      <c r="AC73" s="18">
        <f t="shared" si="66"/>
        <v>-2.1234707763724159E-2</v>
      </c>
      <c r="AD73" s="18">
        <f t="shared" si="66"/>
        <v>8.2805856575638659E-2</v>
      </c>
      <c r="AE73" s="18">
        <f t="shared" si="66"/>
        <v>0.26138104325720213</v>
      </c>
      <c r="AF73" s="18">
        <f t="shared" si="66"/>
        <v>5.4062871462310369E-2</v>
      </c>
      <c r="AG73" s="18">
        <f t="shared" si="66"/>
        <v>-4.6349491476493032E-2</v>
      </c>
      <c r="AH73" s="18">
        <f t="shared" si="66"/>
        <v>6.0626032476973846E-2</v>
      </c>
      <c r="AI73" s="18">
        <f t="shared" si="66"/>
        <v>5.542769559776195E-2</v>
      </c>
      <c r="AJ73" s="18">
        <f t="shared" si="66"/>
        <v>1.5504671879357446E-2</v>
      </c>
      <c r="AK73" s="18">
        <f t="shared" si="66"/>
        <v>-0.14437988845529004</v>
      </c>
      <c r="AL73" s="18">
        <f t="shared" si="66"/>
        <v>0.18993194093704968</v>
      </c>
    </row>
    <row r="74" spans="23:38" x14ac:dyDescent="0.25">
      <c r="W74" s="12" t="s">
        <v>79</v>
      </c>
      <c r="Z74" s="13">
        <v>649714</v>
      </c>
      <c r="AA74" s="13">
        <v>835070</v>
      </c>
      <c r="AB74" s="13">
        <v>994621</v>
      </c>
      <c r="AC74" s="13">
        <v>886715</v>
      </c>
      <c r="AD74" s="13">
        <v>885716</v>
      </c>
      <c r="AE74" s="13">
        <v>1153094</v>
      </c>
      <c r="AF74" s="13">
        <v>1392896</v>
      </c>
      <c r="AG74" s="13">
        <v>1271318</v>
      </c>
      <c r="AH74" s="13">
        <v>930365</v>
      </c>
      <c r="AI74" s="13">
        <v>1090022</v>
      </c>
      <c r="AJ74" s="13">
        <v>1616323</v>
      </c>
      <c r="AK74" s="13">
        <v>952158</v>
      </c>
      <c r="AL74" s="13">
        <v>726404</v>
      </c>
    </row>
    <row r="75" spans="23:38" x14ac:dyDescent="0.25">
      <c r="W75" s="12" t="s">
        <v>82</v>
      </c>
      <c r="X75" s="19"/>
      <c r="Y75" s="19"/>
      <c r="Z75" s="19">
        <f t="shared" ref="Z75:AF75" si="67">+Z74/Z71</f>
        <v>6.4834793090957354E-2</v>
      </c>
      <c r="AA75" s="19">
        <f t="shared" si="67"/>
        <v>7.9839355648108332E-2</v>
      </c>
      <c r="AB75" s="19">
        <f t="shared" si="67"/>
        <v>8.4823273936974725E-2</v>
      </c>
      <c r="AC75" s="19">
        <f t="shared" si="67"/>
        <v>7.726145830256477E-2</v>
      </c>
      <c r="AD75" s="19">
        <f t="shared" si="67"/>
        <v>7.1272622633851215E-2</v>
      </c>
      <c r="AE75" s="19">
        <f t="shared" si="67"/>
        <v>7.3560837029841508E-2</v>
      </c>
      <c r="AF75" s="19">
        <f t="shared" si="67"/>
        <v>8.4301271543291451E-2</v>
      </c>
      <c r="AG75" s="19">
        <f>+AG74/AG71</f>
        <v>8.0682692972841932E-2</v>
      </c>
      <c r="AH75" s="19">
        <f t="shared" ref="AH75:AJ75" si="68">+AH74/AH71</f>
        <v>5.5669493627296548E-2</v>
      </c>
      <c r="AI75" s="19">
        <f t="shared" si="68"/>
        <v>6.1797468384571376E-2</v>
      </c>
      <c r="AJ75" s="19">
        <f t="shared" si="68"/>
        <v>9.0236376527598666E-2</v>
      </c>
      <c r="AK75" s="19">
        <f>+AK74/AK71</f>
        <v>6.212716429444877E-2</v>
      </c>
      <c r="AL75" s="19">
        <f t="shared" ref="AL75" si="69">+AL74/AL71</f>
        <v>3.9831679181717927E-2</v>
      </c>
    </row>
    <row r="76" spans="23:38" x14ac:dyDescent="0.25">
      <c r="W76" s="12" t="s">
        <v>184</v>
      </c>
      <c r="Z76" s="13">
        <v>425256</v>
      </c>
      <c r="AA76" s="13">
        <v>621268</v>
      </c>
      <c r="AB76" s="13">
        <v>736803</v>
      </c>
      <c r="AC76" s="13">
        <v>651511</v>
      </c>
      <c r="AD76" s="13">
        <v>638011</v>
      </c>
      <c r="AE76" s="13">
        <v>713072</v>
      </c>
      <c r="AF76" s="13">
        <v>713791</v>
      </c>
      <c r="AG76" s="13">
        <v>412279</v>
      </c>
      <c r="AH76" s="13">
        <v>196990</v>
      </c>
      <c r="AI76" s="13">
        <v>475271</v>
      </c>
      <c r="AJ76" s="13">
        <v>776813</v>
      </c>
      <c r="AK76" s="13">
        <v>481989</v>
      </c>
      <c r="AL76" s="13">
        <v>609294</v>
      </c>
    </row>
    <row r="77" spans="23:38" x14ac:dyDescent="0.25">
      <c r="W77" s="12" t="s">
        <v>82</v>
      </c>
      <c r="Z77" s="19">
        <f t="shared" ref="Z77:AF77" si="70">+Z76/Z71</f>
        <v>4.243618695408774E-2</v>
      </c>
      <c r="AA77" s="19">
        <f t="shared" si="70"/>
        <v>5.9398178362040269E-2</v>
      </c>
      <c r="AB77" s="19">
        <f t="shared" si="70"/>
        <v>6.2836037753661728E-2</v>
      </c>
      <c r="AC77" s="19">
        <f t="shared" si="70"/>
        <v>5.676760848769026E-2</v>
      </c>
      <c r="AD77" s="19">
        <f t="shared" si="70"/>
        <v>5.1340065257086981E-2</v>
      </c>
      <c r="AE77" s="19">
        <f t="shared" si="70"/>
        <v>4.5489936798338335E-2</v>
      </c>
      <c r="AF77" s="19">
        <f t="shared" si="70"/>
        <v>4.320027404498078E-2</v>
      </c>
      <c r="AG77" s="19">
        <f>+AG76/AG71</f>
        <v>2.6164799032303718E-2</v>
      </c>
      <c r="AH77" s="19">
        <f t="shared" ref="AH77:AJ77" si="71">+AH76/AH71</f>
        <v>1.1787130373177352E-2</v>
      </c>
      <c r="AI77" s="19">
        <f t="shared" si="71"/>
        <v>2.6944909916133457E-2</v>
      </c>
      <c r="AJ77" s="19">
        <f t="shared" si="71"/>
        <v>4.3368058463273428E-2</v>
      </c>
      <c r="AK77" s="19">
        <f>+AK76/AK71</f>
        <v>3.1449202538987295E-2</v>
      </c>
      <c r="AL77" s="19">
        <f t="shared" ref="AL77" si="72">+AL76/AL71</f>
        <v>3.3410062630912889E-2</v>
      </c>
    </row>
    <row r="80" spans="23:38" x14ac:dyDescent="0.25">
      <c r="W80" s="47" t="s">
        <v>369</v>
      </c>
      <c r="AC80" s="13"/>
      <c r="AG80" s="13"/>
      <c r="AK80" s="13"/>
    </row>
    <row r="81" spans="23:38" x14ac:dyDescent="0.25">
      <c r="W81" s="12" t="s">
        <v>78</v>
      </c>
      <c r="Z81" s="13">
        <v>734074</v>
      </c>
      <c r="AA81" s="13">
        <v>586617</v>
      </c>
      <c r="AB81" s="13">
        <v>595021</v>
      </c>
      <c r="AC81" s="13">
        <v>363038</v>
      </c>
      <c r="AD81" s="13">
        <v>409867</v>
      </c>
      <c r="AE81" s="13">
        <v>443910</v>
      </c>
      <c r="AF81" s="13">
        <v>468624</v>
      </c>
      <c r="AG81" s="13">
        <v>384462</v>
      </c>
      <c r="AH81" s="13">
        <v>344762</v>
      </c>
      <c r="AI81" s="13">
        <v>417544</v>
      </c>
      <c r="AJ81" s="13">
        <v>376231</v>
      </c>
      <c r="AK81" s="13">
        <v>460435</v>
      </c>
      <c r="AL81" s="13">
        <v>458020</v>
      </c>
    </row>
    <row r="82" spans="23:38" x14ac:dyDescent="0.25">
      <c r="W82" s="12" t="s">
        <v>40</v>
      </c>
      <c r="X82" s="17"/>
      <c r="Y82" s="17"/>
      <c r="Z82" s="17"/>
      <c r="AA82" s="17"/>
      <c r="AB82" s="18"/>
      <c r="AC82" s="18"/>
      <c r="AD82" s="18">
        <f t="shared" ref="AD82:AL82" si="73">+AD81/Z81-1</f>
        <v>-0.44165438361800036</v>
      </c>
      <c r="AE82" s="18">
        <f t="shared" si="73"/>
        <v>-0.24327116329734733</v>
      </c>
      <c r="AF82" s="18">
        <f t="shared" si="73"/>
        <v>-0.21242443544009371</v>
      </c>
      <c r="AG82" s="18">
        <f t="shared" si="73"/>
        <v>5.9013106066031717E-2</v>
      </c>
      <c r="AH82" s="18">
        <f t="shared" si="73"/>
        <v>-0.1588442104389961</v>
      </c>
      <c r="AI82" s="18">
        <f t="shared" si="73"/>
        <v>-5.9394922394178984E-2</v>
      </c>
      <c r="AJ82" s="18">
        <f t="shared" si="73"/>
        <v>-0.19715806275393488</v>
      </c>
      <c r="AK82" s="18">
        <f t="shared" si="73"/>
        <v>0.19760860631219734</v>
      </c>
      <c r="AL82" s="18">
        <f t="shared" si="73"/>
        <v>0.32851068273185557</v>
      </c>
    </row>
    <row r="83" spans="23:38" x14ac:dyDescent="0.25">
      <c r="W83" s="12" t="s">
        <v>41</v>
      </c>
      <c r="Y83" s="18"/>
      <c r="Z83" s="18"/>
      <c r="AA83" s="18">
        <f t="shared" ref="AA83:AL83" si="74">+AA81/Z81-1</f>
        <v>-0.20087484368060982</v>
      </c>
      <c r="AB83" s="18">
        <f t="shared" si="74"/>
        <v>1.4326212844155473E-2</v>
      </c>
      <c r="AC83" s="18">
        <f t="shared" si="74"/>
        <v>-0.38987363471205216</v>
      </c>
      <c r="AD83" s="18">
        <f t="shared" si="74"/>
        <v>0.12899200634644314</v>
      </c>
      <c r="AE83" s="18">
        <f t="shared" si="74"/>
        <v>8.3058650733042638E-2</v>
      </c>
      <c r="AF83" s="18">
        <f t="shared" si="74"/>
        <v>5.5673447320402802E-2</v>
      </c>
      <c r="AG83" s="18">
        <f t="shared" si="74"/>
        <v>-0.17959387483355527</v>
      </c>
      <c r="AH83" s="18">
        <f t="shared" si="74"/>
        <v>-0.10326118055880684</v>
      </c>
      <c r="AI83" s="18">
        <f t="shared" si="74"/>
        <v>0.21110795273260985</v>
      </c>
      <c r="AJ83" s="18">
        <f t="shared" si="74"/>
        <v>-9.8942865901557653E-2</v>
      </c>
      <c r="AK83" s="18">
        <f t="shared" si="74"/>
        <v>0.22380930864282855</v>
      </c>
      <c r="AL83" s="18">
        <f t="shared" si="74"/>
        <v>-5.2450400165061639E-3</v>
      </c>
    </row>
    <row r="84" spans="23:38" x14ac:dyDescent="0.25">
      <c r="W84" s="12" t="s">
        <v>79</v>
      </c>
      <c r="Z84" s="13">
        <v>235599</v>
      </c>
      <c r="AA84" s="13">
        <v>233317</v>
      </c>
      <c r="AB84" s="13">
        <v>223757</v>
      </c>
      <c r="AC84" s="13">
        <v>582674</v>
      </c>
      <c r="AD84" s="13">
        <v>238671</v>
      </c>
      <c r="AE84" s="13">
        <v>409617</v>
      </c>
      <c r="AF84" s="13">
        <v>493612</v>
      </c>
      <c r="AG84" s="13">
        <v>231939</v>
      </c>
      <c r="AH84" s="13">
        <v>201080</v>
      </c>
      <c r="AI84" s="13">
        <v>219841</v>
      </c>
      <c r="AJ84" s="13">
        <v>245337</v>
      </c>
      <c r="AK84" s="13">
        <v>284119</v>
      </c>
      <c r="AL84" s="13">
        <v>282690</v>
      </c>
    </row>
    <row r="85" spans="23:38" x14ac:dyDescent="0.25">
      <c r="W85" s="12" t="s">
        <v>82</v>
      </c>
      <c r="X85" s="19"/>
      <c r="Y85" s="19"/>
      <c r="Z85" s="19">
        <f t="shared" ref="Z85:AF85" si="75">+Z84/Z81</f>
        <v>0.32094720695733675</v>
      </c>
      <c r="AA85" s="19">
        <f t="shared" si="75"/>
        <v>0.39773310354115204</v>
      </c>
      <c r="AB85" s="19">
        <f t="shared" si="75"/>
        <v>0.37604891255938866</v>
      </c>
      <c r="AC85" s="19">
        <f t="shared" si="75"/>
        <v>1.6049945184801591</v>
      </c>
      <c r="AD85" s="19">
        <f t="shared" si="75"/>
        <v>0.58231328699309781</v>
      </c>
      <c r="AE85" s="19">
        <f t="shared" si="75"/>
        <v>0.92274785429478945</v>
      </c>
      <c r="AF85" s="19">
        <f t="shared" si="75"/>
        <v>1.053322066304756</v>
      </c>
      <c r="AG85" s="19">
        <f>+AG84/AG81</f>
        <v>0.60328198885715623</v>
      </c>
      <c r="AH85" s="19">
        <f t="shared" ref="AH85:AJ85" si="76">+AH84/AH81</f>
        <v>0.58324293280581962</v>
      </c>
      <c r="AI85" s="19">
        <f t="shared" si="76"/>
        <v>0.52650978100511558</v>
      </c>
      <c r="AJ85" s="19">
        <f t="shared" si="76"/>
        <v>0.6520914012933543</v>
      </c>
      <c r="AK85" s="19">
        <f>+AK84/AK81</f>
        <v>0.61706646975143076</v>
      </c>
      <c r="AL85" s="19">
        <f t="shared" ref="AL85" si="77">+AL84/AL81</f>
        <v>0.61720012226540322</v>
      </c>
    </row>
    <row r="86" spans="23:38" x14ac:dyDescent="0.25">
      <c r="W86" s="12" t="s">
        <v>184</v>
      </c>
      <c r="Z86" s="13">
        <v>151375</v>
      </c>
      <c r="AA86" s="13">
        <v>130331</v>
      </c>
      <c r="AB86" s="13">
        <v>73038</v>
      </c>
      <c r="AC86" s="13">
        <v>463678</v>
      </c>
      <c r="AD86" s="13">
        <v>303890</v>
      </c>
      <c r="AE86" s="13">
        <v>219719</v>
      </c>
      <c r="AF86" s="13">
        <v>341413</v>
      </c>
      <c r="AG86" s="13">
        <v>94000</v>
      </c>
      <c r="AH86" s="13">
        <v>114783</v>
      </c>
      <c r="AI86" s="13">
        <v>121676</v>
      </c>
      <c r="AJ86" s="13">
        <v>173976</v>
      </c>
      <c r="AK86" s="13">
        <v>144162</v>
      </c>
      <c r="AL86" s="13">
        <v>227186</v>
      </c>
    </row>
    <row r="87" spans="23:38" x14ac:dyDescent="0.25">
      <c r="W87" s="12" t="s">
        <v>82</v>
      </c>
      <c r="Z87" s="19">
        <f t="shared" ref="Z87:AF87" si="78">+Z86/Z81</f>
        <v>0.2062121802434087</v>
      </c>
      <c r="AA87" s="19">
        <f t="shared" si="78"/>
        <v>0.22217392267868133</v>
      </c>
      <c r="AB87" s="19">
        <f t="shared" si="78"/>
        <v>0.12274860887262802</v>
      </c>
      <c r="AC87" s="19">
        <f t="shared" si="78"/>
        <v>1.2772161591899471</v>
      </c>
      <c r="AD87" s="19">
        <f t="shared" si="78"/>
        <v>0.74143563643816168</v>
      </c>
      <c r="AE87" s="19">
        <f t="shared" si="78"/>
        <v>0.49496294293888399</v>
      </c>
      <c r="AF87" s="19">
        <f t="shared" si="78"/>
        <v>0.72854356584383217</v>
      </c>
      <c r="AG87" s="19">
        <f>+AG86/AG81</f>
        <v>0.24449750560523537</v>
      </c>
      <c r="AH87" s="19">
        <f t="shared" ref="AH87:AJ87" si="79">+AH86/AH81</f>
        <v>0.33293402405137457</v>
      </c>
      <c r="AI87" s="19">
        <f t="shared" si="79"/>
        <v>0.29140880961048415</v>
      </c>
      <c r="AJ87" s="19">
        <f t="shared" si="79"/>
        <v>0.46241803572805007</v>
      </c>
      <c r="AK87" s="19">
        <f>+AK86/AK81</f>
        <v>0.31309956888594481</v>
      </c>
      <c r="AL87" s="19">
        <f t="shared" ref="AL87" si="80">+AL86/AL81</f>
        <v>0.49601764115104147</v>
      </c>
    </row>
  </sheetData>
  <mergeCells count="3">
    <mergeCell ref="AP2:AT2"/>
    <mergeCell ref="AU2:AY2"/>
    <mergeCell ref="B13:H13"/>
  </mergeCells>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36E3-FEC8-44B9-953E-702664E0ED91}">
  <sheetPr>
    <tabColor rgb="FF92D050"/>
  </sheetPr>
  <dimension ref="A1:AX87"/>
  <sheetViews>
    <sheetView topLeftCell="X10" zoomScale="85" zoomScaleNormal="85" workbookViewId="0">
      <selection activeCell="AH3" sqref="AH3:AK3"/>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7" width="12" style="12" customWidth="1"/>
    <col min="38" max="39" width="8.85546875" style="12"/>
    <col min="40" max="40" width="14.28515625" style="50" bestFit="1" customWidth="1"/>
    <col min="41" max="16384" width="8.85546875" style="50"/>
  </cols>
  <sheetData>
    <row r="1" spans="1:50" ht="15.75" thickBot="1" x14ac:dyDescent="0.3">
      <c r="W1" s="20" t="s">
        <v>194</v>
      </c>
      <c r="X1" s="59">
        <f>+'Valuation Sheet'!C22</f>
        <v>58.1</v>
      </c>
    </row>
    <row r="2" spans="1:50"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381</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c r="AN2" s="71" t="str">
        <f>+W2</f>
        <v>SUN</v>
      </c>
      <c r="AO2" s="189" t="s">
        <v>190</v>
      </c>
      <c r="AP2" s="190"/>
      <c r="AQ2" s="190"/>
      <c r="AR2" s="190"/>
      <c r="AS2" s="191"/>
      <c r="AT2" s="192" t="s">
        <v>191</v>
      </c>
      <c r="AU2" s="192"/>
      <c r="AV2" s="192"/>
      <c r="AW2" s="192"/>
      <c r="AX2" s="192"/>
    </row>
    <row r="3" spans="1:50" ht="18" thickTop="1" thickBot="1" x14ac:dyDescent="0.4">
      <c r="B3" s="25" t="s">
        <v>10</v>
      </c>
      <c r="C3" s="26">
        <v>17820.179</v>
      </c>
      <c r="D3" s="26"/>
      <c r="E3" s="26"/>
      <c r="F3" s="26"/>
      <c r="G3" s="26"/>
      <c r="H3" s="26"/>
      <c r="I3" s="27"/>
      <c r="J3" s="21"/>
      <c r="M3" s="1" t="s">
        <v>11</v>
      </c>
      <c r="N3" s="2">
        <f>'[1]LT Portfolio'!W294</f>
        <v>0</v>
      </c>
      <c r="W3" s="12" t="s">
        <v>62</v>
      </c>
      <c r="X3" s="13"/>
      <c r="Y3" s="13"/>
      <c r="Z3" s="13"/>
      <c r="AA3" s="13"/>
      <c r="AB3" s="13"/>
      <c r="AC3" s="13">
        <v>8305412.2460000003</v>
      </c>
      <c r="AD3" s="13">
        <v>8057532.9380000001</v>
      </c>
      <c r="AE3" s="13">
        <v>11718663</v>
      </c>
      <c r="AF3" s="13">
        <v>13209224</v>
      </c>
      <c r="AG3" s="13">
        <v>13633508.228</v>
      </c>
      <c r="AH3" s="13">
        <v>13325358.198000001</v>
      </c>
      <c r="AI3" s="13">
        <v>13370441</v>
      </c>
      <c r="AJ3" s="13">
        <v>14786763</v>
      </c>
      <c r="AK3" s="13">
        <v>14228515</v>
      </c>
      <c r="AN3" s="69"/>
      <c r="AO3" s="66" t="s">
        <v>78</v>
      </c>
      <c r="AP3" s="67" t="s">
        <v>17</v>
      </c>
      <c r="AQ3" s="67" t="s">
        <v>184</v>
      </c>
      <c r="AR3" s="67" t="s">
        <v>29</v>
      </c>
      <c r="AS3" s="68" t="s">
        <v>30</v>
      </c>
      <c r="AT3" s="66" t="s">
        <v>78</v>
      </c>
      <c r="AU3" s="67" t="s">
        <v>17</v>
      </c>
      <c r="AV3" s="67" t="s">
        <v>184</v>
      </c>
      <c r="AW3" s="67" t="s">
        <v>29</v>
      </c>
      <c r="AX3" s="68" t="s">
        <v>30</v>
      </c>
    </row>
    <row r="4" spans="1:50"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K4" si="1">+AB3/X3-1</f>
        <v>#DIV/0!</v>
      </c>
      <c r="AC4" s="18" t="e">
        <f t="shared" si="1"/>
        <v>#DIV/0!</v>
      </c>
      <c r="AD4" s="18" t="e">
        <f t="shared" si="1"/>
        <v>#DIV/0!</v>
      </c>
      <c r="AE4" s="18" t="e">
        <f t="shared" si="1"/>
        <v>#DIV/0!</v>
      </c>
      <c r="AF4" s="18" t="e">
        <f t="shared" si="1"/>
        <v>#DIV/0!</v>
      </c>
      <c r="AG4" s="18">
        <f t="shared" si="1"/>
        <v>0.64152095334775017</v>
      </c>
      <c r="AH4" s="18">
        <f t="shared" si="1"/>
        <v>0.65377644752235464</v>
      </c>
      <c r="AI4" s="18">
        <f t="shared" si="1"/>
        <v>0.14095276910002452</v>
      </c>
      <c r="AJ4" s="18">
        <f t="shared" si="1"/>
        <v>0.11942707610984571</v>
      </c>
      <c r="AK4" s="18">
        <f t="shared" si="1"/>
        <v>4.3642968636494972E-2</v>
      </c>
      <c r="AL4" s="46"/>
      <c r="AN4" s="69" t="s">
        <v>185</v>
      </c>
      <c r="AO4" s="60">
        <v>55979</v>
      </c>
      <c r="AP4" s="61"/>
      <c r="AQ4" s="61">
        <v>5174</v>
      </c>
      <c r="AR4" s="74">
        <v>10.5</v>
      </c>
      <c r="AS4" s="64">
        <v>2</v>
      </c>
      <c r="AT4" s="60">
        <v>62230</v>
      </c>
      <c r="AU4" s="61"/>
      <c r="AV4" s="61">
        <v>6412</v>
      </c>
      <c r="AW4" s="58">
        <v>13</v>
      </c>
      <c r="AX4" s="64">
        <v>3.1</v>
      </c>
    </row>
    <row r="5" spans="1:50"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K5" si="2">+Y3/X3-1</f>
        <v>#DIV/0!</v>
      </c>
      <c r="Z5" s="18" t="e">
        <f t="shared" si="2"/>
        <v>#DIV/0!</v>
      </c>
      <c r="AA5" s="18" t="e">
        <f t="shared" si="2"/>
        <v>#DIV/0!</v>
      </c>
      <c r="AB5" s="18" t="e">
        <f t="shared" si="2"/>
        <v>#DIV/0!</v>
      </c>
      <c r="AC5" s="18" t="e">
        <f t="shared" si="2"/>
        <v>#DIV/0!</v>
      </c>
      <c r="AD5" s="18">
        <f t="shared" si="2"/>
        <v>-2.9845515268598799E-2</v>
      </c>
      <c r="AE5" s="18">
        <f t="shared" si="2"/>
        <v>0.4543735768964472</v>
      </c>
      <c r="AF5" s="18">
        <f t="shared" si="2"/>
        <v>0.1271954829659323</v>
      </c>
      <c r="AG5" s="18">
        <f t="shared" si="2"/>
        <v>3.2120299269661867E-2</v>
      </c>
      <c r="AH5" s="18">
        <f t="shared" si="2"/>
        <v>-2.2602401733042732E-2</v>
      </c>
      <c r="AI5" s="18">
        <f t="shared" si="2"/>
        <v>3.383233781045103E-3</v>
      </c>
      <c r="AJ5" s="18">
        <f t="shared" si="2"/>
        <v>0.10592934070013094</v>
      </c>
      <c r="AK5" s="18">
        <f t="shared" si="2"/>
        <v>-3.7753225638363141E-2</v>
      </c>
      <c r="AN5" s="69" t="s">
        <v>186</v>
      </c>
      <c r="AO5" s="60"/>
      <c r="AP5" s="61"/>
      <c r="AQ5" s="61"/>
      <c r="AR5" s="58"/>
      <c r="AS5" s="64"/>
      <c r="AT5" s="60"/>
      <c r="AU5" s="61"/>
      <c r="AV5" s="61"/>
      <c r="AW5" s="58"/>
      <c r="AX5" s="64"/>
    </row>
    <row r="6" spans="1:50"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N6" s="69" t="s">
        <v>187</v>
      </c>
      <c r="AO6" s="60">
        <v>57305</v>
      </c>
      <c r="AP6" s="61">
        <v>10013</v>
      </c>
      <c r="AQ6" s="61">
        <v>4725</v>
      </c>
      <c r="AR6" s="58">
        <v>9.6</v>
      </c>
      <c r="AS6" s="64">
        <v>2.5</v>
      </c>
      <c r="AT6" s="60">
        <v>66077</v>
      </c>
      <c r="AU6" s="61">
        <v>10383</v>
      </c>
      <c r="AV6" s="61">
        <v>5047</v>
      </c>
      <c r="AW6" s="58">
        <v>10.26</v>
      </c>
      <c r="AX6" s="64">
        <v>2.75</v>
      </c>
    </row>
    <row r="7" spans="1:50"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K7" s="13"/>
      <c r="AN7" s="69" t="s">
        <v>188</v>
      </c>
      <c r="AO7" s="60"/>
      <c r="AP7" s="61"/>
      <c r="AQ7" s="61"/>
      <c r="AR7" s="74"/>
      <c r="AS7" s="64"/>
      <c r="AT7" s="60"/>
      <c r="AU7" s="61"/>
      <c r="AV7" s="61"/>
      <c r="AW7" s="58"/>
      <c r="AX7" s="64"/>
    </row>
    <row r="8" spans="1:50"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K8" si="5">+AB7/X7-1</f>
        <v>#DIV/0!</v>
      </c>
      <c r="AC8" s="18" t="e">
        <f t="shared" si="5"/>
        <v>#DIV/0!</v>
      </c>
      <c r="AD8" s="18" t="e">
        <f t="shared" si="5"/>
        <v>#DIV/0!</v>
      </c>
      <c r="AE8" s="18" t="e">
        <f t="shared" si="5"/>
        <v>#DIV/0!</v>
      </c>
      <c r="AF8" s="18" t="e">
        <f t="shared" si="5"/>
        <v>#DIV/0!</v>
      </c>
      <c r="AG8" s="18" t="e">
        <f t="shared" si="5"/>
        <v>#DIV/0!</v>
      </c>
      <c r="AH8" s="18" t="e">
        <f t="shared" si="5"/>
        <v>#DIV/0!</v>
      </c>
      <c r="AI8" s="18" t="e">
        <f t="shared" si="5"/>
        <v>#DIV/0!</v>
      </c>
      <c r="AJ8" s="18" t="e">
        <f t="shared" si="5"/>
        <v>#DIV/0!</v>
      </c>
      <c r="AK8" s="18" t="e">
        <f t="shared" si="5"/>
        <v>#DIV/0!</v>
      </c>
      <c r="AN8" s="69" t="s">
        <v>197</v>
      </c>
      <c r="AO8" s="60">
        <v>58143</v>
      </c>
      <c r="AP8" s="61">
        <v>9234</v>
      </c>
      <c r="AQ8" s="61">
        <v>4918</v>
      </c>
      <c r="AR8" s="58">
        <v>10</v>
      </c>
      <c r="AS8" s="64"/>
      <c r="AT8" s="60">
        <v>69087</v>
      </c>
      <c r="AU8" s="61">
        <v>11440</v>
      </c>
      <c r="AV8" s="61">
        <v>5328</v>
      </c>
      <c r="AW8" s="58">
        <v>10.83</v>
      </c>
      <c r="AX8" s="64"/>
    </row>
    <row r="9" spans="1:50"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K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8" t="e">
        <f t="shared" si="6"/>
        <v>#DIV/0!</v>
      </c>
      <c r="AJ9" s="18" t="e">
        <f t="shared" si="6"/>
        <v>#DIV/0!</v>
      </c>
      <c r="AK9" s="18" t="e">
        <f t="shared" si="6"/>
        <v>#DIV/0!</v>
      </c>
      <c r="AN9" s="69" t="s">
        <v>195</v>
      </c>
      <c r="AO9" s="60"/>
      <c r="AP9" s="61"/>
      <c r="AQ9" s="61"/>
      <c r="AR9" s="74"/>
      <c r="AS9" s="64"/>
      <c r="AT9" s="60"/>
      <c r="AU9" s="61"/>
      <c r="AV9" s="61"/>
      <c r="AW9" s="58"/>
      <c r="AX9" s="64"/>
    </row>
    <row r="10" spans="1:50"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N10" s="69" t="s">
        <v>196</v>
      </c>
      <c r="AO10" s="60"/>
      <c r="AP10" s="61"/>
      <c r="AQ10" s="61"/>
      <c r="AR10" s="58"/>
      <c r="AS10" s="64"/>
      <c r="AT10" s="60"/>
      <c r="AU10" s="61"/>
      <c r="AV10" s="61"/>
      <c r="AW10" s="58"/>
      <c r="AX10" s="64"/>
    </row>
    <row r="11" spans="1:50" ht="18" thickTop="1" thickBot="1" x14ac:dyDescent="0.4">
      <c r="B11" s="28" t="s">
        <v>25</v>
      </c>
      <c r="C11" s="30">
        <f t="shared" ref="C11:G11" si="7">C10/C$3*100</f>
        <v>12.180949473066461</v>
      </c>
      <c r="D11" s="30" t="e">
        <f t="shared" si="7"/>
        <v>#DIV/0!</v>
      </c>
      <c r="E11" s="30" t="e">
        <f t="shared" si="7"/>
        <v>#DIV/0!</v>
      </c>
      <c r="F11" s="30" t="e">
        <f t="shared" si="7"/>
        <v>#DIV/0!</v>
      </c>
      <c r="G11" s="30" t="e">
        <f t="shared" si="7"/>
        <v>#DIV/0!</v>
      </c>
      <c r="H11" s="30" t="e">
        <f>H10/H$3*100</f>
        <v>#DIV/0!</v>
      </c>
      <c r="I11" s="31" t="e">
        <f>I10/I$3*100</f>
        <v>#DIV/0!</v>
      </c>
      <c r="J11" s="23" t="e">
        <f>AVERAGE(D11:I11)</f>
        <v>#DIV/0!</v>
      </c>
      <c r="M11" s="1" t="s">
        <v>26</v>
      </c>
      <c r="N11" s="3">
        <f>'[1]LT Portfolio'!T294</f>
        <v>0</v>
      </c>
      <c r="O11" s="4" t="e">
        <f>N11/N7-1</f>
        <v>#DIV/0!</v>
      </c>
      <c r="W11" s="12" t="s">
        <v>42</v>
      </c>
      <c r="X11" s="13"/>
      <c r="Y11" s="13"/>
      <c r="Z11" s="13"/>
      <c r="AA11" s="13"/>
      <c r="AB11" s="13"/>
      <c r="AC11" s="13">
        <v>2748617.4139999999</v>
      </c>
      <c r="AD11" s="13">
        <v>2111492.7000000002</v>
      </c>
      <c r="AE11" s="13">
        <v>3480522</v>
      </c>
      <c r="AF11" s="13">
        <v>3850429</v>
      </c>
      <c r="AG11" s="13">
        <v>2855096.6529999999</v>
      </c>
      <c r="AH11" s="13">
        <v>3320184.8560000001</v>
      </c>
      <c r="AI11" s="13">
        <v>3958539</v>
      </c>
      <c r="AJ11" s="13">
        <v>4858218</v>
      </c>
      <c r="AK11" s="13">
        <v>4793332</v>
      </c>
      <c r="AN11" s="70" t="s">
        <v>192</v>
      </c>
      <c r="AO11" s="62">
        <f>+AVERAGE(AO4:AO10)</f>
        <v>57142.333333333336</v>
      </c>
      <c r="AP11" s="63">
        <f t="shared" ref="AP11:AX11" si="8">+AVERAGE(AP4:AP10)</f>
        <v>9623.5</v>
      </c>
      <c r="AQ11" s="63">
        <f t="shared" si="8"/>
        <v>4939</v>
      </c>
      <c r="AR11" s="72">
        <f t="shared" si="8"/>
        <v>10.033333333333333</v>
      </c>
      <c r="AS11" s="65">
        <f t="shared" si="8"/>
        <v>2.25</v>
      </c>
      <c r="AT11" s="62">
        <f t="shared" si="8"/>
        <v>65798</v>
      </c>
      <c r="AU11" s="63">
        <f t="shared" si="8"/>
        <v>10911.5</v>
      </c>
      <c r="AV11" s="63">
        <f t="shared" si="8"/>
        <v>5595.666666666667</v>
      </c>
      <c r="AW11" s="72">
        <f t="shared" si="8"/>
        <v>11.363333333333332</v>
      </c>
      <c r="AX11" s="65">
        <f t="shared" si="8"/>
        <v>2.9249999999999998</v>
      </c>
    </row>
    <row r="12" spans="1:50" ht="18" thickTop="1" thickBot="1" x14ac:dyDescent="0.4">
      <c r="B12" s="28" t="s">
        <v>27</v>
      </c>
      <c r="C12" s="29"/>
      <c r="D12" s="30">
        <f t="shared" ref="D12:I12" si="9">(D10/C10-1)*100</f>
        <v>-100</v>
      </c>
      <c r="E12" s="30" t="e">
        <f t="shared" si="9"/>
        <v>#DIV/0!</v>
      </c>
      <c r="F12" s="30" t="e">
        <f t="shared" si="9"/>
        <v>#DIV/0!</v>
      </c>
      <c r="G12" s="30" t="e">
        <f t="shared" si="9"/>
        <v>#DIV/0!</v>
      </c>
      <c r="H12" s="30" t="e">
        <f t="shared" si="9"/>
        <v>#DIV/0!</v>
      </c>
      <c r="I12" s="31" t="e">
        <f t="shared" si="9"/>
        <v>#DIV/0!</v>
      </c>
      <c r="J12" s="23" t="e">
        <f>AVERAGE(D12:I12)</f>
        <v>#DIV/0!</v>
      </c>
      <c r="S12" t="s">
        <v>20</v>
      </c>
      <c r="T12" t="s">
        <v>22</v>
      </c>
      <c r="W12" s="12" t="s">
        <v>43</v>
      </c>
      <c r="X12" s="19" t="e">
        <f t="shared" ref="X12:AJ12" si="10">+X11/X3</f>
        <v>#DIV/0!</v>
      </c>
      <c r="Y12" s="19" t="e">
        <f t="shared" si="10"/>
        <v>#DIV/0!</v>
      </c>
      <c r="Z12" s="19" t="e">
        <f t="shared" si="10"/>
        <v>#DIV/0!</v>
      </c>
      <c r="AA12" s="19" t="e">
        <f t="shared" si="10"/>
        <v>#DIV/0!</v>
      </c>
      <c r="AB12" s="19" t="e">
        <f t="shared" si="10"/>
        <v>#DIV/0!</v>
      </c>
      <c r="AC12" s="19">
        <f t="shared" si="10"/>
        <v>0.33094292403411663</v>
      </c>
      <c r="AD12" s="19">
        <f t="shared" si="10"/>
        <v>0.26205200974631127</v>
      </c>
      <c r="AE12" s="19">
        <f t="shared" si="10"/>
        <v>0.29700674897810442</v>
      </c>
      <c r="AF12" s="19">
        <f t="shared" si="10"/>
        <v>0.2914954731632986</v>
      </c>
      <c r="AG12" s="19">
        <f t="shared" si="10"/>
        <v>0.20941760589077923</v>
      </c>
      <c r="AH12" s="19">
        <f t="shared" si="10"/>
        <v>0.24916289728694316</v>
      </c>
      <c r="AI12" s="19">
        <f t="shared" si="10"/>
        <v>0.29606644986504183</v>
      </c>
      <c r="AJ12" s="19">
        <f t="shared" si="10"/>
        <v>0.32855182706316455</v>
      </c>
      <c r="AK12" s="19">
        <f t="shared" ref="AK12" si="11">+AK11/AK3</f>
        <v>0.33688209908061384</v>
      </c>
      <c r="AN12" s="12"/>
      <c r="AO12" s="12"/>
      <c r="AP12" s="12"/>
      <c r="AQ12" s="12"/>
      <c r="AR12" s="12"/>
      <c r="AS12" s="99" t="s">
        <v>34</v>
      </c>
      <c r="AT12" s="12"/>
      <c r="AU12" s="12"/>
      <c r="AV12" s="12"/>
      <c r="AW12" s="12"/>
      <c r="AX12" s="99" t="s">
        <v>34</v>
      </c>
    </row>
    <row r="13" spans="1:50"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c r="AN13" s="12" t="s">
        <v>193</v>
      </c>
      <c r="AO13" s="12"/>
      <c r="AP13" s="12"/>
      <c r="AQ13" s="12"/>
      <c r="AR13" s="58">
        <f>+$X$1/AR11</f>
        <v>5.7906976744186052</v>
      </c>
      <c r="AS13" s="75">
        <f>+AS11/$X$1</f>
        <v>3.8726333907056799E-2</v>
      </c>
      <c r="AT13" s="12"/>
      <c r="AU13" s="12"/>
      <c r="AV13" s="12"/>
      <c r="AW13" s="58">
        <f>+$X$1/AW11</f>
        <v>5.1129363449692002</v>
      </c>
      <c r="AX13" s="75">
        <f>+AX11/$X$1</f>
        <v>5.0344234079173836E-2</v>
      </c>
    </row>
    <row r="14" spans="1:50"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c r="Y14" s="13"/>
      <c r="Z14" s="13"/>
      <c r="AA14" s="13"/>
      <c r="AB14" s="13"/>
      <c r="AC14" s="13">
        <v>1470815.95</v>
      </c>
      <c r="AD14" s="13">
        <v>1255639.04</v>
      </c>
      <c r="AE14" s="13">
        <v>1995063</v>
      </c>
      <c r="AF14" s="13">
        <v>2336158</v>
      </c>
      <c r="AG14" s="10">
        <v>1490699.9069999999</v>
      </c>
      <c r="AH14" s="13">
        <v>1179007.9480000001</v>
      </c>
      <c r="AI14" s="13">
        <v>2014655</v>
      </c>
      <c r="AJ14" s="13">
        <v>2811609</v>
      </c>
      <c r="AK14" s="13">
        <v>2568190</v>
      </c>
    </row>
    <row r="15" spans="1:50" ht="18" thickTop="1" thickBot="1" x14ac:dyDescent="0.4">
      <c r="B15" s="32" t="s">
        <v>30</v>
      </c>
      <c r="C15" s="34">
        <f>1+0.6</f>
        <v>1.6</v>
      </c>
      <c r="D15" s="34"/>
      <c r="E15" s="34"/>
      <c r="F15" s="34"/>
      <c r="G15" s="34"/>
      <c r="H15" s="34"/>
      <c r="I15" s="35"/>
      <c r="J15" s="24"/>
      <c r="R15" s="6"/>
      <c r="S15" s="6"/>
      <c r="W15" s="12" t="s">
        <v>55</v>
      </c>
      <c r="X15" s="19" t="e">
        <f t="shared" ref="X15:AJ15" si="12">+X14/X3</f>
        <v>#DIV/0!</v>
      </c>
      <c r="Y15" s="19" t="e">
        <f t="shared" si="12"/>
        <v>#DIV/0!</v>
      </c>
      <c r="Z15" s="19" t="e">
        <f t="shared" si="12"/>
        <v>#DIV/0!</v>
      </c>
      <c r="AA15" s="19" t="e">
        <f t="shared" si="12"/>
        <v>#DIV/0!</v>
      </c>
      <c r="AB15" s="19" t="e">
        <f t="shared" si="12"/>
        <v>#DIV/0!</v>
      </c>
      <c r="AC15" s="19">
        <f t="shared" si="12"/>
        <v>0.17709126367669045</v>
      </c>
      <c r="AD15" s="19">
        <f t="shared" si="12"/>
        <v>0.15583418022138032</v>
      </c>
      <c r="AE15" s="19">
        <f t="shared" si="12"/>
        <v>0.17024663991105471</v>
      </c>
      <c r="AF15" s="19">
        <f t="shared" si="12"/>
        <v>0.17685808038382875</v>
      </c>
      <c r="AG15" s="19">
        <f t="shared" si="12"/>
        <v>0.10934088879181185</v>
      </c>
      <c r="AH15" s="19">
        <f t="shared" si="12"/>
        <v>8.8478518211762378E-2</v>
      </c>
      <c r="AI15" s="19">
        <f t="shared" si="12"/>
        <v>0.15067977189383655</v>
      </c>
      <c r="AJ15" s="19">
        <f t="shared" si="12"/>
        <v>0.1901436440145825</v>
      </c>
      <c r="AK15" s="19">
        <f t="shared" ref="AK15" si="13">+AK14/AK3</f>
        <v>0.18049599694697585</v>
      </c>
    </row>
    <row r="16" spans="1:50" ht="18" thickTop="1" thickBot="1" x14ac:dyDescent="0.4">
      <c r="B16" s="32" t="s">
        <v>8</v>
      </c>
      <c r="C16" s="34">
        <v>31.7</v>
      </c>
      <c r="D16" s="34"/>
      <c r="E16" s="34"/>
      <c r="F16" s="34"/>
      <c r="G16" s="34"/>
      <c r="H16" s="34"/>
      <c r="I16" s="35"/>
      <c r="J16" s="22" t="e">
        <f>((I16/D16)^(1/5)-1)*100</f>
        <v>#DIV/0!</v>
      </c>
    </row>
    <row r="17" spans="2:37" ht="18" thickTop="1" thickBot="1" x14ac:dyDescent="0.4">
      <c r="B17" s="32" t="s">
        <v>31</v>
      </c>
      <c r="C17" s="34">
        <v>14.6</v>
      </c>
      <c r="D17" s="34"/>
      <c r="E17" s="34"/>
      <c r="F17" s="34"/>
      <c r="G17" s="34"/>
      <c r="H17" s="34"/>
      <c r="I17" s="35"/>
      <c r="J17" s="22" t="e">
        <f>((I17/D17)^(1/6)-1)*100</f>
        <v>#DIV/0!</v>
      </c>
      <c r="W17" s="12" t="s">
        <v>44</v>
      </c>
      <c r="X17" s="13"/>
      <c r="Y17" s="13"/>
      <c r="Z17" s="13"/>
      <c r="AA17" s="13"/>
      <c r="AB17" s="13"/>
      <c r="AC17" s="13">
        <v>-31594.224999999999</v>
      </c>
      <c r="AD17" s="13">
        <v>93530.903999999995</v>
      </c>
      <c r="AE17" s="13">
        <v>12662</v>
      </c>
      <c r="AF17" s="13">
        <v>-251976</v>
      </c>
      <c r="AG17" s="13">
        <v>-387506.37800000003</v>
      </c>
      <c r="AH17" s="13">
        <v>-359176.10399999999</v>
      </c>
      <c r="AI17" s="13">
        <v>-147784</v>
      </c>
      <c r="AJ17" s="13">
        <v>-13683</v>
      </c>
      <c r="AK17" s="13">
        <v>-121578</v>
      </c>
    </row>
    <row r="18" spans="2:37" ht="18" thickTop="1" thickBot="1" x14ac:dyDescent="0.4">
      <c r="B18" s="32" t="s">
        <v>32</v>
      </c>
      <c r="C18" s="36">
        <f t="shared" ref="C18:G18" si="14">C14/AVERAGE(B17:C17)*100</f>
        <v>22.19178082191781</v>
      </c>
      <c r="D18" s="36">
        <f t="shared" si="14"/>
        <v>0</v>
      </c>
      <c r="E18" s="36" t="e">
        <f t="shared" si="14"/>
        <v>#DIV/0!</v>
      </c>
      <c r="F18" s="36" t="e">
        <f t="shared" si="14"/>
        <v>#DIV/0!</v>
      </c>
      <c r="G18" s="36" t="e">
        <f t="shared" si="14"/>
        <v>#DIV/0!</v>
      </c>
      <c r="H18" s="36" t="e">
        <f>H14/AVERAGE(G17:H17)*100</f>
        <v>#DIV/0!</v>
      </c>
      <c r="I18" s="37" t="e">
        <f>I14/AVERAGE(H17:I17)*100</f>
        <v>#DIV/0!</v>
      </c>
      <c r="J18" s="23" t="e">
        <f>AVERAGE(D18:I18)</f>
        <v>#DIV/0!</v>
      </c>
      <c r="M18" s="9" t="s">
        <v>33</v>
      </c>
      <c r="N18" s="6"/>
      <c r="O18" s="6"/>
      <c r="P18" s="6"/>
      <c r="Q18" s="6"/>
      <c r="W18" s="12" t="s">
        <v>45</v>
      </c>
      <c r="X18" s="15" t="e">
        <f t="shared" ref="X18:AJ18" si="15">+X17/X14</f>
        <v>#DIV/0!</v>
      </c>
      <c r="Y18" s="15" t="e">
        <f t="shared" si="15"/>
        <v>#DIV/0!</v>
      </c>
      <c r="Z18" s="15" t="e">
        <f t="shared" si="15"/>
        <v>#DIV/0!</v>
      </c>
      <c r="AA18" s="15" t="e">
        <f t="shared" si="15"/>
        <v>#DIV/0!</v>
      </c>
      <c r="AB18" s="15" t="e">
        <f t="shared" si="15"/>
        <v>#DIV/0!</v>
      </c>
      <c r="AC18" s="15">
        <f t="shared" si="15"/>
        <v>-2.1480746792282204E-2</v>
      </c>
      <c r="AD18" s="15">
        <f t="shared" si="15"/>
        <v>7.4488687449539626E-2</v>
      </c>
      <c r="AE18" s="15">
        <f t="shared" si="15"/>
        <v>6.3466667468646352E-3</v>
      </c>
      <c r="AF18" s="15">
        <f t="shared" si="15"/>
        <v>-0.10785914308878081</v>
      </c>
      <c r="AG18" s="15">
        <f t="shared" si="15"/>
        <v>-0.25994928702977377</v>
      </c>
      <c r="AH18" s="15">
        <f t="shared" si="15"/>
        <v>-0.30464264860070306</v>
      </c>
      <c r="AI18" s="15">
        <f t="shared" si="15"/>
        <v>-7.3354494938339315E-2</v>
      </c>
      <c r="AJ18" s="15">
        <f t="shared" si="15"/>
        <v>-4.8666084082103879E-3</v>
      </c>
      <c r="AK18" s="15">
        <f t="shared" ref="AK18" si="16">+AK17/AK14</f>
        <v>-4.7339955377133314E-2</v>
      </c>
    </row>
    <row r="19" spans="2:37" ht="18" thickTop="1" thickBot="1" x14ac:dyDescent="0.4">
      <c r="B19" s="32" t="s">
        <v>34</v>
      </c>
      <c r="C19" s="30">
        <f t="shared" ref="C19:G19" si="17">C15/C16*100</f>
        <v>5.0473186119873823</v>
      </c>
      <c r="D19" s="30" t="e">
        <f t="shared" si="17"/>
        <v>#DIV/0!</v>
      </c>
      <c r="E19" s="30" t="e">
        <f t="shared" si="17"/>
        <v>#DIV/0!</v>
      </c>
      <c r="F19" s="30" t="e">
        <f t="shared" si="17"/>
        <v>#DIV/0!</v>
      </c>
      <c r="G19" s="30" t="e">
        <f t="shared" si="17"/>
        <v>#DIV/0!</v>
      </c>
      <c r="H19" s="30" t="e">
        <f>H15/H16*100</f>
        <v>#DIV/0!</v>
      </c>
      <c r="I19" s="31" t="e">
        <f>I15/I16*100</f>
        <v>#DIV/0!</v>
      </c>
      <c r="J19" s="23" t="e">
        <f>AVERAGE(D19:I19)</f>
        <v>#DIV/0!</v>
      </c>
    </row>
    <row r="20" spans="2:37" ht="18" thickTop="1" thickBot="1" x14ac:dyDescent="0.4">
      <c r="B20" s="32" t="s">
        <v>35</v>
      </c>
      <c r="C20" s="30">
        <f t="shared" ref="C20:G20" si="18">C15/C14*100</f>
        <v>49.382716049382715</v>
      </c>
      <c r="D20" s="30" t="e">
        <f t="shared" si="18"/>
        <v>#DIV/0!</v>
      </c>
      <c r="E20" s="30" t="e">
        <f t="shared" si="18"/>
        <v>#DIV/0!</v>
      </c>
      <c r="F20" s="30" t="e">
        <f t="shared" si="18"/>
        <v>#DIV/0!</v>
      </c>
      <c r="G20" s="30" t="e">
        <f t="shared" si="18"/>
        <v>#DIV/0!</v>
      </c>
      <c r="H20" s="30" t="e">
        <f>H15/H14*100</f>
        <v>#DIV/0!</v>
      </c>
      <c r="I20" s="31" t="e">
        <f>I15/I14*100</f>
        <v>#DIV/0!</v>
      </c>
      <c r="J20" s="23" t="e">
        <f>AVERAGE(D20:I20)</f>
        <v>#DIV/0!</v>
      </c>
      <c r="M20" t="s">
        <v>36</v>
      </c>
      <c r="N20" s="4" t="e">
        <f>N13/H14-1</f>
        <v>#DIV/0!</v>
      </c>
      <c r="W20" s="12" t="s">
        <v>21</v>
      </c>
      <c r="X20" s="13"/>
      <c r="Y20" s="13"/>
      <c r="Z20" s="13"/>
      <c r="AA20" s="13"/>
      <c r="AB20" s="13"/>
      <c r="AC20" s="13">
        <v>1439058.5649999999</v>
      </c>
      <c r="AD20" s="13">
        <v>1349169.9439999999</v>
      </c>
      <c r="AE20" s="13">
        <v>2007725</v>
      </c>
      <c r="AF20" s="13">
        <v>2004182</v>
      </c>
      <c r="AG20" s="13">
        <v>973193.53</v>
      </c>
      <c r="AH20" s="13">
        <v>675536.95600000001</v>
      </c>
      <c r="AI20" s="13">
        <v>1866131</v>
      </c>
      <c r="AJ20" s="13">
        <v>2797926</v>
      </c>
      <c r="AK20" s="13">
        <v>2446612</v>
      </c>
    </row>
    <row r="21" spans="2:37" ht="18" thickTop="1" thickBot="1" x14ac:dyDescent="0.4">
      <c r="B21" s="32" t="s">
        <v>11</v>
      </c>
      <c r="C21" s="38">
        <f t="shared" ref="C21:G21" si="19">C16/C14</f>
        <v>9.7839506172839492</v>
      </c>
      <c r="D21" s="38" t="e">
        <f t="shared" si="19"/>
        <v>#DIV/0!</v>
      </c>
      <c r="E21" s="38" t="e">
        <f t="shared" si="19"/>
        <v>#DIV/0!</v>
      </c>
      <c r="F21" s="38" t="e">
        <f t="shared" si="19"/>
        <v>#DIV/0!</v>
      </c>
      <c r="G21" s="38" t="e">
        <f t="shared" si="19"/>
        <v>#DIV/0!</v>
      </c>
      <c r="H21" s="38" t="e">
        <f>H16/H14</f>
        <v>#DIV/0!</v>
      </c>
      <c r="I21" s="39" t="e">
        <f>I16/I14</f>
        <v>#DIV/0!</v>
      </c>
      <c r="J21" s="23" t="e">
        <f>AVERAGE(D21:I21)</f>
        <v>#DIV/0!</v>
      </c>
      <c r="W21" s="12" t="s">
        <v>46</v>
      </c>
      <c r="X21" s="19" t="e">
        <f t="shared" ref="X21:AJ21" si="20">+X20/X3</f>
        <v>#DIV/0!</v>
      </c>
      <c r="Y21" s="19" t="e">
        <f t="shared" si="20"/>
        <v>#DIV/0!</v>
      </c>
      <c r="Z21" s="19" t="e">
        <f t="shared" si="20"/>
        <v>#DIV/0!</v>
      </c>
      <c r="AA21" s="19" t="e">
        <f t="shared" si="20"/>
        <v>#DIV/0!</v>
      </c>
      <c r="AB21" s="19" t="e">
        <f t="shared" si="20"/>
        <v>#DIV/0!</v>
      </c>
      <c r="AC21" s="19">
        <f t="shared" si="20"/>
        <v>0.17326756606128374</v>
      </c>
      <c r="AD21" s="19">
        <f t="shared" si="20"/>
        <v>0.16744206376584592</v>
      </c>
      <c r="AE21" s="19">
        <f t="shared" si="20"/>
        <v>0.17132713859934362</v>
      </c>
      <c r="AF21" s="19">
        <f t="shared" si="20"/>
        <v>0.15172594544539483</v>
      </c>
      <c r="AG21" s="19">
        <f t="shared" si="20"/>
        <v>7.1382472781385112E-2</v>
      </c>
      <c r="AH21" s="19">
        <f t="shared" si="20"/>
        <v>5.0695594517030783E-2</v>
      </c>
      <c r="AI21" s="19">
        <f t="shared" si="20"/>
        <v>0.13957138736111996</v>
      </c>
      <c r="AJ21" s="19">
        <f t="shared" si="20"/>
        <v>0.18921828935785337</v>
      </c>
      <c r="AK21" s="19">
        <f t="shared" ref="AK21" si="21">+AK20/AK3</f>
        <v>0.17195132450575482</v>
      </c>
    </row>
    <row r="22" spans="2:37" ht="18" thickTop="1" thickBot="1" x14ac:dyDescent="0.4">
      <c r="B22" s="32" t="s">
        <v>37</v>
      </c>
      <c r="C22" s="38">
        <f t="shared" ref="C22:G22" si="22">C16/C17</f>
        <v>2.1712328767123288</v>
      </c>
      <c r="D22" s="38" t="e">
        <f t="shared" si="22"/>
        <v>#DIV/0!</v>
      </c>
      <c r="E22" s="38" t="e">
        <f t="shared" si="22"/>
        <v>#DIV/0!</v>
      </c>
      <c r="F22" s="38" t="e">
        <f t="shared" si="22"/>
        <v>#DIV/0!</v>
      </c>
      <c r="G22" s="38" t="e">
        <f t="shared" si="22"/>
        <v>#DIV/0!</v>
      </c>
      <c r="H22" s="38" t="e">
        <f>H16/H17</f>
        <v>#DIV/0!</v>
      </c>
      <c r="I22" s="39" t="e">
        <f>I16/I17</f>
        <v>#DIV/0!</v>
      </c>
      <c r="J22" s="23" t="e">
        <f>AVERAGE(D22:I22)</f>
        <v>#DIV/0!</v>
      </c>
    </row>
    <row r="23" spans="2:37" ht="15.75" thickTop="1" x14ac:dyDescent="0.25">
      <c r="W23" s="12" t="s">
        <v>47</v>
      </c>
      <c r="X23" s="13"/>
      <c r="Y23" s="13"/>
      <c r="Z23" s="13"/>
      <c r="AA23" s="13"/>
      <c r="AB23" s="13"/>
      <c r="AC23" s="13">
        <v>-318754.20199999999</v>
      </c>
      <c r="AD23" s="13">
        <v>120438.504</v>
      </c>
      <c r="AE23" s="13">
        <v>-408383</v>
      </c>
      <c r="AF23" s="13">
        <v>-452765</v>
      </c>
      <c r="AG23" s="13">
        <v>-345313.91700000002</v>
      </c>
      <c r="AH23" s="13">
        <v>-837324.77899999998</v>
      </c>
      <c r="AI23" s="13">
        <v>-437945</v>
      </c>
      <c r="AJ23" s="13">
        <v>-589473</v>
      </c>
      <c r="AK23" s="13">
        <v>-634158</v>
      </c>
    </row>
    <row r="24" spans="2:37" x14ac:dyDescent="0.25">
      <c r="G24" s="10">
        <v>701.95658000000003</v>
      </c>
      <c r="H24" s="10">
        <v>709.32254499999999</v>
      </c>
      <c r="I24" s="10">
        <v>716.73997499999996</v>
      </c>
      <c r="W24" s="12" t="s">
        <v>48</v>
      </c>
      <c r="X24" s="14" t="e">
        <f t="shared" ref="X24:AJ24" si="23">+X23/X20</f>
        <v>#DIV/0!</v>
      </c>
      <c r="Y24" s="14" t="e">
        <f t="shared" si="23"/>
        <v>#DIV/0!</v>
      </c>
      <c r="Z24" s="14" t="e">
        <f t="shared" si="23"/>
        <v>#DIV/0!</v>
      </c>
      <c r="AA24" s="14" t="e">
        <f t="shared" si="23"/>
        <v>#DIV/0!</v>
      </c>
      <c r="AB24" s="14" t="e">
        <f t="shared" si="23"/>
        <v>#DIV/0!</v>
      </c>
      <c r="AC24" s="14">
        <f t="shared" si="23"/>
        <v>-0.22150189697109374</v>
      </c>
      <c r="AD24" s="14">
        <f t="shared" si="23"/>
        <v>8.9268594023763706E-2</v>
      </c>
      <c r="AE24" s="14">
        <f t="shared" si="23"/>
        <v>-0.20340584492398112</v>
      </c>
      <c r="AF24" s="14">
        <f t="shared" si="23"/>
        <v>-0.22591012193503385</v>
      </c>
      <c r="AG24" s="14">
        <f t="shared" si="23"/>
        <v>-0.35482553711593212</v>
      </c>
      <c r="AH24" s="14">
        <f t="shared" si="23"/>
        <v>-1.2394951476200216</v>
      </c>
      <c r="AI24" s="14">
        <f t="shared" si="23"/>
        <v>-0.23468073784745017</v>
      </c>
      <c r="AJ24" s="14">
        <f t="shared" si="23"/>
        <v>-0.21068212668955505</v>
      </c>
      <c r="AK24" s="14">
        <f t="shared" ref="AK24" si="24">+AK23/AK20</f>
        <v>-0.25919843440643631</v>
      </c>
    </row>
    <row r="25" spans="2:37" x14ac:dyDescent="0.25">
      <c r="G25">
        <f>+G10/G24</f>
        <v>0</v>
      </c>
      <c r="H25">
        <f>+H10/H24</f>
        <v>0</v>
      </c>
      <c r="I25">
        <f>+I10/I24</f>
        <v>0</v>
      </c>
      <c r="M25" s="10"/>
    </row>
    <row r="26" spans="2:37" x14ac:dyDescent="0.25">
      <c r="M26" s="10"/>
      <c r="W26" s="12" t="s">
        <v>74</v>
      </c>
      <c r="Z26" s="13"/>
      <c r="AA26" s="13"/>
      <c r="AB26" s="13"/>
      <c r="AC26" s="13">
        <v>508908.57500000001</v>
      </c>
      <c r="AD26" s="13">
        <v>519199.14</v>
      </c>
      <c r="AE26" s="13">
        <v>557838</v>
      </c>
      <c r="AF26" s="13">
        <v>658055</v>
      </c>
      <c r="AG26" s="13">
        <v>355696.4</v>
      </c>
      <c r="AH26" s="13">
        <v>-218668.75599999999</v>
      </c>
      <c r="AI26" s="13">
        <v>513706</v>
      </c>
      <c r="AJ26" s="13">
        <v>559722</v>
      </c>
      <c r="AK26" s="13">
        <v>412823</v>
      </c>
    </row>
    <row r="28" spans="2:37" x14ac:dyDescent="0.25">
      <c r="W28" s="12" t="s">
        <v>49</v>
      </c>
      <c r="X28" s="13">
        <f t="shared" ref="X28:AF28" si="25">+X20+X23-X26</f>
        <v>0</v>
      </c>
      <c r="Y28" s="13">
        <f t="shared" si="25"/>
        <v>0</v>
      </c>
      <c r="Z28" s="13">
        <f t="shared" si="25"/>
        <v>0</v>
      </c>
      <c r="AA28" s="13">
        <f t="shared" si="25"/>
        <v>0</v>
      </c>
      <c r="AB28" s="13">
        <f t="shared" si="25"/>
        <v>0</v>
      </c>
      <c r="AC28" s="13">
        <f t="shared" si="25"/>
        <v>611395.78799999994</v>
      </c>
      <c r="AD28" s="13">
        <f t="shared" si="25"/>
        <v>950409.30799999984</v>
      </c>
      <c r="AE28" s="13">
        <f t="shared" si="25"/>
        <v>1041504</v>
      </c>
      <c r="AF28" s="13">
        <f t="shared" si="25"/>
        <v>893362</v>
      </c>
      <c r="AG28" s="13">
        <f>+AG20+AG23-AG26</f>
        <v>272183.21299999999</v>
      </c>
      <c r="AH28" s="13">
        <f t="shared" ref="AH28:AJ28" si="26">+AH20+AH23-AH26</f>
        <v>56880.933000000019</v>
      </c>
      <c r="AI28" s="13">
        <f t="shared" si="26"/>
        <v>914480</v>
      </c>
      <c r="AJ28" s="13">
        <f t="shared" si="26"/>
        <v>1648731</v>
      </c>
      <c r="AK28" s="13">
        <f>+AK20+AK23-AK26</f>
        <v>1399631</v>
      </c>
    </row>
    <row r="29" spans="2:37" x14ac:dyDescent="0.25">
      <c r="M29" s="10"/>
      <c r="W29" s="12" t="s">
        <v>25</v>
      </c>
      <c r="X29" s="19" t="e">
        <f t="shared" ref="X29:AJ29" si="27">+X28/X3</f>
        <v>#DIV/0!</v>
      </c>
      <c r="Y29" s="19" t="e">
        <f t="shared" si="27"/>
        <v>#DIV/0!</v>
      </c>
      <c r="Z29" s="19" t="e">
        <f t="shared" si="27"/>
        <v>#DIV/0!</v>
      </c>
      <c r="AA29" s="19" t="e">
        <f t="shared" si="27"/>
        <v>#DIV/0!</v>
      </c>
      <c r="AB29" s="19" t="e">
        <f t="shared" si="27"/>
        <v>#DIV/0!</v>
      </c>
      <c r="AC29" s="19">
        <f t="shared" si="27"/>
        <v>7.3614140983122966E-2</v>
      </c>
      <c r="AD29" s="19">
        <f t="shared" si="27"/>
        <v>0.11795289145115249</v>
      </c>
      <c r="AE29" s="19">
        <f t="shared" si="27"/>
        <v>8.8875667812957845E-2</v>
      </c>
      <c r="AF29" s="19">
        <f t="shared" si="27"/>
        <v>6.7631679196294953E-2</v>
      </c>
      <c r="AG29" s="19">
        <f t="shared" si="27"/>
        <v>1.996428273986002E-2</v>
      </c>
      <c r="AH29" s="19">
        <f t="shared" si="27"/>
        <v>4.2686231885711908E-3</v>
      </c>
      <c r="AI29" s="19">
        <f t="shared" si="27"/>
        <v>6.8395649776996886E-2</v>
      </c>
      <c r="AJ29" s="19">
        <f t="shared" si="27"/>
        <v>0.11150046835808486</v>
      </c>
      <c r="AK29" s="19">
        <f t="shared" ref="AK29" si="28">+AK28/AK3</f>
        <v>9.8368030676426882E-2</v>
      </c>
    </row>
    <row r="30" spans="2:37" x14ac:dyDescent="0.25">
      <c r="M30" s="10"/>
    </row>
    <row r="31" spans="2:37" x14ac:dyDescent="0.25">
      <c r="W31" s="12" t="s">
        <v>29</v>
      </c>
      <c r="X31" s="16">
        <f t="shared" ref="X31:AJ31" si="29">+X28/X47</f>
        <v>0</v>
      </c>
      <c r="Y31" s="16">
        <f t="shared" si="29"/>
        <v>0</v>
      </c>
      <c r="Z31" s="16">
        <f t="shared" si="29"/>
        <v>0</v>
      </c>
      <c r="AA31" s="16">
        <f t="shared" si="29"/>
        <v>0</v>
      </c>
      <c r="AB31" s="16">
        <f t="shared" si="29"/>
        <v>0</v>
      </c>
      <c r="AC31" s="16">
        <f t="shared" si="29"/>
        <v>1.242740976264807</v>
      </c>
      <c r="AD31" s="16">
        <f t="shared" si="29"/>
        <v>1.9318297810633256</v>
      </c>
      <c r="AE31" s="16">
        <f t="shared" si="29"/>
        <v>2.1169915186653228</v>
      </c>
      <c r="AF31" s="16">
        <f t="shared" si="29"/>
        <v>1.8158737528592208</v>
      </c>
      <c r="AG31" s="16">
        <f t="shared" si="29"/>
        <v>0.55324756644629014</v>
      </c>
      <c r="AH31" s="16">
        <f t="shared" si="29"/>
        <v>0.11561784950875897</v>
      </c>
      <c r="AI31" s="16">
        <f t="shared" si="29"/>
        <v>1.8587988178528976</v>
      </c>
      <c r="AJ31" s="16">
        <f t="shared" si="29"/>
        <v>3.3512588944071227</v>
      </c>
      <c r="AK31" s="16">
        <f t="shared" ref="AK31" si="30">+AK28/AK47</f>
        <v>2.8449309424265907</v>
      </c>
    </row>
    <row r="32" spans="2:37" x14ac:dyDescent="0.25">
      <c r="W32" s="12" t="s">
        <v>40</v>
      </c>
      <c r="AA32" s="17"/>
      <c r="AB32" s="18" t="e">
        <f t="shared" ref="AB32:AK32" si="31">+AB31/X31-1</f>
        <v>#DIV/0!</v>
      </c>
      <c r="AC32" s="18" t="e">
        <f t="shared" si="31"/>
        <v>#DIV/0!</v>
      </c>
      <c r="AD32" s="18" t="e">
        <f t="shared" si="31"/>
        <v>#DIV/0!</v>
      </c>
      <c r="AE32" s="18" t="e">
        <f t="shared" si="31"/>
        <v>#DIV/0!</v>
      </c>
      <c r="AF32" s="18" t="e">
        <f t="shared" si="31"/>
        <v>#DIV/0!</v>
      </c>
      <c r="AG32" s="18">
        <f t="shared" si="31"/>
        <v>-0.55481666975435551</v>
      </c>
      <c r="AH32" s="18">
        <f t="shared" si="31"/>
        <v>-0.94015111960582776</v>
      </c>
      <c r="AI32" s="18">
        <f t="shared" si="31"/>
        <v>-0.12196208559928723</v>
      </c>
      <c r="AJ32" s="18">
        <f t="shared" si="31"/>
        <v>0.84553518058748867</v>
      </c>
      <c r="AK32" s="18">
        <f t="shared" si="31"/>
        <v>4.142238511233975</v>
      </c>
    </row>
    <row r="33" spans="23:40" x14ac:dyDescent="0.25">
      <c r="W33" s="12" t="s">
        <v>41</v>
      </c>
      <c r="Y33" s="18" t="e">
        <f t="shared" ref="Y33:AD33" si="32">+Y31/X31-1</f>
        <v>#DIV/0!</v>
      </c>
      <c r="Z33" s="18" t="e">
        <f t="shared" si="32"/>
        <v>#DIV/0!</v>
      </c>
      <c r="AA33" s="18" t="e">
        <f t="shared" si="32"/>
        <v>#DIV/0!</v>
      </c>
      <c r="AB33" s="18" t="e">
        <f t="shared" si="32"/>
        <v>#DIV/0!</v>
      </c>
      <c r="AC33" s="18" t="e">
        <f t="shared" si="32"/>
        <v>#DIV/0!</v>
      </c>
      <c r="AD33" s="18">
        <f t="shared" si="32"/>
        <v>0.55449109505477967</v>
      </c>
      <c r="AE33" s="18">
        <f>+AE31/AD31-1</f>
        <v>9.5847853375611525E-2</v>
      </c>
      <c r="AF33" s="18">
        <f>+AF31/AE31-1</f>
        <v>-0.14223853196915237</v>
      </c>
      <c r="AG33" s="18">
        <f>+AG31/AF31-1</f>
        <v>-0.6953270756983172</v>
      </c>
      <c r="AH33" s="18">
        <f t="shared" ref="AH33" si="33">+AH31/AG31-1</f>
        <v>-0.79101968716931848</v>
      </c>
      <c r="AI33" s="18">
        <f>+AI31/AH31-1</f>
        <v>15.077092125053568</v>
      </c>
      <c r="AJ33" s="18">
        <f>+AJ31/AI31-1</f>
        <v>0.80291641151255355</v>
      </c>
      <c r="AK33" s="18">
        <f>+AK31/AJ31-1</f>
        <v>-0.15108589575861675</v>
      </c>
    </row>
    <row r="34" spans="23:40" x14ac:dyDescent="0.25">
      <c r="Y34" s="18"/>
      <c r="Z34" s="18"/>
      <c r="AA34" s="18"/>
      <c r="AB34" s="18"/>
      <c r="AC34" s="18"/>
      <c r="AD34" s="18"/>
      <c r="AE34" s="18"/>
      <c r="AF34" s="18"/>
      <c r="AG34" s="18"/>
      <c r="AH34" s="18"/>
      <c r="AI34" s="18"/>
      <c r="AJ34" s="18"/>
      <c r="AK34" s="18"/>
    </row>
    <row r="35" spans="23:40" x14ac:dyDescent="0.25">
      <c r="W35" s="12" t="s">
        <v>88</v>
      </c>
      <c r="X35" s="18" t="e">
        <f>+X28*4/X39</f>
        <v>#DIV/0!</v>
      </c>
      <c r="Y35" s="18" t="e">
        <f>+Y28*4/Y39</f>
        <v>#DIV/0!</v>
      </c>
      <c r="Z35" s="18" t="e">
        <f t="shared" ref="Z35:AJ35" si="34">+Z28*4/Z40</f>
        <v>#DIV/0!</v>
      </c>
      <c r="AA35" s="18" t="e">
        <f t="shared" si="34"/>
        <v>#DIV/0!</v>
      </c>
      <c r="AB35" s="18" t="e">
        <f t="shared" si="34"/>
        <v>#DIV/0!</v>
      </c>
      <c r="AC35" s="18" t="e">
        <f t="shared" si="34"/>
        <v>#DIV/0!</v>
      </c>
      <c r="AD35" s="18">
        <f t="shared" si="34"/>
        <v>0.2929362580168553</v>
      </c>
      <c r="AE35" s="18" t="e">
        <f t="shared" si="34"/>
        <v>#DIV/0!</v>
      </c>
      <c r="AF35" s="18" t="e">
        <f t="shared" si="34"/>
        <v>#DIV/0!</v>
      </c>
      <c r="AG35" s="18">
        <f t="shared" si="34"/>
        <v>6.8263218024120775E-2</v>
      </c>
      <c r="AH35" s="18">
        <f t="shared" si="34"/>
        <v>1.4410725021376324E-2</v>
      </c>
      <c r="AI35" s="18">
        <f t="shared" si="34"/>
        <v>0.22790553040627198</v>
      </c>
      <c r="AJ35" s="18">
        <f t="shared" si="34"/>
        <v>0.37362442873611174</v>
      </c>
      <c r="AK35" s="18">
        <f t="shared" ref="AK35" si="35">+AK28*4/AK40</f>
        <v>0.30626120267878526</v>
      </c>
      <c r="AM35" s="14">
        <f>+AVERAGE(AG35:AK35)</f>
        <v>0.1980930209733332</v>
      </c>
      <c r="AN35" s="50" t="s">
        <v>88</v>
      </c>
    </row>
    <row r="36" spans="23:40" x14ac:dyDescent="0.25">
      <c r="AM36" s="56">
        <f>AVERAGE(AG35:AK35)*AK49</f>
        <v>7.3605270261656059</v>
      </c>
      <c r="AN36" s="50" t="s">
        <v>183</v>
      </c>
    </row>
    <row r="37" spans="23:40" x14ac:dyDescent="0.25">
      <c r="W37" s="12" t="s">
        <v>52</v>
      </c>
      <c r="X37" s="13"/>
      <c r="Y37" s="13"/>
      <c r="Z37" s="13"/>
      <c r="AA37" s="13"/>
      <c r="AB37" s="13"/>
      <c r="AC37" s="13"/>
      <c r="AD37" s="13">
        <f>1663343.846+57537.862+994833.215+917513.501</f>
        <v>3633228.4240000001</v>
      </c>
      <c r="AE37" s="13"/>
      <c r="AF37" s="13"/>
      <c r="AG37" s="13">
        <f>2236564.264+4083780.623+2195668.118</f>
        <v>8516013.004999999</v>
      </c>
      <c r="AH37" s="13">
        <f>1911006+55000+3387971+2108469</f>
        <v>7462446</v>
      </c>
      <c r="AI37" s="13">
        <f>2047660+56099+2653513+921183</f>
        <v>5678455</v>
      </c>
      <c r="AJ37" s="13">
        <f>2057485+910+3396678+1416008</f>
        <v>6871081</v>
      </c>
      <c r="AK37" s="13">
        <f>1904379+4478536+2800071</f>
        <v>9182986</v>
      </c>
      <c r="AM37" s="56">
        <f>+X1/AM36</f>
        <v>7.8934565138424091</v>
      </c>
      <c r="AN37" s="50" t="s">
        <v>11</v>
      </c>
    </row>
    <row r="38" spans="23:40" x14ac:dyDescent="0.25">
      <c r="W38" s="12" t="s">
        <v>53</v>
      </c>
      <c r="X38" s="13"/>
      <c r="Y38" s="13"/>
      <c r="Z38" s="13"/>
      <c r="AA38" s="13"/>
      <c r="AB38" s="13"/>
      <c r="AC38" s="13"/>
      <c r="AD38" s="13">
        <v>3264723.523</v>
      </c>
      <c r="AE38" s="13"/>
      <c r="AF38" s="13"/>
      <c r="AG38" s="13">
        <v>2239027.926</v>
      </c>
      <c r="AH38" s="13">
        <v>3110102</v>
      </c>
      <c r="AI38" s="13">
        <v>4274181</v>
      </c>
      <c r="AJ38" s="13">
        <v>3754554</v>
      </c>
      <c r="AK38" s="13">
        <v>3733529</v>
      </c>
    </row>
    <row r="39" spans="23:40" x14ac:dyDescent="0.25">
      <c r="W39" s="12" t="s">
        <v>50</v>
      </c>
      <c r="X39" s="13">
        <f t="shared" ref="X39:AJ39" si="36">+X37-X38</f>
        <v>0</v>
      </c>
      <c r="Y39" s="13">
        <f t="shared" si="36"/>
        <v>0</v>
      </c>
      <c r="Z39" s="13">
        <f t="shared" si="36"/>
        <v>0</v>
      </c>
      <c r="AA39" s="13">
        <f t="shared" si="36"/>
        <v>0</v>
      </c>
      <c r="AB39" s="13">
        <f t="shared" si="36"/>
        <v>0</v>
      </c>
      <c r="AC39" s="13">
        <f t="shared" si="36"/>
        <v>0</v>
      </c>
      <c r="AD39" s="13">
        <f t="shared" si="36"/>
        <v>368504.90100000007</v>
      </c>
      <c r="AE39" s="13">
        <f t="shared" si="36"/>
        <v>0</v>
      </c>
      <c r="AF39" s="13">
        <f t="shared" si="36"/>
        <v>0</v>
      </c>
      <c r="AG39" s="13">
        <f t="shared" si="36"/>
        <v>6276985.078999999</v>
      </c>
      <c r="AH39" s="13">
        <f t="shared" si="36"/>
        <v>4352344</v>
      </c>
      <c r="AI39" s="13">
        <f t="shared" si="36"/>
        <v>1404274</v>
      </c>
      <c r="AJ39" s="13">
        <f t="shared" si="36"/>
        <v>3116527</v>
      </c>
      <c r="AK39" s="13">
        <f t="shared" ref="AK39" si="37">+AK37-AK38</f>
        <v>5449457</v>
      </c>
    </row>
    <row r="40" spans="23:40" x14ac:dyDescent="0.25">
      <c r="W40" s="12" t="s">
        <v>54</v>
      </c>
      <c r="X40" s="13"/>
      <c r="Y40" s="13"/>
      <c r="Z40" s="13"/>
      <c r="AA40" s="13"/>
      <c r="AB40" s="13"/>
      <c r="AC40" s="13"/>
      <c r="AD40" s="13">
        <v>12977694.389</v>
      </c>
      <c r="AE40" s="13"/>
      <c r="AF40" s="13"/>
      <c r="AG40" s="13">
        <v>15949040.838</v>
      </c>
      <c r="AH40" s="13">
        <v>15788500</v>
      </c>
      <c r="AI40" s="13">
        <v>16050159</v>
      </c>
      <c r="AJ40" s="13">
        <v>17651212</v>
      </c>
      <c r="AK40" s="13">
        <v>18280226</v>
      </c>
    </row>
    <row r="41" spans="23:40" x14ac:dyDescent="0.25">
      <c r="W41" s="12" t="s">
        <v>75</v>
      </c>
      <c r="X41" s="13"/>
      <c r="Y41" s="13"/>
      <c r="Z41" s="13"/>
      <c r="AA41" s="13"/>
      <c r="AB41" s="13"/>
      <c r="AC41" s="13"/>
      <c r="AD41" s="10">
        <v>6483619.3550000004</v>
      </c>
      <c r="AE41" s="13"/>
      <c r="AF41" s="13"/>
      <c r="AG41" s="13">
        <v>9986174.2200000007</v>
      </c>
      <c r="AH41" s="13">
        <v>9861121</v>
      </c>
      <c r="AI41" s="13">
        <v>9934561</v>
      </c>
      <c r="AJ41" s="13">
        <v>10339928</v>
      </c>
      <c r="AK41" s="13">
        <v>11939608</v>
      </c>
    </row>
    <row r="43" spans="23:40" x14ac:dyDescent="0.25">
      <c r="W43" s="12" t="s">
        <v>51</v>
      </c>
      <c r="X43" s="14" t="e">
        <f t="shared" ref="X43:AJ43" si="38">+X37/X40</f>
        <v>#DIV/0!</v>
      </c>
      <c r="Y43" s="14" t="e">
        <f t="shared" si="38"/>
        <v>#DIV/0!</v>
      </c>
      <c r="Z43" s="14" t="e">
        <f t="shared" si="38"/>
        <v>#DIV/0!</v>
      </c>
      <c r="AA43" s="14" t="e">
        <f t="shared" si="38"/>
        <v>#DIV/0!</v>
      </c>
      <c r="AB43" s="14" t="e">
        <f t="shared" si="38"/>
        <v>#DIV/0!</v>
      </c>
      <c r="AC43" s="14" t="e">
        <f t="shared" si="38"/>
        <v>#DIV/0!</v>
      </c>
      <c r="AD43" s="14">
        <f t="shared" si="38"/>
        <v>0.27995946853853748</v>
      </c>
      <c r="AE43" s="14" t="e">
        <f t="shared" si="38"/>
        <v>#DIV/0!</v>
      </c>
      <c r="AF43" s="14" t="e">
        <f t="shared" si="38"/>
        <v>#DIV/0!</v>
      </c>
      <c r="AG43" s="14">
        <f t="shared" si="38"/>
        <v>0.53395142011987617</v>
      </c>
      <c r="AH43" s="14">
        <f t="shared" si="38"/>
        <v>0.47265072679481901</v>
      </c>
      <c r="AI43" s="14">
        <f t="shared" si="38"/>
        <v>0.35379431443638659</v>
      </c>
      <c r="AJ43" s="14">
        <f t="shared" si="38"/>
        <v>0.38926964335366887</v>
      </c>
      <c r="AK43" s="14">
        <f t="shared" ref="AK43" si="39">+AK37/AK40</f>
        <v>0.50234532111364483</v>
      </c>
    </row>
    <row r="45" spans="23:40" x14ac:dyDescent="0.25">
      <c r="W45" s="12" t="s">
        <v>63</v>
      </c>
      <c r="X45" s="16" t="e">
        <f t="shared" ref="X45:AJ45" si="40">+(X3*1000)/X7</f>
        <v>#DIV/0!</v>
      </c>
      <c r="Y45" s="16" t="e">
        <f t="shared" si="40"/>
        <v>#DIV/0!</v>
      </c>
      <c r="Z45" s="16" t="e">
        <f t="shared" si="40"/>
        <v>#DIV/0!</v>
      </c>
      <c r="AA45" s="16" t="e">
        <f t="shared" si="40"/>
        <v>#DIV/0!</v>
      </c>
      <c r="AB45" s="16" t="e">
        <f t="shared" si="40"/>
        <v>#DIV/0!</v>
      </c>
      <c r="AC45" s="16" t="e">
        <f t="shared" si="40"/>
        <v>#DIV/0!</v>
      </c>
      <c r="AD45" s="16" t="e">
        <f t="shared" si="40"/>
        <v>#DIV/0!</v>
      </c>
      <c r="AE45" s="16" t="e">
        <f t="shared" si="40"/>
        <v>#DIV/0!</v>
      </c>
      <c r="AF45" s="16" t="e">
        <f t="shared" si="40"/>
        <v>#DIV/0!</v>
      </c>
      <c r="AG45" s="16" t="e">
        <f t="shared" si="40"/>
        <v>#DIV/0!</v>
      </c>
      <c r="AH45" s="16" t="e">
        <f t="shared" si="40"/>
        <v>#DIV/0!</v>
      </c>
      <c r="AI45" s="16" t="e">
        <f t="shared" si="40"/>
        <v>#DIV/0!</v>
      </c>
      <c r="AJ45" s="16" t="e">
        <f t="shared" si="40"/>
        <v>#DIV/0!</v>
      </c>
      <c r="AK45" s="16" t="e">
        <f t="shared" ref="AK45" si="41">+(AK3*1000)/AK7</f>
        <v>#DIV/0!</v>
      </c>
    </row>
    <row r="47" spans="23:40" x14ac:dyDescent="0.25">
      <c r="W47" s="12" t="s">
        <v>56</v>
      </c>
      <c r="X47" s="13">
        <f t="shared" ref="X47:AG47" si="42">Y47</f>
        <v>491973.62900000002</v>
      </c>
      <c r="Y47" s="13">
        <f t="shared" si="42"/>
        <v>491973.62900000002</v>
      </c>
      <c r="Z47" s="13">
        <f t="shared" si="42"/>
        <v>491973.62900000002</v>
      </c>
      <c r="AA47" s="13">
        <f t="shared" si="42"/>
        <v>491973.62900000002</v>
      </c>
      <c r="AB47" s="13">
        <f t="shared" si="42"/>
        <v>491973.62900000002</v>
      </c>
      <c r="AC47" s="13">
        <f t="shared" si="42"/>
        <v>491973.62900000002</v>
      </c>
      <c r="AD47" s="13">
        <f t="shared" si="42"/>
        <v>491973.62900000002</v>
      </c>
      <c r="AE47" s="13">
        <f t="shared" si="42"/>
        <v>491973.62900000002</v>
      </c>
      <c r="AF47" s="13">
        <f t="shared" si="42"/>
        <v>491973.62900000002</v>
      </c>
      <c r="AG47" s="13">
        <f t="shared" si="42"/>
        <v>491973.62900000002</v>
      </c>
      <c r="AH47" s="13">
        <f>AI47</f>
        <v>491973.62900000002</v>
      </c>
      <c r="AI47" s="13">
        <f>AJ47</f>
        <v>491973.62900000002</v>
      </c>
      <c r="AJ47" s="13">
        <f>491973.629</f>
        <v>491973.62900000002</v>
      </c>
      <c r="AK47" s="13">
        <f>491973.629</f>
        <v>491973.62900000002</v>
      </c>
    </row>
    <row r="49" spans="23:37" x14ac:dyDescent="0.25">
      <c r="W49" s="12" t="s">
        <v>57</v>
      </c>
      <c r="X49" s="16">
        <f t="shared" ref="X49:AJ49" si="43">+X40/X47</f>
        <v>0</v>
      </c>
      <c r="Y49" s="16">
        <f t="shared" si="43"/>
        <v>0</v>
      </c>
      <c r="Z49" s="16">
        <f t="shared" si="43"/>
        <v>0</v>
      </c>
      <c r="AA49" s="16">
        <f t="shared" si="43"/>
        <v>0</v>
      </c>
      <c r="AB49" s="16">
        <f t="shared" si="43"/>
        <v>0</v>
      </c>
      <c r="AC49" s="16">
        <f t="shared" si="43"/>
        <v>0</v>
      </c>
      <c r="AD49" s="16">
        <f t="shared" si="43"/>
        <v>26.378841515100802</v>
      </c>
      <c r="AE49" s="16">
        <f t="shared" si="43"/>
        <v>0</v>
      </c>
      <c r="AF49" s="16">
        <f t="shared" si="43"/>
        <v>0</v>
      </c>
      <c r="AG49" s="16">
        <f t="shared" si="43"/>
        <v>32.418487288472122</v>
      </c>
      <c r="AH49" s="16">
        <f t="shared" si="43"/>
        <v>32.092167281592239</v>
      </c>
      <c r="AI49" s="16">
        <f t="shared" si="43"/>
        <v>32.624023024616221</v>
      </c>
      <c r="AJ49" s="16">
        <f t="shared" si="43"/>
        <v>35.878370220530662</v>
      </c>
      <c r="AK49" s="16">
        <f t="shared" ref="AK49" si="44">+AK40/AK47</f>
        <v>37.156922490249983</v>
      </c>
    </row>
    <row r="51" spans="23:37" x14ac:dyDescent="0.25">
      <c r="W51" s="12" t="s">
        <v>67</v>
      </c>
      <c r="X51" s="13"/>
      <c r="Y51" s="13">
        <f>+Y55-X55</f>
        <v>0</v>
      </c>
      <c r="Z51" s="13">
        <f>+Z55-Y55</f>
        <v>0</v>
      </c>
      <c r="AA51" s="13">
        <f>+AA55</f>
        <v>0</v>
      </c>
      <c r="AB51" s="13">
        <f t="shared" ref="AB51:AD52" si="45">+AB55-AA55</f>
        <v>0</v>
      </c>
      <c r="AC51" s="13">
        <f t="shared" si="45"/>
        <v>3779664.9389999998</v>
      </c>
      <c r="AD51" s="13">
        <f t="shared" si="45"/>
        <v>763848.75799999991</v>
      </c>
      <c r="AE51" s="13">
        <f>+AE55</f>
        <v>0</v>
      </c>
      <c r="AF51" s="13">
        <f>+AF55-AE55</f>
        <v>0</v>
      </c>
      <c r="AG51" s="13">
        <f>+AG55-AF55</f>
        <v>-1153862.993</v>
      </c>
      <c r="AH51" s="13">
        <f t="shared" ref="AH51:AH52" si="46">+AH55-AG55</f>
        <v>3160221.9929999998</v>
      </c>
      <c r="AI51" s="13">
        <f>+AI55</f>
        <v>2839853</v>
      </c>
      <c r="AJ51" s="13">
        <f>+AJ55-AI55</f>
        <v>-358583</v>
      </c>
      <c r="AK51" s="13">
        <f>+AK55-AJ55</f>
        <v>-640372</v>
      </c>
    </row>
    <row r="52" spans="23:37" x14ac:dyDescent="0.25">
      <c r="W52" s="12" t="s">
        <v>60</v>
      </c>
      <c r="Y52" s="13">
        <f>+Y56-X56</f>
        <v>0</v>
      </c>
      <c r="Z52" s="13">
        <f>+Z56-Y56</f>
        <v>0</v>
      </c>
      <c r="AA52" s="13">
        <f>+AA56</f>
        <v>0</v>
      </c>
      <c r="AB52" s="13">
        <f t="shared" si="45"/>
        <v>0</v>
      </c>
      <c r="AC52" s="13">
        <f t="shared" si="45"/>
        <v>-862427.70499999996</v>
      </c>
      <c r="AD52" s="13">
        <f t="shared" si="45"/>
        <v>-282049.66600000008</v>
      </c>
      <c r="AE52" s="13">
        <f>+AE56</f>
        <v>0</v>
      </c>
      <c r="AF52" s="13">
        <f>+AF56-AE56</f>
        <v>0</v>
      </c>
      <c r="AG52" s="13">
        <f>+AG56-AF56</f>
        <v>-985951.478</v>
      </c>
      <c r="AH52" s="13">
        <f t="shared" si="46"/>
        <v>756723.478</v>
      </c>
      <c r="AI52" s="13">
        <f>+AI56</f>
        <v>-160473</v>
      </c>
      <c r="AJ52" s="13">
        <f>+AJ56-AI56</f>
        <v>-319804</v>
      </c>
      <c r="AK52" s="13">
        <f>+AK56-AJ56</f>
        <v>-267471</v>
      </c>
    </row>
    <row r="53" spans="23:37" x14ac:dyDescent="0.25">
      <c r="W53" s="12" t="s">
        <v>68</v>
      </c>
      <c r="Y53" s="13">
        <f t="shared" ref="Y53:AJ53" si="47">+Y51+Y52</f>
        <v>0</v>
      </c>
      <c r="Z53" s="13">
        <f t="shared" si="47"/>
        <v>0</v>
      </c>
      <c r="AA53" s="13">
        <f t="shared" si="47"/>
        <v>0</v>
      </c>
      <c r="AB53" s="13">
        <f t="shared" si="47"/>
        <v>0</v>
      </c>
      <c r="AC53" s="13">
        <f t="shared" si="47"/>
        <v>2917237.2339999997</v>
      </c>
      <c r="AD53" s="13">
        <f t="shared" si="47"/>
        <v>481799.09199999983</v>
      </c>
      <c r="AE53" s="13">
        <f t="shared" si="47"/>
        <v>0</v>
      </c>
      <c r="AF53" s="13">
        <f t="shared" si="47"/>
        <v>0</v>
      </c>
      <c r="AG53" s="13">
        <f t="shared" si="47"/>
        <v>-2139814.4709999999</v>
      </c>
      <c r="AH53" s="13">
        <f t="shared" si="47"/>
        <v>3916945.4709999999</v>
      </c>
      <c r="AI53" s="13">
        <f t="shared" si="47"/>
        <v>2679380</v>
      </c>
      <c r="AJ53" s="13">
        <f t="shared" si="47"/>
        <v>-678387</v>
      </c>
      <c r="AK53" s="13">
        <f t="shared" ref="AK53" si="48">+AK51+AK52</f>
        <v>-907843</v>
      </c>
    </row>
    <row r="55" spans="23:37" x14ac:dyDescent="0.25">
      <c r="W55" s="12" t="s">
        <v>67</v>
      </c>
      <c r="X55" s="13"/>
      <c r="Y55" s="13"/>
      <c r="Z55" s="13"/>
      <c r="AA55" s="13"/>
      <c r="AB55" s="13"/>
      <c r="AC55" s="13">
        <v>3779664.9389999998</v>
      </c>
      <c r="AD55" s="13">
        <v>4543513.6969999997</v>
      </c>
      <c r="AE55" s="13"/>
      <c r="AF55" s="13"/>
      <c r="AG55" s="13">
        <v>-1153862.993</v>
      </c>
      <c r="AH55" s="13">
        <v>2006359</v>
      </c>
      <c r="AI55" s="13">
        <v>2839853</v>
      </c>
      <c r="AJ55" s="13">
        <v>2481270</v>
      </c>
      <c r="AK55" s="13">
        <v>1840898</v>
      </c>
    </row>
    <row r="56" spans="23:37" x14ac:dyDescent="0.25">
      <c r="W56" s="12" t="s">
        <v>60</v>
      </c>
      <c r="X56" s="13"/>
      <c r="Y56" s="13"/>
      <c r="Z56" s="13"/>
      <c r="AA56" s="13"/>
      <c r="AB56" s="13"/>
      <c r="AC56" s="13">
        <f>-191967-670460.705</f>
        <v>-862427.70499999996</v>
      </c>
      <c r="AD56" s="13">
        <f>-225695-918782.371</f>
        <v>-1144477.371</v>
      </c>
      <c r="AE56" s="13"/>
      <c r="AF56" s="13"/>
      <c r="AG56" s="13">
        <f>-109300-876651.478</f>
        <v>-985951.478</v>
      </c>
      <c r="AH56" s="13">
        <f>-64052-165176</f>
        <v>-229228</v>
      </c>
      <c r="AI56" s="13">
        <f>-52918-107555</f>
        <v>-160473</v>
      </c>
      <c r="AJ56" s="13">
        <f>-368433-111844</f>
        <v>-480277</v>
      </c>
      <c r="AK56" s="13">
        <f>-566046-181702</f>
        <v>-747748</v>
      </c>
    </row>
    <row r="57" spans="23:37" x14ac:dyDescent="0.25">
      <c r="W57" s="12" t="s">
        <v>68</v>
      </c>
      <c r="X57" s="13">
        <f t="shared" ref="X57:AF57" si="49">+X55+X56</f>
        <v>0</v>
      </c>
      <c r="Y57" s="13">
        <f t="shared" si="49"/>
        <v>0</v>
      </c>
      <c r="Z57" s="13">
        <f t="shared" si="49"/>
        <v>0</v>
      </c>
      <c r="AA57" s="13">
        <f t="shared" si="49"/>
        <v>0</v>
      </c>
      <c r="AB57" s="13">
        <f t="shared" si="49"/>
        <v>0</v>
      </c>
      <c r="AC57" s="13">
        <f t="shared" si="49"/>
        <v>2917237.2339999997</v>
      </c>
      <c r="AD57" s="13">
        <f t="shared" si="49"/>
        <v>3399036.3259999994</v>
      </c>
      <c r="AE57" s="13">
        <f t="shared" si="49"/>
        <v>0</v>
      </c>
      <c r="AF57" s="13">
        <f t="shared" si="49"/>
        <v>0</v>
      </c>
      <c r="AG57" s="13">
        <f>+AG55+AG56</f>
        <v>-2139814.4709999999</v>
      </c>
      <c r="AH57" s="13">
        <f t="shared" ref="AH57:AJ57" si="50">+AH55+AH56</f>
        <v>1777131</v>
      </c>
      <c r="AI57" s="13">
        <f t="shared" si="50"/>
        <v>2679380</v>
      </c>
      <c r="AJ57" s="13">
        <f t="shared" si="50"/>
        <v>2000993</v>
      </c>
      <c r="AK57" s="13">
        <f>+AK55+AK56</f>
        <v>1093150</v>
      </c>
    </row>
    <row r="59" spans="23:37" x14ac:dyDescent="0.25">
      <c r="W59" s="47" t="s">
        <v>76</v>
      </c>
    </row>
    <row r="60" spans="23:37" x14ac:dyDescent="0.25">
      <c r="W60" s="47" t="s">
        <v>368</v>
      </c>
      <c r="AC60" s="13"/>
      <c r="AG60" s="13"/>
      <c r="AK60" s="13"/>
    </row>
    <row r="61" spans="23:37" x14ac:dyDescent="0.25">
      <c r="W61" s="12" t="s">
        <v>78</v>
      </c>
      <c r="Z61" s="13"/>
      <c r="AA61" s="13"/>
      <c r="AB61" s="13"/>
      <c r="AC61" s="13">
        <v>12945956.380000001</v>
      </c>
      <c r="AD61" s="13">
        <v>17501042.846999999</v>
      </c>
      <c r="AE61" s="13">
        <v>5835386</v>
      </c>
      <c r="AF61" s="13">
        <f>11610987-AE61</f>
        <v>5775601</v>
      </c>
      <c r="AG61" s="13">
        <f>17640104.984-AF61-AE61</f>
        <v>6029117.9840000011</v>
      </c>
      <c r="AH61" s="13">
        <f>23924434.589-AG61-AF61-AE61</f>
        <v>6284329.6050000004</v>
      </c>
      <c r="AI61" s="13">
        <v>6313793</v>
      </c>
      <c r="AJ61" s="13">
        <f>13839973-AI61</f>
        <v>7526180</v>
      </c>
      <c r="AK61" s="13">
        <f>21036604-AJ61-AI61</f>
        <v>7196631</v>
      </c>
    </row>
    <row r="62" spans="23:37" x14ac:dyDescent="0.25">
      <c r="W62" s="12" t="s">
        <v>40</v>
      </c>
      <c r="X62" s="17"/>
      <c r="Y62" s="17"/>
      <c r="Z62" s="17"/>
      <c r="AA62" s="17"/>
      <c r="AB62" s="18"/>
      <c r="AC62" s="18"/>
      <c r="AD62" s="18" t="e">
        <f t="shared" ref="AD62:AK62" si="51">+AD61/Z61-1</f>
        <v>#DIV/0!</v>
      </c>
      <c r="AE62" s="18" t="e">
        <f t="shared" si="51"/>
        <v>#DIV/0!</v>
      </c>
      <c r="AF62" s="18" t="e">
        <f t="shared" si="51"/>
        <v>#DIV/0!</v>
      </c>
      <c r="AG62" s="18">
        <f t="shared" si="51"/>
        <v>-0.53428562502232069</v>
      </c>
      <c r="AH62" s="18">
        <f t="shared" si="51"/>
        <v>-0.64091684935922255</v>
      </c>
      <c r="AI62" s="18">
        <f t="shared" si="51"/>
        <v>8.1983779650566468E-2</v>
      </c>
      <c r="AJ62" s="18">
        <f t="shared" si="51"/>
        <v>0.30309901947866558</v>
      </c>
      <c r="AK62" s="18">
        <f t="shared" si="51"/>
        <v>0.19364574040487015</v>
      </c>
    </row>
    <row r="63" spans="23:37" x14ac:dyDescent="0.25">
      <c r="W63" s="12" t="s">
        <v>41</v>
      </c>
      <c r="Y63" s="18"/>
      <c r="Z63" s="18"/>
      <c r="AA63" s="18" t="e">
        <f t="shared" ref="AA63:AK63" si="52">+AA61/Z61-1</f>
        <v>#DIV/0!</v>
      </c>
      <c r="AB63" s="18" t="e">
        <f t="shared" si="52"/>
        <v>#DIV/0!</v>
      </c>
      <c r="AC63" s="18" t="e">
        <f t="shared" si="52"/>
        <v>#DIV/0!</v>
      </c>
      <c r="AD63" s="18">
        <f t="shared" si="52"/>
        <v>0.35185399466022282</v>
      </c>
      <c r="AE63" s="18">
        <f t="shared" si="52"/>
        <v>-0.66656924098667114</v>
      </c>
      <c r="AF63" s="18">
        <f t="shared" si="52"/>
        <v>-1.0245251985044335E-2</v>
      </c>
      <c r="AG63" s="18">
        <f t="shared" si="52"/>
        <v>4.3894476782589509E-2</v>
      </c>
      <c r="AH63" s="18">
        <f t="shared" si="52"/>
        <v>4.2329843548803758E-2</v>
      </c>
      <c r="AI63" s="18">
        <f t="shared" si="52"/>
        <v>4.6883911016630808E-3</v>
      </c>
      <c r="AJ63" s="18">
        <f t="shared" si="52"/>
        <v>0.19202197474640048</v>
      </c>
      <c r="AK63" s="18">
        <f t="shared" si="52"/>
        <v>-4.3787020772822371E-2</v>
      </c>
    </row>
    <row r="64" spans="23:37" x14ac:dyDescent="0.25">
      <c r="W64" s="12" t="s">
        <v>79</v>
      </c>
      <c r="Z64" s="13"/>
      <c r="AA64" s="13"/>
      <c r="AB64" s="13"/>
      <c r="AC64" s="13">
        <v>1253336.8489999999</v>
      </c>
      <c r="AD64" s="13">
        <v>1630888.2239999999</v>
      </c>
      <c r="AE64" s="13">
        <v>742923</v>
      </c>
      <c r="AF64" s="13">
        <f>1505211-AE64</f>
        <v>762288</v>
      </c>
      <c r="AG64" s="13">
        <f>2088489.98-AF64-AE64</f>
        <v>583278.98</v>
      </c>
      <c r="AH64" s="13">
        <f>2973221.562-AG64-AF64-AE64</f>
        <v>884731.58199999994</v>
      </c>
      <c r="AI64" s="13">
        <v>935906</v>
      </c>
      <c r="AJ64" s="13">
        <f>2097845-AI64</f>
        <v>1161939</v>
      </c>
      <c r="AK64" s="13">
        <f>3403390-AJ64-AI64</f>
        <v>1305545</v>
      </c>
    </row>
    <row r="65" spans="23:37" x14ac:dyDescent="0.25">
      <c r="W65" s="12" t="s">
        <v>82</v>
      </c>
      <c r="X65" s="19"/>
      <c r="Y65" s="19"/>
      <c r="Z65" s="19" t="e">
        <f t="shared" ref="Z65:AF65" si="53">+Z64/Z61</f>
        <v>#DIV/0!</v>
      </c>
      <c r="AA65" s="19" t="e">
        <f t="shared" si="53"/>
        <v>#DIV/0!</v>
      </c>
      <c r="AB65" s="19" t="e">
        <f t="shared" si="53"/>
        <v>#DIV/0!</v>
      </c>
      <c r="AC65" s="19">
        <f t="shared" si="53"/>
        <v>9.6812997990342362E-2</v>
      </c>
      <c r="AD65" s="19">
        <f t="shared" si="53"/>
        <v>9.3188059606377355E-2</v>
      </c>
      <c r="AE65" s="19">
        <f t="shared" si="53"/>
        <v>0.12731342879459903</v>
      </c>
      <c r="AF65" s="19">
        <f t="shared" si="53"/>
        <v>0.13198418658075584</v>
      </c>
      <c r="AG65" s="19">
        <f>+AG64/AG61</f>
        <v>9.6743666577416218E-2</v>
      </c>
      <c r="AH65" s="19">
        <f t="shared" ref="AH65:AJ65" si="54">+AH64/AH61</f>
        <v>0.14078376495339789</v>
      </c>
      <c r="AI65" s="19">
        <f t="shared" si="54"/>
        <v>0.14823197402892366</v>
      </c>
      <c r="AJ65" s="19">
        <f t="shared" si="54"/>
        <v>0.15438628892745057</v>
      </c>
      <c r="AK65" s="19">
        <f>+AK64/AK61</f>
        <v>0.18141057947809189</v>
      </c>
    </row>
    <row r="66" spans="23:37" x14ac:dyDescent="0.25">
      <c r="W66" s="12" t="s">
        <v>354</v>
      </c>
      <c r="Z66" s="13"/>
      <c r="AA66" s="13"/>
      <c r="AB66" s="13"/>
      <c r="AC66" s="13">
        <v>846161.56299999997</v>
      </c>
      <c r="AD66" s="13">
        <v>1069651.3859999999</v>
      </c>
      <c r="AE66" s="13">
        <v>750868</v>
      </c>
      <c r="AF66" s="13">
        <f>769632-AE66</f>
        <v>18764</v>
      </c>
      <c r="AG66" s="13">
        <f>825289.11-AF66-AE66</f>
        <v>55657.109999999986</v>
      </c>
      <c r="AH66" s="13">
        <f>1208823.685-AG66-AF66-AE66</f>
        <v>383534.57500000019</v>
      </c>
      <c r="AI66" s="13">
        <v>432180</v>
      </c>
      <c r="AJ66" s="13">
        <f>1345253-AI66</f>
        <v>913073</v>
      </c>
      <c r="AK66" s="13">
        <f>2180101-AJ66-AI66</f>
        <v>834848</v>
      </c>
    </row>
    <row r="67" spans="23:37" x14ac:dyDescent="0.25">
      <c r="W67" s="12" t="s">
        <v>82</v>
      </c>
      <c r="Z67" s="19" t="e">
        <f t="shared" ref="Z67:AF67" si="55">+Z66/Z61</f>
        <v>#DIV/0!</v>
      </c>
      <c r="AA67" s="19" t="e">
        <f t="shared" si="55"/>
        <v>#DIV/0!</v>
      </c>
      <c r="AB67" s="19" t="e">
        <f t="shared" si="55"/>
        <v>#DIV/0!</v>
      </c>
      <c r="AC67" s="19">
        <f t="shared" si="55"/>
        <v>6.5361070141347094E-2</v>
      </c>
      <c r="AD67" s="19">
        <f t="shared" si="55"/>
        <v>6.1119294167282033E-2</v>
      </c>
      <c r="AE67" s="19">
        <f t="shared" si="55"/>
        <v>0.12867494969484453</v>
      </c>
      <c r="AF67" s="19">
        <f t="shared" si="55"/>
        <v>3.248839384853628E-3</v>
      </c>
      <c r="AG67" s="19">
        <f>+AG66/AG61</f>
        <v>9.231385112665259E-3</v>
      </c>
      <c r="AH67" s="19">
        <f t="shared" ref="AH67:AJ67" si="56">+AH66/AH61</f>
        <v>6.1030308578157423E-2</v>
      </c>
      <c r="AI67" s="19">
        <f t="shared" si="56"/>
        <v>6.8450137658931806E-2</v>
      </c>
      <c r="AJ67" s="19">
        <f t="shared" si="56"/>
        <v>0.12131958045117178</v>
      </c>
      <c r="AK67" s="19">
        <f>+AK66/AK61</f>
        <v>0.11600539196743587</v>
      </c>
    </row>
    <row r="70" spans="23:37" x14ac:dyDescent="0.25">
      <c r="W70" s="47" t="s">
        <v>382</v>
      </c>
      <c r="AC70" s="13"/>
      <c r="AG70" s="13"/>
      <c r="AK70" s="13"/>
    </row>
    <row r="71" spans="23:37" x14ac:dyDescent="0.25">
      <c r="W71" s="12" t="s">
        <v>78</v>
      </c>
      <c r="Z71" s="13"/>
      <c r="AA71" s="13"/>
      <c r="AB71" s="13"/>
      <c r="AC71" s="13">
        <v>6026523.4129999997</v>
      </c>
      <c r="AD71" s="13">
        <v>8068809.0619999999</v>
      </c>
      <c r="AE71" s="13">
        <v>3885743</v>
      </c>
      <c r="AF71" s="13">
        <f>8566792-AE71</f>
        <v>4681049</v>
      </c>
      <c r="AG71" s="13">
        <f>14090038.043-AF71-AE71</f>
        <v>5523246.0429999996</v>
      </c>
      <c r="AH71" s="13">
        <f>19010565.094-AG71-AF71-AE71</f>
        <v>4920527.0510000009</v>
      </c>
      <c r="AI71" s="13">
        <v>4697280</v>
      </c>
      <c r="AJ71" s="13">
        <f>9695570-AI71</f>
        <v>4998290</v>
      </c>
      <c r="AK71" s="13">
        <f>14832031-AJ71-AI71</f>
        <v>5136461</v>
      </c>
    </row>
    <row r="72" spans="23:37" x14ac:dyDescent="0.25">
      <c r="W72" s="12" t="s">
        <v>40</v>
      </c>
      <c r="X72" s="17"/>
      <c r="Y72" s="17"/>
      <c r="Z72" s="17"/>
      <c r="AA72" s="17"/>
      <c r="AB72" s="18"/>
      <c r="AC72" s="18"/>
      <c r="AD72" s="18" t="e">
        <f t="shared" ref="AD72:AK72" si="57">+AD71/Z71-1</f>
        <v>#DIV/0!</v>
      </c>
      <c r="AE72" s="18" t="e">
        <f t="shared" si="57"/>
        <v>#DIV/0!</v>
      </c>
      <c r="AF72" s="18" t="e">
        <f t="shared" si="57"/>
        <v>#DIV/0!</v>
      </c>
      <c r="AG72" s="18">
        <f t="shared" si="57"/>
        <v>-8.3510398203110792E-2</v>
      </c>
      <c r="AH72" s="18">
        <f t="shared" si="57"/>
        <v>-0.3901792676972381</v>
      </c>
      <c r="AI72" s="18">
        <f t="shared" si="57"/>
        <v>0.20884989048426528</v>
      </c>
      <c r="AJ72" s="18">
        <f t="shared" si="57"/>
        <v>6.7771347832505047E-2</v>
      </c>
      <c r="AK72" s="18">
        <f t="shared" si="57"/>
        <v>-7.0028573775053782E-2</v>
      </c>
    </row>
    <row r="73" spans="23:37" x14ac:dyDescent="0.25">
      <c r="W73" s="12" t="s">
        <v>41</v>
      </c>
      <c r="Y73" s="18"/>
      <c r="Z73" s="18"/>
      <c r="AA73" s="18" t="e">
        <f t="shared" ref="AA73:AK73" si="58">+AA71/Z71-1</f>
        <v>#DIV/0!</v>
      </c>
      <c r="AB73" s="18" t="e">
        <f t="shared" si="58"/>
        <v>#DIV/0!</v>
      </c>
      <c r="AC73" s="18" t="e">
        <f t="shared" si="58"/>
        <v>#DIV/0!</v>
      </c>
      <c r="AD73" s="18">
        <f t="shared" si="58"/>
        <v>0.33888288637434361</v>
      </c>
      <c r="AE73" s="18">
        <f t="shared" si="58"/>
        <v>-0.51842422219409312</v>
      </c>
      <c r="AF73" s="18">
        <f t="shared" si="58"/>
        <v>0.2046728257633097</v>
      </c>
      <c r="AG73" s="18">
        <f t="shared" si="58"/>
        <v>0.17991630572549</v>
      </c>
      <c r="AH73" s="18">
        <f t="shared" si="58"/>
        <v>-0.10912405265086222</v>
      </c>
      <c r="AI73" s="18">
        <f t="shared" si="58"/>
        <v>-4.5370556585931254E-2</v>
      </c>
      <c r="AJ73" s="18">
        <f t="shared" si="58"/>
        <v>6.4081766469105572E-2</v>
      </c>
      <c r="AK73" s="18">
        <f t="shared" si="58"/>
        <v>2.7643654129712258E-2</v>
      </c>
    </row>
    <row r="74" spans="23:37" x14ac:dyDescent="0.25">
      <c r="W74" s="12" t="s">
        <v>79</v>
      </c>
      <c r="Z74" s="13"/>
      <c r="AA74" s="13"/>
      <c r="AB74" s="13"/>
      <c r="AC74" s="13">
        <v>398295.625</v>
      </c>
      <c r="AD74" s="13">
        <v>577747.52599999995</v>
      </c>
      <c r="AE74" s="13">
        <v>366124</v>
      </c>
      <c r="AF74" s="13">
        <f>700043-AE74</f>
        <v>333919</v>
      </c>
      <c r="AG74" s="13">
        <f>904643.184-AF74-AE74</f>
        <v>204600.18400000001</v>
      </c>
      <c r="AH74" s="13">
        <f>1187746.016-AG74-AF74-AE74</f>
        <v>283102.83200000005</v>
      </c>
      <c r="AI74" s="13">
        <v>320484</v>
      </c>
      <c r="AJ74" s="13">
        <f>1101816-AI74</f>
        <v>781332</v>
      </c>
      <c r="AK74" s="13">
        <f>1780453-AJ74-AI74</f>
        <v>678637</v>
      </c>
    </row>
    <row r="75" spans="23:37" x14ac:dyDescent="0.25">
      <c r="W75" s="12" t="s">
        <v>82</v>
      </c>
      <c r="X75" s="19"/>
      <c r="Y75" s="19"/>
      <c r="Z75" s="19" t="e">
        <f t="shared" ref="Z75:AF75" si="59">+Z74/Z71</f>
        <v>#DIV/0!</v>
      </c>
      <c r="AA75" s="19" t="e">
        <f t="shared" si="59"/>
        <v>#DIV/0!</v>
      </c>
      <c r="AB75" s="19" t="e">
        <f t="shared" si="59"/>
        <v>#DIV/0!</v>
      </c>
      <c r="AC75" s="19">
        <f t="shared" si="59"/>
        <v>6.6090446797373123E-2</v>
      </c>
      <c r="AD75" s="19">
        <f t="shared" si="59"/>
        <v>7.1602577475887719E-2</v>
      </c>
      <c r="AE75" s="19">
        <f t="shared" si="59"/>
        <v>9.422239195953E-2</v>
      </c>
      <c r="AF75" s="19">
        <f t="shared" si="59"/>
        <v>7.133422444413634E-2</v>
      </c>
      <c r="AG75" s="19">
        <f>+AG74/AG71</f>
        <v>3.7043467266736067E-2</v>
      </c>
      <c r="AH75" s="19">
        <f t="shared" ref="AH75:AJ75" si="60">+AH74/AH71</f>
        <v>5.7535062619453528E-2</v>
      </c>
      <c r="AI75" s="19">
        <f t="shared" si="60"/>
        <v>6.8227569997956261E-2</v>
      </c>
      <c r="AJ75" s="19">
        <f t="shared" si="60"/>
        <v>0.15631986139259627</v>
      </c>
      <c r="AK75" s="19">
        <f>+AK74/AK71</f>
        <v>0.13212151323644822</v>
      </c>
    </row>
    <row r="76" spans="23:37" x14ac:dyDescent="0.25">
      <c r="W76" s="12" t="s">
        <v>354</v>
      </c>
      <c r="Z76" s="13"/>
      <c r="AA76" s="13"/>
      <c r="AB76" s="13"/>
      <c r="AC76" s="13">
        <v>230828.33300000001</v>
      </c>
      <c r="AD76" s="13">
        <v>479180.20199999999</v>
      </c>
      <c r="AE76" s="13">
        <v>295764</v>
      </c>
      <c r="AF76" s="13">
        <f>492664-AE76</f>
        <v>196900</v>
      </c>
      <c r="AG76" s="13">
        <f>497792.426-AF76-AE76</f>
        <v>5128.4259999999776</v>
      </c>
      <c r="AH76" s="13">
        <f>523488.32-AG76-AF76-AE76</f>
        <v>25695.894000000029</v>
      </c>
      <c r="AI76" s="13">
        <v>180715</v>
      </c>
      <c r="AJ76" s="13">
        <f>653199-AI76</f>
        <v>472484</v>
      </c>
      <c r="AK76" s="13">
        <f>1054337-AJ76-AI76</f>
        <v>401138</v>
      </c>
    </row>
    <row r="77" spans="23:37" x14ac:dyDescent="0.25">
      <c r="W77" s="12" t="s">
        <v>82</v>
      </c>
      <c r="Z77" s="19" t="e">
        <f t="shared" ref="Z77:AF77" si="61">+Z76/Z71</f>
        <v>#DIV/0!</v>
      </c>
      <c r="AA77" s="19" t="e">
        <f t="shared" si="61"/>
        <v>#DIV/0!</v>
      </c>
      <c r="AB77" s="19" t="e">
        <f t="shared" si="61"/>
        <v>#DIV/0!</v>
      </c>
      <c r="AC77" s="19">
        <f t="shared" si="61"/>
        <v>3.8302071888092745E-2</v>
      </c>
      <c r="AD77" s="19">
        <f t="shared" si="61"/>
        <v>5.9386732083758907E-2</v>
      </c>
      <c r="AE77" s="19">
        <f t="shared" si="61"/>
        <v>7.6115172825377289E-2</v>
      </c>
      <c r="AF77" s="19">
        <f t="shared" si="61"/>
        <v>4.2063221299328421E-2</v>
      </c>
      <c r="AG77" s="19">
        <f>+AG76/AG71</f>
        <v>9.285166657566513E-4</v>
      </c>
      <c r="AH77" s="19">
        <f t="shared" ref="AH77:AJ77" si="62">+AH76/AH71</f>
        <v>5.2221832607906998E-3</v>
      </c>
      <c r="AI77" s="19">
        <f t="shared" si="62"/>
        <v>3.8472264800054501E-2</v>
      </c>
      <c r="AJ77" s="19">
        <f t="shared" si="62"/>
        <v>9.4529128962105038E-2</v>
      </c>
      <c r="AK77" s="19">
        <f>+AK76/AK71</f>
        <v>7.8096183344913944E-2</v>
      </c>
    </row>
    <row r="80" spans="23:37" x14ac:dyDescent="0.25">
      <c r="W80" s="47" t="s">
        <v>130</v>
      </c>
      <c r="AC80" s="13"/>
      <c r="AG80" s="13"/>
      <c r="AK80" s="13"/>
    </row>
    <row r="81" spans="23:37" x14ac:dyDescent="0.25">
      <c r="W81" s="12" t="s">
        <v>78</v>
      </c>
      <c r="Z81" s="13"/>
      <c r="AA81" s="13"/>
      <c r="AB81" s="13"/>
      <c r="AC81" s="13">
        <v>5033465</v>
      </c>
      <c r="AD81" s="13">
        <v>6474661</v>
      </c>
      <c r="AE81" s="13">
        <v>1851889</v>
      </c>
      <c r="AF81" s="13">
        <f>4578738-AE81</f>
        <v>2726849</v>
      </c>
      <c r="AG81" s="13">
        <f>6649162-AF81-AE81</f>
        <v>2070424</v>
      </c>
      <c r="AH81" s="13">
        <f>8768041-AG81-AF81-AE81</f>
        <v>2118879</v>
      </c>
      <c r="AI81" s="13">
        <v>2357367</v>
      </c>
      <c r="AJ81" s="13">
        <f>4598165-AI81</f>
        <v>2240798</v>
      </c>
      <c r="AK81" s="13">
        <f>6483336-AJ81-AI81</f>
        <v>1885171</v>
      </c>
    </row>
    <row r="82" spans="23:37" x14ac:dyDescent="0.25">
      <c r="W82" s="12" t="s">
        <v>40</v>
      </c>
      <c r="X82" s="17"/>
      <c r="Y82" s="17"/>
      <c r="Z82" s="17"/>
      <c r="AA82" s="17"/>
      <c r="AB82" s="18"/>
      <c r="AC82" s="18"/>
      <c r="AD82" s="18" t="e">
        <f t="shared" ref="AD82:AK82" si="63">+AD81/Z81-1</f>
        <v>#DIV/0!</v>
      </c>
      <c r="AE82" s="18" t="e">
        <f t="shared" si="63"/>
        <v>#DIV/0!</v>
      </c>
      <c r="AF82" s="18" t="e">
        <f t="shared" si="63"/>
        <v>#DIV/0!</v>
      </c>
      <c r="AG82" s="18">
        <f t="shared" si="63"/>
        <v>-0.58866824344661184</v>
      </c>
      <c r="AH82" s="18">
        <f t="shared" si="63"/>
        <v>-0.67274286638327474</v>
      </c>
      <c r="AI82" s="18">
        <f t="shared" si="63"/>
        <v>0.27295264456994994</v>
      </c>
      <c r="AJ82" s="18">
        <f t="shared" si="63"/>
        <v>-0.17824639354801086</v>
      </c>
      <c r="AK82" s="18">
        <f t="shared" si="63"/>
        <v>-8.9475875472849964E-2</v>
      </c>
    </row>
    <row r="83" spans="23:37" x14ac:dyDescent="0.25">
      <c r="W83" s="12" t="s">
        <v>41</v>
      </c>
      <c r="Y83" s="18"/>
      <c r="Z83" s="18"/>
      <c r="AA83" s="18" t="e">
        <f t="shared" ref="AA83:AK83" si="64">+AA81/Z81-1</f>
        <v>#DIV/0!</v>
      </c>
      <c r="AB83" s="18" t="e">
        <f t="shared" si="64"/>
        <v>#DIV/0!</v>
      </c>
      <c r="AC83" s="18" t="e">
        <f t="shared" si="64"/>
        <v>#DIV/0!</v>
      </c>
      <c r="AD83" s="18">
        <f t="shared" si="64"/>
        <v>0.28632284122368978</v>
      </c>
      <c r="AE83" s="18">
        <f t="shared" si="64"/>
        <v>-0.71397900214389609</v>
      </c>
      <c r="AF83" s="18">
        <f t="shared" si="64"/>
        <v>0.4724689222734193</v>
      </c>
      <c r="AG83" s="18">
        <f t="shared" si="64"/>
        <v>-0.24072656755104516</v>
      </c>
      <c r="AH83" s="18">
        <f t="shared" si="64"/>
        <v>2.3403418816628774E-2</v>
      </c>
      <c r="AI83" s="18">
        <f t="shared" si="64"/>
        <v>0.11255385512811245</v>
      </c>
      <c r="AJ83" s="18">
        <f t="shared" si="64"/>
        <v>-4.944881301893167E-2</v>
      </c>
      <c r="AK83" s="18">
        <f t="shared" si="64"/>
        <v>-0.15870551473180539</v>
      </c>
    </row>
    <row r="84" spans="23:37" x14ac:dyDescent="0.25">
      <c r="W84" s="12" t="s">
        <v>79</v>
      </c>
      <c r="Z84" s="13"/>
      <c r="AA84" s="13"/>
      <c r="AB84" s="13"/>
      <c r="AC84" s="13">
        <v>2824163</v>
      </c>
      <c r="AD84" s="13">
        <v>3346775</v>
      </c>
      <c r="AE84" s="13">
        <v>756600</v>
      </c>
      <c r="AF84" s="13">
        <f>2032748-AE84</f>
        <v>1276148</v>
      </c>
      <c r="AG84" s="13">
        <f>2756905-AF84-AE84</f>
        <v>724157</v>
      </c>
      <c r="AH84" s="13">
        <f>2930745-AG84-AF84-AE84</f>
        <v>173840</v>
      </c>
      <c r="AI84" s="13">
        <v>809312</v>
      </c>
      <c r="AJ84" s="13">
        <f>1715875-AI84</f>
        <v>906563</v>
      </c>
      <c r="AK84" s="13">
        <f>2323592-AJ84-AI84</f>
        <v>607717</v>
      </c>
    </row>
    <row r="85" spans="23:37" x14ac:dyDescent="0.25">
      <c r="W85" s="12" t="s">
        <v>82</v>
      </c>
      <c r="X85" s="19"/>
      <c r="Y85" s="19"/>
      <c r="Z85" s="19" t="e">
        <f t="shared" ref="Z85:AF85" si="65">+Z84/Z81</f>
        <v>#DIV/0!</v>
      </c>
      <c r="AA85" s="19" t="e">
        <f t="shared" si="65"/>
        <v>#DIV/0!</v>
      </c>
      <c r="AB85" s="19" t="e">
        <f t="shared" si="65"/>
        <v>#DIV/0!</v>
      </c>
      <c r="AC85" s="19">
        <f t="shared" si="65"/>
        <v>0.56107730956706758</v>
      </c>
      <c r="AD85" s="19">
        <f t="shared" si="65"/>
        <v>0.51690351046950567</v>
      </c>
      <c r="AE85" s="19">
        <f t="shared" si="65"/>
        <v>0.40855580437056432</v>
      </c>
      <c r="AF85" s="19">
        <f t="shared" si="65"/>
        <v>0.46799364394581439</v>
      </c>
      <c r="AG85" s="19">
        <f>+AG84/AG81</f>
        <v>0.34976265731077305</v>
      </c>
      <c r="AH85" s="19">
        <f t="shared" ref="AH85:AJ85" si="66">+AH84/AH81</f>
        <v>8.204338237341538E-2</v>
      </c>
      <c r="AI85" s="19">
        <f t="shared" si="66"/>
        <v>0.3433118390136114</v>
      </c>
      <c r="AJ85" s="19">
        <f t="shared" si="66"/>
        <v>0.40457149640440593</v>
      </c>
      <c r="AK85" s="19">
        <f>+AK84/AK81</f>
        <v>0.32236704256536941</v>
      </c>
    </row>
    <row r="86" spans="23:37" x14ac:dyDescent="0.25">
      <c r="W86" s="12" t="s">
        <v>354</v>
      </c>
      <c r="Z86" s="13"/>
      <c r="AA86" s="13"/>
      <c r="AB86" s="13"/>
      <c r="AC86" s="13">
        <v>2670187</v>
      </c>
      <c r="AD86" s="13">
        <v>3457799</v>
      </c>
      <c r="AE86" s="13">
        <v>733715</v>
      </c>
      <c r="AF86" s="13">
        <f>1933687-AE86</f>
        <v>1199972</v>
      </c>
      <c r="AG86" s="13">
        <f>2594510-AF86-AE86</f>
        <v>660823</v>
      </c>
      <c r="AH86" s="13">
        <f>2331789-AG86-AF86-AE86</f>
        <v>-262721</v>
      </c>
      <c r="AI86" s="13">
        <v>750868</v>
      </c>
      <c r="AJ86" s="13">
        <f>1629226-AI86</f>
        <v>878358</v>
      </c>
      <c r="AK86" s="13">
        <f>2323592-AJ86-AI86</f>
        <v>694366</v>
      </c>
    </row>
    <row r="87" spans="23:37" x14ac:dyDescent="0.25">
      <c r="W87" s="12" t="s">
        <v>82</v>
      </c>
      <c r="Z87" s="19" t="e">
        <f t="shared" ref="Z87:AF87" si="67">+Z86/Z81</f>
        <v>#DIV/0!</v>
      </c>
      <c r="AA87" s="19" t="e">
        <f t="shared" si="67"/>
        <v>#DIV/0!</v>
      </c>
      <c r="AB87" s="19" t="e">
        <f t="shared" si="67"/>
        <v>#DIV/0!</v>
      </c>
      <c r="AC87" s="19">
        <f t="shared" si="67"/>
        <v>0.5304868515028911</v>
      </c>
      <c r="AD87" s="19">
        <f t="shared" si="67"/>
        <v>0.5340509719350558</v>
      </c>
      <c r="AE87" s="19">
        <f t="shared" si="67"/>
        <v>0.39619815226506555</v>
      </c>
      <c r="AF87" s="19">
        <f t="shared" si="67"/>
        <v>0.44005810369404391</v>
      </c>
      <c r="AG87" s="19">
        <f>+AG86/AG81</f>
        <v>0.3191727877961229</v>
      </c>
      <c r="AH87" s="19">
        <f t="shared" ref="AH87:AJ87" si="68">+AH86/AH81</f>
        <v>-0.12399056293445733</v>
      </c>
      <c r="AI87" s="19">
        <f t="shared" si="68"/>
        <v>0.31851977227135192</v>
      </c>
      <c r="AJ87" s="19">
        <f t="shared" si="68"/>
        <v>0.39198446267802811</v>
      </c>
      <c r="AK87" s="19">
        <f>+AK86/AK81</f>
        <v>0.36833051219226265</v>
      </c>
    </row>
  </sheetData>
  <mergeCells count="3">
    <mergeCell ref="AO2:AS2"/>
    <mergeCell ref="AT2:AX2"/>
    <mergeCell ref="B13:H13"/>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0C74-9F26-47AC-B59F-44DC139096AF}">
  <sheetPr codeName="Sheet12">
    <tabColor rgb="FF92D050"/>
  </sheetPr>
  <dimension ref="A1:BE87"/>
  <sheetViews>
    <sheetView topLeftCell="AB2" zoomScale="85" zoomScaleNormal="85" workbookViewId="0">
      <selection activeCell="AJ28" sqref="AJ28:AM28"/>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9" width="12" style="12" customWidth="1"/>
    <col min="40" max="41" width="8.85546875" style="12"/>
    <col min="42" max="42" width="14.28515625" style="50" bestFit="1" customWidth="1"/>
    <col min="43" max="16384" width="8.85546875" style="50"/>
  </cols>
  <sheetData>
    <row r="1" spans="1:57" ht="15.75" thickBot="1" x14ac:dyDescent="0.3">
      <c r="W1" s="20" t="s">
        <v>194</v>
      </c>
      <c r="X1" s="59">
        <f>+'Valuation Sheet'!C23</f>
        <v>9.4</v>
      </c>
    </row>
    <row r="2" spans="1:57"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386</v>
      </c>
      <c r="X2" s="11" t="s">
        <v>105</v>
      </c>
      <c r="Y2" s="11" t="s">
        <v>104</v>
      </c>
      <c r="Z2" s="11" t="s">
        <v>103</v>
      </c>
      <c r="AA2" s="11" t="s">
        <v>101</v>
      </c>
      <c r="AB2" s="11" t="s">
        <v>102</v>
      </c>
      <c r="AC2" s="11" t="s">
        <v>100</v>
      </c>
      <c r="AD2" s="11" t="s">
        <v>99</v>
      </c>
      <c r="AE2" s="11" t="s">
        <v>97</v>
      </c>
      <c r="AF2" s="11" t="s">
        <v>98</v>
      </c>
      <c r="AG2" s="11" t="s">
        <v>96</v>
      </c>
      <c r="AH2" s="11" t="s">
        <v>95</v>
      </c>
      <c r="AI2" s="11" t="s">
        <v>94</v>
      </c>
      <c r="AJ2" s="11" t="s">
        <v>93</v>
      </c>
      <c r="AK2" s="11" t="s">
        <v>366</v>
      </c>
      <c r="AL2" s="11" t="s">
        <v>985</v>
      </c>
      <c r="AM2" s="11" t="s">
        <v>1024</v>
      </c>
      <c r="AP2" s="71" t="s">
        <v>386</v>
      </c>
      <c r="AQ2" s="189" t="s">
        <v>198</v>
      </c>
      <c r="AR2" s="190"/>
      <c r="AS2" s="190"/>
      <c r="AT2" s="190"/>
      <c r="AU2" s="191"/>
      <c r="AV2" s="192" t="s">
        <v>199</v>
      </c>
      <c r="AW2" s="192"/>
      <c r="AX2" s="192"/>
      <c r="AY2" s="192"/>
      <c r="AZ2" s="192"/>
      <c r="BA2" s="192" t="s">
        <v>992</v>
      </c>
      <c r="BB2" s="192"/>
      <c r="BC2" s="192"/>
      <c r="BD2" s="192"/>
      <c r="BE2" s="192"/>
    </row>
    <row r="3" spans="1:57" ht="18" thickTop="1" thickBot="1" x14ac:dyDescent="0.4">
      <c r="B3" s="25" t="s">
        <v>10</v>
      </c>
      <c r="C3" s="26">
        <v>17820.179</v>
      </c>
      <c r="D3" s="26"/>
      <c r="E3" s="26"/>
      <c r="F3" s="26"/>
      <c r="G3" s="26"/>
      <c r="H3" s="26"/>
      <c r="I3" s="27"/>
      <c r="J3" s="21"/>
      <c r="M3" s="1" t="s">
        <v>11</v>
      </c>
      <c r="N3" s="2">
        <f>'[1]LT Portfolio'!W294</f>
        <v>0</v>
      </c>
      <c r="W3" s="12" t="s">
        <v>62</v>
      </c>
      <c r="X3" s="13"/>
      <c r="Y3" s="13"/>
      <c r="Z3" s="13"/>
      <c r="AA3" s="13">
        <v>32850265</v>
      </c>
      <c r="AB3" s="13">
        <v>35079054</v>
      </c>
      <c r="AC3" s="10">
        <v>36861964</v>
      </c>
      <c r="AD3" s="13">
        <v>37123556</v>
      </c>
      <c r="AE3" s="13">
        <v>38250990</v>
      </c>
      <c r="AF3" s="13">
        <v>43308053</v>
      </c>
      <c r="AG3" s="13">
        <v>45622944</v>
      </c>
      <c r="AH3" s="13">
        <v>50948775</v>
      </c>
      <c r="AI3" s="13">
        <v>50066718</v>
      </c>
      <c r="AJ3" s="13">
        <v>47669852</v>
      </c>
      <c r="AK3" s="13">
        <v>46686167</v>
      </c>
      <c r="AL3" s="13">
        <v>43390492</v>
      </c>
      <c r="AM3" s="13">
        <v>43167751</v>
      </c>
      <c r="AP3" s="69"/>
      <c r="AQ3" s="66" t="s">
        <v>78</v>
      </c>
      <c r="AR3" s="67" t="s">
        <v>17</v>
      </c>
      <c r="AS3" s="67" t="s">
        <v>184</v>
      </c>
      <c r="AT3" s="67" t="s">
        <v>29</v>
      </c>
      <c r="AU3" s="68" t="s">
        <v>30</v>
      </c>
      <c r="AV3" s="66" t="s">
        <v>78</v>
      </c>
      <c r="AW3" s="67" t="s">
        <v>17</v>
      </c>
      <c r="AX3" s="67" t="s">
        <v>184</v>
      </c>
      <c r="AY3" s="67" t="s">
        <v>29</v>
      </c>
      <c r="AZ3" s="68" t="s">
        <v>30</v>
      </c>
      <c r="BA3" s="66" t="s">
        <v>78</v>
      </c>
      <c r="BB3" s="67" t="s">
        <v>17</v>
      </c>
      <c r="BC3" s="67" t="s">
        <v>184</v>
      </c>
      <c r="BD3" s="67" t="s">
        <v>29</v>
      </c>
      <c r="BE3" s="68" t="s">
        <v>30</v>
      </c>
    </row>
    <row r="4" spans="1:57"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M4" si="1">+AB3/X3-1</f>
        <v>#DIV/0!</v>
      </c>
      <c r="AC4" s="18" t="e">
        <f t="shared" si="1"/>
        <v>#DIV/0!</v>
      </c>
      <c r="AD4" s="18" t="e">
        <f t="shared" si="1"/>
        <v>#DIV/0!</v>
      </c>
      <c r="AE4" s="18">
        <f t="shared" si="1"/>
        <v>0.16440430541427897</v>
      </c>
      <c r="AF4" s="18">
        <f t="shared" si="1"/>
        <v>0.23458440469916897</v>
      </c>
      <c r="AG4" s="18">
        <f t="shared" si="1"/>
        <v>0.23766991905260393</v>
      </c>
      <c r="AH4" s="18">
        <f t="shared" si="1"/>
        <v>0.37241095653659895</v>
      </c>
      <c r="AI4" s="18">
        <f t="shared" si="1"/>
        <v>0.30889992651170606</v>
      </c>
      <c r="AJ4" s="18">
        <f t="shared" si="1"/>
        <v>0.10071565673940586</v>
      </c>
      <c r="AK4" s="18">
        <f t="shared" si="1"/>
        <v>2.3304567982285418E-2</v>
      </c>
      <c r="AL4" s="18">
        <f t="shared" si="1"/>
        <v>-0.14835063257163694</v>
      </c>
      <c r="AM4" s="18">
        <f t="shared" si="1"/>
        <v>-0.13779547123500291</v>
      </c>
      <c r="AN4" s="46"/>
      <c r="AP4" s="69" t="s">
        <v>185</v>
      </c>
      <c r="AQ4" s="60"/>
      <c r="AR4" s="61"/>
      <c r="AS4" s="61"/>
      <c r="AT4" s="74"/>
      <c r="AU4" s="64"/>
      <c r="AV4" s="60">
        <v>175931</v>
      </c>
      <c r="AW4" s="61"/>
      <c r="AX4" s="61">
        <v>13947</v>
      </c>
      <c r="AY4" s="58">
        <v>1.6</v>
      </c>
      <c r="AZ4" s="64">
        <v>0.8</v>
      </c>
      <c r="BA4" s="60">
        <v>189879</v>
      </c>
      <c r="BB4" s="61"/>
      <c r="BC4" s="61">
        <v>21740</v>
      </c>
      <c r="BD4" s="58">
        <v>2.4</v>
      </c>
      <c r="BE4" s="64">
        <v>1.2</v>
      </c>
    </row>
    <row r="5" spans="1:57"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M5" si="2">+Y3/X3-1</f>
        <v>#DIV/0!</v>
      </c>
      <c r="Z5" s="18" t="e">
        <f t="shared" si="2"/>
        <v>#DIV/0!</v>
      </c>
      <c r="AA5" s="18" t="e">
        <f t="shared" si="2"/>
        <v>#DIV/0!</v>
      </c>
      <c r="AB5" s="18">
        <f t="shared" si="2"/>
        <v>6.7846910824006956E-2</v>
      </c>
      <c r="AC5" s="18">
        <f t="shared" si="2"/>
        <v>5.0825486913073536E-2</v>
      </c>
      <c r="AD5" s="18">
        <f t="shared" si="2"/>
        <v>7.0965290943261206E-3</v>
      </c>
      <c r="AE5" s="18">
        <f t="shared" si="2"/>
        <v>3.0369773843863523E-2</v>
      </c>
      <c r="AF5" s="18">
        <f t="shared" si="2"/>
        <v>0.1322073755476656</v>
      </c>
      <c r="AG5" s="18">
        <f t="shared" si="2"/>
        <v>5.3451744875254503E-2</v>
      </c>
      <c r="AH5" s="18">
        <f t="shared" si="2"/>
        <v>0.11673580293284003</v>
      </c>
      <c r="AI5" s="18">
        <f t="shared" si="2"/>
        <v>-1.7312624297640133E-2</v>
      </c>
      <c r="AJ5" s="18">
        <f t="shared" si="2"/>
        <v>-4.7873439597139189E-2</v>
      </c>
      <c r="AK5" s="18">
        <f t="shared" si="2"/>
        <v>-2.0635369289587868E-2</v>
      </c>
      <c r="AL5" s="18">
        <f t="shared" si="2"/>
        <v>-7.0592109221560229E-2</v>
      </c>
      <c r="AM5" s="18">
        <f t="shared" si="2"/>
        <v>-5.1334057240005615E-3</v>
      </c>
      <c r="AP5" s="69" t="s">
        <v>186</v>
      </c>
      <c r="AQ5" s="60">
        <v>192901</v>
      </c>
      <c r="AR5" s="61">
        <v>21227</v>
      </c>
      <c r="AS5" s="61">
        <v>19373</v>
      </c>
      <c r="AT5" s="58">
        <v>2.35</v>
      </c>
      <c r="AU5" s="64">
        <v>0.94</v>
      </c>
      <c r="AV5" s="60">
        <v>184790</v>
      </c>
      <c r="AW5" s="61">
        <v>17721</v>
      </c>
      <c r="AX5" s="61">
        <v>7707</v>
      </c>
      <c r="AY5" s="58">
        <v>0.93</v>
      </c>
      <c r="AZ5" s="64">
        <v>0.51</v>
      </c>
      <c r="BA5" s="60">
        <v>198866</v>
      </c>
      <c r="BB5" s="61">
        <v>26984</v>
      </c>
      <c r="BC5" s="61">
        <v>14655</v>
      </c>
      <c r="BD5" s="58">
        <v>1.78</v>
      </c>
      <c r="BE5" s="64">
        <v>0.89</v>
      </c>
    </row>
    <row r="6" spans="1:57"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P6" s="69" t="s">
        <v>187</v>
      </c>
      <c r="AQ6" s="60"/>
      <c r="AR6" s="61"/>
      <c r="AS6" s="61"/>
      <c r="AT6" s="58"/>
      <c r="AU6" s="64"/>
      <c r="AV6" s="60"/>
      <c r="AW6" s="61"/>
      <c r="AX6" s="61"/>
      <c r="AY6" s="58"/>
      <c r="AZ6" s="64"/>
      <c r="BA6" s="60"/>
      <c r="BB6" s="61"/>
      <c r="BC6" s="61"/>
      <c r="BD6" s="58"/>
      <c r="BE6" s="64"/>
    </row>
    <row r="7" spans="1:57"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K7" s="13"/>
      <c r="AL7" s="13"/>
      <c r="AM7" s="13"/>
      <c r="AP7" s="69" t="s">
        <v>188</v>
      </c>
      <c r="AQ7" s="60"/>
      <c r="AR7" s="61"/>
      <c r="AS7" s="61"/>
      <c r="AT7" s="74"/>
      <c r="AU7" s="64"/>
      <c r="AV7" s="60"/>
      <c r="AW7" s="61"/>
      <c r="AX7" s="61"/>
      <c r="AY7" s="58"/>
      <c r="AZ7" s="64"/>
      <c r="BA7" s="60"/>
      <c r="BB7" s="61"/>
      <c r="BC7" s="61"/>
      <c r="BD7" s="58"/>
      <c r="BE7" s="64"/>
    </row>
    <row r="8" spans="1:57"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M8" si="5">+AB7/X7-1</f>
        <v>#DIV/0!</v>
      </c>
      <c r="AC8" s="18" t="e">
        <f t="shared" si="5"/>
        <v>#DIV/0!</v>
      </c>
      <c r="AD8" s="18" t="e">
        <f t="shared" si="5"/>
        <v>#DIV/0!</v>
      </c>
      <c r="AE8" s="18" t="e">
        <f t="shared" si="5"/>
        <v>#DIV/0!</v>
      </c>
      <c r="AF8" s="18" t="e">
        <f t="shared" si="5"/>
        <v>#DIV/0!</v>
      </c>
      <c r="AG8" s="18" t="e">
        <f t="shared" si="5"/>
        <v>#DIV/0!</v>
      </c>
      <c r="AH8" s="18" t="e">
        <f t="shared" si="5"/>
        <v>#DIV/0!</v>
      </c>
      <c r="AI8" s="18" t="e">
        <f t="shared" si="5"/>
        <v>#DIV/0!</v>
      </c>
      <c r="AJ8" s="18" t="e">
        <f t="shared" si="5"/>
        <v>#DIV/0!</v>
      </c>
      <c r="AK8" s="18" t="e">
        <f t="shared" si="5"/>
        <v>#DIV/0!</v>
      </c>
      <c r="AL8" s="18" t="e">
        <f t="shared" si="5"/>
        <v>#DIV/0!</v>
      </c>
      <c r="AM8" s="18" t="e">
        <f t="shared" si="5"/>
        <v>#DIV/0!</v>
      </c>
      <c r="AP8" s="69" t="s">
        <v>189</v>
      </c>
      <c r="AQ8" s="60"/>
      <c r="AR8" s="61"/>
      <c r="AS8" s="61"/>
      <c r="AT8" s="74"/>
      <c r="AU8" s="64"/>
      <c r="AV8" s="60"/>
      <c r="AW8" s="61"/>
      <c r="AX8" s="61"/>
      <c r="AY8" s="58"/>
      <c r="AZ8" s="64"/>
      <c r="BA8" s="60"/>
      <c r="BB8" s="61"/>
      <c r="BC8" s="61"/>
      <c r="BD8" s="58"/>
      <c r="BE8" s="64"/>
    </row>
    <row r="9" spans="1:57"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M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8" t="e">
        <f t="shared" si="6"/>
        <v>#DIV/0!</v>
      </c>
      <c r="AJ9" s="18" t="e">
        <f t="shared" si="6"/>
        <v>#DIV/0!</v>
      </c>
      <c r="AK9" s="18" t="e">
        <f t="shared" si="6"/>
        <v>#DIV/0!</v>
      </c>
      <c r="AL9" s="18" t="e">
        <f t="shared" si="6"/>
        <v>#DIV/0!</v>
      </c>
      <c r="AM9" s="18" t="e">
        <f t="shared" si="6"/>
        <v>#DIV/0!</v>
      </c>
      <c r="AP9" s="69" t="s">
        <v>195</v>
      </c>
      <c r="AQ9" s="60"/>
      <c r="AR9" s="61"/>
      <c r="AS9" s="61"/>
      <c r="AT9" s="74"/>
      <c r="AU9" s="64"/>
      <c r="AV9" s="60"/>
      <c r="AW9" s="61"/>
      <c r="AX9" s="61"/>
      <c r="AY9" s="58"/>
      <c r="AZ9" s="64"/>
      <c r="BA9" s="60"/>
      <c r="BB9" s="61"/>
      <c r="BC9" s="61"/>
      <c r="BD9" s="58"/>
      <c r="BE9" s="64"/>
    </row>
    <row r="10" spans="1:57"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P10" s="69" t="s">
        <v>374</v>
      </c>
      <c r="AQ10" s="60"/>
      <c r="AR10" s="61"/>
      <c r="AS10" s="61"/>
      <c r="AT10" s="58"/>
      <c r="AU10" s="64"/>
      <c r="AV10" s="60"/>
      <c r="AW10" s="61"/>
      <c r="AX10" s="61"/>
      <c r="AY10" s="58"/>
      <c r="AZ10" s="64"/>
      <c r="BA10" s="60"/>
      <c r="BB10" s="61"/>
      <c r="BC10" s="61"/>
      <c r="BD10" s="58"/>
      <c r="BE10" s="64"/>
    </row>
    <row r="11" spans="1:57" ht="18" thickTop="1" thickBot="1" x14ac:dyDescent="0.4">
      <c r="B11" s="28" t="s">
        <v>25</v>
      </c>
      <c r="C11" s="30">
        <f t="shared" ref="C11:G11" si="7">C10/C$3*100</f>
        <v>12.180949473066461</v>
      </c>
      <c r="D11" s="30" t="e">
        <f t="shared" si="7"/>
        <v>#DIV/0!</v>
      </c>
      <c r="E11" s="30" t="e">
        <f t="shared" si="7"/>
        <v>#DIV/0!</v>
      </c>
      <c r="F11" s="30" t="e">
        <f t="shared" si="7"/>
        <v>#DIV/0!</v>
      </c>
      <c r="G11" s="30" t="e">
        <f t="shared" si="7"/>
        <v>#DIV/0!</v>
      </c>
      <c r="H11" s="30" t="e">
        <f>H10/H$3*100</f>
        <v>#DIV/0!</v>
      </c>
      <c r="I11" s="31" t="e">
        <f>I10/I$3*100</f>
        <v>#DIV/0!</v>
      </c>
      <c r="J11" s="23" t="e">
        <f>AVERAGE(D11:I11)</f>
        <v>#DIV/0!</v>
      </c>
      <c r="M11" s="1" t="s">
        <v>26</v>
      </c>
      <c r="N11" s="3">
        <f>'[1]LT Portfolio'!T294</f>
        <v>0</v>
      </c>
      <c r="O11" s="4" t="e">
        <f>N11/N7-1</f>
        <v>#DIV/0!</v>
      </c>
      <c r="W11" s="12" t="s">
        <v>42</v>
      </c>
      <c r="X11" s="13"/>
      <c r="Y11" s="13"/>
      <c r="Z11" s="13"/>
      <c r="AA11" s="13">
        <v>14014893</v>
      </c>
      <c r="AB11" s="13">
        <v>14821177</v>
      </c>
      <c r="AC11" s="13">
        <v>16247602</v>
      </c>
      <c r="AD11" s="13">
        <v>16569484</v>
      </c>
      <c r="AE11" s="13">
        <v>15630401</v>
      </c>
      <c r="AF11" s="13">
        <v>14237259</v>
      </c>
      <c r="AG11" s="13">
        <v>14393365</v>
      </c>
      <c r="AH11" s="13">
        <v>15921979</v>
      </c>
      <c r="AI11" s="13">
        <v>15482006</v>
      </c>
      <c r="AJ11" s="13">
        <v>15509650</v>
      </c>
      <c r="AK11" s="13">
        <v>17779389</v>
      </c>
      <c r="AL11" s="13">
        <v>16988079</v>
      </c>
      <c r="AM11" s="13">
        <v>15055688</v>
      </c>
      <c r="AN11" s="14"/>
      <c r="AP11" s="70" t="s">
        <v>192</v>
      </c>
      <c r="AQ11" s="62">
        <f>+AVERAGE(AQ4:AQ10)</f>
        <v>192901</v>
      </c>
      <c r="AR11" s="63">
        <f t="shared" ref="AR11:AZ11" si="8">+AVERAGE(AR4:AR10)</f>
        <v>21227</v>
      </c>
      <c r="AS11" s="63">
        <f t="shared" si="8"/>
        <v>19373</v>
      </c>
      <c r="AT11" s="72">
        <f t="shared" si="8"/>
        <v>2.35</v>
      </c>
      <c r="AU11" s="65">
        <f t="shared" si="8"/>
        <v>0.94</v>
      </c>
      <c r="AV11" s="62">
        <f t="shared" si="8"/>
        <v>180360.5</v>
      </c>
      <c r="AW11" s="63">
        <f t="shared" si="8"/>
        <v>17721</v>
      </c>
      <c r="AX11" s="63">
        <f t="shared" si="8"/>
        <v>10827</v>
      </c>
      <c r="AY11" s="72">
        <f t="shared" si="8"/>
        <v>1.2650000000000001</v>
      </c>
      <c r="AZ11" s="65">
        <f t="shared" si="8"/>
        <v>0.65500000000000003</v>
      </c>
      <c r="BA11" s="62">
        <f t="shared" ref="BA11:BE11" si="9">+AVERAGE(BA4:BA10)</f>
        <v>194372.5</v>
      </c>
      <c r="BB11" s="63">
        <f t="shared" si="9"/>
        <v>26984</v>
      </c>
      <c r="BC11" s="63">
        <f t="shared" si="9"/>
        <v>18197.5</v>
      </c>
      <c r="BD11" s="72">
        <f t="shared" si="9"/>
        <v>2.09</v>
      </c>
      <c r="BE11" s="65">
        <f t="shared" si="9"/>
        <v>1.0449999999999999</v>
      </c>
    </row>
    <row r="12" spans="1:57" ht="18" thickTop="1" thickBot="1" x14ac:dyDescent="0.4">
      <c r="B12" s="28" t="s">
        <v>27</v>
      </c>
      <c r="C12" s="29"/>
      <c r="D12" s="30">
        <f t="shared" ref="D12:I12" si="10">(D10/C10-1)*100</f>
        <v>-100</v>
      </c>
      <c r="E12" s="30" t="e">
        <f t="shared" si="10"/>
        <v>#DIV/0!</v>
      </c>
      <c r="F12" s="30" t="e">
        <f t="shared" si="10"/>
        <v>#DIV/0!</v>
      </c>
      <c r="G12" s="30" t="e">
        <f t="shared" si="10"/>
        <v>#DIV/0!</v>
      </c>
      <c r="H12" s="30" t="e">
        <f t="shared" si="10"/>
        <v>#DIV/0!</v>
      </c>
      <c r="I12" s="31" t="e">
        <f t="shared" si="10"/>
        <v>#DIV/0!</v>
      </c>
      <c r="J12" s="23" t="e">
        <f>AVERAGE(D12:I12)</f>
        <v>#DIV/0!</v>
      </c>
      <c r="S12" t="s">
        <v>20</v>
      </c>
      <c r="T12" t="s">
        <v>22</v>
      </c>
      <c r="W12" s="12" t="s">
        <v>43</v>
      </c>
      <c r="X12" s="19" t="e">
        <f t="shared" ref="X12:AJ12" si="11">+X11/X3</f>
        <v>#DIV/0!</v>
      </c>
      <c r="Y12" s="19" t="e">
        <f t="shared" si="11"/>
        <v>#DIV/0!</v>
      </c>
      <c r="Z12" s="19" t="e">
        <f t="shared" si="11"/>
        <v>#DIV/0!</v>
      </c>
      <c r="AA12" s="19">
        <f t="shared" si="11"/>
        <v>0.42662952642847785</v>
      </c>
      <c r="AB12" s="19">
        <f t="shared" si="11"/>
        <v>0.42250788747039758</v>
      </c>
      <c r="AC12" s="19">
        <f t="shared" si="11"/>
        <v>0.44076875556603551</v>
      </c>
      <c r="AD12" s="19">
        <f t="shared" si="11"/>
        <v>0.4463334277567591</v>
      </c>
      <c r="AE12" s="19">
        <f t="shared" si="11"/>
        <v>0.40862735840301129</v>
      </c>
      <c r="AF12" s="19">
        <f t="shared" si="11"/>
        <v>0.32874391744186698</v>
      </c>
      <c r="AG12" s="19">
        <f t="shared" si="11"/>
        <v>0.31548523041388998</v>
      </c>
      <c r="AH12" s="19">
        <f t="shared" si="11"/>
        <v>0.31250955494023164</v>
      </c>
      <c r="AI12" s="19">
        <f t="shared" si="11"/>
        <v>0.30922749919417525</v>
      </c>
      <c r="AJ12" s="19">
        <f t="shared" si="11"/>
        <v>0.32535553078704754</v>
      </c>
      <c r="AK12" s="19">
        <f t="shared" ref="AK12:AM12" si="12">+AK11/AK3</f>
        <v>0.38082777281758856</v>
      </c>
      <c r="AL12" s="19">
        <f t="shared" si="12"/>
        <v>0.39151616441684967</v>
      </c>
      <c r="AM12" s="19">
        <f t="shared" si="12"/>
        <v>0.34877165595214815</v>
      </c>
      <c r="AP12" s="12"/>
      <c r="AQ12" s="12"/>
      <c r="AR12" s="12"/>
      <c r="AS12" s="12"/>
      <c r="AT12" s="12"/>
      <c r="AU12" s="99" t="s">
        <v>34</v>
      </c>
      <c r="AV12" s="12"/>
      <c r="AW12" s="12"/>
      <c r="AX12" s="12"/>
      <c r="AY12" s="12"/>
      <c r="AZ12" s="99" t="s">
        <v>34</v>
      </c>
      <c r="BA12" s="12"/>
      <c r="BB12" s="12"/>
      <c r="BC12" s="12"/>
      <c r="BD12" s="12"/>
      <c r="BE12" s="99" t="s">
        <v>34</v>
      </c>
    </row>
    <row r="13" spans="1:57"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c r="AN13" s="12"/>
      <c r="AO13" s="12"/>
      <c r="AP13" s="12" t="s">
        <v>193</v>
      </c>
      <c r="AQ13" s="12"/>
      <c r="AR13" s="12"/>
      <c r="AS13" s="12"/>
      <c r="AT13" s="58">
        <f>+$X$1/AT11</f>
        <v>4</v>
      </c>
      <c r="AU13" s="75">
        <f>+AU11/$X$1</f>
        <v>9.9999999999999992E-2</v>
      </c>
      <c r="AV13" s="12"/>
      <c r="AW13" s="12"/>
      <c r="AX13" s="12"/>
      <c r="AY13" s="58">
        <f>+$X$1/AY11</f>
        <v>7.4308300395256914</v>
      </c>
      <c r="AZ13" s="75">
        <f>+AZ11/$X$1</f>
        <v>6.9680851063829791E-2</v>
      </c>
      <c r="BA13" s="12"/>
      <c r="BB13" s="12"/>
      <c r="BC13" s="12"/>
      <c r="BD13" s="58">
        <f>+$X$1/BD11</f>
        <v>4.4976076555023932</v>
      </c>
      <c r="BE13" s="75">
        <f>+BE11/$X$1</f>
        <v>0.11117021276595744</v>
      </c>
    </row>
    <row r="14" spans="1:57"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c r="Y14" s="13"/>
      <c r="Z14" s="13"/>
      <c r="AA14" s="13">
        <v>5409917</v>
      </c>
      <c r="AB14" s="13">
        <v>5668478</v>
      </c>
      <c r="AC14" s="13">
        <v>6466615</v>
      </c>
      <c r="AD14" s="13">
        <v>5894995</v>
      </c>
      <c r="AE14" s="13">
        <v>5423878</v>
      </c>
      <c r="AF14" s="13">
        <v>2869722</v>
      </c>
      <c r="AG14" s="13">
        <v>3078276</v>
      </c>
      <c r="AH14" s="13">
        <v>-8803457</v>
      </c>
      <c r="AI14" s="13">
        <v>2716134</v>
      </c>
      <c r="AJ14" s="13">
        <v>3802103</v>
      </c>
      <c r="AK14" s="13">
        <v>7423601</v>
      </c>
      <c r="AL14" s="13">
        <v>6931697</v>
      </c>
      <c r="AM14" s="13">
        <v>2721717</v>
      </c>
    </row>
    <row r="15" spans="1:57" ht="18" thickTop="1" thickBot="1" x14ac:dyDescent="0.4">
      <c r="B15" s="32" t="s">
        <v>30</v>
      </c>
      <c r="C15" s="34">
        <f>1+0.6</f>
        <v>1.6</v>
      </c>
      <c r="D15" s="34"/>
      <c r="E15" s="34"/>
      <c r="F15" s="34"/>
      <c r="G15" s="34"/>
      <c r="H15" s="34"/>
      <c r="I15" s="35"/>
      <c r="J15" s="24"/>
      <c r="R15" s="6"/>
      <c r="S15" s="6"/>
      <c r="W15" s="12" t="s">
        <v>55</v>
      </c>
      <c r="X15" s="19" t="e">
        <f t="shared" ref="X15:AJ15" si="13">+X14/X3</f>
        <v>#DIV/0!</v>
      </c>
      <c r="Y15" s="19" t="e">
        <f t="shared" si="13"/>
        <v>#DIV/0!</v>
      </c>
      <c r="Z15" s="19" t="e">
        <f t="shared" si="13"/>
        <v>#DIV/0!</v>
      </c>
      <c r="AA15" s="19">
        <f t="shared" si="13"/>
        <v>0.16468412050861689</v>
      </c>
      <c r="AB15" s="19">
        <f t="shared" si="13"/>
        <v>0.16159152980579236</v>
      </c>
      <c r="AC15" s="19">
        <f t="shared" si="13"/>
        <v>0.17542784752326274</v>
      </c>
      <c r="AD15" s="19">
        <f t="shared" si="13"/>
        <v>0.15879392049619384</v>
      </c>
      <c r="AE15" s="19">
        <f t="shared" si="13"/>
        <v>0.14179706198453948</v>
      </c>
      <c r="AF15" s="19">
        <f t="shared" si="13"/>
        <v>6.6263011177159131E-2</v>
      </c>
      <c r="AG15" s="19">
        <f t="shared" si="13"/>
        <v>6.7472103510023376E-2</v>
      </c>
      <c r="AH15" s="19">
        <f t="shared" si="13"/>
        <v>-0.17279035658855391</v>
      </c>
      <c r="AI15" s="19">
        <f t="shared" si="13"/>
        <v>5.4250290582258658E-2</v>
      </c>
      <c r="AJ15" s="19">
        <f t="shared" si="13"/>
        <v>7.9759068687689658E-2</v>
      </c>
      <c r="AK15" s="19">
        <f t="shared" ref="AK15:AM15" si="14">+AK14/AK3</f>
        <v>0.15901071938503755</v>
      </c>
      <c r="AL15" s="19">
        <f t="shared" si="14"/>
        <v>0.15975151883504801</v>
      </c>
      <c r="AM15" s="19">
        <f t="shared" si="14"/>
        <v>6.3049775282478807E-2</v>
      </c>
    </row>
    <row r="16" spans="1:57" ht="18" thickTop="1" thickBot="1" x14ac:dyDescent="0.4">
      <c r="B16" s="32" t="s">
        <v>8</v>
      </c>
      <c r="C16" s="34">
        <v>31.7</v>
      </c>
      <c r="D16" s="34"/>
      <c r="E16" s="34"/>
      <c r="F16" s="34"/>
      <c r="G16" s="34"/>
      <c r="H16" s="34"/>
      <c r="I16" s="35"/>
      <c r="J16" s="22" t="e">
        <f>((I16/D16)^(1/5)-1)*100</f>
        <v>#DIV/0!</v>
      </c>
    </row>
    <row r="17" spans="2:41" ht="18" thickTop="1" thickBot="1" x14ac:dyDescent="0.4">
      <c r="B17" s="32" t="s">
        <v>31</v>
      </c>
      <c r="C17" s="34">
        <v>14.6</v>
      </c>
      <c r="D17" s="34"/>
      <c r="E17" s="34"/>
      <c r="F17" s="34"/>
      <c r="G17" s="34"/>
      <c r="H17" s="34"/>
      <c r="I17" s="35"/>
      <c r="J17" s="22" t="e">
        <f>((I17/D17)^(1/6)-1)*100</f>
        <v>#DIV/0!</v>
      </c>
      <c r="W17" s="12" t="s">
        <v>44</v>
      </c>
      <c r="X17" s="13"/>
      <c r="Y17" s="13"/>
      <c r="Z17" s="13"/>
      <c r="AA17" s="13">
        <v>-2475837</v>
      </c>
      <c r="AB17" s="13">
        <v>-537160</v>
      </c>
      <c r="AC17" s="13">
        <v>-508732</v>
      </c>
      <c r="AD17" s="13">
        <v>-836751</v>
      </c>
      <c r="AE17" s="13">
        <v>-20704453</v>
      </c>
      <c r="AF17" s="13">
        <v>-14751475</v>
      </c>
      <c r="AG17" s="13">
        <v>871809</v>
      </c>
      <c r="AH17" s="13">
        <v>1391197</v>
      </c>
      <c r="AI17" s="13">
        <v>6731834</v>
      </c>
      <c r="AJ17" s="13">
        <v>-39669</v>
      </c>
      <c r="AK17" s="13">
        <v>-3672173</v>
      </c>
      <c r="AL17" s="13">
        <v>-878055</v>
      </c>
      <c r="AM17" s="13">
        <v>726597</v>
      </c>
    </row>
    <row r="18" spans="2:41" ht="18" thickTop="1" thickBot="1" x14ac:dyDescent="0.4">
      <c r="B18" s="32" t="s">
        <v>32</v>
      </c>
      <c r="C18" s="36">
        <f t="shared" ref="C18:G18" si="15">C14/AVERAGE(B17:C17)*100</f>
        <v>22.19178082191781</v>
      </c>
      <c r="D18" s="36">
        <f t="shared" si="15"/>
        <v>0</v>
      </c>
      <c r="E18" s="36" t="e">
        <f t="shared" si="15"/>
        <v>#DIV/0!</v>
      </c>
      <c r="F18" s="36" t="e">
        <f t="shared" si="15"/>
        <v>#DIV/0!</v>
      </c>
      <c r="G18" s="36" t="e">
        <f t="shared" si="15"/>
        <v>#DIV/0!</v>
      </c>
      <c r="H18" s="36" t="e">
        <f>H14/AVERAGE(G17:H17)*100</f>
        <v>#DIV/0!</v>
      </c>
      <c r="I18" s="37" t="e">
        <f>I14/AVERAGE(H17:I17)*100</f>
        <v>#DIV/0!</v>
      </c>
      <c r="J18" s="23" t="e">
        <f>AVERAGE(D18:I18)</f>
        <v>#DIV/0!</v>
      </c>
      <c r="M18" s="9" t="s">
        <v>33</v>
      </c>
      <c r="N18" s="6"/>
      <c r="O18" s="6"/>
      <c r="P18" s="6"/>
      <c r="Q18" s="6"/>
      <c r="W18" s="12" t="s">
        <v>45</v>
      </c>
      <c r="X18" s="15" t="e">
        <f t="shared" ref="X18:AJ18" si="16">+X17/X14</f>
        <v>#DIV/0!</v>
      </c>
      <c r="Y18" s="15" t="e">
        <f t="shared" si="16"/>
        <v>#DIV/0!</v>
      </c>
      <c r="Z18" s="15" t="e">
        <f t="shared" si="16"/>
        <v>#DIV/0!</v>
      </c>
      <c r="AA18" s="15">
        <f t="shared" si="16"/>
        <v>-0.4576478714922983</v>
      </c>
      <c r="AB18" s="15">
        <f t="shared" si="16"/>
        <v>-9.4762650573928311E-2</v>
      </c>
      <c r="AC18" s="15">
        <f t="shared" si="16"/>
        <v>-7.8670525460383833E-2</v>
      </c>
      <c r="AD18" s="15">
        <f t="shared" si="16"/>
        <v>-0.14194261403105515</v>
      </c>
      <c r="AE18" s="15">
        <f t="shared" si="16"/>
        <v>-3.8172785228576305</v>
      </c>
      <c r="AF18" s="15">
        <f t="shared" si="16"/>
        <v>-5.1403846783765115</v>
      </c>
      <c r="AG18" s="15">
        <f t="shared" si="16"/>
        <v>0.28321339606974816</v>
      </c>
      <c r="AH18" s="15">
        <f t="shared" si="16"/>
        <v>-0.15802848812688017</v>
      </c>
      <c r="AI18" s="15">
        <f t="shared" si="16"/>
        <v>2.4784616664715364</v>
      </c>
      <c r="AJ18" s="15">
        <f t="shared" si="16"/>
        <v>-1.0433436442936974E-2</v>
      </c>
      <c r="AK18" s="15">
        <f t="shared" ref="AK18:AM18" si="17">+AK17/AK14</f>
        <v>-0.49466195718223543</v>
      </c>
      <c r="AL18" s="15">
        <f t="shared" si="17"/>
        <v>-0.12667244399170938</v>
      </c>
      <c r="AM18" s="15">
        <f t="shared" si="17"/>
        <v>0.26696272977682839</v>
      </c>
    </row>
    <row r="19" spans="2:41" ht="18" thickTop="1" thickBot="1" x14ac:dyDescent="0.4">
      <c r="B19" s="32" t="s">
        <v>34</v>
      </c>
      <c r="C19" s="30">
        <f t="shared" ref="C19:G19" si="18">C15/C16*100</f>
        <v>5.0473186119873823</v>
      </c>
      <c r="D19" s="30" t="e">
        <f t="shared" si="18"/>
        <v>#DIV/0!</v>
      </c>
      <c r="E19" s="30" t="e">
        <f t="shared" si="18"/>
        <v>#DIV/0!</v>
      </c>
      <c r="F19" s="30" t="e">
        <f t="shared" si="18"/>
        <v>#DIV/0!</v>
      </c>
      <c r="G19" s="30" t="e">
        <f t="shared" si="18"/>
        <v>#DIV/0!</v>
      </c>
      <c r="H19" s="30" t="e">
        <f>H15/H16*100</f>
        <v>#DIV/0!</v>
      </c>
      <c r="I19" s="31" t="e">
        <f>I15/I16*100</f>
        <v>#DIV/0!</v>
      </c>
      <c r="J19" s="23" t="e">
        <f>AVERAGE(D19:I19)</f>
        <v>#DIV/0!</v>
      </c>
    </row>
    <row r="20" spans="2:41" ht="18" thickTop="1" thickBot="1" x14ac:dyDescent="0.4">
      <c r="B20" s="32" t="s">
        <v>35</v>
      </c>
      <c r="C20" s="30">
        <f t="shared" ref="C20:G20" si="19">C15/C14*100</f>
        <v>49.382716049382715</v>
      </c>
      <c r="D20" s="30" t="e">
        <f t="shared" si="19"/>
        <v>#DIV/0!</v>
      </c>
      <c r="E20" s="30" t="e">
        <f t="shared" si="19"/>
        <v>#DIV/0!</v>
      </c>
      <c r="F20" s="30" t="e">
        <f t="shared" si="19"/>
        <v>#DIV/0!</v>
      </c>
      <c r="G20" s="30" t="e">
        <f t="shared" si="19"/>
        <v>#DIV/0!</v>
      </c>
      <c r="H20" s="30" t="e">
        <f>H15/H14*100</f>
        <v>#DIV/0!</v>
      </c>
      <c r="I20" s="31" t="e">
        <f>I15/I14*100</f>
        <v>#DIV/0!</v>
      </c>
      <c r="J20" s="23" t="e">
        <f>AVERAGE(D20:I20)</f>
        <v>#DIV/0!</v>
      </c>
      <c r="M20" t="s">
        <v>36</v>
      </c>
      <c r="N20" s="4" t="e">
        <f>N13/H14-1</f>
        <v>#DIV/0!</v>
      </c>
      <c r="W20" s="12" t="s">
        <v>21</v>
      </c>
      <c r="X20" s="13"/>
      <c r="Y20" s="13"/>
      <c r="Z20" s="13"/>
      <c r="AA20" s="13">
        <v>2931971</v>
      </c>
      <c r="AB20" s="13">
        <v>5127523</v>
      </c>
      <c r="AC20" s="13">
        <v>5950298</v>
      </c>
      <c r="AD20" s="13">
        <v>5042967</v>
      </c>
      <c r="AE20" s="13">
        <v>-15299399</v>
      </c>
      <c r="AF20" s="13">
        <v>-11898733</v>
      </c>
      <c r="AG20" s="13">
        <v>3924350</v>
      </c>
      <c r="AH20" s="13">
        <v>-7428799</v>
      </c>
      <c r="AI20" s="13">
        <v>9430191</v>
      </c>
      <c r="AJ20" s="13">
        <v>3745602</v>
      </c>
      <c r="AK20" s="13">
        <v>3734880</v>
      </c>
      <c r="AL20" s="13">
        <v>6034436</v>
      </c>
      <c r="AM20" s="13">
        <v>3429131</v>
      </c>
    </row>
    <row r="21" spans="2:41" ht="18" thickTop="1" thickBot="1" x14ac:dyDescent="0.4">
      <c r="B21" s="32" t="s">
        <v>11</v>
      </c>
      <c r="C21" s="38">
        <f t="shared" ref="C21:G21" si="20">C16/C14</f>
        <v>9.7839506172839492</v>
      </c>
      <c r="D21" s="38" t="e">
        <f t="shared" si="20"/>
        <v>#DIV/0!</v>
      </c>
      <c r="E21" s="38" t="e">
        <f t="shared" si="20"/>
        <v>#DIV/0!</v>
      </c>
      <c r="F21" s="38" t="e">
        <f t="shared" si="20"/>
        <v>#DIV/0!</v>
      </c>
      <c r="G21" s="38" t="e">
        <f t="shared" si="20"/>
        <v>#DIV/0!</v>
      </c>
      <c r="H21" s="38" t="e">
        <f>H16/H14</f>
        <v>#DIV/0!</v>
      </c>
      <c r="I21" s="39" t="e">
        <f>I16/I14</f>
        <v>#DIV/0!</v>
      </c>
      <c r="J21" s="23" t="e">
        <f>AVERAGE(D21:I21)</f>
        <v>#DIV/0!</v>
      </c>
      <c r="W21" s="12" t="s">
        <v>46</v>
      </c>
      <c r="X21" s="19" t="e">
        <f t="shared" ref="X21:AJ21" si="21">+X20/X3</f>
        <v>#DIV/0!</v>
      </c>
      <c r="Y21" s="19" t="e">
        <f t="shared" si="21"/>
        <v>#DIV/0!</v>
      </c>
      <c r="Z21" s="19" t="e">
        <f t="shared" si="21"/>
        <v>#DIV/0!</v>
      </c>
      <c r="AA21" s="19">
        <f t="shared" si="21"/>
        <v>8.9252582893927943E-2</v>
      </c>
      <c r="AB21" s="19">
        <f t="shared" si="21"/>
        <v>0.14617050391381706</v>
      </c>
      <c r="AC21" s="19">
        <f t="shared" si="21"/>
        <v>0.16142107892026589</v>
      </c>
      <c r="AD21" s="19">
        <f t="shared" si="21"/>
        <v>0.13584277863898597</v>
      </c>
      <c r="AE21" s="19">
        <f t="shared" si="21"/>
        <v>-0.39997393531513825</v>
      </c>
      <c r="AF21" s="19">
        <f t="shared" si="21"/>
        <v>-0.27474643110832064</v>
      </c>
      <c r="AG21" s="19">
        <f t="shared" si="21"/>
        <v>8.6017026871391733E-2</v>
      </c>
      <c r="AH21" s="19">
        <f t="shared" si="21"/>
        <v>-0.14580917794392506</v>
      </c>
      <c r="AI21" s="19">
        <f t="shared" si="21"/>
        <v>0.18835248997148166</v>
      </c>
      <c r="AJ21" s="19">
        <f t="shared" si="21"/>
        <v>7.8573812228324103E-2</v>
      </c>
      <c r="AK21" s="19">
        <f t="shared" ref="AK21:AM21" si="22">+AK20/AK3</f>
        <v>7.9999713833864325E-2</v>
      </c>
      <c r="AL21" s="19">
        <f t="shared" si="22"/>
        <v>0.13907277197963092</v>
      </c>
      <c r="AM21" s="19">
        <f t="shared" si="22"/>
        <v>7.943733274406628E-2</v>
      </c>
    </row>
    <row r="22" spans="2:41" ht="18" thickTop="1" thickBot="1" x14ac:dyDescent="0.4">
      <c r="B22" s="32" t="s">
        <v>37</v>
      </c>
      <c r="C22" s="38">
        <f t="shared" ref="C22:G22" si="23">C16/C17</f>
        <v>2.1712328767123288</v>
      </c>
      <c r="D22" s="38" t="e">
        <f t="shared" si="23"/>
        <v>#DIV/0!</v>
      </c>
      <c r="E22" s="38" t="e">
        <f t="shared" si="23"/>
        <v>#DIV/0!</v>
      </c>
      <c r="F22" s="38" t="e">
        <f t="shared" si="23"/>
        <v>#DIV/0!</v>
      </c>
      <c r="G22" s="38" t="e">
        <f t="shared" si="23"/>
        <v>#DIV/0!</v>
      </c>
      <c r="H22" s="38" t="e">
        <f>H16/H17</f>
        <v>#DIV/0!</v>
      </c>
      <c r="I22" s="39" t="e">
        <f>I16/I17</f>
        <v>#DIV/0!</v>
      </c>
      <c r="J22" s="23" t="e">
        <f>AVERAGE(D22:I22)</f>
        <v>#DIV/0!</v>
      </c>
    </row>
    <row r="23" spans="2:41" ht="15.75" thickTop="1" x14ac:dyDescent="0.25">
      <c r="W23" s="12" t="s">
        <v>47</v>
      </c>
      <c r="X23" s="13"/>
      <c r="Y23" s="13"/>
      <c r="Z23" s="13"/>
      <c r="AA23" s="13">
        <v>-493060</v>
      </c>
      <c r="AB23" s="13">
        <v>-521214</v>
      </c>
      <c r="AC23" s="13">
        <v>-543798</v>
      </c>
      <c r="AD23" s="13">
        <v>-475920</v>
      </c>
      <c r="AE23" s="13">
        <v>-528312</v>
      </c>
      <c r="AF23" s="13">
        <v>-623010</v>
      </c>
      <c r="AG23" s="13">
        <v>-686717</v>
      </c>
      <c r="AH23" s="13">
        <v>-868080</v>
      </c>
      <c r="AI23" s="13">
        <v>-742596</v>
      </c>
      <c r="AJ23" s="13">
        <v>-645895</v>
      </c>
      <c r="AK23" s="13">
        <v>-674855</v>
      </c>
      <c r="AL23" s="13">
        <v>-768905</v>
      </c>
      <c r="AM23" s="13">
        <v>-664098</v>
      </c>
    </row>
    <row r="24" spans="2:41" x14ac:dyDescent="0.25">
      <c r="G24" s="10">
        <v>701.95658000000003</v>
      </c>
      <c r="H24" s="10">
        <v>709.32254499999999</v>
      </c>
      <c r="I24" s="10">
        <v>716.73997499999996</v>
      </c>
      <c r="W24" s="12" t="s">
        <v>48</v>
      </c>
      <c r="X24" s="14" t="e">
        <f t="shared" ref="X24:AJ24" si="24">+X23/X20</f>
        <v>#DIV/0!</v>
      </c>
      <c r="Y24" s="14" t="e">
        <f t="shared" si="24"/>
        <v>#DIV/0!</v>
      </c>
      <c r="Z24" s="14" t="e">
        <f t="shared" si="24"/>
        <v>#DIV/0!</v>
      </c>
      <c r="AA24" s="14">
        <f t="shared" si="24"/>
        <v>-0.16816673834768489</v>
      </c>
      <c r="AB24" s="14">
        <f t="shared" si="24"/>
        <v>-0.10165025100813785</v>
      </c>
      <c r="AC24" s="14">
        <f t="shared" si="24"/>
        <v>-9.1390044666670472E-2</v>
      </c>
      <c r="AD24" s="14">
        <f t="shared" si="24"/>
        <v>-9.4373014933470709E-2</v>
      </c>
      <c r="AE24" s="14">
        <f t="shared" si="24"/>
        <v>3.4531552513925548E-2</v>
      </c>
      <c r="AF24" s="14">
        <f t="shared" si="24"/>
        <v>5.2359356244063966E-2</v>
      </c>
      <c r="AG24" s="14">
        <f t="shared" si="24"/>
        <v>-0.17498872424732759</v>
      </c>
      <c r="AH24" s="14">
        <f t="shared" si="24"/>
        <v>0.11685334331969408</v>
      </c>
      <c r="AI24" s="14">
        <f t="shared" si="24"/>
        <v>-7.8746655290438977E-2</v>
      </c>
      <c r="AJ24" s="14">
        <f t="shared" si="24"/>
        <v>-0.17244090536047343</v>
      </c>
      <c r="AK24" s="14">
        <f t="shared" ref="AK24:AM24" si="25">+AK23/AK20</f>
        <v>-0.18068987490896629</v>
      </c>
      <c r="AL24" s="14">
        <f t="shared" si="25"/>
        <v>-0.12741953017647381</v>
      </c>
      <c r="AM24" s="14">
        <f t="shared" si="25"/>
        <v>-0.19366364247968362</v>
      </c>
    </row>
    <row r="25" spans="2:41" x14ac:dyDescent="0.25">
      <c r="G25">
        <f>+G10/G24</f>
        <v>0</v>
      </c>
      <c r="H25">
        <f>+H10/H24</f>
        <v>0</v>
      </c>
      <c r="I25">
        <f>+I10/I24</f>
        <v>0</v>
      </c>
      <c r="M25" s="10"/>
    </row>
    <row r="26" spans="2:41" x14ac:dyDescent="0.25">
      <c r="M26" s="10"/>
      <c r="W26" s="12" t="s">
        <v>74</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row>
    <row r="28" spans="2:41" x14ac:dyDescent="0.25">
      <c r="W28" s="12" t="s">
        <v>49</v>
      </c>
      <c r="X28" s="13">
        <f t="shared" ref="X28:AF28" si="26">+X20+X23-X26</f>
        <v>0</v>
      </c>
      <c r="Y28" s="13">
        <f t="shared" si="26"/>
        <v>0</v>
      </c>
      <c r="Z28" s="13">
        <f t="shared" si="26"/>
        <v>0</v>
      </c>
      <c r="AA28" s="13">
        <f t="shared" si="26"/>
        <v>2438911</v>
      </c>
      <c r="AB28" s="13">
        <f t="shared" si="26"/>
        <v>4606309</v>
      </c>
      <c r="AC28" s="13">
        <f t="shared" si="26"/>
        <v>5406500</v>
      </c>
      <c r="AD28" s="13">
        <f t="shared" si="26"/>
        <v>4567047</v>
      </c>
      <c r="AE28" s="13">
        <f t="shared" si="26"/>
        <v>-15827711</v>
      </c>
      <c r="AF28" s="13">
        <f t="shared" si="26"/>
        <v>-12521743</v>
      </c>
      <c r="AG28" s="13">
        <f>+AG20+AG23-AG26</f>
        <v>3237633</v>
      </c>
      <c r="AH28" s="13">
        <f t="shared" ref="AH28:AJ28" si="27">+AH20+AH23-AH26</f>
        <v>-8296879</v>
      </c>
      <c r="AI28" s="13">
        <f t="shared" si="27"/>
        <v>8687595</v>
      </c>
      <c r="AJ28" s="13">
        <f t="shared" si="27"/>
        <v>3099707</v>
      </c>
      <c r="AK28" s="13">
        <f>+AK20+AK23-AK26</f>
        <v>3060025</v>
      </c>
      <c r="AL28" s="13">
        <f t="shared" ref="AL28:AM28" si="28">+AL20+AL23-AL26</f>
        <v>5265531</v>
      </c>
      <c r="AM28" s="13">
        <f t="shared" si="28"/>
        <v>2765033</v>
      </c>
    </row>
    <row r="29" spans="2:41" x14ac:dyDescent="0.25">
      <c r="M29" s="10"/>
      <c r="W29" s="12" t="s">
        <v>25</v>
      </c>
      <c r="X29" s="19" t="e">
        <f t="shared" ref="X29:AJ29" si="29">+X28/X3</f>
        <v>#DIV/0!</v>
      </c>
      <c r="Y29" s="19" t="e">
        <f t="shared" si="29"/>
        <v>#DIV/0!</v>
      </c>
      <c r="Z29" s="19" t="e">
        <f t="shared" si="29"/>
        <v>#DIV/0!</v>
      </c>
      <c r="AA29" s="19">
        <f t="shared" si="29"/>
        <v>7.4243267139549707E-2</v>
      </c>
      <c r="AB29" s="19">
        <f t="shared" si="29"/>
        <v>0.13131223550099155</v>
      </c>
      <c r="AC29" s="19">
        <f t="shared" si="29"/>
        <v>0.14666879930760066</v>
      </c>
      <c r="AD29" s="19">
        <f t="shared" si="29"/>
        <v>0.1230228860618848</v>
      </c>
      <c r="AE29" s="19">
        <f t="shared" si="29"/>
        <v>-0.41378565626667441</v>
      </c>
      <c r="AF29" s="19">
        <f t="shared" si="29"/>
        <v>-0.28913197737150642</v>
      </c>
      <c r="AG29" s="19">
        <f t="shared" si="29"/>
        <v>7.0965017075618794E-2</v>
      </c>
      <c r="AH29" s="19">
        <f t="shared" si="29"/>
        <v>-0.1628474678733689</v>
      </c>
      <c r="AI29" s="19">
        <f t="shared" si="29"/>
        <v>0.17352036137060153</v>
      </c>
      <c r="AJ29" s="19">
        <f t="shared" si="29"/>
        <v>6.5024472910048051E-2</v>
      </c>
      <c r="AK29" s="19">
        <f t="shared" ref="AK29:AM29" si="30">+AK28/AK3</f>
        <v>6.5544575548470277E-2</v>
      </c>
      <c r="AL29" s="19">
        <f t="shared" si="30"/>
        <v>0.12135218471364648</v>
      </c>
      <c r="AM29" s="19">
        <f t="shared" si="30"/>
        <v>6.405320953597976E-2</v>
      </c>
    </row>
    <row r="30" spans="2:41" x14ac:dyDescent="0.25">
      <c r="M30" s="10"/>
    </row>
    <row r="31" spans="2:41" x14ac:dyDescent="0.25">
      <c r="W31" s="12" t="s">
        <v>29</v>
      </c>
      <c r="X31" s="16">
        <f t="shared" ref="X31:AJ31" si="31">+X28/X47</f>
        <v>0</v>
      </c>
      <c r="Y31" s="16">
        <f t="shared" si="31"/>
        <v>0</v>
      </c>
      <c r="Z31" s="16">
        <f t="shared" si="31"/>
        <v>0</v>
      </c>
      <c r="AA31" s="16">
        <f t="shared" si="31"/>
        <v>0.2957101558516621</v>
      </c>
      <c r="AB31" s="16">
        <f t="shared" si="31"/>
        <v>0.55850022911492625</v>
      </c>
      <c r="AC31" s="16">
        <f t="shared" si="31"/>
        <v>0.65552082778420828</v>
      </c>
      <c r="AD31" s="16">
        <f t="shared" si="31"/>
        <v>0.55373983722729769</v>
      </c>
      <c r="AE31" s="16">
        <f t="shared" si="31"/>
        <v>-1.9190593205676907</v>
      </c>
      <c r="AF31" s="16">
        <f t="shared" si="31"/>
        <v>-1.5182212774736179</v>
      </c>
      <c r="AG31" s="16">
        <f t="shared" si="31"/>
        <v>0.3925526429707703</v>
      </c>
      <c r="AH31" s="16">
        <f t="shared" si="31"/>
        <v>-1.0059700342375686</v>
      </c>
      <c r="AI31" s="16">
        <f t="shared" si="31"/>
        <v>1.0533430992053916</v>
      </c>
      <c r="AJ31" s="16">
        <f t="shared" si="31"/>
        <v>0.37582955674253304</v>
      </c>
      <c r="AK31" s="16">
        <f t="shared" ref="AK31:AM31" si="32">+AK28/AK47</f>
        <v>0.37101824119862609</v>
      </c>
      <c r="AL31" s="16">
        <f t="shared" si="32"/>
        <v>0.63842878754155374</v>
      </c>
      <c r="AM31" s="16">
        <f t="shared" si="32"/>
        <v>0.33525140497746281</v>
      </c>
    </row>
    <row r="32" spans="2:41" x14ac:dyDescent="0.25">
      <c r="W32" s="12" t="s">
        <v>40</v>
      </c>
      <c r="AA32" s="17"/>
      <c r="AB32" s="18" t="e">
        <f t="shared" ref="AB32:AM32" si="33">+AB31/X31-1</f>
        <v>#DIV/0!</v>
      </c>
      <c r="AC32" s="18" t="e">
        <f t="shared" si="33"/>
        <v>#DIV/0!</v>
      </c>
      <c r="AD32" s="18" t="e">
        <f t="shared" si="33"/>
        <v>#DIV/0!</v>
      </c>
      <c r="AE32" s="18">
        <f t="shared" si="33"/>
        <v>-7.4896632144428397</v>
      </c>
      <c r="AF32" s="18">
        <f t="shared" si="33"/>
        <v>-3.7183897128916015</v>
      </c>
      <c r="AG32" s="18">
        <f t="shared" si="33"/>
        <v>-0.40115916027004528</v>
      </c>
      <c r="AH32" s="18">
        <f t="shared" si="33"/>
        <v>-2.81668351562837</v>
      </c>
      <c r="AI32" s="18">
        <f t="shared" si="33"/>
        <v>-1.548885116742402</v>
      </c>
      <c r="AJ32" s="18">
        <f t="shared" si="33"/>
        <v>-1.2475459686403083</v>
      </c>
      <c r="AK32" s="18">
        <f t="shared" si="33"/>
        <v>-5.4857360299947588E-2</v>
      </c>
      <c r="AL32" s="18">
        <f t="shared" si="33"/>
        <v>-1.6346399652206571</v>
      </c>
      <c r="AM32" s="18">
        <f t="shared" si="33"/>
        <v>-0.6817263005469294</v>
      </c>
      <c r="AO32" s="16"/>
    </row>
    <row r="33" spans="23:42" x14ac:dyDescent="0.25">
      <c r="W33" s="12" t="s">
        <v>41</v>
      </c>
      <c r="Y33" s="18" t="e">
        <f t="shared" ref="Y33:AD33" si="34">+Y31/X31-1</f>
        <v>#DIV/0!</v>
      </c>
      <c r="Z33" s="18" t="e">
        <f t="shared" si="34"/>
        <v>#DIV/0!</v>
      </c>
      <c r="AA33" s="18" t="e">
        <f t="shared" si="34"/>
        <v>#DIV/0!</v>
      </c>
      <c r="AB33" s="18">
        <f t="shared" si="34"/>
        <v>0.88867449447724844</v>
      </c>
      <c r="AC33" s="18">
        <f t="shared" si="34"/>
        <v>0.17371630952243966</v>
      </c>
      <c r="AD33" s="18">
        <f t="shared" si="34"/>
        <v>-0.15526736335891989</v>
      </c>
      <c r="AE33" s="18">
        <f>+AE31/AD31-1</f>
        <v>-4.4656334826420663</v>
      </c>
      <c r="AF33" s="18">
        <f>+AF31/AE31-1</f>
        <v>-0.20887214834791978</v>
      </c>
      <c r="AG33" s="18">
        <f>+AG31/AF31-1</f>
        <v>-1.2585608888475031</v>
      </c>
      <c r="AH33" s="18">
        <f t="shared" ref="AH33" si="35">+AH31/AG31-1</f>
        <v>-3.5626372723529816</v>
      </c>
      <c r="AI33" s="18">
        <f>+AI31/AH31-1</f>
        <v>-2.0470919245658519</v>
      </c>
      <c r="AJ33" s="18">
        <f>+AJ31/AI31-1</f>
        <v>-0.64320309590859148</v>
      </c>
      <c r="AK33" s="18">
        <f>+AK31/AJ31-1</f>
        <v>-1.2801855143082852E-2</v>
      </c>
      <c r="AL33" s="18">
        <f t="shared" ref="AL33" si="36">+AL31/AK31-1</f>
        <v>0.72074770630958906</v>
      </c>
      <c r="AM33" s="18">
        <f>+AM31/AL31-1</f>
        <v>-0.47488050113084523</v>
      </c>
    </row>
    <row r="34" spans="23:42" x14ac:dyDescent="0.25">
      <c r="Y34" s="18"/>
      <c r="Z34" s="18"/>
      <c r="AA34" s="18"/>
      <c r="AB34" s="18"/>
      <c r="AC34" s="18"/>
      <c r="AD34" s="18"/>
      <c r="AE34" s="18"/>
      <c r="AF34" s="18"/>
      <c r="AG34" s="18"/>
      <c r="AH34" s="18"/>
      <c r="AI34" s="18"/>
      <c r="AJ34" s="18"/>
      <c r="AK34" s="18"/>
      <c r="AL34" s="18"/>
      <c r="AM34" s="18"/>
    </row>
    <row r="35" spans="23:42" x14ac:dyDescent="0.25">
      <c r="W35" s="12" t="s">
        <v>88</v>
      </c>
      <c r="X35" s="18" t="e">
        <f t="shared" ref="X35:AJ35" si="37">+X28*4/X40</f>
        <v>#DIV/0!</v>
      </c>
      <c r="Y35" s="18" t="e">
        <f t="shared" si="37"/>
        <v>#DIV/0!</v>
      </c>
      <c r="Z35" s="18" t="e">
        <f t="shared" si="37"/>
        <v>#DIV/0!</v>
      </c>
      <c r="AA35" s="18" t="e">
        <f t="shared" si="37"/>
        <v>#DIV/0!</v>
      </c>
      <c r="AB35" s="18" t="e">
        <f t="shared" si="37"/>
        <v>#DIV/0!</v>
      </c>
      <c r="AC35" s="18" t="e">
        <f t="shared" si="37"/>
        <v>#DIV/0!</v>
      </c>
      <c r="AD35" s="18">
        <f t="shared" si="37"/>
        <v>0.19535058626547877</v>
      </c>
      <c r="AE35" s="18">
        <f t="shared" si="37"/>
        <v>-0.81411899874445259</v>
      </c>
      <c r="AF35" s="18">
        <f t="shared" si="37"/>
        <v>-0.97567114610363626</v>
      </c>
      <c r="AG35" s="18">
        <f t="shared" si="37"/>
        <v>0.23699686831111824</v>
      </c>
      <c r="AH35" s="18">
        <f t="shared" si="37"/>
        <v>-0.7350510348317566</v>
      </c>
      <c r="AI35" s="18">
        <f t="shared" si="37"/>
        <v>0.64508710836192118</v>
      </c>
      <c r="AJ35" s="18">
        <f t="shared" si="37"/>
        <v>0.21837212217778867</v>
      </c>
      <c r="AK35" s="18">
        <f t="shared" ref="AK35:AM35" si="38">+AK28*4/AK40</f>
        <v>0.2045522189640083</v>
      </c>
      <c r="AL35" s="18">
        <f t="shared" si="38"/>
        <v>0.31750304604858465</v>
      </c>
      <c r="AM35" s="18">
        <f t="shared" si="38"/>
        <v>0.16005553079178411</v>
      </c>
      <c r="AO35" s="14">
        <f>+AVERAGE(AD35:AL35)</f>
        <v>-7.8553247727882844E-2</v>
      </c>
      <c r="AP35" s="50" t="s">
        <v>88</v>
      </c>
    </row>
    <row r="36" spans="23:42" x14ac:dyDescent="0.25">
      <c r="AO36" s="56">
        <f>AVERAGE(AD35:AL35)*AL49</f>
        <v>-0.63181321034242233</v>
      </c>
      <c r="AP36" s="50" t="s">
        <v>183</v>
      </c>
    </row>
    <row r="37" spans="23:42" x14ac:dyDescent="0.25">
      <c r="W37" s="12" t="s">
        <v>52</v>
      </c>
      <c r="X37" s="13"/>
      <c r="Y37" s="13"/>
      <c r="Z37" s="13"/>
      <c r="AA37" s="13"/>
      <c r="AB37" s="13"/>
      <c r="AC37" s="13"/>
      <c r="AD37" s="13">
        <f>10477656+6255902+86947+31357958+689685+1457784</f>
        <v>50325932</v>
      </c>
      <c r="AE37" s="13">
        <f>14425716+6984577+12300+46296631+2600503+1735015</f>
        <v>72054742</v>
      </c>
      <c r="AF37" s="13">
        <f>35295648+7686760+14764+49599643+2854216+1629551</f>
        <v>97080582</v>
      </c>
      <c r="AG37" s="13">
        <f>54452231+7622020+16944+31115516+2989173+1628146</f>
        <v>97824030</v>
      </c>
      <c r="AH37" s="13">
        <f>66581118+7797196+20544+37008681+3774729+1924449</f>
        <v>117106717</v>
      </c>
      <c r="AI37" s="13">
        <f>69507610+7895700+22785+36417645+4213181+1813938</f>
        <v>119870859</v>
      </c>
      <c r="AJ37" s="13">
        <f>75760428+7969153+141297+50764210+1508037+2068085</f>
        <v>138211210</v>
      </c>
      <c r="AK37" s="13">
        <f>76771152+7898196+171342+46087387+1323306+2722276+171342</f>
        <v>135145001</v>
      </c>
      <c r="AL37" s="13">
        <f>67674317+7871095+55091099+777596+164447+1672808</f>
        <v>133251362</v>
      </c>
      <c r="AM37" s="13">
        <f>52284858+8490302+165295+66556694+2071833+1209709</f>
        <v>130778691</v>
      </c>
      <c r="AO37" s="56">
        <f>+X1/AO36</f>
        <v>-14.877814908152212</v>
      </c>
      <c r="AP37" s="50" t="s">
        <v>11</v>
      </c>
    </row>
    <row r="38" spans="23:42" x14ac:dyDescent="0.25">
      <c r="W38" s="12" t="s">
        <v>53</v>
      </c>
      <c r="X38" s="13"/>
      <c r="Y38" s="13"/>
      <c r="Z38" s="13"/>
      <c r="AA38" s="13"/>
      <c r="AB38" s="13"/>
      <c r="AC38" s="13"/>
      <c r="AD38" s="13">
        <f>22078857+1814547</f>
        <v>23893404</v>
      </c>
      <c r="AE38" s="13">
        <f>32117299+1937909</f>
        <v>34055208</v>
      </c>
      <c r="AF38" s="13">
        <f>42721033+1503396</f>
        <v>44224429</v>
      </c>
      <c r="AG38" s="13">
        <f>30332604+1600920</f>
        <v>31933524</v>
      </c>
      <c r="AH38" s="13">
        <f>40546906+1599862</f>
        <v>42146768</v>
      </c>
      <c r="AI38" s="13">
        <f>34154320+1469296</f>
        <v>35623616</v>
      </c>
      <c r="AJ38" s="13">
        <f>48433003+1697808</f>
        <v>50130811</v>
      </c>
      <c r="AK38" s="13">
        <f>45621145+2338842</f>
        <v>47959987</v>
      </c>
      <c r="AL38" s="13">
        <f>40613115+2469869</f>
        <v>43082984</v>
      </c>
      <c r="AM38" s="13">
        <f>41263748+1689352</f>
        <v>42953100</v>
      </c>
    </row>
    <row r="39" spans="23:42" x14ac:dyDescent="0.25">
      <c r="W39" s="12" t="s">
        <v>50</v>
      </c>
      <c r="X39" s="13">
        <f t="shared" ref="X39:AJ39" si="39">+X37-X38</f>
        <v>0</v>
      </c>
      <c r="Y39" s="13">
        <f t="shared" si="39"/>
        <v>0</v>
      </c>
      <c r="Z39" s="13">
        <f t="shared" si="39"/>
        <v>0</v>
      </c>
      <c r="AA39" s="13">
        <f t="shared" si="39"/>
        <v>0</v>
      </c>
      <c r="AB39" s="13">
        <f t="shared" si="39"/>
        <v>0</v>
      </c>
      <c r="AC39" s="13">
        <f t="shared" si="39"/>
        <v>0</v>
      </c>
      <c r="AD39" s="13">
        <f t="shared" si="39"/>
        <v>26432528</v>
      </c>
      <c r="AE39" s="13">
        <f t="shared" si="39"/>
        <v>37999534</v>
      </c>
      <c r="AF39" s="13">
        <f t="shared" si="39"/>
        <v>52856153</v>
      </c>
      <c r="AG39" s="13">
        <f t="shared" si="39"/>
        <v>65890506</v>
      </c>
      <c r="AH39" s="13">
        <f t="shared" si="39"/>
        <v>74959949</v>
      </c>
      <c r="AI39" s="13">
        <f t="shared" si="39"/>
        <v>84247243</v>
      </c>
      <c r="AJ39" s="13">
        <f t="shared" si="39"/>
        <v>88080399</v>
      </c>
      <c r="AK39" s="13">
        <f t="shared" ref="AK39:AM39" si="40">+AK37-AK38</f>
        <v>87185014</v>
      </c>
      <c r="AL39" s="13">
        <f t="shared" si="40"/>
        <v>90168378</v>
      </c>
      <c r="AM39" s="13">
        <f t="shared" si="40"/>
        <v>87825591</v>
      </c>
    </row>
    <row r="40" spans="23:42" x14ac:dyDescent="0.25">
      <c r="W40" s="12" t="s">
        <v>54</v>
      </c>
      <c r="X40" s="13"/>
      <c r="Y40" s="13"/>
      <c r="Z40" s="13"/>
      <c r="AA40" s="13"/>
      <c r="AB40" s="13"/>
      <c r="AC40" s="13"/>
      <c r="AD40" s="13">
        <v>93514887</v>
      </c>
      <c r="AE40" s="13">
        <v>77766081</v>
      </c>
      <c r="AF40" s="13">
        <v>51335916</v>
      </c>
      <c r="AG40" s="13">
        <v>54644317</v>
      </c>
      <c r="AH40" s="13">
        <v>45149948</v>
      </c>
      <c r="AI40" s="13">
        <v>53869283</v>
      </c>
      <c r="AJ40" s="13">
        <v>56778438</v>
      </c>
      <c r="AK40" s="13">
        <v>59838510</v>
      </c>
      <c r="AL40" s="13">
        <v>66336762</v>
      </c>
      <c r="AM40" s="13">
        <v>69101842</v>
      </c>
    </row>
    <row r="41" spans="23:42" x14ac:dyDescent="0.25">
      <c r="W41" s="12" t="s">
        <v>75</v>
      </c>
      <c r="X41" s="13"/>
      <c r="Y41" s="13"/>
      <c r="Z41" s="13"/>
      <c r="AA41" s="13"/>
      <c r="AB41" s="13"/>
      <c r="AC41" s="13"/>
      <c r="AD41" s="13"/>
      <c r="AE41" s="13"/>
      <c r="AF41" s="13"/>
      <c r="AG41" s="13"/>
      <c r="AH41" s="13"/>
      <c r="AI41" s="13"/>
      <c r="AJ41" s="13"/>
      <c r="AK41" s="13"/>
      <c r="AL41" s="13"/>
      <c r="AM41" s="13"/>
    </row>
    <row r="43" spans="23:42" x14ac:dyDescent="0.25">
      <c r="W43" s="12" t="s">
        <v>51</v>
      </c>
      <c r="X43" s="14" t="e">
        <f t="shared" ref="X43:AJ43" si="41">+X37/X40</f>
        <v>#DIV/0!</v>
      </c>
      <c r="Y43" s="14" t="e">
        <f t="shared" si="41"/>
        <v>#DIV/0!</v>
      </c>
      <c r="Z43" s="14" t="e">
        <f t="shared" si="41"/>
        <v>#DIV/0!</v>
      </c>
      <c r="AA43" s="14" t="e">
        <f t="shared" si="41"/>
        <v>#DIV/0!</v>
      </c>
      <c r="AB43" s="14" t="e">
        <f t="shared" si="41"/>
        <v>#DIV/0!</v>
      </c>
      <c r="AC43" s="14" t="e">
        <f t="shared" si="41"/>
        <v>#DIV/0!</v>
      </c>
      <c r="AD43" s="14">
        <f t="shared" si="41"/>
        <v>0.53815957666718883</v>
      </c>
      <c r="AE43" s="14">
        <f t="shared" si="41"/>
        <v>0.92655745375673493</v>
      </c>
      <c r="AF43" s="14">
        <f t="shared" si="41"/>
        <v>1.8910850251508124</v>
      </c>
      <c r="AG43" s="14">
        <f t="shared" si="41"/>
        <v>1.7901958587935136</v>
      </c>
      <c r="AH43" s="14">
        <f t="shared" si="41"/>
        <v>2.5937287236742774</v>
      </c>
      <c r="AI43" s="14">
        <f t="shared" si="41"/>
        <v>2.2252172727080848</v>
      </c>
      <c r="AJ43" s="14">
        <f t="shared" si="41"/>
        <v>2.4342200114768922</v>
      </c>
      <c r="AK43" s="14">
        <f t="shared" ref="AK43:AM43" si="42">+AK37/AK40</f>
        <v>2.2584954237664006</v>
      </c>
      <c r="AL43" s="14">
        <f t="shared" si="42"/>
        <v>2.0087106753868995</v>
      </c>
      <c r="AM43" s="14">
        <f t="shared" si="42"/>
        <v>1.8925499988842556</v>
      </c>
    </row>
    <row r="45" spans="23:42" x14ac:dyDescent="0.25">
      <c r="W45" s="12" t="s">
        <v>63</v>
      </c>
      <c r="X45" s="16" t="e">
        <f t="shared" ref="X45:AJ45" si="43">+(X3*1000)/X7</f>
        <v>#DIV/0!</v>
      </c>
      <c r="Y45" s="16" t="e">
        <f t="shared" si="43"/>
        <v>#DIV/0!</v>
      </c>
      <c r="Z45" s="16" t="e">
        <f t="shared" si="43"/>
        <v>#DIV/0!</v>
      </c>
      <c r="AA45" s="16" t="e">
        <f t="shared" si="43"/>
        <v>#DIV/0!</v>
      </c>
      <c r="AB45" s="16" t="e">
        <f t="shared" si="43"/>
        <v>#DIV/0!</v>
      </c>
      <c r="AC45" s="16" t="e">
        <f t="shared" si="43"/>
        <v>#DIV/0!</v>
      </c>
      <c r="AD45" s="16" t="e">
        <f t="shared" si="43"/>
        <v>#DIV/0!</v>
      </c>
      <c r="AE45" s="16" t="e">
        <f t="shared" si="43"/>
        <v>#DIV/0!</v>
      </c>
      <c r="AF45" s="16" t="e">
        <f t="shared" si="43"/>
        <v>#DIV/0!</v>
      </c>
      <c r="AG45" s="16" t="e">
        <f t="shared" si="43"/>
        <v>#DIV/0!</v>
      </c>
      <c r="AH45" s="16" t="e">
        <f t="shared" si="43"/>
        <v>#DIV/0!</v>
      </c>
      <c r="AI45" s="16" t="e">
        <f t="shared" si="43"/>
        <v>#DIV/0!</v>
      </c>
      <c r="AJ45" s="16" t="e">
        <f t="shared" si="43"/>
        <v>#DIV/0!</v>
      </c>
      <c r="AK45" s="16" t="e">
        <f t="shared" ref="AK45:AM45" si="44">+(AK3*1000)/AK7</f>
        <v>#DIV/0!</v>
      </c>
      <c r="AL45" s="16" t="e">
        <f t="shared" si="44"/>
        <v>#DIV/0!</v>
      </c>
      <c r="AM45" s="16" t="e">
        <f t="shared" si="44"/>
        <v>#DIV/0!</v>
      </c>
    </row>
    <row r="47" spans="23:42" x14ac:dyDescent="0.25">
      <c r="W47" s="12" t="s">
        <v>56</v>
      </c>
      <c r="X47" s="13">
        <v>8247640.3049999997</v>
      </c>
      <c r="Y47" s="13">
        <v>8247640.3049999997</v>
      </c>
      <c r="Z47" s="13">
        <v>8247640.3049999997</v>
      </c>
      <c r="AA47" s="13">
        <v>8247640.3049999997</v>
      </c>
      <c r="AB47" s="13">
        <v>8247640.3049999997</v>
      </c>
      <c r="AC47" s="13">
        <v>8247640.3049999997</v>
      </c>
      <c r="AD47" s="13">
        <v>8247640.3049999997</v>
      </c>
      <c r="AE47" s="13">
        <v>8247640.3049999997</v>
      </c>
      <c r="AF47" s="13">
        <v>8247640.3049999997</v>
      </c>
      <c r="AG47" s="13">
        <v>8247640.3049999997</v>
      </c>
      <c r="AH47" s="13">
        <v>8247640.3049999997</v>
      </c>
      <c r="AI47" s="13">
        <v>8247640.3049999997</v>
      </c>
      <c r="AJ47" s="13">
        <v>8247640.3049999997</v>
      </c>
      <c r="AK47" s="13">
        <v>8247640.3049999997</v>
      </c>
      <c r="AL47" s="13">
        <v>8247640.3049999997</v>
      </c>
      <c r="AM47" s="13">
        <v>8247640.3049999997</v>
      </c>
    </row>
    <row r="49" spans="23:39" x14ac:dyDescent="0.25">
      <c r="W49" s="12" t="s">
        <v>57</v>
      </c>
      <c r="X49" s="16">
        <f t="shared" ref="X49:AJ49" si="45">+X40/X47</f>
        <v>0</v>
      </c>
      <c r="Y49" s="16">
        <f t="shared" si="45"/>
        <v>0</v>
      </c>
      <c r="Z49" s="16">
        <f t="shared" si="45"/>
        <v>0</v>
      </c>
      <c r="AA49" s="16">
        <f t="shared" si="45"/>
        <v>0</v>
      </c>
      <c r="AB49" s="16">
        <f t="shared" si="45"/>
        <v>0</v>
      </c>
      <c r="AC49" s="16">
        <f t="shared" si="45"/>
        <v>0</v>
      </c>
      <c r="AD49" s="16">
        <f t="shared" si="45"/>
        <v>11.33838086310676</v>
      </c>
      <c r="AE49" s="16">
        <f t="shared" si="45"/>
        <v>9.4288885213453799</v>
      </c>
      <c r="AF49" s="16">
        <f t="shared" si="45"/>
        <v>6.2243155741016523</v>
      </c>
      <c r="AG49" s="16">
        <f t="shared" si="45"/>
        <v>6.6254486106617376</v>
      </c>
      <c r="AH49" s="16">
        <f t="shared" si="45"/>
        <v>5.4742867450983006</v>
      </c>
      <c r="AI49" s="16">
        <f t="shared" si="45"/>
        <v>6.5314782177567334</v>
      </c>
      <c r="AJ49" s="16">
        <f t="shared" si="45"/>
        <v>6.8842039541393412</v>
      </c>
      <c r="AK49" s="16">
        <f t="shared" ref="AK49:AM49" si="46">+AK40/AK47</f>
        <v>7.2552278939375983</v>
      </c>
      <c r="AL49" s="16">
        <f t="shared" si="46"/>
        <v>8.0431201588391783</v>
      </c>
      <c r="AM49" s="16">
        <f t="shared" si="46"/>
        <v>8.3783772624162722</v>
      </c>
    </row>
    <row r="51" spans="23:39" x14ac:dyDescent="0.25">
      <c r="W51" s="12" t="s">
        <v>67</v>
      </c>
      <c r="X51" s="13"/>
      <c r="Y51" s="13">
        <f>+Y55-X55</f>
        <v>0</v>
      </c>
      <c r="Z51" s="13">
        <f>+Z55-Y55</f>
        <v>0</v>
      </c>
      <c r="AA51" s="13">
        <f>+AA55</f>
        <v>10619075</v>
      </c>
      <c r="AB51" s="13">
        <f t="shared" ref="AB51:AD52" si="47">+AB55-AA55</f>
        <v>17958925</v>
      </c>
      <c r="AC51" s="13">
        <f t="shared" si="47"/>
        <v>16287428</v>
      </c>
      <c r="AD51" s="13">
        <f t="shared" si="47"/>
        <v>9470200</v>
      </c>
      <c r="AE51" s="13">
        <f>+AE55</f>
        <v>17009578</v>
      </c>
      <c r="AF51" s="13">
        <f>+AF55-AE55</f>
        <v>15836593</v>
      </c>
      <c r="AG51" s="13">
        <f>+AG55-AF55</f>
        <v>9266489</v>
      </c>
      <c r="AH51" s="13">
        <f t="shared" ref="AH51:AH52" si="48">+AH55-AG55</f>
        <v>14540085</v>
      </c>
      <c r="AI51" s="13">
        <f>+AI55</f>
        <v>-1144696</v>
      </c>
      <c r="AJ51" s="13">
        <f>+AJ55-AI55</f>
        <v>1309732</v>
      </c>
      <c r="AK51" s="13">
        <f>+AK55-AJ55</f>
        <v>12974057</v>
      </c>
      <c r="AL51" s="13">
        <f t="shared" ref="AL51:AL52" si="49">+AL55-AK55</f>
        <v>8186775</v>
      </c>
      <c r="AM51" s="13">
        <f>+AM55</f>
        <v>6963319</v>
      </c>
    </row>
    <row r="52" spans="23:39" x14ac:dyDescent="0.25">
      <c r="W52" s="12" t="s">
        <v>60</v>
      </c>
      <c r="Y52" s="13">
        <f>+Y56-X56</f>
        <v>0</v>
      </c>
      <c r="Z52" s="13">
        <f>+Z56-Y56</f>
        <v>0</v>
      </c>
      <c r="AA52" s="13">
        <f>+AA56</f>
        <v>-7390630</v>
      </c>
      <c r="AB52" s="13">
        <f t="shared" si="47"/>
        <v>-17208241</v>
      </c>
      <c r="AC52" s="13">
        <f t="shared" si="47"/>
        <v>1552525</v>
      </c>
      <c r="AD52" s="13">
        <f t="shared" si="47"/>
        <v>-12589510</v>
      </c>
      <c r="AE52" s="13">
        <f>+AE56</f>
        <v>-11841049</v>
      </c>
      <c r="AF52" s="13">
        <f>+AF56-AE56</f>
        <v>-14941410</v>
      </c>
      <c r="AG52" s="13">
        <f>+AG56-AF56</f>
        <v>-11758097</v>
      </c>
      <c r="AH52" s="13">
        <f t="shared" si="48"/>
        <v>-18263438</v>
      </c>
      <c r="AI52" s="13">
        <f>+AI56</f>
        <v>-10319767</v>
      </c>
      <c r="AJ52" s="13">
        <f>+AJ56-AI56</f>
        <v>-10000923</v>
      </c>
      <c r="AK52" s="13">
        <f>+AK56-AJ56</f>
        <v>-7977958</v>
      </c>
      <c r="AL52" s="13">
        <f t="shared" si="49"/>
        <v>-9403667</v>
      </c>
      <c r="AM52" s="13">
        <f>+AM56</f>
        <v>-3200153</v>
      </c>
    </row>
    <row r="53" spans="23:39" x14ac:dyDescent="0.25">
      <c r="W53" s="12" t="s">
        <v>68</v>
      </c>
      <c r="Y53" s="13">
        <f t="shared" ref="Y53:AJ53" si="50">+Y51+Y52</f>
        <v>0</v>
      </c>
      <c r="Z53" s="13">
        <f t="shared" si="50"/>
        <v>0</v>
      </c>
      <c r="AA53" s="13">
        <f t="shared" si="50"/>
        <v>3228445</v>
      </c>
      <c r="AB53" s="13">
        <f t="shared" si="50"/>
        <v>750684</v>
      </c>
      <c r="AC53" s="13">
        <f t="shared" si="50"/>
        <v>17839953</v>
      </c>
      <c r="AD53" s="13">
        <f t="shared" si="50"/>
        <v>-3119310</v>
      </c>
      <c r="AE53" s="13">
        <f t="shared" si="50"/>
        <v>5168529</v>
      </c>
      <c r="AF53" s="13">
        <f t="shared" si="50"/>
        <v>895183</v>
      </c>
      <c r="AG53" s="13">
        <f t="shared" si="50"/>
        <v>-2491608</v>
      </c>
      <c r="AH53" s="13">
        <f t="shared" si="50"/>
        <v>-3723353</v>
      </c>
      <c r="AI53" s="13">
        <f t="shared" si="50"/>
        <v>-11464463</v>
      </c>
      <c r="AJ53" s="13">
        <f t="shared" si="50"/>
        <v>-8691191</v>
      </c>
      <c r="AK53" s="13">
        <f t="shared" ref="AK53:AM53" si="51">+AK51+AK52</f>
        <v>4996099</v>
      </c>
      <c r="AL53" s="13">
        <f t="shared" si="51"/>
        <v>-1216892</v>
      </c>
      <c r="AM53" s="13">
        <f t="shared" si="51"/>
        <v>3763166</v>
      </c>
    </row>
    <row r="55" spans="23:39" x14ac:dyDescent="0.25">
      <c r="W55" s="12" t="s">
        <v>67</v>
      </c>
      <c r="X55" s="13"/>
      <c r="Y55" s="13"/>
      <c r="Z55" s="13"/>
      <c r="AA55" s="13">
        <v>10619075</v>
      </c>
      <c r="AB55" s="13">
        <v>28578000</v>
      </c>
      <c r="AC55" s="13">
        <v>44865428</v>
      </c>
      <c r="AD55" s="13">
        <v>54335628</v>
      </c>
      <c r="AE55" s="13">
        <v>17009578</v>
      </c>
      <c r="AF55" s="13">
        <v>32846171</v>
      </c>
      <c r="AG55" s="13">
        <v>42112660</v>
      </c>
      <c r="AH55" s="13">
        <v>56652745</v>
      </c>
      <c r="AI55" s="13">
        <v>-1144696</v>
      </c>
      <c r="AJ55" s="13">
        <v>165036</v>
      </c>
      <c r="AK55" s="13">
        <v>13139093</v>
      </c>
      <c r="AL55" s="13">
        <v>21325868</v>
      </c>
      <c r="AM55" s="13">
        <v>6963319</v>
      </c>
    </row>
    <row r="56" spans="23:39" x14ac:dyDescent="0.25">
      <c r="W56" s="12" t="s">
        <v>60</v>
      </c>
      <c r="X56" s="13"/>
      <c r="Y56" s="13"/>
      <c r="Z56" s="13"/>
      <c r="AA56" s="13">
        <v>-7390630</v>
      </c>
      <c r="AB56" s="13">
        <v>-24598871</v>
      </c>
      <c r="AC56" s="13">
        <v>-23046346</v>
      </c>
      <c r="AD56" s="13">
        <v>-35635856</v>
      </c>
      <c r="AE56" s="13">
        <v>-11841049</v>
      </c>
      <c r="AF56" s="13">
        <v>-26782459</v>
      </c>
      <c r="AG56" s="13">
        <v>-38540556</v>
      </c>
      <c r="AH56" s="13">
        <v>-56803994</v>
      </c>
      <c r="AI56" s="13">
        <v>-10319767</v>
      </c>
      <c r="AJ56" s="13">
        <v>-20320690</v>
      </c>
      <c r="AK56" s="13">
        <v>-28298648</v>
      </c>
      <c r="AL56" s="13">
        <v>-37702315</v>
      </c>
      <c r="AM56" s="13">
        <v>-3200153</v>
      </c>
    </row>
    <row r="57" spans="23:39" x14ac:dyDescent="0.25">
      <c r="W57" s="12" t="s">
        <v>68</v>
      </c>
      <c r="X57" s="13">
        <f t="shared" ref="X57:AF57" si="52">+X55+X56</f>
        <v>0</v>
      </c>
      <c r="Y57" s="13">
        <f t="shared" si="52"/>
        <v>0</v>
      </c>
      <c r="Z57" s="13">
        <f t="shared" si="52"/>
        <v>0</v>
      </c>
      <c r="AA57" s="13">
        <f t="shared" si="52"/>
        <v>3228445</v>
      </c>
      <c r="AB57" s="13">
        <f t="shared" si="52"/>
        <v>3979129</v>
      </c>
      <c r="AC57" s="13">
        <f t="shared" si="52"/>
        <v>21819082</v>
      </c>
      <c r="AD57" s="13">
        <f t="shared" si="52"/>
        <v>18699772</v>
      </c>
      <c r="AE57" s="13">
        <f t="shared" si="52"/>
        <v>5168529</v>
      </c>
      <c r="AF57" s="13">
        <f t="shared" si="52"/>
        <v>6063712</v>
      </c>
      <c r="AG57" s="13">
        <f>+AG55+AG56</f>
        <v>3572104</v>
      </c>
      <c r="AH57" s="13">
        <f t="shared" ref="AH57:AJ57" si="53">+AH55+AH56</f>
        <v>-151249</v>
      </c>
      <c r="AI57" s="13">
        <f t="shared" si="53"/>
        <v>-11464463</v>
      </c>
      <c r="AJ57" s="13">
        <f t="shared" si="53"/>
        <v>-20155654</v>
      </c>
      <c r="AK57" s="13">
        <f>+AK55+AK56</f>
        <v>-15159555</v>
      </c>
      <c r="AL57" s="13">
        <f t="shared" ref="AL57:AM57" si="54">+AL55+AL56</f>
        <v>-16376447</v>
      </c>
      <c r="AM57" s="13">
        <f t="shared" si="54"/>
        <v>3763166</v>
      </c>
    </row>
    <row r="59" spans="23:39" x14ac:dyDescent="0.25">
      <c r="W59" s="47"/>
    </row>
    <row r="60" spans="23:39" x14ac:dyDescent="0.25">
      <c r="W60" s="47"/>
      <c r="AC60" s="13"/>
      <c r="AG60" s="13"/>
      <c r="AK60" s="13"/>
    </row>
    <row r="61" spans="23:39" x14ac:dyDescent="0.25">
      <c r="Z61" s="13"/>
      <c r="AA61" s="13"/>
      <c r="AB61" s="13"/>
      <c r="AC61" s="13"/>
      <c r="AD61" s="13"/>
      <c r="AE61" s="13"/>
      <c r="AF61" s="13"/>
      <c r="AG61" s="13"/>
      <c r="AH61" s="13"/>
      <c r="AI61" s="13"/>
      <c r="AJ61" s="13"/>
      <c r="AK61" s="13"/>
      <c r="AL61" s="13"/>
      <c r="AM61" s="13"/>
    </row>
    <row r="62" spans="23:39" x14ac:dyDescent="0.25">
      <c r="X62" s="17"/>
      <c r="Y62" s="17"/>
      <c r="Z62" s="17"/>
      <c r="AA62" s="17"/>
      <c r="AB62" s="18"/>
      <c r="AC62" s="18"/>
      <c r="AD62" s="18"/>
      <c r="AE62" s="18"/>
      <c r="AF62" s="18"/>
      <c r="AG62" s="18"/>
      <c r="AH62" s="18"/>
      <c r="AI62" s="18"/>
      <c r="AJ62" s="18"/>
      <c r="AK62" s="18"/>
      <c r="AL62" s="18"/>
      <c r="AM62" s="18"/>
    </row>
    <row r="63" spans="23:39" x14ac:dyDescent="0.25">
      <c r="Y63" s="18"/>
      <c r="Z63" s="18"/>
      <c r="AA63" s="18"/>
      <c r="AB63" s="18"/>
      <c r="AC63" s="18"/>
      <c r="AD63" s="18"/>
      <c r="AE63" s="18"/>
      <c r="AF63" s="18"/>
      <c r="AG63" s="18"/>
      <c r="AH63" s="18"/>
      <c r="AI63" s="18"/>
      <c r="AJ63" s="18"/>
      <c r="AK63" s="18"/>
      <c r="AL63" s="18"/>
      <c r="AM63" s="18"/>
    </row>
    <row r="64" spans="23:39" x14ac:dyDescent="0.25">
      <c r="Z64" s="13"/>
      <c r="AA64" s="13"/>
      <c r="AB64" s="13"/>
      <c r="AC64" s="13"/>
      <c r="AD64" s="13"/>
      <c r="AE64" s="13"/>
      <c r="AF64" s="13"/>
      <c r="AG64" s="13"/>
      <c r="AH64" s="13"/>
      <c r="AI64" s="13"/>
      <c r="AJ64" s="13"/>
      <c r="AK64" s="13"/>
      <c r="AL64" s="13"/>
      <c r="AM64" s="13"/>
    </row>
    <row r="65" spans="23:39" x14ac:dyDescent="0.25">
      <c r="X65" s="19"/>
      <c r="Y65" s="19"/>
      <c r="Z65" s="19"/>
      <c r="AA65" s="19"/>
      <c r="AB65" s="19"/>
      <c r="AC65" s="19"/>
      <c r="AD65" s="19"/>
      <c r="AE65" s="19"/>
      <c r="AF65" s="19"/>
      <c r="AG65" s="19"/>
      <c r="AH65" s="19"/>
      <c r="AI65" s="19"/>
      <c r="AJ65" s="19"/>
      <c r="AK65" s="19"/>
      <c r="AL65" s="19"/>
      <c r="AM65" s="19"/>
    </row>
    <row r="66" spans="23:39" x14ac:dyDescent="0.25">
      <c r="Z66" s="13"/>
      <c r="AA66" s="13"/>
      <c r="AB66" s="13"/>
      <c r="AC66" s="13"/>
      <c r="AD66" s="13"/>
      <c r="AE66" s="13"/>
      <c r="AF66" s="13"/>
      <c r="AG66" s="13"/>
      <c r="AH66" s="13"/>
      <c r="AI66" s="13"/>
      <c r="AJ66" s="13"/>
      <c r="AK66" s="13"/>
      <c r="AL66" s="13"/>
      <c r="AM66" s="13"/>
    </row>
    <row r="67" spans="23:39" x14ac:dyDescent="0.25">
      <c r="Z67" s="19"/>
      <c r="AA67" s="19"/>
      <c r="AB67" s="19"/>
      <c r="AC67" s="19"/>
      <c r="AD67" s="19"/>
      <c r="AE67" s="19"/>
      <c r="AF67" s="19"/>
      <c r="AG67" s="19"/>
      <c r="AH67" s="19"/>
      <c r="AI67" s="19"/>
      <c r="AJ67" s="19"/>
      <c r="AK67" s="19"/>
      <c r="AL67" s="19"/>
      <c r="AM67" s="19"/>
    </row>
    <row r="70" spans="23:39" x14ac:dyDescent="0.25">
      <c r="W70" s="47"/>
      <c r="AC70" s="13"/>
      <c r="AG70" s="13"/>
      <c r="AK70" s="13"/>
    </row>
    <row r="71" spans="23:39" x14ac:dyDescent="0.25">
      <c r="Z71" s="13"/>
      <c r="AA71" s="13"/>
      <c r="AB71" s="13"/>
      <c r="AC71" s="13"/>
      <c r="AD71" s="13"/>
      <c r="AE71" s="13"/>
      <c r="AF71" s="13"/>
      <c r="AG71" s="13"/>
      <c r="AH71" s="13"/>
      <c r="AI71" s="13"/>
      <c r="AJ71" s="13"/>
      <c r="AK71" s="13"/>
      <c r="AL71" s="13"/>
      <c r="AM71" s="13"/>
    </row>
    <row r="72" spans="23:39" x14ac:dyDescent="0.25">
      <c r="X72" s="17"/>
      <c r="Y72" s="17"/>
      <c r="Z72" s="17"/>
      <c r="AA72" s="17"/>
      <c r="AB72" s="18"/>
      <c r="AC72" s="18"/>
      <c r="AD72" s="18"/>
      <c r="AE72" s="18"/>
      <c r="AF72" s="18"/>
      <c r="AG72" s="18"/>
      <c r="AH72" s="18"/>
      <c r="AI72" s="18"/>
      <c r="AJ72" s="18"/>
      <c r="AK72" s="18"/>
      <c r="AL72" s="18"/>
      <c r="AM72" s="18"/>
    </row>
    <row r="73" spans="23:39" x14ac:dyDescent="0.25">
      <c r="Y73" s="18"/>
      <c r="Z73" s="18"/>
      <c r="AA73" s="18"/>
      <c r="AB73" s="18"/>
      <c r="AC73" s="18"/>
      <c r="AD73" s="18"/>
      <c r="AE73" s="18"/>
      <c r="AF73" s="18"/>
      <c r="AG73" s="18"/>
      <c r="AH73" s="18"/>
      <c r="AI73" s="18"/>
      <c r="AJ73" s="18"/>
      <c r="AK73" s="18"/>
      <c r="AL73" s="18"/>
      <c r="AM73" s="18"/>
    </row>
    <row r="74" spans="23:39" x14ac:dyDescent="0.25">
      <c r="Z74" s="13"/>
      <c r="AA74" s="13"/>
      <c r="AB74" s="13"/>
      <c r="AC74" s="13"/>
      <c r="AD74" s="13"/>
      <c r="AE74" s="13"/>
      <c r="AF74" s="13"/>
      <c r="AG74" s="13"/>
      <c r="AH74" s="13"/>
      <c r="AI74" s="13"/>
      <c r="AJ74" s="13"/>
      <c r="AK74" s="13"/>
      <c r="AL74" s="13"/>
      <c r="AM74" s="13"/>
    </row>
    <row r="75" spans="23:39" x14ac:dyDescent="0.25">
      <c r="X75" s="19"/>
      <c r="Y75" s="19"/>
      <c r="Z75" s="19"/>
      <c r="AA75" s="19"/>
      <c r="AB75" s="19"/>
      <c r="AC75" s="19"/>
      <c r="AD75" s="19"/>
      <c r="AE75" s="19"/>
      <c r="AF75" s="19"/>
      <c r="AG75" s="19"/>
      <c r="AH75" s="19"/>
      <c r="AI75" s="19"/>
      <c r="AJ75" s="19"/>
      <c r="AK75" s="19"/>
      <c r="AL75" s="19"/>
      <c r="AM75" s="19"/>
    </row>
    <row r="76" spans="23:39" x14ac:dyDescent="0.25">
      <c r="Z76" s="13"/>
      <c r="AA76" s="13"/>
      <c r="AB76" s="13"/>
      <c r="AC76" s="13"/>
      <c r="AD76" s="13"/>
      <c r="AE76" s="13"/>
      <c r="AF76" s="13"/>
      <c r="AG76" s="13"/>
      <c r="AH76" s="13"/>
      <c r="AI76" s="13"/>
      <c r="AJ76" s="13"/>
      <c r="AK76" s="13"/>
      <c r="AL76" s="13"/>
      <c r="AM76" s="13"/>
    </row>
    <row r="77" spans="23:39" x14ac:dyDescent="0.25">
      <c r="Z77" s="19"/>
      <c r="AA77" s="19"/>
      <c r="AB77" s="19"/>
      <c r="AC77" s="19"/>
      <c r="AD77" s="19"/>
      <c r="AE77" s="19"/>
      <c r="AF77" s="19"/>
      <c r="AG77" s="19"/>
      <c r="AH77" s="19"/>
      <c r="AI77" s="19"/>
      <c r="AJ77" s="19"/>
      <c r="AK77" s="19"/>
      <c r="AL77" s="19"/>
      <c r="AM77" s="19"/>
    </row>
    <row r="80" spans="23:39" x14ac:dyDescent="0.25">
      <c r="W80" s="47"/>
      <c r="AC80" s="13"/>
      <c r="AG80" s="13"/>
      <c r="AK80" s="13"/>
    </row>
    <row r="81" spans="24:39" x14ac:dyDescent="0.25">
      <c r="Z81" s="13"/>
      <c r="AA81" s="13"/>
      <c r="AB81" s="13"/>
      <c r="AC81" s="13"/>
      <c r="AD81" s="13"/>
      <c r="AE81" s="13"/>
      <c r="AF81" s="13"/>
      <c r="AG81" s="13"/>
      <c r="AH81" s="13"/>
      <c r="AI81" s="13"/>
      <c r="AJ81" s="13"/>
      <c r="AK81" s="13"/>
      <c r="AL81" s="13"/>
      <c r="AM81" s="13"/>
    </row>
    <row r="82" spans="24:39" x14ac:dyDescent="0.25">
      <c r="X82" s="17"/>
      <c r="Y82" s="17"/>
      <c r="Z82" s="17"/>
      <c r="AA82" s="17"/>
      <c r="AB82" s="18"/>
      <c r="AC82" s="18"/>
      <c r="AD82" s="18"/>
      <c r="AE82" s="18"/>
      <c r="AF82" s="18"/>
      <c r="AG82" s="18"/>
      <c r="AH82" s="18"/>
      <c r="AI82" s="18"/>
      <c r="AJ82" s="18"/>
      <c r="AK82" s="18"/>
      <c r="AL82" s="18"/>
      <c r="AM82" s="18"/>
    </row>
    <row r="83" spans="24:39" x14ac:dyDescent="0.25">
      <c r="Y83" s="18"/>
      <c r="Z83" s="18"/>
      <c r="AA83" s="18"/>
      <c r="AB83" s="18"/>
      <c r="AC83" s="18"/>
      <c r="AD83" s="18"/>
      <c r="AE83" s="18"/>
      <c r="AF83" s="18"/>
      <c r="AG83" s="18"/>
      <c r="AH83" s="18"/>
      <c r="AI83" s="18"/>
      <c r="AJ83" s="18"/>
      <c r="AK83" s="18"/>
      <c r="AL83" s="18"/>
      <c r="AM83" s="18"/>
    </row>
    <row r="84" spans="24:39" x14ac:dyDescent="0.25">
      <c r="Z84" s="13"/>
      <c r="AA84" s="13"/>
      <c r="AB84" s="13"/>
      <c r="AC84" s="13"/>
      <c r="AD84" s="13"/>
      <c r="AE84" s="13"/>
      <c r="AF84" s="13"/>
      <c r="AG84" s="13"/>
      <c r="AH84" s="13"/>
      <c r="AI84" s="13"/>
      <c r="AJ84" s="13"/>
      <c r="AK84" s="13"/>
      <c r="AL84" s="13"/>
      <c r="AM84" s="13"/>
    </row>
    <row r="85" spans="24:39" x14ac:dyDescent="0.25">
      <c r="X85" s="19"/>
      <c r="Y85" s="19"/>
      <c r="Z85" s="19"/>
      <c r="AA85" s="19"/>
      <c r="AB85" s="19"/>
      <c r="AC85" s="19"/>
      <c r="AD85" s="19"/>
      <c r="AE85" s="19"/>
      <c r="AF85" s="19"/>
      <c r="AG85" s="19"/>
      <c r="AH85" s="19"/>
      <c r="AI85" s="19"/>
      <c r="AJ85" s="19"/>
      <c r="AK85" s="19"/>
      <c r="AL85" s="19"/>
      <c r="AM85" s="19"/>
    </row>
    <row r="86" spans="24:39" x14ac:dyDescent="0.25">
      <c r="Z86" s="13"/>
      <c r="AA86" s="13"/>
      <c r="AB86" s="13"/>
      <c r="AC86" s="13"/>
      <c r="AD86" s="13"/>
      <c r="AE86" s="13"/>
      <c r="AF86" s="13"/>
      <c r="AG86" s="13"/>
      <c r="AH86" s="13"/>
      <c r="AI86" s="13"/>
      <c r="AJ86" s="13"/>
      <c r="AK86" s="13"/>
      <c r="AL86" s="13"/>
      <c r="AM86" s="13"/>
    </row>
    <row r="87" spans="24:39" x14ac:dyDescent="0.25">
      <c r="Z87" s="19"/>
      <c r="AA87" s="19"/>
      <c r="AB87" s="19"/>
      <c r="AC87" s="19"/>
      <c r="AD87" s="19"/>
      <c r="AE87" s="19"/>
      <c r="AF87" s="19"/>
      <c r="AG87" s="19"/>
      <c r="AH87" s="19"/>
      <c r="AI87" s="19"/>
      <c r="AJ87" s="19"/>
      <c r="AK87" s="19"/>
      <c r="AL87" s="19"/>
      <c r="AM87" s="19"/>
    </row>
  </sheetData>
  <mergeCells count="4">
    <mergeCell ref="B13:H13"/>
    <mergeCell ref="AQ2:AU2"/>
    <mergeCell ref="AV2:AZ2"/>
    <mergeCell ref="BA2:BE2"/>
  </mergeCells>
  <pageMargins left="0.7" right="0.7" top="0.75" bottom="0.75" header="0.3" footer="0.3"/>
  <pageSetup paperSize="9" orientation="portrait" r:id="rId1"/>
  <ignoredErrors>
    <ignoredError sqref="AU13:AZ13" evalError="1"/>
  </ignoredError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8D92-FFFF-40E3-8C15-B761C79504A2}">
  <sheetPr codeName="Sheet13">
    <tabColor rgb="FF92D050"/>
  </sheetPr>
  <dimension ref="B1:AO72"/>
  <sheetViews>
    <sheetView topLeftCell="Y13" zoomScale="85" zoomScaleNormal="85" workbookViewId="0">
      <selection activeCell="AN36" sqref="AN36"/>
    </sheetView>
  </sheetViews>
  <sheetFormatPr defaultRowHeight="15" x14ac:dyDescent="0.25"/>
  <cols>
    <col min="2" max="2" width="28.28515625" customWidth="1"/>
    <col min="3" max="3" width="8.7109375" hidden="1" customWidth="1"/>
    <col min="8" max="9" width="9.42578125" bestFit="1" customWidth="1"/>
    <col min="10" max="10" width="14.28515625" customWidth="1"/>
    <col min="13" max="13" width="19.85546875" customWidth="1"/>
    <col min="23" max="23" width="34.7109375" style="12" customWidth="1"/>
    <col min="24" max="38" width="12" style="12" customWidth="1"/>
    <col min="39" max="40" width="8.85546875" style="12"/>
  </cols>
  <sheetData>
    <row r="1" spans="2:40" ht="15.75" thickBot="1" x14ac:dyDescent="0.3">
      <c r="W1" s="20" t="s">
        <v>194</v>
      </c>
      <c r="X1" s="59">
        <f>+'Valuation Sheet'!C24</f>
        <v>7.6</v>
      </c>
    </row>
    <row r="2" spans="2:40"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f>J14*J21</f>
        <v>34.398437959079992</v>
      </c>
      <c r="W2" s="20" t="s">
        <v>109</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c r="AL2" s="11" t="s">
        <v>1018</v>
      </c>
    </row>
    <row r="3" spans="2:40" ht="18" thickTop="1" thickBot="1" x14ac:dyDescent="0.4">
      <c r="B3" s="25" t="s">
        <v>10</v>
      </c>
      <c r="C3" s="26">
        <v>17820.179</v>
      </c>
      <c r="D3" s="26">
        <v>22137.641</v>
      </c>
      <c r="E3" s="26">
        <v>24647.488000000001</v>
      </c>
      <c r="F3" s="26">
        <v>31746.592000000001</v>
      </c>
      <c r="G3" s="26">
        <v>33276.976999999999</v>
      </c>
      <c r="H3" s="26">
        <v>31780.287</v>
      </c>
      <c r="I3" s="27">
        <v>49587.964</v>
      </c>
      <c r="J3" s="21"/>
      <c r="M3" s="1" t="s">
        <v>11</v>
      </c>
      <c r="N3" s="2">
        <f>'[1]LT Portfolio'!W294</f>
        <v>0</v>
      </c>
      <c r="W3" s="12" t="s">
        <v>62</v>
      </c>
      <c r="X3" s="13">
        <v>2397371.6979999999</v>
      </c>
      <c r="Y3" s="13">
        <v>2102081.96</v>
      </c>
      <c r="Z3" s="13">
        <v>2192598.9369999999</v>
      </c>
      <c r="AA3" s="13">
        <v>1298698.0689999999</v>
      </c>
      <c r="AB3" s="13">
        <v>2410824.0159999998</v>
      </c>
      <c r="AC3" s="13">
        <v>2635457.6290000002</v>
      </c>
      <c r="AD3" s="13">
        <v>3165403.537</v>
      </c>
      <c r="AE3" s="13">
        <v>4624630.8969999999</v>
      </c>
      <c r="AF3" s="13">
        <v>9279702.25</v>
      </c>
      <c r="AG3" s="13">
        <v>3234570.4219999998</v>
      </c>
      <c r="AH3" s="13">
        <v>2659780.8730000001</v>
      </c>
      <c r="AI3" s="13">
        <v>2084889.7420000001</v>
      </c>
      <c r="AJ3" s="13">
        <v>2082072.345</v>
      </c>
      <c r="AK3" s="13">
        <v>2167729.2059999998</v>
      </c>
      <c r="AL3" s="13">
        <v>1755687.801</v>
      </c>
    </row>
    <row r="4" spans="2:40" ht="18" thickTop="1" thickBot="1" x14ac:dyDescent="0.4">
      <c r="B4" s="28" t="s">
        <v>12</v>
      </c>
      <c r="C4" s="29"/>
      <c r="D4" s="30">
        <f t="shared" ref="D4:G4" si="0">(D3/C3-1)*100</f>
        <v>24.2279384511233</v>
      </c>
      <c r="E4" s="30">
        <f t="shared" si="0"/>
        <v>11.337463643935685</v>
      </c>
      <c r="F4" s="30">
        <f t="shared" si="0"/>
        <v>28.802545719872128</v>
      </c>
      <c r="G4" s="30">
        <f t="shared" si="0"/>
        <v>4.8206276755627719</v>
      </c>
      <c r="H4" s="30">
        <f>(H3/G3-1)*100</f>
        <v>-4.4976741727471126</v>
      </c>
      <c r="I4" s="31">
        <f>(I3/H3-1)*100</f>
        <v>56.033719896865634</v>
      </c>
      <c r="J4" s="22">
        <f>((I3/D3)^(1/5)-1)*100</f>
        <v>17.503008805594654</v>
      </c>
      <c r="W4" s="12" t="s">
        <v>40</v>
      </c>
      <c r="X4" s="17"/>
      <c r="Y4" s="17"/>
      <c r="Z4" s="17"/>
      <c r="AA4" s="17"/>
      <c r="AB4" s="18">
        <f t="shared" ref="AB4:AG4" si="1">+AB3/X3-1</f>
        <v>5.6112775550085647E-3</v>
      </c>
      <c r="AC4" s="18">
        <f t="shared" si="1"/>
        <v>0.2537368566732765</v>
      </c>
      <c r="AD4" s="18">
        <f t="shared" si="1"/>
        <v>0.44367648984224606</v>
      </c>
      <c r="AE4" s="18">
        <f t="shared" si="1"/>
        <v>2.5609746463710188</v>
      </c>
      <c r="AF4" s="18">
        <f t="shared" si="1"/>
        <v>2.8491827642387317</v>
      </c>
      <c r="AG4" s="18">
        <f t="shared" si="1"/>
        <v>0.22732780311377176</v>
      </c>
      <c r="AH4" s="18">
        <f>+AH3/AD3-1</f>
        <v>-0.15973403014492171</v>
      </c>
      <c r="AI4" s="18">
        <f>+AI3/AE3-1</f>
        <v>-0.54917705035606867</v>
      </c>
      <c r="AJ4" s="18">
        <f t="shared" ref="AJ4:AK4" si="2">+AJ3/AF3-1</f>
        <v>-0.77563155703621844</v>
      </c>
      <c r="AK4" s="18">
        <f t="shared" si="2"/>
        <v>-0.32982469905241718</v>
      </c>
      <c r="AL4" s="18">
        <f>+AL3/AH3-1</f>
        <v>-0.3399126150494729</v>
      </c>
      <c r="AM4" s="46"/>
    </row>
    <row r="5" spans="2:40" ht="18" thickTop="1" thickBot="1" x14ac:dyDescent="0.4">
      <c r="B5" s="32" t="s">
        <v>13</v>
      </c>
      <c r="C5" s="29">
        <v>2994.8620000000001</v>
      </c>
      <c r="D5" s="26">
        <v>3075.7150000000001</v>
      </c>
      <c r="E5" s="26">
        <v>2911.1990000000001</v>
      </c>
      <c r="F5" s="26">
        <v>3686.058</v>
      </c>
      <c r="G5" s="26">
        <v>4229.0420000000004</v>
      </c>
      <c r="H5" s="26">
        <v>3789.9589999999998</v>
      </c>
      <c r="I5" s="27">
        <v>4577.6409999999996</v>
      </c>
      <c r="J5" s="21"/>
      <c r="M5" s="1" t="s">
        <v>14</v>
      </c>
      <c r="N5" s="3">
        <f>202.575/415.481776</f>
        <v>0.48756651122045841</v>
      </c>
      <c r="W5" s="12" t="s">
        <v>41</v>
      </c>
      <c r="Y5" s="18">
        <f t="shared" ref="Y5:AL5" si="3">+Y3/X3-1</f>
        <v>-0.12317227997908897</v>
      </c>
      <c r="Z5" s="18">
        <f t="shared" si="3"/>
        <v>4.3060631660622795E-2</v>
      </c>
      <c r="AA5" s="18">
        <f t="shared" si="3"/>
        <v>-0.40769009457929883</v>
      </c>
      <c r="AB5" s="18">
        <f t="shared" si="3"/>
        <v>0.85633910879403952</v>
      </c>
      <c r="AC5" s="18">
        <f t="shared" si="3"/>
        <v>9.3177109365580657E-2</v>
      </c>
      <c r="AD5" s="18">
        <f t="shared" si="3"/>
        <v>0.20108306890180705</v>
      </c>
      <c r="AE5" s="18">
        <f t="shared" si="3"/>
        <v>0.46099252210445729</v>
      </c>
      <c r="AF5" s="18">
        <f t="shared" si="3"/>
        <v>1.0065822455192581</v>
      </c>
      <c r="AG5" s="18">
        <f t="shared" si="3"/>
        <v>-0.65143596907971912</v>
      </c>
      <c r="AH5" s="18">
        <f t="shared" si="3"/>
        <v>-0.1777019739902882</v>
      </c>
      <c r="AI5" s="18">
        <f t="shared" si="3"/>
        <v>-0.21614229083148984</v>
      </c>
      <c r="AJ5" s="18">
        <f t="shared" si="3"/>
        <v>-1.3513410053509478E-3</v>
      </c>
      <c r="AK5" s="18">
        <f t="shared" si="3"/>
        <v>4.1140194386473095E-2</v>
      </c>
      <c r="AL5" s="18">
        <f t="shared" si="3"/>
        <v>-0.19007974052271903</v>
      </c>
    </row>
    <row r="6" spans="2:40" ht="18" thickTop="1" thickBot="1" x14ac:dyDescent="0.4">
      <c r="B6" s="28" t="s">
        <v>15</v>
      </c>
      <c r="C6" s="30">
        <f t="shared" ref="C6:G6" si="4">C5/C$3*100</f>
        <v>16.806015248219449</v>
      </c>
      <c r="D6" s="30">
        <f t="shared" si="4"/>
        <v>13.893598690122404</v>
      </c>
      <c r="E6" s="30">
        <f t="shared" si="4"/>
        <v>11.811341585803795</v>
      </c>
      <c r="F6" s="30">
        <f t="shared" si="4"/>
        <v>11.610877791228742</v>
      </c>
      <c r="G6" s="30">
        <f t="shared" si="4"/>
        <v>12.708612323769675</v>
      </c>
      <c r="H6" s="30">
        <f>H5/H$3*100</f>
        <v>11.925502749550374</v>
      </c>
      <c r="I6" s="31">
        <f>I5/I$3*100</f>
        <v>9.2313550118734451</v>
      </c>
      <c r="J6" s="23">
        <f>AVERAGE(D6:I6)</f>
        <v>11.863548025391404</v>
      </c>
      <c r="M6" s="1" t="s">
        <v>16</v>
      </c>
      <c r="N6" s="3">
        <f>261.001/415.481776</f>
        <v>0.62818880412218114</v>
      </c>
    </row>
    <row r="7" spans="2:40" ht="18" thickTop="1" thickBot="1" x14ac:dyDescent="0.4">
      <c r="B7" s="32" t="s">
        <v>17</v>
      </c>
      <c r="C7" s="26">
        <v>2167.6080000000002</v>
      </c>
      <c r="D7" s="26">
        <v>1992.405</v>
      </c>
      <c r="E7" s="26">
        <v>1810.8420000000001</v>
      </c>
      <c r="F7" s="26">
        <v>2344.6489999999999</v>
      </c>
      <c r="G7" s="26">
        <v>2728.431</v>
      </c>
      <c r="H7" s="26">
        <v>2441.4009999999998</v>
      </c>
      <c r="I7" s="27">
        <v>2573.1030000000001</v>
      </c>
      <c r="J7" s="24"/>
      <c r="M7" s="1" t="s">
        <v>18</v>
      </c>
      <c r="N7" s="3">
        <f>'[1]LT Portfolio'!P294</f>
        <v>0</v>
      </c>
      <c r="W7" s="12" t="s">
        <v>61</v>
      </c>
      <c r="X7" s="13"/>
      <c r="Y7" s="13"/>
      <c r="Z7" s="13"/>
      <c r="AA7" s="13"/>
      <c r="AB7" s="13"/>
      <c r="AC7" s="13"/>
      <c r="AD7" s="13"/>
      <c r="AE7" s="13"/>
      <c r="AF7" s="13"/>
      <c r="AG7" s="13"/>
      <c r="AH7" s="13"/>
      <c r="AI7" s="13"/>
      <c r="AJ7" s="13"/>
      <c r="AK7" s="13"/>
      <c r="AL7" s="13"/>
    </row>
    <row r="8" spans="2:40" ht="18" thickTop="1" thickBot="1" x14ac:dyDescent="0.4">
      <c r="B8" s="28" t="s">
        <v>19</v>
      </c>
      <c r="C8" s="30">
        <f t="shared" ref="C8:I8" si="5">C7/C$3*100</f>
        <v>12.16378353999699</v>
      </c>
      <c r="D8" s="30">
        <f t="shared" si="5"/>
        <v>9.0000781926132056</v>
      </c>
      <c r="E8" s="30">
        <f t="shared" si="5"/>
        <v>7.3469637149229978</v>
      </c>
      <c r="F8" s="30">
        <f t="shared" si="5"/>
        <v>7.3855140104487429</v>
      </c>
      <c r="G8" s="30">
        <f t="shared" si="5"/>
        <v>8.1991552297553945</v>
      </c>
      <c r="H8" s="30">
        <f t="shared" si="5"/>
        <v>7.6821238272643662</v>
      </c>
      <c r="I8" s="31">
        <f t="shared" si="5"/>
        <v>5.1889668226749546</v>
      </c>
      <c r="J8" s="23">
        <f>AVERAGE(D8:I8)</f>
        <v>7.4671336329466103</v>
      </c>
      <c r="M8" s="1" t="s">
        <v>20</v>
      </c>
      <c r="N8" s="3">
        <f>'[1]LT Portfolio'!Q294</f>
        <v>0</v>
      </c>
      <c r="W8" s="12" t="s">
        <v>40</v>
      </c>
      <c r="AB8" s="18" t="e">
        <f t="shared" ref="AB8:AG8" si="6">+AB7/X7-1</f>
        <v>#DIV/0!</v>
      </c>
      <c r="AC8" s="18" t="e">
        <f t="shared" si="6"/>
        <v>#DIV/0!</v>
      </c>
      <c r="AD8" s="18" t="e">
        <f t="shared" si="6"/>
        <v>#DIV/0!</v>
      </c>
      <c r="AE8" s="18" t="e">
        <f t="shared" si="6"/>
        <v>#DIV/0!</v>
      </c>
      <c r="AF8" s="18" t="e">
        <f t="shared" si="6"/>
        <v>#DIV/0!</v>
      </c>
      <c r="AG8" s="18" t="e">
        <f t="shared" si="6"/>
        <v>#DIV/0!</v>
      </c>
      <c r="AH8" s="18" t="e">
        <f>+AH7/AD7-1</f>
        <v>#DIV/0!</v>
      </c>
      <c r="AI8" s="18" t="e">
        <f>+AI7/AE7-1</f>
        <v>#DIV/0!</v>
      </c>
      <c r="AJ8" s="18" t="e">
        <f t="shared" ref="AJ8:AK8" si="7">+AJ7/AF7-1</f>
        <v>#DIV/0!</v>
      </c>
      <c r="AK8" s="18" t="e">
        <f t="shared" si="7"/>
        <v>#DIV/0!</v>
      </c>
      <c r="AL8" s="18" t="e">
        <f>+AL7/AH7-1</f>
        <v>#DIV/0!</v>
      </c>
    </row>
    <row r="9" spans="2:40" ht="18" thickTop="1" thickBot="1" x14ac:dyDescent="0.4">
      <c r="B9" s="32" t="s">
        <v>21</v>
      </c>
      <c r="C9" s="26">
        <v>2228.9470000000001</v>
      </c>
      <c r="D9" s="26">
        <v>2011.37</v>
      </c>
      <c r="E9" s="26">
        <v>1817.7159999999999</v>
      </c>
      <c r="F9" s="26">
        <v>2257.0619999999999</v>
      </c>
      <c r="G9" s="26">
        <v>2811.9639999999999</v>
      </c>
      <c r="H9" s="26">
        <v>2599.3359999999998</v>
      </c>
      <c r="I9" s="27">
        <v>2863.72</v>
      </c>
      <c r="J9" s="21"/>
      <c r="M9" s="1" t="s">
        <v>22</v>
      </c>
      <c r="N9" s="3">
        <f>'[1]LT Portfolio'!R294</f>
        <v>0</v>
      </c>
      <c r="O9" s="4">
        <f>N9/N5-1</f>
        <v>-1</v>
      </c>
      <c r="W9" s="12" t="s">
        <v>41</v>
      </c>
      <c r="Y9" s="18" t="e">
        <f t="shared" ref="Y9:AL9" si="8">+Y7/X7-1</f>
        <v>#DIV/0!</v>
      </c>
      <c r="Z9" s="18" t="e">
        <f t="shared" si="8"/>
        <v>#DIV/0!</v>
      </c>
      <c r="AA9" s="18" t="e">
        <f t="shared" si="8"/>
        <v>#DIV/0!</v>
      </c>
      <c r="AB9" s="18" t="e">
        <f t="shared" si="8"/>
        <v>#DIV/0!</v>
      </c>
      <c r="AC9" s="18" t="e">
        <f t="shared" si="8"/>
        <v>#DIV/0!</v>
      </c>
      <c r="AD9" s="18" t="e">
        <f t="shared" si="8"/>
        <v>#DIV/0!</v>
      </c>
      <c r="AE9" s="18" t="e">
        <f t="shared" si="8"/>
        <v>#DIV/0!</v>
      </c>
      <c r="AF9" s="18" t="e">
        <f t="shared" si="8"/>
        <v>#DIV/0!</v>
      </c>
      <c r="AG9" s="18" t="e">
        <f t="shared" si="8"/>
        <v>#DIV/0!</v>
      </c>
      <c r="AH9" s="18" t="e">
        <f t="shared" si="8"/>
        <v>#DIV/0!</v>
      </c>
      <c r="AI9" s="18" t="e">
        <f t="shared" si="8"/>
        <v>#DIV/0!</v>
      </c>
      <c r="AJ9" s="18" t="e">
        <f t="shared" si="8"/>
        <v>#DIV/0!</v>
      </c>
      <c r="AK9" s="18" t="e">
        <f t="shared" si="8"/>
        <v>#DIV/0!</v>
      </c>
      <c r="AL9" s="18" t="e">
        <f t="shared" si="8"/>
        <v>#DIV/0!</v>
      </c>
    </row>
    <row r="10" spans="2:40" ht="18" thickTop="1" thickBot="1" x14ac:dyDescent="0.4">
      <c r="B10" s="32" t="s">
        <v>23</v>
      </c>
      <c r="C10" s="29">
        <v>2170.6669999999999</v>
      </c>
      <c r="D10" s="26">
        <v>1959.175</v>
      </c>
      <c r="E10" s="26">
        <v>1596.114</v>
      </c>
      <c r="F10" s="26">
        <v>1858.7170000000001</v>
      </c>
      <c r="G10" s="26">
        <v>2383.7840000000001</v>
      </c>
      <c r="H10" s="26">
        <v>2139.5970000000002</v>
      </c>
      <c r="I10" s="27">
        <v>2531.25</v>
      </c>
      <c r="J10" s="22">
        <f>((I10/D10)^(1/5)-1)*100</f>
        <v>5.2573330805531393</v>
      </c>
      <c r="M10" s="1" t="s">
        <v>24</v>
      </c>
      <c r="N10" s="3">
        <f>'[1]LT Portfolio'!S294</f>
        <v>0</v>
      </c>
      <c r="O10" s="4">
        <f>N10/N6-1</f>
        <v>-1</v>
      </c>
    </row>
    <row r="11" spans="2:40" ht="18" thickTop="1" thickBot="1" x14ac:dyDescent="0.4">
      <c r="B11" s="28" t="s">
        <v>25</v>
      </c>
      <c r="C11" s="30">
        <f t="shared" ref="C11:G11" si="9">C10/C$3*100</f>
        <v>12.180949473066461</v>
      </c>
      <c r="D11" s="30">
        <f t="shared" si="9"/>
        <v>8.849971864662546</v>
      </c>
      <c r="E11" s="30">
        <f t="shared" si="9"/>
        <v>6.4757674291189433</v>
      </c>
      <c r="F11" s="30">
        <f t="shared" si="9"/>
        <v>5.8548552235150151</v>
      </c>
      <c r="G11" s="30">
        <f t="shared" si="9"/>
        <v>7.1634631955901531</v>
      </c>
      <c r="H11" s="30">
        <f>H10/H$3*100</f>
        <v>6.7324659465787713</v>
      </c>
      <c r="I11" s="31">
        <f>I10/I$3*100</f>
        <v>5.1045652933038346</v>
      </c>
      <c r="J11" s="23">
        <f>AVERAGE(D11:I11)</f>
        <v>6.6968481587948778</v>
      </c>
      <c r="M11" s="1" t="s">
        <v>26</v>
      </c>
      <c r="N11" s="3">
        <f>'[1]LT Portfolio'!T294</f>
        <v>0</v>
      </c>
      <c r="O11" s="4" t="e">
        <f>N11/N7-1</f>
        <v>#DIV/0!</v>
      </c>
      <c r="W11" s="12" t="s">
        <v>42</v>
      </c>
      <c r="X11" s="13">
        <v>634106.43000000005</v>
      </c>
      <c r="Y11" s="13">
        <v>507749.81699999998</v>
      </c>
      <c r="Z11" s="13">
        <v>527254.77599999995</v>
      </c>
      <c r="AA11" s="13">
        <v>413884.25199999998</v>
      </c>
      <c r="AB11" s="13">
        <v>695536.25399999996</v>
      </c>
      <c r="AC11" s="13">
        <v>785596.25199999998</v>
      </c>
      <c r="AD11" s="13">
        <v>527085.49199999997</v>
      </c>
      <c r="AE11" s="13">
        <v>927442.16799999995</v>
      </c>
      <c r="AF11" s="13">
        <v>3220993.0219999999</v>
      </c>
      <c r="AG11" s="13">
        <v>757915.38</v>
      </c>
      <c r="AH11" s="13">
        <v>514645.03499999997</v>
      </c>
      <c r="AI11" s="13">
        <v>603407.04799999995</v>
      </c>
      <c r="AJ11" s="13">
        <v>475198.484</v>
      </c>
      <c r="AK11" s="13">
        <v>612100.23899999994</v>
      </c>
      <c r="AL11" s="13">
        <v>534273.38500000001</v>
      </c>
    </row>
    <row r="12" spans="2:40" ht="18" thickTop="1" thickBot="1" x14ac:dyDescent="0.4">
      <c r="B12" s="28" t="s">
        <v>27</v>
      </c>
      <c r="C12" s="29"/>
      <c r="D12" s="30">
        <f t="shared" ref="D12:I12" si="10">(D10/C10-1)*100</f>
        <v>-9.7431803219931936</v>
      </c>
      <c r="E12" s="30">
        <f t="shared" si="10"/>
        <v>-18.531320581367151</v>
      </c>
      <c r="F12" s="30">
        <f t="shared" si="10"/>
        <v>16.452646866075995</v>
      </c>
      <c r="G12" s="30">
        <f t="shared" si="10"/>
        <v>28.248894264161795</v>
      </c>
      <c r="H12" s="30">
        <f t="shared" si="10"/>
        <v>-10.243671406469712</v>
      </c>
      <c r="I12" s="31">
        <f t="shared" si="10"/>
        <v>18.304989210584964</v>
      </c>
      <c r="J12" s="23">
        <f>AVERAGE(D12:I12)</f>
        <v>4.0813930051654497</v>
      </c>
      <c r="S12" t="s">
        <v>20</v>
      </c>
      <c r="T12" t="s">
        <v>22</v>
      </c>
      <c r="W12" s="12" t="s">
        <v>43</v>
      </c>
      <c r="X12" s="19">
        <f t="shared" ref="X12:AI12" si="11">+X11/X3</f>
        <v>0.26450067402105459</v>
      </c>
      <c r="Y12" s="19">
        <f t="shared" si="11"/>
        <v>0.24154615598337564</v>
      </c>
      <c r="Z12" s="19">
        <f t="shared" si="11"/>
        <v>0.24047023242719012</v>
      </c>
      <c r="AA12" s="19">
        <f t="shared" si="11"/>
        <v>0.3186916665847449</v>
      </c>
      <c r="AB12" s="19">
        <f t="shared" si="11"/>
        <v>0.28850561027429222</v>
      </c>
      <c r="AC12" s="19">
        <f t="shared" si="11"/>
        <v>0.29808722529076936</v>
      </c>
      <c r="AD12" s="19">
        <f t="shared" si="11"/>
        <v>0.16651446990532631</v>
      </c>
      <c r="AE12" s="19">
        <f t="shared" si="11"/>
        <v>0.20054404095289682</v>
      </c>
      <c r="AF12" s="19">
        <f t="shared" si="11"/>
        <v>0.34710090207905109</v>
      </c>
      <c r="AG12" s="19">
        <f t="shared" si="11"/>
        <v>0.23431716769714531</v>
      </c>
      <c r="AH12" s="19">
        <f t="shared" si="11"/>
        <v>0.19349151662239206</v>
      </c>
      <c r="AI12" s="19">
        <f t="shared" si="11"/>
        <v>0.28941916488166974</v>
      </c>
      <c r="AJ12" s="19">
        <f t="shared" ref="AJ12:AL12" si="12">+AJ11/AJ3</f>
        <v>0.22823341616402865</v>
      </c>
      <c r="AK12" s="19">
        <f t="shared" si="12"/>
        <v>0.28236932791502928</v>
      </c>
      <c r="AL12" s="19">
        <f t="shared" si="12"/>
        <v>0.30431001724548634</v>
      </c>
    </row>
    <row r="13" spans="2:40" s="6" customFormat="1" ht="18" thickTop="1" thickBot="1" x14ac:dyDescent="0.3">
      <c r="B13" s="187"/>
      <c r="C13" s="188"/>
      <c r="D13" s="188"/>
      <c r="E13" s="188"/>
      <c r="F13" s="188"/>
      <c r="G13" s="188"/>
      <c r="H13" s="188"/>
      <c r="I13" s="41"/>
      <c r="J13" s="5"/>
      <c r="M13" s="1" t="s">
        <v>28</v>
      </c>
      <c r="N13" s="3">
        <f>SUM(N8:N11)</f>
        <v>0</v>
      </c>
      <c r="O13"/>
      <c r="P13"/>
      <c r="Q13" s="7">
        <f>N13*J21</f>
        <v>0</v>
      </c>
      <c r="R13"/>
      <c r="S13" s="7">
        <v>19.109573515092499</v>
      </c>
      <c r="T13" s="7">
        <v>18.873652854412345</v>
      </c>
      <c r="W13" s="12"/>
      <c r="X13" s="12"/>
      <c r="Y13" s="12"/>
      <c r="Z13" s="12"/>
      <c r="AA13" s="12"/>
      <c r="AB13" s="12"/>
      <c r="AC13" s="12"/>
      <c r="AD13" s="12"/>
      <c r="AE13" s="12"/>
      <c r="AF13" s="12"/>
      <c r="AG13" s="12"/>
      <c r="AH13" s="12"/>
      <c r="AI13" s="12"/>
      <c r="AJ13" s="12"/>
      <c r="AK13" s="12"/>
      <c r="AL13" s="12"/>
      <c r="AM13" s="12"/>
      <c r="AN13" s="12"/>
    </row>
    <row r="14" spans="2:40" ht="18" thickTop="1" thickBot="1" x14ac:dyDescent="0.4">
      <c r="B14" s="32" t="s">
        <v>29</v>
      </c>
      <c r="C14" s="33">
        <v>3.24</v>
      </c>
      <c r="D14" s="34">
        <v>2.81</v>
      </c>
      <c r="E14" s="34">
        <v>2.2799999999999998</v>
      </c>
      <c r="F14" s="34">
        <v>2.65</v>
      </c>
      <c r="G14" s="34">
        <v>3.4</v>
      </c>
      <c r="H14" s="34">
        <v>3.04</v>
      </c>
      <c r="I14" s="35">
        <v>3.54</v>
      </c>
      <c r="J14" s="23">
        <f>AVERAGE(D14:I14)</f>
        <v>2.9533333333333331</v>
      </c>
      <c r="M14" s="1" t="s">
        <v>11</v>
      </c>
      <c r="N14" s="2" t="e">
        <f>N2/N13</f>
        <v>#VALUE!</v>
      </c>
      <c r="Q14" s="8" t="e">
        <f>Q13/N2-1</f>
        <v>#VALUE!</v>
      </c>
      <c r="S14" s="8" t="e">
        <f>S13/N2-1</f>
        <v>#VALUE!</v>
      </c>
      <c r="T14" s="8" t="e">
        <f>T13/N2-1</f>
        <v>#VALUE!</v>
      </c>
      <c r="W14" s="12" t="s">
        <v>17</v>
      </c>
      <c r="X14" s="13">
        <v>561661.10800000001</v>
      </c>
      <c r="Y14" s="13">
        <v>416624.94199999998</v>
      </c>
      <c r="Z14" s="13">
        <v>453941.761</v>
      </c>
      <c r="AA14" s="13">
        <v>315214.02500000002</v>
      </c>
      <c r="AB14" s="13">
        <v>652623.24699999997</v>
      </c>
      <c r="AC14" s="13">
        <v>603607.69099999999</v>
      </c>
      <c r="AD14" s="13">
        <v>365116.09</v>
      </c>
      <c r="AE14" s="13">
        <v>747322.87300000002</v>
      </c>
      <c r="AF14" s="13">
        <v>3073935.693</v>
      </c>
      <c r="AG14" s="13">
        <v>567003.97199999995</v>
      </c>
      <c r="AH14" s="13">
        <v>370864.43199999997</v>
      </c>
      <c r="AI14" s="13">
        <v>481326.27</v>
      </c>
      <c r="AJ14" s="13">
        <v>347931.78899999999</v>
      </c>
      <c r="AK14" s="13">
        <v>489866.71899999998</v>
      </c>
      <c r="AL14" s="13">
        <v>416121.33100000001</v>
      </c>
    </row>
    <row r="15" spans="2:40" ht="18" thickTop="1" thickBot="1" x14ac:dyDescent="0.4">
      <c r="B15" s="32" t="s">
        <v>30</v>
      </c>
      <c r="C15" s="34">
        <f>1+0.6</f>
        <v>1.6</v>
      </c>
      <c r="D15" s="34">
        <f>1+1.25</f>
        <v>2.25</v>
      </c>
      <c r="E15" s="34">
        <f>0.9+0.7</f>
        <v>1.6</v>
      </c>
      <c r="F15" s="34">
        <f>1.1+0.85</f>
        <v>1.9500000000000002</v>
      </c>
      <c r="G15" s="34">
        <v>1.3</v>
      </c>
      <c r="H15" s="34">
        <f>1.65+1.15</f>
        <v>2.8</v>
      </c>
      <c r="I15" s="35">
        <f>1.5+0.85</f>
        <v>2.35</v>
      </c>
      <c r="J15" s="24"/>
      <c r="R15" s="6"/>
      <c r="S15" s="6"/>
      <c r="W15" s="12" t="s">
        <v>55</v>
      </c>
      <c r="X15" s="19">
        <f t="shared" ref="X15:AI15" si="13">+X14/X3</f>
        <v>0.23428202996997258</v>
      </c>
      <c r="Y15" s="19">
        <f t="shared" si="13"/>
        <v>0.19819633578892423</v>
      </c>
      <c r="Z15" s="19">
        <f t="shared" si="13"/>
        <v>0.20703365003957402</v>
      </c>
      <c r="AA15" s="19">
        <f t="shared" si="13"/>
        <v>0.24271540285165394</v>
      </c>
      <c r="AB15" s="19">
        <f t="shared" si="13"/>
        <v>0.27070546944476764</v>
      </c>
      <c r="AC15" s="19">
        <f t="shared" si="13"/>
        <v>0.22903335054907839</v>
      </c>
      <c r="AD15" s="19">
        <f t="shared" si="13"/>
        <v>0.11534582739047468</v>
      </c>
      <c r="AE15" s="19">
        <f t="shared" si="13"/>
        <v>0.16159622024858</v>
      </c>
      <c r="AF15" s="19">
        <f t="shared" si="13"/>
        <v>0.33125369868413612</v>
      </c>
      <c r="AG15" s="19">
        <f t="shared" si="13"/>
        <v>0.17529498450350944</v>
      </c>
      <c r="AH15" s="19">
        <f t="shared" si="13"/>
        <v>0.13943420518762409</v>
      </c>
      <c r="AI15" s="19">
        <f t="shared" si="13"/>
        <v>0.23086413650741633</v>
      </c>
      <c r="AJ15" s="19">
        <f t="shared" ref="AJ15:AL15" si="14">+AJ14/AJ3</f>
        <v>0.16710840515966796</v>
      </c>
      <c r="AK15" s="19">
        <f t="shared" si="14"/>
        <v>0.22598150988790988</v>
      </c>
      <c r="AL15" s="19">
        <f t="shared" si="14"/>
        <v>0.23701328377572978</v>
      </c>
    </row>
    <row r="16" spans="2:40" ht="18" thickTop="1" thickBot="1" x14ac:dyDescent="0.4">
      <c r="B16" s="32" t="s">
        <v>8</v>
      </c>
      <c r="C16" s="34">
        <v>31.7</v>
      </c>
      <c r="D16" s="34">
        <v>37</v>
      </c>
      <c r="E16" s="34">
        <v>31.9</v>
      </c>
      <c r="F16" s="34">
        <v>30.4</v>
      </c>
      <c r="G16" s="34">
        <v>23.3</v>
      </c>
      <c r="H16" s="34">
        <v>40</v>
      </c>
      <c r="I16" s="35">
        <v>39.799999999999997</v>
      </c>
      <c r="J16" s="22">
        <f>((I16/D16)^(1/5)-1)*100</f>
        <v>1.4696750556643323</v>
      </c>
    </row>
    <row r="17" spans="2:38" ht="18" thickTop="1" thickBot="1" x14ac:dyDescent="0.4">
      <c r="B17" s="32" t="s">
        <v>31</v>
      </c>
      <c r="C17" s="34">
        <v>14.6</v>
      </c>
      <c r="D17" s="34">
        <v>16</v>
      </c>
      <c r="E17" s="34">
        <v>16.7</v>
      </c>
      <c r="F17" s="34">
        <v>19.8</v>
      </c>
      <c r="G17" s="34">
        <v>22.3</v>
      </c>
      <c r="H17" s="34">
        <v>25</v>
      </c>
      <c r="I17" s="35">
        <v>39.4</v>
      </c>
      <c r="J17" s="22">
        <f>((I17/D17)^(1/6)-1)*100</f>
        <v>16.206219645289856</v>
      </c>
      <c r="W17" s="12" t="s">
        <v>44</v>
      </c>
      <c r="X17" s="13">
        <f>-130122.63+23892.44</f>
        <v>-106230.19</v>
      </c>
      <c r="Y17" s="13">
        <f>-82318.889+26703.476</f>
        <v>-55615.413</v>
      </c>
      <c r="Z17" s="13">
        <f>-71680.693+32963.96</f>
        <v>-38716.733</v>
      </c>
      <c r="AA17" s="13">
        <f>-91558.465+5272.314</f>
        <v>-86286.150999999998</v>
      </c>
      <c r="AB17" s="13">
        <f>-94545.345+14946.262</f>
        <v>-79599.082999999999</v>
      </c>
      <c r="AC17" s="13">
        <f>-97049.178+7098.835</f>
        <v>-89950.342999999993</v>
      </c>
      <c r="AD17" s="13">
        <f>-113107.056+280303.184</f>
        <v>167196.12800000003</v>
      </c>
      <c r="AE17" s="13">
        <f>-220133.842+129899.153</f>
        <v>-90234.688999999998</v>
      </c>
      <c r="AF17" s="13">
        <f>-353734.213+117591.496</f>
        <v>-236142.717</v>
      </c>
      <c r="AG17" s="13">
        <f>-315217.128+154096.99</f>
        <v>-161120.13800000004</v>
      </c>
      <c r="AH17" s="13">
        <f>-353902.664+61351.148</f>
        <v>-292551.516</v>
      </c>
      <c r="AI17" s="13">
        <f>-361288.279+158975.715</f>
        <v>-202312.56399999998</v>
      </c>
      <c r="AJ17" s="13">
        <f>150114.428-137709.034</f>
        <v>12405.394</v>
      </c>
      <c r="AK17" s="13">
        <f>138189.566-90415.97</f>
        <v>47773.59599999999</v>
      </c>
      <c r="AL17" s="13">
        <f>99056.451-101575.7</f>
        <v>-2519.2489999999962</v>
      </c>
    </row>
    <row r="18" spans="2:38" ht="18" thickTop="1" thickBot="1" x14ac:dyDescent="0.4">
      <c r="B18" s="32" t="s">
        <v>32</v>
      </c>
      <c r="C18" s="36">
        <f t="shared" ref="C18:G18" si="15">C14/AVERAGE(B17:C17)*100</f>
        <v>22.19178082191781</v>
      </c>
      <c r="D18" s="36">
        <f t="shared" si="15"/>
        <v>18.366013071895424</v>
      </c>
      <c r="E18" s="36">
        <f t="shared" si="15"/>
        <v>13.944954128440365</v>
      </c>
      <c r="F18" s="36">
        <f t="shared" si="15"/>
        <v>14.520547945205479</v>
      </c>
      <c r="G18" s="36">
        <f t="shared" si="15"/>
        <v>16.152019002375294</v>
      </c>
      <c r="H18" s="36">
        <f>H14/AVERAGE(G17:H17)*100</f>
        <v>12.854122621564482</v>
      </c>
      <c r="I18" s="37">
        <f>I14/AVERAGE(H17:I17)*100</f>
        <v>10.993788819875776</v>
      </c>
      <c r="J18" s="23">
        <f>AVERAGE(D18:I18)</f>
        <v>14.471907598226137</v>
      </c>
      <c r="M18" s="9" t="s">
        <v>33</v>
      </c>
      <c r="N18" s="6"/>
      <c r="O18" s="6"/>
      <c r="P18" s="6"/>
      <c r="Q18" s="6"/>
      <c r="W18" s="12" t="s">
        <v>45</v>
      </c>
      <c r="X18" s="15">
        <f t="shared" ref="X18:AI18" si="16">+X17/X14</f>
        <v>-0.18913574126268326</v>
      </c>
      <c r="Y18" s="15">
        <f t="shared" si="16"/>
        <v>-0.13349035881773974</v>
      </c>
      <c r="Z18" s="15">
        <f t="shared" si="16"/>
        <v>-8.5290088567110262E-2</v>
      </c>
      <c r="AA18" s="15">
        <f t="shared" si="16"/>
        <v>-0.27373829892245433</v>
      </c>
      <c r="AB18" s="15">
        <f t="shared" si="16"/>
        <v>-0.12196789398156392</v>
      </c>
      <c r="AC18" s="15">
        <f t="shared" si="16"/>
        <v>-0.14902120092435997</v>
      </c>
      <c r="AD18" s="15">
        <f t="shared" si="16"/>
        <v>0.45792593802152082</v>
      </c>
      <c r="AE18" s="15">
        <f t="shared" si="16"/>
        <v>-0.12074391439106935</v>
      </c>
      <c r="AF18" s="15">
        <f t="shared" si="16"/>
        <v>-7.6820968486018354E-2</v>
      </c>
      <c r="AG18" s="15">
        <f t="shared" si="16"/>
        <v>-0.28416051025476774</v>
      </c>
      <c r="AH18" s="15">
        <f t="shared" si="16"/>
        <v>-0.78883681139851136</v>
      </c>
      <c r="AI18" s="15">
        <f t="shared" si="16"/>
        <v>-0.42032312925700061</v>
      </c>
      <c r="AJ18" s="15">
        <f t="shared" ref="AJ18:AL18" si="17">+AJ17/AJ14</f>
        <v>3.5654672531229968E-2</v>
      </c>
      <c r="AK18" s="15">
        <f t="shared" si="17"/>
        <v>9.7523661328786843E-2</v>
      </c>
      <c r="AL18" s="15">
        <f t="shared" si="17"/>
        <v>-6.0541212678183907E-3</v>
      </c>
    </row>
    <row r="19" spans="2:38" ht="18" thickTop="1" thickBot="1" x14ac:dyDescent="0.4">
      <c r="B19" s="32" t="s">
        <v>34</v>
      </c>
      <c r="C19" s="30">
        <f t="shared" ref="C19:G19" si="18">C15/C16*100</f>
        <v>5.0473186119873823</v>
      </c>
      <c r="D19" s="30">
        <f t="shared" si="18"/>
        <v>6.0810810810810816</v>
      </c>
      <c r="E19" s="30">
        <f t="shared" si="18"/>
        <v>5.015673981191223</v>
      </c>
      <c r="F19" s="30">
        <f t="shared" si="18"/>
        <v>6.4144736842105265</v>
      </c>
      <c r="G19" s="30">
        <f t="shared" si="18"/>
        <v>5.5793991416309012</v>
      </c>
      <c r="H19" s="30">
        <f>H15/H16*100</f>
        <v>6.9999999999999991</v>
      </c>
      <c r="I19" s="31">
        <f>I15/I16*100</f>
        <v>5.9045226130653274</v>
      </c>
      <c r="J19" s="23">
        <f>AVERAGE(D19:I19)</f>
        <v>5.99919175019651</v>
      </c>
    </row>
    <row r="20" spans="2:38" ht="18" thickTop="1" thickBot="1" x14ac:dyDescent="0.4">
      <c r="B20" s="32" t="s">
        <v>35</v>
      </c>
      <c r="C20" s="30">
        <f t="shared" ref="C20:G20" si="19">C15/C14*100</f>
        <v>49.382716049382715</v>
      </c>
      <c r="D20" s="30">
        <f t="shared" si="19"/>
        <v>80.071174377224196</v>
      </c>
      <c r="E20" s="30">
        <f t="shared" si="19"/>
        <v>70.175438596491233</v>
      </c>
      <c r="F20" s="30">
        <f t="shared" si="19"/>
        <v>73.584905660377359</v>
      </c>
      <c r="G20" s="30">
        <f t="shared" si="19"/>
        <v>38.235294117647065</v>
      </c>
      <c r="H20" s="30">
        <f>H15/H14*100</f>
        <v>92.10526315789474</v>
      </c>
      <c r="I20" s="31">
        <f>I15/I14*100</f>
        <v>66.384180790960457</v>
      </c>
      <c r="J20" s="23">
        <f>AVERAGE(D20:I20)</f>
        <v>70.092709450099179</v>
      </c>
      <c r="M20" t="s">
        <v>36</v>
      </c>
      <c r="N20" s="4">
        <f>N13/H14-1</f>
        <v>-1</v>
      </c>
      <c r="W20" s="12" t="s">
        <v>21</v>
      </c>
      <c r="X20" s="13">
        <f t="shared" ref="X20:AH20" si="20">+X14+X17</f>
        <v>455430.91800000001</v>
      </c>
      <c r="Y20" s="13">
        <f t="shared" si="20"/>
        <v>361009.52899999998</v>
      </c>
      <c r="Z20" s="13">
        <f t="shared" si="20"/>
        <v>415225.02799999999</v>
      </c>
      <c r="AA20" s="13">
        <f t="shared" si="20"/>
        <v>228927.87400000001</v>
      </c>
      <c r="AB20" s="13">
        <f t="shared" si="20"/>
        <v>573024.16399999999</v>
      </c>
      <c r="AC20" s="13">
        <f t="shared" si="20"/>
        <v>513657.348</v>
      </c>
      <c r="AD20" s="13">
        <f t="shared" si="20"/>
        <v>532312.21800000011</v>
      </c>
      <c r="AE20" s="13">
        <f t="shared" si="20"/>
        <v>657088.18400000001</v>
      </c>
      <c r="AF20" s="13">
        <f t="shared" si="20"/>
        <v>2837792.9759999998</v>
      </c>
      <c r="AG20" s="13">
        <f t="shared" si="20"/>
        <v>405883.83399999992</v>
      </c>
      <c r="AH20" s="13">
        <f t="shared" si="20"/>
        <v>78312.915999999968</v>
      </c>
      <c r="AI20" s="13">
        <f>+AI14+AI17</f>
        <v>279013.70600000001</v>
      </c>
      <c r="AJ20" s="13">
        <f t="shared" ref="AJ20:AL20" si="21">+AJ14+AJ17</f>
        <v>360337.18299999996</v>
      </c>
      <c r="AK20" s="13">
        <f t="shared" si="21"/>
        <v>537640.31499999994</v>
      </c>
      <c r="AL20" s="13">
        <f t="shared" si="21"/>
        <v>413602.08199999999</v>
      </c>
    </row>
    <row r="21" spans="2:38" ht="18" thickTop="1" thickBot="1" x14ac:dyDescent="0.4">
      <c r="B21" s="32" t="s">
        <v>11</v>
      </c>
      <c r="C21" s="38">
        <f t="shared" ref="C21:G21" si="22">C16/C14</f>
        <v>9.7839506172839492</v>
      </c>
      <c r="D21" s="38">
        <f t="shared" si="22"/>
        <v>13.167259786476867</v>
      </c>
      <c r="E21" s="38">
        <f t="shared" si="22"/>
        <v>13.991228070175438</v>
      </c>
      <c r="F21" s="38">
        <f t="shared" si="22"/>
        <v>11.471698113207546</v>
      </c>
      <c r="G21" s="38">
        <f t="shared" si="22"/>
        <v>6.8529411764705888</v>
      </c>
      <c r="H21" s="38">
        <f>H16/H14</f>
        <v>13.157894736842104</v>
      </c>
      <c r="I21" s="39">
        <f>I16/I14</f>
        <v>11.242937853107344</v>
      </c>
      <c r="J21" s="23">
        <f>AVERAGE(D21:I21)</f>
        <v>11.647326622713315</v>
      </c>
      <c r="W21" s="12" t="s">
        <v>46</v>
      </c>
      <c r="X21" s="19">
        <f t="shared" ref="X21:AI21" si="23">+X20/X3</f>
        <v>0.18997092456707565</v>
      </c>
      <c r="Y21" s="19">
        <f t="shared" si="23"/>
        <v>0.17173903580809952</v>
      </c>
      <c r="Z21" s="19">
        <f t="shared" si="23"/>
        <v>0.18937573169132665</v>
      </c>
      <c r="AA21" s="19">
        <f t="shared" si="23"/>
        <v>0.17627490135276394</v>
      </c>
      <c r="AB21" s="19">
        <f t="shared" si="23"/>
        <v>0.23768809344729874</v>
      </c>
      <c r="AC21" s="19">
        <f t="shared" si="23"/>
        <v>0.19490252559852481</v>
      </c>
      <c r="AD21" s="19">
        <f t="shared" si="23"/>
        <v>0.16816567359512624</v>
      </c>
      <c r="AE21" s="19">
        <f t="shared" si="23"/>
        <v>0.14208446006496506</v>
      </c>
      <c r="AF21" s="19">
        <f t="shared" si="23"/>
        <v>0.30580646873664508</v>
      </c>
      <c r="AG21" s="19">
        <f t="shared" si="23"/>
        <v>0.12548307226189059</v>
      </c>
      <c r="AH21" s="19">
        <f t="shared" si="23"/>
        <v>2.9443371367532938E-2</v>
      </c>
      <c r="AI21" s="19">
        <f t="shared" si="23"/>
        <v>0.13382660021740372</v>
      </c>
      <c r="AJ21" s="19">
        <f t="shared" ref="AJ21:AL21" si="24">+AJ20/AJ3</f>
        <v>0.17306660062285201</v>
      </c>
      <c r="AK21" s="19">
        <f t="shared" si="24"/>
        <v>0.24802005412478628</v>
      </c>
      <c r="AL21" s="19">
        <f t="shared" si="24"/>
        <v>0.23557837661366765</v>
      </c>
    </row>
    <row r="22" spans="2:38" ht="18" thickTop="1" thickBot="1" x14ac:dyDescent="0.4">
      <c r="B22" s="32" t="s">
        <v>37</v>
      </c>
      <c r="C22" s="38">
        <f t="shared" ref="C22:G22" si="25">C16/C17</f>
        <v>2.1712328767123288</v>
      </c>
      <c r="D22" s="38">
        <f t="shared" si="25"/>
        <v>2.3125</v>
      </c>
      <c r="E22" s="38">
        <f t="shared" si="25"/>
        <v>1.9101796407185629</v>
      </c>
      <c r="F22" s="38">
        <f t="shared" si="25"/>
        <v>1.5353535353535352</v>
      </c>
      <c r="G22" s="38">
        <f t="shared" si="25"/>
        <v>1.0448430493273542</v>
      </c>
      <c r="H22" s="38">
        <f>H16/H17</f>
        <v>1.6</v>
      </c>
      <c r="I22" s="39">
        <f>I16/I17</f>
        <v>1.0101522842639594</v>
      </c>
      <c r="J22" s="23">
        <f>AVERAGE(D22:I22)</f>
        <v>1.5688380849439021</v>
      </c>
    </row>
    <row r="23" spans="2:38" ht="15.75" thickTop="1" x14ac:dyDescent="0.25">
      <c r="W23" s="12" t="s">
        <v>47</v>
      </c>
      <c r="X23" s="13">
        <v>-109490.141</v>
      </c>
      <c r="Y23" s="13">
        <v>-75634.857000000004</v>
      </c>
      <c r="Z23" s="13">
        <v>-91869.31</v>
      </c>
      <c r="AA23" s="13">
        <v>-27471.345000000001</v>
      </c>
      <c r="AB23" s="13">
        <v>-66678.585000000006</v>
      </c>
      <c r="AC23" s="13">
        <v>-63754.078000000001</v>
      </c>
      <c r="AD23" s="13">
        <v>-7644.3559999999998</v>
      </c>
      <c r="AE23" s="13">
        <v>-73382.373999999996</v>
      </c>
      <c r="AF23" s="13">
        <v>-393017.08899999998</v>
      </c>
      <c r="AG23" s="13">
        <v>-112422.378</v>
      </c>
      <c r="AH23" s="13">
        <v>-49237.771999999997</v>
      </c>
      <c r="AI23" s="13">
        <v>-72888.895000000004</v>
      </c>
      <c r="AJ23" s="13">
        <v>-75894.650999999998</v>
      </c>
      <c r="AK23" s="13">
        <v>-136728.073</v>
      </c>
      <c r="AL23" s="13">
        <v>-176079.96599999999</v>
      </c>
    </row>
    <row r="24" spans="2:38" x14ac:dyDescent="0.25">
      <c r="G24" s="10">
        <v>701.95658000000003</v>
      </c>
      <c r="H24" s="10">
        <v>709.32254499999999</v>
      </c>
      <c r="I24" s="10">
        <v>716.73997499999996</v>
      </c>
      <c r="W24" s="12" t="s">
        <v>48</v>
      </c>
      <c r="X24" s="14">
        <f t="shared" ref="X24:AI24" si="26">+X23/X20</f>
        <v>-0.24040998683361239</v>
      </c>
      <c r="Y24" s="14">
        <f t="shared" si="26"/>
        <v>-0.20950930910192125</v>
      </c>
      <c r="Z24" s="14">
        <f t="shared" si="26"/>
        <v>-0.22125186056944524</v>
      </c>
      <c r="AA24" s="14">
        <f t="shared" si="26"/>
        <v>-0.12000000052418257</v>
      </c>
      <c r="AB24" s="14">
        <f t="shared" si="26"/>
        <v>-0.1163626059580971</v>
      </c>
      <c r="AC24" s="14">
        <f t="shared" si="26"/>
        <v>-0.12411791293989238</v>
      </c>
      <c r="AD24" s="14">
        <f t="shared" si="26"/>
        <v>-1.4360662298380681E-2</v>
      </c>
      <c r="AE24" s="14">
        <f t="shared" si="26"/>
        <v>-0.11167812142547977</v>
      </c>
      <c r="AF24" s="14">
        <f t="shared" si="26"/>
        <v>-0.13849392549909534</v>
      </c>
      <c r="AG24" s="14">
        <f t="shared" si="26"/>
        <v>-0.27698165973272054</v>
      </c>
      <c r="AH24" s="14">
        <f t="shared" si="26"/>
        <v>-0.62873117890285191</v>
      </c>
      <c r="AI24" s="14">
        <f t="shared" si="26"/>
        <v>-0.26123768629488042</v>
      </c>
      <c r="AJ24" s="14">
        <f t="shared" ref="AJ24:AL24" si="27">+AJ23/AJ20</f>
        <v>-0.21062120308577759</v>
      </c>
      <c r="AK24" s="14">
        <f t="shared" si="27"/>
        <v>-0.25431142194014972</v>
      </c>
      <c r="AL24" s="14">
        <f t="shared" si="27"/>
        <v>-0.42572311326034379</v>
      </c>
    </row>
    <row r="25" spans="2:38" x14ac:dyDescent="0.25">
      <c r="G25">
        <f>+G10/G24</f>
        <v>3.3959137472577008</v>
      </c>
      <c r="H25">
        <f>+H10/H24</f>
        <v>3.0163950308388974</v>
      </c>
      <c r="I25">
        <f>+I10/I24</f>
        <v>3.5316154927733732</v>
      </c>
      <c r="M25" s="10"/>
    </row>
    <row r="26" spans="2:38" x14ac:dyDescent="0.25">
      <c r="M26" s="10"/>
      <c r="W26" s="12" t="s">
        <v>74</v>
      </c>
      <c r="AB26" s="13"/>
      <c r="AC26" s="13"/>
      <c r="AD26" s="13"/>
      <c r="AE26" s="13"/>
      <c r="AF26" s="13"/>
      <c r="AG26" s="13"/>
      <c r="AH26" s="13"/>
      <c r="AI26" s="13"/>
      <c r="AJ26" s="13"/>
      <c r="AK26" s="13"/>
      <c r="AL26" s="13"/>
    </row>
    <row r="29" spans="2:38" x14ac:dyDescent="0.25">
      <c r="M29" s="10"/>
      <c r="W29" s="12" t="s">
        <v>49</v>
      </c>
      <c r="X29" s="13">
        <f t="shared" ref="X29:AH29" si="28">+X20+X23+X26</f>
        <v>345940.777</v>
      </c>
      <c r="Y29" s="13">
        <f t="shared" si="28"/>
        <v>285374.67199999996</v>
      </c>
      <c r="Z29" s="13">
        <f t="shared" si="28"/>
        <v>323355.71799999999</v>
      </c>
      <c r="AA29" s="13">
        <f t="shared" si="28"/>
        <v>201456.52900000001</v>
      </c>
      <c r="AB29" s="13">
        <f t="shared" si="28"/>
        <v>506345.57899999997</v>
      </c>
      <c r="AC29" s="13">
        <f t="shared" si="28"/>
        <v>449903.27</v>
      </c>
      <c r="AD29" s="13">
        <f t="shared" si="28"/>
        <v>524667.86200000008</v>
      </c>
      <c r="AE29" s="13">
        <f t="shared" si="28"/>
        <v>583705.81000000006</v>
      </c>
      <c r="AF29" s="13">
        <f t="shared" si="28"/>
        <v>2444775.8869999996</v>
      </c>
      <c r="AG29" s="13">
        <f t="shared" si="28"/>
        <v>293461.45599999989</v>
      </c>
      <c r="AH29" s="13">
        <f t="shared" si="28"/>
        <v>29075.143999999971</v>
      </c>
      <c r="AI29" s="13">
        <f>+AI20+AI23+AI26</f>
        <v>206124.81099999999</v>
      </c>
      <c r="AJ29" s="13">
        <f t="shared" ref="AJ29:AL29" si="29">+AJ20+AJ23+AJ26</f>
        <v>284442.53199999995</v>
      </c>
      <c r="AK29" s="13">
        <f t="shared" si="29"/>
        <v>400912.24199999997</v>
      </c>
      <c r="AL29" s="13">
        <f t="shared" si="29"/>
        <v>237522.11600000001</v>
      </c>
    </row>
    <row r="30" spans="2:38" x14ac:dyDescent="0.25">
      <c r="M30" s="10"/>
      <c r="W30" s="12" t="s">
        <v>25</v>
      </c>
      <c r="X30" s="19">
        <f t="shared" ref="X30:AI30" si="30">+X29/X3</f>
        <v>0.14430001709313581</v>
      </c>
      <c r="Y30" s="19">
        <f t="shared" si="30"/>
        <v>0.13575810907011446</v>
      </c>
      <c r="Z30" s="19">
        <f t="shared" si="30"/>
        <v>0.14747599870792055</v>
      </c>
      <c r="AA30" s="19">
        <f t="shared" si="30"/>
        <v>0.15512191309803205</v>
      </c>
      <c r="AB30" s="19">
        <f t="shared" si="30"/>
        <v>0.21003008748855934</v>
      </c>
      <c r="AC30" s="19">
        <f t="shared" si="30"/>
        <v>0.17071163089452196</v>
      </c>
      <c r="AD30" s="19">
        <f t="shared" si="30"/>
        <v>0.16575070314644691</v>
      </c>
      <c r="AE30" s="19">
        <f t="shared" si="30"/>
        <v>0.12621673448115617</v>
      </c>
      <c r="AF30" s="19">
        <f t="shared" si="30"/>
        <v>0.26345413043829069</v>
      </c>
      <c r="AG30" s="19">
        <f t="shared" si="30"/>
        <v>9.0726562638431221E-2</v>
      </c>
      <c r="AH30" s="19">
        <f t="shared" si="30"/>
        <v>1.0931405776749477E-2</v>
      </c>
      <c r="AI30" s="19">
        <f t="shared" si="30"/>
        <v>9.8866048811899226E-2</v>
      </c>
      <c r="AJ30" s="19">
        <f t="shared" ref="AJ30:AL30" si="31">+AJ29/AJ3</f>
        <v>0.13661510498570115</v>
      </c>
      <c r="AK30" s="19">
        <f t="shared" si="31"/>
        <v>0.18494572149063901</v>
      </c>
      <c r="AL30" s="19">
        <f t="shared" si="31"/>
        <v>0.13528721670487931</v>
      </c>
    </row>
    <row r="32" spans="2:38" x14ac:dyDescent="0.25">
      <c r="W32" s="12" t="s">
        <v>29</v>
      </c>
      <c r="X32" s="16">
        <f t="shared" ref="X32:AI32" si="32">+X29/X47</f>
        <v>0.36900349546666666</v>
      </c>
      <c r="Y32" s="16">
        <f t="shared" si="32"/>
        <v>0.30439965013333331</v>
      </c>
      <c r="Z32" s="16">
        <f t="shared" si="32"/>
        <v>0.34491276586666664</v>
      </c>
      <c r="AA32" s="16">
        <f t="shared" si="32"/>
        <v>0.21488696426666667</v>
      </c>
      <c r="AB32" s="16">
        <f t="shared" si="32"/>
        <v>0.54010195093333335</v>
      </c>
      <c r="AC32" s="16">
        <f t="shared" si="32"/>
        <v>0.47989682133333333</v>
      </c>
      <c r="AD32" s="16">
        <f t="shared" si="32"/>
        <v>0.55964571946666675</v>
      </c>
      <c r="AE32" s="16">
        <f t="shared" si="32"/>
        <v>0.62261953066666675</v>
      </c>
      <c r="AF32" s="16">
        <f t="shared" si="32"/>
        <v>2.6077609461333329</v>
      </c>
      <c r="AG32" s="16">
        <f t="shared" si="32"/>
        <v>0.31302555306666657</v>
      </c>
      <c r="AH32" s="16">
        <f t="shared" si="32"/>
        <v>3.1013486933333303E-2</v>
      </c>
      <c r="AI32" s="16">
        <f t="shared" si="32"/>
        <v>0.21986646506666666</v>
      </c>
      <c r="AJ32" s="16">
        <f t="shared" ref="AJ32:AL32" si="33">+AJ29/AJ47</f>
        <v>0.30340536746666663</v>
      </c>
      <c r="AK32" s="16">
        <f t="shared" si="33"/>
        <v>0.42763972479999995</v>
      </c>
      <c r="AL32" s="16">
        <f t="shared" si="33"/>
        <v>0.25335692373333335</v>
      </c>
    </row>
    <row r="33" spans="23:41" x14ac:dyDescent="0.25">
      <c r="W33" s="12" t="s">
        <v>40</v>
      </c>
      <c r="AA33" s="17"/>
      <c r="AB33" s="18">
        <f t="shared" ref="AB33:AG33" si="34">+AB32/X32-1</f>
        <v>0.46367705880477916</v>
      </c>
      <c r="AC33" s="18">
        <f t="shared" si="34"/>
        <v>0.57653539063901249</v>
      </c>
      <c r="AD33" s="18">
        <f t="shared" si="34"/>
        <v>0.62257177712874134</v>
      </c>
      <c r="AE33" s="18">
        <f t="shared" si="34"/>
        <v>1.8974281096642942</v>
      </c>
      <c r="AF33" s="18">
        <f t="shared" si="34"/>
        <v>3.8282753684317239</v>
      </c>
      <c r="AG33" s="18">
        <f t="shared" si="34"/>
        <v>-0.34772322059361804</v>
      </c>
      <c r="AH33" s="18">
        <f>+AH32/AD32-1</f>
        <v>-0.94458371456340517</v>
      </c>
      <c r="AI33" s="18">
        <f>+AI32/AE32-1</f>
        <v>-0.64686866659764797</v>
      </c>
      <c r="AJ33" s="18">
        <f t="shared" ref="AJ33:AK33" si="35">+AJ32/AF32-1</f>
        <v>-0.88365292151623709</v>
      </c>
      <c r="AK33" s="18">
        <f t="shared" si="35"/>
        <v>0.3661495702522517</v>
      </c>
      <c r="AL33" s="18">
        <f>+AL32/AH32-1</f>
        <v>7.1692498582294295</v>
      </c>
    </row>
    <row r="34" spans="23:41" x14ac:dyDescent="0.25">
      <c r="W34" s="12" t="s">
        <v>41</v>
      </c>
      <c r="Y34" s="18">
        <f t="shared" ref="Y34:AD34" si="36">+Y32/X32-1</f>
        <v>-0.17507651316861095</v>
      </c>
      <c r="Z34" s="18">
        <f t="shared" si="36"/>
        <v>0.13309186037364951</v>
      </c>
      <c r="AA34" s="18">
        <f t="shared" si="36"/>
        <v>-0.37698170223790495</v>
      </c>
      <c r="AB34" s="18">
        <f t="shared" si="36"/>
        <v>1.5134235237419382</v>
      </c>
      <c r="AC34" s="18">
        <f t="shared" si="36"/>
        <v>-0.11146993543711781</v>
      </c>
      <c r="AD34" s="18">
        <f t="shared" si="36"/>
        <v>0.16617925893270358</v>
      </c>
      <c r="AE34" s="18">
        <f t="shared" ref="AE34:AL34" si="37">+AE32/AD32-1</f>
        <v>0.11252442216481717</v>
      </c>
      <c r="AF34" s="18">
        <f t="shared" si="37"/>
        <v>3.1883699718527714</v>
      </c>
      <c r="AG34" s="18">
        <f t="shared" si="37"/>
        <v>-0.87996386189815201</v>
      </c>
      <c r="AH34" s="18">
        <f t="shared" si="37"/>
        <v>-0.90092346573786519</v>
      </c>
      <c r="AI34" s="18">
        <f t="shared" si="37"/>
        <v>6.0893822916233944</v>
      </c>
      <c r="AJ34" s="18">
        <f t="shared" si="37"/>
        <v>0.37995290630005707</v>
      </c>
      <c r="AK34" s="18">
        <f t="shared" si="37"/>
        <v>0.40946657724169033</v>
      </c>
      <c r="AL34" s="18">
        <f t="shared" si="37"/>
        <v>-0.40754586386513969</v>
      </c>
    </row>
    <row r="35" spans="23:41" x14ac:dyDescent="0.25">
      <c r="Y35" s="18"/>
      <c r="Z35" s="18"/>
      <c r="AA35" s="18"/>
      <c r="AB35" s="18"/>
      <c r="AC35" s="18"/>
      <c r="AD35" s="18"/>
      <c r="AE35" s="18"/>
      <c r="AF35" s="18"/>
      <c r="AG35" s="18"/>
      <c r="AH35" s="18"/>
      <c r="AI35" s="18"/>
      <c r="AJ35" s="18"/>
      <c r="AK35" s="18"/>
      <c r="AL35" s="18"/>
    </row>
    <row r="36" spans="23:41" x14ac:dyDescent="0.25">
      <c r="W36" s="12" t="s">
        <v>88</v>
      </c>
      <c r="X36" s="18"/>
      <c r="Y36" s="18"/>
      <c r="Z36" s="18">
        <f t="shared" ref="Z36:AI36" si="38">+Z29*4/Z41</f>
        <v>0.37676688396897456</v>
      </c>
      <c r="AA36" s="18">
        <f t="shared" si="38"/>
        <v>0.15468666185852833</v>
      </c>
      <c r="AB36" s="18">
        <f t="shared" si="38"/>
        <v>0.35435080791728235</v>
      </c>
      <c r="AC36" s="18">
        <f t="shared" si="38"/>
        <v>0.29187688842282916</v>
      </c>
      <c r="AD36" s="18">
        <f t="shared" si="38"/>
        <v>0.31360044861322606</v>
      </c>
      <c r="AE36" s="18">
        <f t="shared" si="38"/>
        <v>0.35271160066266188</v>
      </c>
      <c r="AF36" s="18">
        <f t="shared" si="38"/>
        <v>1.0788202079659881</v>
      </c>
      <c r="AG36" s="18">
        <f t="shared" si="38"/>
        <v>0.12543648638396318</v>
      </c>
      <c r="AH36" s="18">
        <f t="shared" si="38"/>
        <v>1.2390464546387927E-2</v>
      </c>
      <c r="AI36" s="18">
        <f t="shared" si="38"/>
        <v>9.5263630844328873E-2</v>
      </c>
      <c r="AJ36" s="18">
        <f t="shared" ref="AJ36:AL36" si="39">+AJ29*4/AJ41</f>
        <v>0.12727640664572676</v>
      </c>
      <c r="AK36" s="18">
        <f t="shared" si="39"/>
        <v>0.17169181308219744</v>
      </c>
      <c r="AL36" s="18">
        <f t="shared" si="39"/>
        <v>9.9228628405423486E-2</v>
      </c>
      <c r="AN36" s="14">
        <f>+AVERAGE(Z36:AL36)</f>
        <v>0.27339237917827058</v>
      </c>
      <c r="AO36" t="s">
        <v>88</v>
      </c>
    </row>
    <row r="37" spans="23:41" x14ac:dyDescent="0.25">
      <c r="AN37" s="56">
        <f>AVERAGE(Z36:AL36)*AL49</f>
        <v>2.7921721089498734</v>
      </c>
      <c r="AO37" t="s">
        <v>183</v>
      </c>
    </row>
    <row r="38" spans="23:41" x14ac:dyDescent="0.25">
      <c r="W38" s="12" t="s">
        <v>52</v>
      </c>
      <c r="X38" s="13"/>
      <c r="Y38" s="13"/>
      <c r="Z38" s="13">
        <f>2333941.373+42750.007+1859837.994+11442.245+1150057.784+4995.981</f>
        <v>5403025.3839999996</v>
      </c>
      <c r="AA38" s="13">
        <f>1883771.426+38769.415+15991.451+1922831.521+12755.404+1490709.741</f>
        <v>5364828.9580000006</v>
      </c>
      <c r="AB38" s="13">
        <f>1648756.23+1785164.795+10298.021+6645.019+1647989.41+38357.854</f>
        <v>5137211.3289999999</v>
      </c>
      <c r="AC38" s="13">
        <f>716515.25+35412.32+2362733.214+10298.021+1598259.037</f>
        <v>4723217.8420000002</v>
      </c>
      <c r="AD38" s="13">
        <f>1718255.602+26897.955+8109.906+1677916.667+14977.64+2805950.362</f>
        <v>6252108.1320000002</v>
      </c>
      <c r="AE38" s="13">
        <f>1579140.518+23110.885+1186141.391+1566967.155+3024676.742</f>
        <v>7380036.6909999996</v>
      </c>
      <c r="AF38" s="13">
        <f>1947023.827+22254.919+1039525.012+12950.046+1178577.471+559516.34</f>
        <v>4759847.6150000002</v>
      </c>
      <c r="AG38" s="13">
        <f>1245331.418+17986.809+51687.549+977597.812+13608.4+2495926.825</f>
        <v>4802138.8130000001</v>
      </c>
      <c r="AH38" s="13">
        <f>634439.53+8893.125+769370.613+18004.83+2616321.658</f>
        <v>4047029.7560000001</v>
      </c>
      <c r="AI38" s="13">
        <f>634439.53+5981.641+7515.489+553676.743+16949.938+3048525.061</f>
        <v>4267088.4020000007</v>
      </c>
      <c r="AJ38" s="13">
        <f>2438530.379+4413.714+331814.593+16429.836+479933.937+2333.876</f>
        <v>3273456.3350000004</v>
      </c>
      <c r="AK38" s="13">
        <f>638886.218+1688506.017+4418.577+331814.593+14383.959</f>
        <v>2678009.3639999996</v>
      </c>
      <c r="AL38" s="13">
        <f>485114.217+1608.101+5311.172+399325.212+6687.48+806544.166</f>
        <v>1704590.348</v>
      </c>
      <c r="AN38" s="56">
        <f>+X1/AN37</f>
        <v>2.7218952498090578</v>
      </c>
      <c r="AO38" t="s">
        <v>11</v>
      </c>
    </row>
    <row r="39" spans="23:41" x14ac:dyDescent="0.25">
      <c r="W39" s="12" t="s">
        <v>53</v>
      </c>
      <c r="X39" s="13"/>
      <c r="Y39" s="13"/>
      <c r="Z39" s="13">
        <v>376799.44799999997</v>
      </c>
      <c r="AA39" s="13">
        <v>1447799.8219999999</v>
      </c>
      <c r="AB39" s="13">
        <f>1033481.936</f>
        <v>1033481.936</v>
      </c>
      <c r="AC39" s="13">
        <v>1069232.246</v>
      </c>
      <c r="AD39" s="13">
        <v>1435092.1370000001</v>
      </c>
      <c r="AE39" s="13">
        <v>2512345.9649999999</v>
      </c>
      <c r="AF39" s="13">
        <v>4187679.8110000002</v>
      </c>
      <c r="AG39" s="13">
        <v>3637128.7319999998</v>
      </c>
      <c r="AH39" s="13">
        <v>3190655.7930000001</v>
      </c>
      <c r="AI39" s="13">
        <v>3597065.6150000002</v>
      </c>
      <c r="AJ39" s="13">
        <v>3671729.51</v>
      </c>
      <c r="AK39" s="13">
        <v>4026037.7239999999</v>
      </c>
      <c r="AL39" s="13">
        <v>3952333.5090000001</v>
      </c>
    </row>
    <row r="40" spans="23:41" x14ac:dyDescent="0.25">
      <c r="W40" s="12" t="s">
        <v>50</v>
      </c>
      <c r="X40" s="13"/>
      <c r="Y40" s="13"/>
      <c r="Z40" s="13">
        <f t="shared" ref="Z40:AI40" si="40">+Z38-Z39</f>
        <v>5026225.9359999998</v>
      </c>
      <c r="AA40" s="13">
        <f t="shared" si="40"/>
        <v>3917029.1360000009</v>
      </c>
      <c r="AB40" s="13">
        <f t="shared" si="40"/>
        <v>4103729.3930000002</v>
      </c>
      <c r="AC40" s="13">
        <f t="shared" si="40"/>
        <v>3653985.5959999999</v>
      </c>
      <c r="AD40" s="13">
        <f t="shared" si="40"/>
        <v>4817015.9950000001</v>
      </c>
      <c r="AE40" s="13">
        <f t="shared" si="40"/>
        <v>4867690.7259999998</v>
      </c>
      <c r="AF40" s="13">
        <f t="shared" si="40"/>
        <v>572167.804</v>
      </c>
      <c r="AG40" s="13">
        <f t="shared" si="40"/>
        <v>1165010.0810000002</v>
      </c>
      <c r="AH40" s="13">
        <f t="shared" si="40"/>
        <v>856373.96299999999</v>
      </c>
      <c r="AI40" s="13">
        <f t="shared" si="40"/>
        <v>670022.78700000048</v>
      </c>
      <c r="AJ40" s="13">
        <f t="shared" ref="AJ40:AL40" si="41">+AJ38-AJ39</f>
        <v>-398273.17499999935</v>
      </c>
      <c r="AK40" s="13">
        <f t="shared" si="41"/>
        <v>-1348028.3600000003</v>
      </c>
      <c r="AL40" s="13">
        <f t="shared" si="41"/>
        <v>-2247743.1610000003</v>
      </c>
    </row>
    <row r="41" spans="23:41" x14ac:dyDescent="0.25">
      <c r="W41" s="12" t="s">
        <v>54</v>
      </c>
      <c r="X41" s="13"/>
      <c r="Y41" s="13"/>
      <c r="Z41" s="13">
        <v>3432952.648</v>
      </c>
      <c r="AA41" s="13">
        <v>5209409.1780000003</v>
      </c>
      <c r="AB41" s="13">
        <v>5715754.7570000002</v>
      </c>
      <c r="AC41" s="13">
        <v>6165658.0269999998</v>
      </c>
      <c r="AD41" s="13">
        <v>6692182.5439999998</v>
      </c>
      <c r="AE41" s="13">
        <v>6619638.3550000004</v>
      </c>
      <c r="AF41" s="13">
        <v>9064627.7070000004</v>
      </c>
      <c r="AG41" s="13">
        <v>9358089.1640000008</v>
      </c>
      <c r="AH41" s="13">
        <v>9386296.6610000003</v>
      </c>
      <c r="AI41" s="13">
        <v>8654921.4710000008</v>
      </c>
      <c r="AJ41" s="13">
        <v>8939364.0030000005</v>
      </c>
      <c r="AK41" s="13">
        <v>9340276.273</v>
      </c>
      <c r="AL41" s="13">
        <v>9574741.4759999998</v>
      </c>
    </row>
    <row r="43" spans="23:41" x14ac:dyDescent="0.25">
      <c r="W43" s="12" t="s">
        <v>51</v>
      </c>
      <c r="X43" s="14"/>
      <c r="Y43" s="14"/>
      <c r="Z43" s="14">
        <f t="shared" ref="Z43:AI43" si="42">+Z38/Z41</f>
        <v>1.5738712234052346</v>
      </c>
      <c r="AA43" s="14">
        <f t="shared" si="42"/>
        <v>1.0298344350941673</v>
      </c>
      <c r="AB43" s="14">
        <f t="shared" si="42"/>
        <v>0.89878092175115343</v>
      </c>
      <c r="AC43" s="14">
        <f t="shared" si="42"/>
        <v>0.76605251561416188</v>
      </c>
      <c r="AD43" s="14">
        <f t="shared" si="42"/>
        <v>0.93424052480538555</v>
      </c>
      <c r="AE43" s="14">
        <f t="shared" si="42"/>
        <v>1.1148700722337268</v>
      </c>
      <c r="AF43" s="14">
        <f t="shared" si="42"/>
        <v>0.52510128036745418</v>
      </c>
      <c r="AG43" s="14">
        <f t="shared" si="42"/>
        <v>0.51315377838817089</v>
      </c>
      <c r="AH43" s="14">
        <f t="shared" si="42"/>
        <v>0.43116363163923654</v>
      </c>
      <c r="AI43" s="14">
        <f t="shared" si="42"/>
        <v>0.49302450822895516</v>
      </c>
      <c r="AJ43" s="14">
        <f t="shared" ref="AJ43:AL43" si="43">+AJ38/AJ41</f>
        <v>0.36618447731868248</v>
      </c>
      <c r="AK43" s="14">
        <f t="shared" si="43"/>
        <v>0.28671629036727098</v>
      </c>
      <c r="AL43" s="14">
        <f t="shared" si="43"/>
        <v>0.17802990840773278</v>
      </c>
    </row>
    <row r="45" spans="23:41" x14ac:dyDescent="0.25">
      <c r="W45" s="12" t="s">
        <v>63</v>
      </c>
      <c r="X45" s="16"/>
      <c r="Y45" s="16"/>
      <c r="Z45" s="16" t="e">
        <f t="shared" ref="Z45:AI45" si="44">+(Z3*1000)/Z7</f>
        <v>#DIV/0!</v>
      </c>
      <c r="AA45" s="16" t="e">
        <f t="shared" si="44"/>
        <v>#DIV/0!</v>
      </c>
      <c r="AB45" s="16" t="e">
        <f t="shared" si="44"/>
        <v>#DIV/0!</v>
      </c>
      <c r="AC45" s="16" t="e">
        <f t="shared" si="44"/>
        <v>#DIV/0!</v>
      </c>
      <c r="AD45" s="16" t="e">
        <f t="shared" si="44"/>
        <v>#DIV/0!</v>
      </c>
      <c r="AE45" s="16" t="e">
        <f t="shared" si="44"/>
        <v>#DIV/0!</v>
      </c>
      <c r="AF45" s="16" t="e">
        <f t="shared" si="44"/>
        <v>#DIV/0!</v>
      </c>
      <c r="AG45" s="16" t="e">
        <f t="shared" si="44"/>
        <v>#DIV/0!</v>
      </c>
      <c r="AH45" s="16" t="e">
        <f t="shared" si="44"/>
        <v>#DIV/0!</v>
      </c>
      <c r="AI45" s="16" t="e">
        <f t="shared" si="44"/>
        <v>#DIV/0!</v>
      </c>
      <c r="AJ45" s="16" t="e">
        <f t="shared" ref="AJ45:AL45" si="45">+(AJ3*1000)/AJ7</f>
        <v>#DIV/0!</v>
      </c>
      <c r="AK45" s="16" t="e">
        <f t="shared" si="45"/>
        <v>#DIV/0!</v>
      </c>
      <c r="AL45" s="16" t="e">
        <f t="shared" si="45"/>
        <v>#DIV/0!</v>
      </c>
      <c r="AM45" s="46" t="e">
        <f>+AI45/AE45-1</f>
        <v>#DIV/0!</v>
      </c>
    </row>
    <row r="47" spans="23:41" x14ac:dyDescent="0.25">
      <c r="W47" s="12" t="s">
        <v>56</v>
      </c>
      <c r="X47" s="13">
        <v>937500</v>
      </c>
      <c r="Y47" s="13">
        <v>937500</v>
      </c>
      <c r="Z47" s="13">
        <v>937500</v>
      </c>
      <c r="AA47" s="13">
        <v>937500</v>
      </c>
      <c r="AB47" s="13">
        <v>937500</v>
      </c>
      <c r="AC47" s="13">
        <v>937500</v>
      </c>
      <c r="AD47" s="13">
        <v>937500</v>
      </c>
      <c r="AE47" s="13">
        <v>937500</v>
      </c>
      <c r="AF47" s="13">
        <v>937500</v>
      </c>
      <c r="AG47" s="13">
        <v>937500</v>
      </c>
      <c r="AH47" s="13">
        <v>937500</v>
      </c>
      <c r="AI47" s="13">
        <v>937500</v>
      </c>
      <c r="AJ47" s="13">
        <v>937500</v>
      </c>
      <c r="AK47" s="13">
        <v>937500</v>
      </c>
      <c r="AL47" s="13">
        <v>937500</v>
      </c>
    </row>
    <row r="49" spans="23:38" x14ac:dyDescent="0.25">
      <c r="W49" s="12" t="s">
        <v>57</v>
      </c>
      <c r="X49" s="16"/>
      <c r="Y49" s="16"/>
      <c r="Z49" s="16">
        <f t="shared" ref="Z49:AI49" si="46">+Z41/Z47</f>
        <v>3.6618161578666668</v>
      </c>
      <c r="AA49" s="16">
        <f t="shared" si="46"/>
        <v>5.5567031232000001</v>
      </c>
      <c r="AB49" s="16">
        <f t="shared" si="46"/>
        <v>6.0968050741333339</v>
      </c>
      <c r="AC49" s="16">
        <f t="shared" si="46"/>
        <v>6.5767018954666661</v>
      </c>
      <c r="AD49" s="16">
        <f t="shared" si="46"/>
        <v>7.1383280469333332</v>
      </c>
      <c r="AE49" s="16">
        <f t="shared" si="46"/>
        <v>7.0609475786666671</v>
      </c>
      <c r="AF49" s="16">
        <f t="shared" si="46"/>
        <v>9.6689362208000009</v>
      </c>
      <c r="AG49" s="16">
        <f t="shared" si="46"/>
        <v>9.9819617749333336</v>
      </c>
      <c r="AH49" s="16">
        <f t="shared" si="46"/>
        <v>10.012049771733334</v>
      </c>
      <c r="AI49" s="16">
        <f t="shared" si="46"/>
        <v>9.2319162357333351</v>
      </c>
      <c r="AJ49" s="16">
        <f t="shared" ref="AJ49:AL49" si="47">+AJ41/AJ47</f>
        <v>9.5353216031999999</v>
      </c>
      <c r="AK49" s="16">
        <f t="shared" si="47"/>
        <v>9.962961357866666</v>
      </c>
      <c r="AL49" s="16">
        <f t="shared" si="47"/>
        <v>10.213057574400001</v>
      </c>
    </row>
    <row r="51" spans="23:38" x14ac:dyDescent="0.25">
      <c r="W51" s="12" t="s">
        <v>67</v>
      </c>
      <c r="X51" s="13"/>
      <c r="Y51" s="13">
        <f>+Y55-X55</f>
        <v>237576.47299999977</v>
      </c>
      <c r="Z51" s="13">
        <f>+Z55-Y55</f>
        <v>-1278081.3729999997</v>
      </c>
      <c r="AA51" s="13">
        <f>+AA55</f>
        <v>-758950.14199999999</v>
      </c>
      <c r="AB51" s="13">
        <f t="shared" ref="AB51:AD52" si="48">+AB55-AA55</f>
        <v>244711.80699999997</v>
      </c>
      <c r="AC51" s="13">
        <f t="shared" si="48"/>
        <v>508523.25900000002</v>
      </c>
      <c r="AD51" s="13">
        <f t="shared" si="48"/>
        <v>-1079803.7840000002</v>
      </c>
      <c r="AE51" s="13">
        <f>+AE55</f>
        <v>2046803.75</v>
      </c>
      <c r="AF51" s="13">
        <f t="shared" ref="AF51:AL52" si="49">+AF55-AE55</f>
        <v>3867202.8839999996</v>
      </c>
      <c r="AG51" s="13">
        <f t="shared" si="49"/>
        <v>-965509.92199999932</v>
      </c>
      <c r="AH51" s="13">
        <f t="shared" si="49"/>
        <v>281040.83299999963</v>
      </c>
      <c r="AI51" s="13">
        <f>+AI55</f>
        <v>1193927.375</v>
      </c>
      <c r="AJ51" s="13">
        <f t="shared" si="49"/>
        <v>1152445.8459999999</v>
      </c>
      <c r="AK51" s="13">
        <f t="shared" si="49"/>
        <v>989259.35499999998</v>
      </c>
      <c r="AL51" s="13">
        <f t="shared" si="49"/>
        <v>857350.84300000034</v>
      </c>
    </row>
    <row r="52" spans="23:38" x14ac:dyDescent="0.25">
      <c r="W52" s="12" t="s">
        <v>60</v>
      </c>
      <c r="Y52" s="13">
        <f>+Y56-X56</f>
        <v>-3362.3240000000005</v>
      </c>
      <c r="Z52" s="13">
        <f>+Z56-Y56</f>
        <v>-3615.3529999999992</v>
      </c>
      <c r="AA52" s="13">
        <f>+AA56</f>
        <v>-111.818</v>
      </c>
      <c r="AB52" s="13">
        <f t="shared" si="48"/>
        <v>-60.8</v>
      </c>
      <c r="AC52" s="13">
        <f t="shared" si="48"/>
        <v>-2476</v>
      </c>
      <c r="AD52" s="13">
        <f t="shared" si="48"/>
        <v>-3931.15</v>
      </c>
      <c r="AE52" s="13">
        <f>+AE56</f>
        <v>-168574.88</v>
      </c>
      <c r="AF52" s="13">
        <f t="shared" si="49"/>
        <v>-140</v>
      </c>
      <c r="AG52" s="13">
        <f t="shared" si="49"/>
        <v>0</v>
      </c>
      <c r="AH52" s="13">
        <f t="shared" si="49"/>
        <v>168714.88</v>
      </c>
      <c r="AI52" s="13">
        <f>+AI56</f>
        <v>-176</v>
      </c>
      <c r="AJ52" s="13">
        <f t="shared" si="49"/>
        <v>-8689.15</v>
      </c>
      <c r="AK52" s="13">
        <f t="shared" si="49"/>
        <v>-419.10100000000057</v>
      </c>
      <c r="AL52" s="13">
        <f t="shared" si="49"/>
        <v>-80.002000000000407</v>
      </c>
    </row>
    <row r="53" spans="23:38" x14ac:dyDescent="0.25">
      <c r="W53" s="12" t="s">
        <v>68</v>
      </c>
      <c r="Y53" s="13">
        <f t="shared" ref="Y53:AI53" si="50">+Y51+Y52</f>
        <v>234214.14899999977</v>
      </c>
      <c r="Z53" s="13">
        <f t="shared" si="50"/>
        <v>-1281696.7259999996</v>
      </c>
      <c r="AA53" s="13">
        <f t="shared" si="50"/>
        <v>-759061.96</v>
      </c>
      <c r="AB53" s="13">
        <f t="shared" si="50"/>
        <v>244651.00699999998</v>
      </c>
      <c r="AC53" s="13">
        <f t="shared" si="50"/>
        <v>506047.25900000002</v>
      </c>
      <c r="AD53" s="13">
        <f t="shared" si="50"/>
        <v>-1083734.9340000001</v>
      </c>
      <c r="AE53" s="13">
        <f t="shared" si="50"/>
        <v>1878228.87</v>
      </c>
      <c r="AF53" s="13">
        <f t="shared" si="50"/>
        <v>3867062.8839999996</v>
      </c>
      <c r="AG53" s="13">
        <f t="shared" si="50"/>
        <v>-965509.92199999932</v>
      </c>
      <c r="AH53" s="13">
        <f t="shared" si="50"/>
        <v>449755.71299999964</v>
      </c>
      <c r="AI53" s="13">
        <f t="shared" si="50"/>
        <v>1193751.375</v>
      </c>
      <c r="AJ53" s="13">
        <f t="shared" ref="AJ53:AL53" si="51">+AJ51+AJ52</f>
        <v>1143756.696</v>
      </c>
      <c r="AK53" s="13">
        <f t="shared" si="51"/>
        <v>988840.25399999996</v>
      </c>
      <c r="AL53" s="13">
        <f t="shared" si="51"/>
        <v>857270.84100000036</v>
      </c>
    </row>
    <row r="55" spans="23:38" x14ac:dyDescent="0.25">
      <c r="W55" s="12" t="s">
        <v>67</v>
      </c>
      <c r="X55" s="13">
        <v>2345340.27</v>
      </c>
      <c r="Y55" s="13">
        <v>2582916.7429999998</v>
      </c>
      <c r="Z55" s="13">
        <v>1304835.3700000001</v>
      </c>
      <c r="AA55" s="13">
        <v>-758950.14199999999</v>
      </c>
      <c r="AB55" s="13">
        <v>-514238.33500000002</v>
      </c>
      <c r="AC55" s="10">
        <v>-5715.076</v>
      </c>
      <c r="AD55" s="13">
        <v>-1085518.8600000001</v>
      </c>
      <c r="AE55" s="13">
        <v>2046803.75</v>
      </c>
      <c r="AF55" s="13">
        <v>5914006.6339999996</v>
      </c>
      <c r="AG55" s="13">
        <f>4948496.712</f>
        <v>4948496.7120000003</v>
      </c>
      <c r="AH55" s="13">
        <v>5229537.5449999999</v>
      </c>
      <c r="AI55" s="13">
        <v>1193927.375</v>
      </c>
      <c r="AJ55" s="13">
        <v>2346373.2209999999</v>
      </c>
      <c r="AK55" s="13">
        <v>3335632.5759999999</v>
      </c>
      <c r="AL55" s="13">
        <v>4192983.4190000002</v>
      </c>
    </row>
    <row r="56" spans="23:38" x14ac:dyDescent="0.25">
      <c r="W56" s="12" t="s">
        <v>60</v>
      </c>
      <c r="X56" s="13">
        <v>-7484.0339999999997</v>
      </c>
      <c r="Y56" s="13">
        <v>-10846.358</v>
      </c>
      <c r="Z56" s="13">
        <v>-14461.710999999999</v>
      </c>
      <c r="AA56" s="13">
        <v>-111.818</v>
      </c>
      <c r="AB56" s="13">
        <v>-172.61799999999999</v>
      </c>
      <c r="AC56" s="13">
        <v>-2648.6179999999999</v>
      </c>
      <c r="AD56" s="13">
        <v>-6579.768</v>
      </c>
      <c r="AE56" s="13">
        <v>-168574.88</v>
      </c>
      <c r="AF56" s="13">
        <v>-168714.88</v>
      </c>
      <c r="AG56" s="13">
        <v>-168714.88</v>
      </c>
      <c r="AH56" s="13">
        <v>0</v>
      </c>
      <c r="AI56" s="13">
        <v>-176</v>
      </c>
      <c r="AJ56" s="13">
        <v>-8865.15</v>
      </c>
      <c r="AK56" s="13">
        <v>-9284.2510000000002</v>
      </c>
      <c r="AL56" s="13">
        <v>-9364.2530000000006</v>
      </c>
    </row>
    <row r="57" spans="23:38" x14ac:dyDescent="0.25">
      <c r="W57" s="12" t="s">
        <v>68</v>
      </c>
      <c r="X57" s="13">
        <f t="shared" ref="X57:AI57" si="52">+X55+X56</f>
        <v>2337856.236</v>
      </c>
      <c r="Y57" s="13">
        <f t="shared" si="52"/>
        <v>2572070.3849999998</v>
      </c>
      <c r="Z57" s="13">
        <f t="shared" si="52"/>
        <v>1290373.6590000002</v>
      </c>
      <c r="AA57" s="13">
        <f t="shared" si="52"/>
        <v>-759061.96</v>
      </c>
      <c r="AB57" s="13">
        <f t="shared" si="52"/>
        <v>-514410.95300000004</v>
      </c>
      <c r="AC57" s="13">
        <f t="shared" si="52"/>
        <v>-8363.6939999999995</v>
      </c>
      <c r="AD57" s="13">
        <f t="shared" si="52"/>
        <v>-1092098.628</v>
      </c>
      <c r="AE57" s="13">
        <f t="shared" si="52"/>
        <v>1878228.87</v>
      </c>
      <c r="AF57" s="13">
        <f t="shared" si="52"/>
        <v>5745291.7539999997</v>
      </c>
      <c r="AG57" s="13">
        <f t="shared" si="52"/>
        <v>4779781.8320000004</v>
      </c>
      <c r="AH57" s="13">
        <f t="shared" si="52"/>
        <v>5229537.5449999999</v>
      </c>
      <c r="AI57" s="13">
        <f t="shared" si="52"/>
        <v>1193751.375</v>
      </c>
      <c r="AJ57" s="13">
        <f t="shared" ref="AJ57:AL57" si="53">+AJ55+AJ56</f>
        <v>2337508.071</v>
      </c>
      <c r="AK57" s="13">
        <f t="shared" si="53"/>
        <v>3326348.3249999997</v>
      </c>
      <c r="AL57" s="13">
        <f t="shared" si="53"/>
        <v>4183619.1660000002</v>
      </c>
    </row>
    <row r="59" spans="23:38" x14ac:dyDescent="0.25">
      <c r="W59" s="47" t="s">
        <v>76</v>
      </c>
    </row>
    <row r="60" spans="23:38" x14ac:dyDescent="0.25">
      <c r="W60" s="20" t="s">
        <v>109</v>
      </c>
      <c r="X60" s="11" t="s">
        <v>14</v>
      </c>
      <c r="Y60" s="11" t="s">
        <v>16</v>
      </c>
      <c r="Z60" s="11" t="s">
        <v>18</v>
      </c>
      <c r="AA60" s="11" t="s">
        <v>20</v>
      </c>
      <c r="AB60" s="11" t="s">
        <v>22</v>
      </c>
      <c r="AC60" s="11" t="s">
        <v>24</v>
      </c>
      <c r="AD60" s="11" t="s">
        <v>26</v>
      </c>
      <c r="AE60" s="11" t="s">
        <v>39</v>
      </c>
      <c r="AF60" s="11" t="s">
        <v>38</v>
      </c>
      <c r="AG60" s="11" t="s">
        <v>71</v>
      </c>
      <c r="AH60" s="11" t="s">
        <v>83</v>
      </c>
      <c r="AI60" s="11" t="s">
        <v>84</v>
      </c>
      <c r="AJ60" s="11" t="s">
        <v>365</v>
      </c>
      <c r="AK60" s="11" t="s">
        <v>948</v>
      </c>
      <c r="AL60" s="11" t="s">
        <v>83</v>
      </c>
    </row>
    <row r="61" spans="23:38" x14ac:dyDescent="0.25">
      <c r="W61" s="12" t="s">
        <v>951</v>
      </c>
      <c r="X61" s="13">
        <f>+X3</f>
        <v>2397371.6979999999</v>
      </c>
      <c r="Y61" s="13">
        <f t="shared" ref="Y61:AK61" si="54">+Y3</f>
        <v>2102081.96</v>
      </c>
      <c r="Z61" s="13">
        <f t="shared" si="54"/>
        <v>2192598.9369999999</v>
      </c>
      <c r="AA61" s="13">
        <f t="shared" si="54"/>
        <v>1298698.0689999999</v>
      </c>
      <c r="AB61" s="13">
        <f t="shared" si="54"/>
        <v>2410824.0159999998</v>
      </c>
      <c r="AC61" s="13">
        <f t="shared" si="54"/>
        <v>2635457.6290000002</v>
      </c>
      <c r="AD61" s="13">
        <f t="shared" si="54"/>
        <v>3165403.537</v>
      </c>
      <c r="AE61" s="13">
        <f t="shared" si="54"/>
        <v>4624630.8969999999</v>
      </c>
      <c r="AF61" s="13">
        <f t="shared" si="54"/>
        <v>9279702.25</v>
      </c>
      <c r="AG61" s="13">
        <f t="shared" si="54"/>
        <v>3234570.4219999998</v>
      </c>
      <c r="AH61" s="13">
        <f t="shared" si="54"/>
        <v>2659780.8730000001</v>
      </c>
      <c r="AI61" s="13">
        <f t="shared" si="54"/>
        <v>2084889.7420000001</v>
      </c>
      <c r="AJ61" s="13">
        <f t="shared" si="54"/>
        <v>2082072.345</v>
      </c>
      <c r="AK61" s="13">
        <f t="shared" si="54"/>
        <v>2167729.2059999998</v>
      </c>
      <c r="AL61" s="13">
        <f t="shared" ref="AL61" si="55">+AL3</f>
        <v>1755687.801</v>
      </c>
    </row>
    <row r="62" spans="23:38" x14ac:dyDescent="0.25">
      <c r="W62" s="12" t="s">
        <v>41</v>
      </c>
      <c r="X62" s="17"/>
      <c r="Y62" s="135">
        <f>+Y5</f>
        <v>-0.12317227997908897</v>
      </c>
      <c r="Z62" s="135">
        <f t="shared" ref="Z62:AK62" si="56">+Z5</f>
        <v>4.3060631660622795E-2</v>
      </c>
      <c r="AA62" s="135">
        <f t="shared" si="56"/>
        <v>-0.40769009457929883</v>
      </c>
      <c r="AB62" s="135">
        <f t="shared" si="56"/>
        <v>0.85633910879403952</v>
      </c>
      <c r="AC62" s="135">
        <f t="shared" si="56"/>
        <v>9.3177109365580657E-2</v>
      </c>
      <c r="AD62" s="135">
        <f t="shared" si="56"/>
        <v>0.20108306890180705</v>
      </c>
      <c r="AE62" s="135">
        <f t="shared" si="56"/>
        <v>0.46099252210445729</v>
      </c>
      <c r="AF62" s="135">
        <f t="shared" si="56"/>
        <v>1.0065822455192581</v>
      </c>
      <c r="AG62" s="135">
        <f t="shared" si="56"/>
        <v>-0.65143596907971912</v>
      </c>
      <c r="AH62" s="135">
        <f t="shared" si="56"/>
        <v>-0.1777019739902882</v>
      </c>
      <c r="AI62" s="135">
        <f t="shared" si="56"/>
        <v>-0.21614229083148984</v>
      </c>
      <c r="AJ62" s="135">
        <f t="shared" si="56"/>
        <v>-1.3513410053509478E-3</v>
      </c>
      <c r="AK62" s="135">
        <f t="shared" si="56"/>
        <v>4.1140194386473095E-2</v>
      </c>
      <c r="AL62" s="135">
        <f t="shared" ref="AL62" si="57">+AL5</f>
        <v>-0.19007974052271903</v>
      </c>
    </row>
    <row r="63" spans="23:38" x14ac:dyDescent="0.25">
      <c r="W63" s="12" t="s">
        <v>29</v>
      </c>
      <c r="X63" s="16">
        <f>+X32</f>
        <v>0.36900349546666666</v>
      </c>
      <c r="Y63" s="16">
        <f t="shared" ref="Y63:AK63" si="58">+Y32</f>
        <v>0.30439965013333331</v>
      </c>
      <c r="Z63" s="16">
        <f t="shared" si="58"/>
        <v>0.34491276586666664</v>
      </c>
      <c r="AA63" s="16">
        <f t="shared" si="58"/>
        <v>0.21488696426666667</v>
      </c>
      <c r="AB63" s="16">
        <f t="shared" si="58"/>
        <v>0.54010195093333335</v>
      </c>
      <c r="AC63" s="16">
        <f t="shared" si="58"/>
        <v>0.47989682133333333</v>
      </c>
      <c r="AD63" s="16">
        <f t="shared" si="58"/>
        <v>0.55964571946666675</v>
      </c>
      <c r="AE63" s="16">
        <f t="shared" si="58"/>
        <v>0.62261953066666675</v>
      </c>
      <c r="AF63" s="16">
        <f t="shared" si="58"/>
        <v>2.6077609461333329</v>
      </c>
      <c r="AG63" s="16">
        <f t="shared" si="58"/>
        <v>0.31302555306666657</v>
      </c>
      <c r="AH63" s="16">
        <f t="shared" si="58"/>
        <v>3.1013486933333303E-2</v>
      </c>
      <c r="AI63" s="16">
        <f t="shared" si="58"/>
        <v>0.21986646506666666</v>
      </c>
      <c r="AJ63" s="16">
        <f t="shared" si="58"/>
        <v>0.30340536746666663</v>
      </c>
      <c r="AK63" s="16">
        <f t="shared" si="58"/>
        <v>0.42763972479999995</v>
      </c>
      <c r="AL63" s="16">
        <f t="shared" ref="AL63" si="59">+AL32</f>
        <v>0.25335692373333335</v>
      </c>
    </row>
    <row r="64" spans="23:38" x14ac:dyDescent="0.25">
      <c r="W64" s="12" t="s">
        <v>41</v>
      </c>
      <c r="Y64" s="135">
        <f>+Y34</f>
        <v>-0.17507651316861095</v>
      </c>
      <c r="Z64" s="135">
        <f t="shared" ref="Z64:AK64" si="60">+Z34</f>
        <v>0.13309186037364951</v>
      </c>
      <c r="AA64" s="135">
        <f t="shared" si="60"/>
        <v>-0.37698170223790495</v>
      </c>
      <c r="AB64" s="135">
        <f t="shared" si="60"/>
        <v>1.5134235237419382</v>
      </c>
      <c r="AC64" s="135">
        <f t="shared" si="60"/>
        <v>-0.11146993543711781</v>
      </c>
      <c r="AD64" s="135">
        <f t="shared" si="60"/>
        <v>0.16617925893270358</v>
      </c>
      <c r="AE64" s="135">
        <f t="shared" si="60"/>
        <v>0.11252442216481717</v>
      </c>
      <c r="AF64" s="135">
        <f t="shared" si="60"/>
        <v>3.1883699718527714</v>
      </c>
      <c r="AG64" s="135">
        <f t="shared" si="60"/>
        <v>-0.87996386189815201</v>
      </c>
      <c r="AH64" s="135">
        <f t="shared" si="60"/>
        <v>-0.90092346573786519</v>
      </c>
      <c r="AI64" s="135">
        <f t="shared" si="60"/>
        <v>6.0893822916233944</v>
      </c>
      <c r="AJ64" s="135">
        <f t="shared" si="60"/>
        <v>0.37995290630005707</v>
      </c>
      <c r="AK64" s="135">
        <f t="shared" si="60"/>
        <v>0.40946657724169033</v>
      </c>
      <c r="AL64" s="135">
        <f t="shared" ref="AL64" si="61">+AL34</f>
        <v>-0.40754586386513969</v>
      </c>
    </row>
    <row r="65" spans="23:38" x14ac:dyDescent="0.25">
      <c r="W65" s="12" t="s">
        <v>31</v>
      </c>
      <c r="X65" s="16"/>
      <c r="Y65" s="16"/>
      <c r="Z65" s="16">
        <f>+Z49</f>
        <v>3.6618161578666668</v>
      </c>
      <c r="AA65" s="16">
        <f t="shared" ref="AA65:AK65" si="62">+AA49</f>
        <v>5.5567031232000001</v>
      </c>
      <c r="AB65" s="16">
        <f t="shared" si="62"/>
        <v>6.0968050741333339</v>
      </c>
      <c r="AC65" s="16">
        <f t="shared" si="62"/>
        <v>6.5767018954666661</v>
      </c>
      <c r="AD65" s="16">
        <f t="shared" si="62"/>
        <v>7.1383280469333332</v>
      </c>
      <c r="AE65" s="16">
        <f t="shared" si="62"/>
        <v>7.0609475786666671</v>
      </c>
      <c r="AF65" s="16">
        <f t="shared" si="62"/>
        <v>9.6689362208000009</v>
      </c>
      <c r="AG65" s="16">
        <f t="shared" si="62"/>
        <v>9.9819617749333336</v>
      </c>
      <c r="AH65" s="16">
        <f t="shared" si="62"/>
        <v>10.012049771733334</v>
      </c>
      <c r="AI65" s="16">
        <f t="shared" si="62"/>
        <v>9.2319162357333351</v>
      </c>
      <c r="AJ65" s="16">
        <f t="shared" si="62"/>
        <v>9.5353216031999999</v>
      </c>
      <c r="AK65" s="16">
        <f t="shared" si="62"/>
        <v>9.962961357866666</v>
      </c>
      <c r="AL65" s="16">
        <f t="shared" ref="AL65" si="63">+AL49</f>
        <v>10.213057574400001</v>
      </c>
    </row>
    <row r="66" spans="23:38" x14ac:dyDescent="0.25">
      <c r="W66" s="12" t="s">
        <v>41</v>
      </c>
      <c r="Y66" s="135"/>
      <c r="Z66" s="135"/>
      <c r="AA66" s="135">
        <f>+AA65/Z65-1</f>
        <v>0.51747190018334321</v>
      </c>
      <c r="AB66" s="135">
        <f t="shared" ref="AB66:AL66" si="64">+AB65/AA65-1</f>
        <v>9.7198273681085023E-2</v>
      </c>
      <c r="AC66" s="135">
        <f t="shared" si="64"/>
        <v>7.8712836559162946E-2</v>
      </c>
      <c r="AD66" s="135">
        <f t="shared" si="64"/>
        <v>8.5396321802847286E-2</v>
      </c>
      <c r="AE66" s="135">
        <f t="shared" si="64"/>
        <v>-1.0840139001444316E-2</v>
      </c>
      <c r="AF66" s="135">
        <f t="shared" si="64"/>
        <v>0.36935391646482185</v>
      </c>
      <c r="AG66" s="135">
        <f t="shared" si="64"/>
        <v>3.2374352977936338E-2</v>
      </c>
      <c r="AH66" s="135">
        <f t="shared" si="64"/>
        <v>3.0142368282313203E-3</v>
      </c>
      <c r="AI66" s="135">
        <f t="shared" si="64"/>
        <v>-7.7919462426417674E-2</v>
      </c>
      <c r="AJ66" s="135">
        <f t="shared" si="64"/>
        <v>3.2864831062081601E-2</v>
      </c>
      <c r="AK66" s="135">
        <f t="shared" si="64"/>
        <v>4.4847963441857264E-2</v>
      </c>
      <c r="AL66" s="135">
        <f t="shared" si="64"/>
        <v>2.5102598268722742E-2</v>
      </c>
    </row>
    <row r="67" spans="23:38" x14ac:dyDescent="0.25">
      <c r="W67" s="47"/>
      <c r="AC67" s="13"/>
      <c r="AG67" s="13"/>
      <c r="AK67" s="13"/>
    </row>
    <row r="68" spans="23:38" x14ac:dyDescent="0.25">
      <c r="W68" s="12" t="s">
        <v>952</v>
      </c>
      <c r="Z68" s="13"/>
      <c r="AA68" s="13"/>
      <c r="AB68" s="13"/>
      <c r="AC68" s="13"/>
      <c r="AD68" s="13"/>
      <c r="AE68" s="13"/>
      <c r="AF68" s="13"/>
      <c r="AG68" s="13"/>
      <c r="AH68" s="13"/>
      <c r="AI68" s="13"/>
      <c r="AJ68" s="13"/>
      <c r="AL68" s="18">
        <f>+AVERAGE(Z36:AL36)</f>
        <v>0.27339237917827058</v>
      </c>
    </row>
    <row r="69" spans="23:38" x14ac:dyDescent="0.25">
      <c r="W69" s="12" t="s">
        <v>953</v>
      </c>
      <c r="X69" s="17"/>
      <c r="Y69" s="17"/>
      <c r="Z69" s="17"/>
      <c r="AA69" s="17"/>
      <c r="AB69" s="18"/>
      <c r="AC69" s="18"/>
      <c r="AD69" s="18"/>
      <c r="AE69" s="18"/>
      <c r="AF69" s="18"/>
      <c r="AG69" s="18"/>
      <c r="AI69" s="18"/>
      <c r="AJ69" s="18"/>
      <c r="AL69" s="56">
        <f>+AL65*AL68</f>
        <v>2.7921721089498734</v>
      </c>
    </row>
    <row r="70" spans="23:38" x14ac:dyDescent="0.25">
      <c r="W70" s="12" t="s">
        <v>1025</v>
      </c>
      <c r="Y70" s="18"/>
      <c r="Z70" s="18"/>
      <c r="AA70" s="18"/>
      <c r="AB70" s="18"/>
      <c r="AC70" s="18"/>
      <c r="AD70" s="18"/>
      <c r="AE70" s="18"/>
      <c r="AF70" s="18"/>
      <c r="AG70" s="18"/>
      <c r="AI70" s="18"/>
      <c r="AJ70" s="18"/>
      <c r="AL70" s="56">
        <f>8.6/AL69</f>
        <v>3.0800393616260391</v>
      </c>
    </row>
    <row r="71" spans="23:38" x14ac:dyDescent="0.25">
      <c r="Z71" s="13"/>
      <c r="AA71" s="13"/>
      <c r="AB71" s="13"/>
      <c r="AC71" s="13"/>
      <c r="AD71" s="13"/>
      <c r="AE71" s="13"/>
      <c r="AF71" s="13"/>
      <c r="AG71" s="13"/>
      <c r="AH71" s="13"/>
      <c r="AI71" s="13"/>
      <c r="AJ71" s="13"/>
      <c r="AK71" s="13"/>
      <c r="AL71" s="13"/>
    </row>
    <row r="72" spans="23:38" x14ac:dyDescent="0.25">
      <c r="X72" s="19"/>
      <c r="Y72" s="19"/>
      <c r="Z72" s="19"/>
      <c r="AA72" s="19"/>
      <c r="AB72" s="19"/>
      <c r="AC72" s="19"/>
      <c r="AD72" s="19"/>
      <c r="AE72" s="19"/>
      <c r="AF72" s="19"/>
      <c r="AG72" s="19"/>
      <c r="AI72" s="19"/>
      <c r="AJ72" s="19"/>
      <c r="AK72" s="19"/>
    </row>
  </sheetData>
  <mergeCells count="1">
    <mergeCell ref="B13:H13"/>
  </mergeCells>
  <pageMargins left="0.7" right="0.7" top="0.75" bottom="0.75" header="0.3" footer="0.3"/>
  <pageSetup paperSize="9"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F52D7-72F8-49FF-836F-80D2DFF17917}">
  <sheetPr>
    <tabColor rgb="FF92D050"/>
  </sheetPr>
  <dimension ref="A1:AZ141"/>
  <sheetViews>
    <sheetView topLeftCell="Z1" zoomScale="85" zoomScaleNormal="85" workbookViewId="0">
      <selection activeCell="AK90" sqref="AK90"/>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7" width="12.85546875" style="12" bestFit="1" customWidth="1"/>
    <col min="38" max="39" width="8.85546875" style="12"/>
    <col min="40" max="40" width="14.28515625" style="50" bestFit="1" customWidth="1"/>
    <col min="41" max="16384" width="8.85546875" style="50"/>
  </cols>
  <sheetData>
    <row r="1" spans="1:52" ht="15.75" thickBot="1" x14ac:dyDescent="0.3">
      <c r="W1" s="20" t="s">
        <v>194</v>
      </c>
      <c r="X1" s="59">
        <v>72.599999999999994</v>
      </c>
    </row>
    <row r="2" spans="1:52"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228</v>
      </c>
      <c r="X2" s="11" t="s">
        <v>105</v>
      </c>
      <c r="Y2" s="11" t="s">
        <v>104</v>
      </c>
      <c r="Z2" s="11" t="s">
        <v>103</v>
      </c>
      <c r="AA2" s="11" t="s">
        <v>101</v>
      </c>
      <c r="AB2" s="11" t="s">
        <v>102</v>
      </c>
      <c r="AC2" s="11" t="s">
        <v>100</v>
      </c>
      <c r="AD2" s="11" t="s">
        <v>99</v>
      </c>
      <c r="AE2" s="11" t="s">
        <v>97</v>
      </c>
      <c r="AF2" s="11" t="s">
        <v>98</v>
      </c>
      <c r="AG2" s="11" t="s">
        <v>96</v>
      </c>
      <c r="AH2" s="11" t="s">
        <v>95</v>
      </c>
      <c r="AI2" s="11" t="s">
        <v>94</v>
      </c>
      <c r="AJ2" s="11" t="s">
        <v>93</v>
      </c>
      <c r="AK2" s="11" t="s">
        <v>366</v>
      </c>
      <c r="AN2" s="71" t="str">
        <f>+W2</f>
        <v>SAMP</v>
      </c>
      <c r="AO2" s="189" t="s">
        <v>198</v>
      </c>
      <c r="AP2" s="190"/>
      <c r="AQ2" s="190"/>
      <c r="AR2" s="190"/>
      <c r="AS2" s="190"/>
      <c r="AT2" s="191"/>
      <c r="AU2" s="192" t="s">
        <v>199</v>
      </c>
      <c r="AV2" s="192"/>
      <c r="AW2" s="192"/>
      <c r="AX2" s="192"/>
      <c r="AY2" s="192"/>
      <c r="AZ2" s="192"/>
    </row>
    <row r="3" spans="1:52" ht="18" thickTop="1" thickBot="1" x14ac:dyDescent="0.4">
      <c r="B3" s="25" t="s">
        <v>10</v>
      </c>
      <c r="C3" s="26">
        <v>17820.179</v>
      </c>
      <c r="D3" s="26"/>
      <c r="E3" s="26"/>
      <c r="F3" s="26"/>
      <c r="G3" s="26"/>
      <c r="H3" s="26"/>
      <c r="I3" s="27"/>
      <c r="J3" s="21"/>
      <c r="M3" s="1" t="s">
        <v>11</v>
      </c>
      <c r="N3" s="2">
        <f>'[1]LT Portfolio'!W294</f>
        <v>0</v>
      </c>
      <c r="W3" s="12" t="s">
        <v>229</v>
      </c>
      <c r="X3" s="13"/>
      <c r="Y3" s="13"/>
      <c r="Z3" s="13"/>
      <c r="AA3" s="13"/>
      <c r="AB3" s="13"/>
      <c r="AC3" s="13"/>
      <c r="AD3" s="13"/>
      <c r="AE3" s="13">
        <v>26620093</v>
      </c>
      <c r="AF3" s="13">
        <v>35921903</v>
      </c>
      <c r="AG3" s="13">
        <v>48661346</v>
      </c>
      <c r="AH3" s="13"/>
      <c r="AI3" s="13">
        <v>52321299</v>
      </c>
      <c r="AJ3" s="13">
        <v>52696701</v>
      </c>
      <c r="AK3" s="13">
        <v>54970727</v>
      </c>
      <c r="AN3" s="69"/>
      <c r="AO3" s="66" t="s">
        <v>379</v>
      </c>
      <c r="AP3" s="67" t="s">
        <v>17</v>
      </c>
      <c r="AQ3" s="67" t="s">
        <v>184</v>
      </c>
      <c r="AR3" s="67" t="s">
        <v>29</v>
      </c>
      <c r="AS3" s="67" t="s">
        <v>31</v>
      </c>
      <c r="AT3" s="68" t="s">
        <v>30</v>
      </c>
      <c r="AU3" s="66" t="s">
        <v>78</v>
      </c>
      <c r="AV3" s="67" t="s">
        <v>17</v>
      </c>
      <c r="AW3" s="67" t="s">
        <v>184</v>
      </c>
      <c r="AX3" s="67" t="s">
        <v>29</v>
      </c>
      <c r="AY3" s="67" t="s">
        <v>31</v>
      </c>
      <c r="AZ3" s="68" t="s">
        <v>30</v>
      </c>
    </row>
    <row r="4" spans="1:52"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K4" si="1">+AB3/X3-1</f>
        <v>#DIV/0!</v>
      </c>
      <c r="AC4" s="18" t="e">
        <f t="shared" si="1"/>
        <v>#DIV/0!</v>
      </c>
      <c r="AD4" s="18" t="e">
        <f t="shared" si="1"/>
        <v>#DIV/0!</v>
      </c>
      <c r="AE4" s="18" t="e">
        <f t="shared" si="1"/>
        <v>#DIV/0!</v>
      </c>
      <c r="AF4" s="18" t="e">
        <f t="shared" si="1"/>
        <v>#DIV/0!</v>
      </c>
      <c r="AG4" s="18" t="e">
        <f t="shared" si="1"/>
        <v>#DIV/0!</v>
      </c>
      <c r="AH4" s="18" t="e">
        <f t="shared" si="1"/>
        <v>#DIV/0!</v>
      </c>
      <c r="AI4" s="18">
        <f t="shared" si="1"/>
        <v>0.96548145042167954</v>
      </c>
      <c r="AJ4" s="18">
        <f t="shared" si="1"/>
        <v>0.46697965862220614</v>
      </c>
      <c r="AK4" s="18">
        <f t="shared" si="1"/>
        <v>0.12965899052607388</v>
      </c>
      <c r="AL4" s="46"/>
      <c r="AN4" s="69" t="s">
        <v>185</v>
      </c>
      <c r="AO4" s="60">
        <v>70395</v>
      </c>
      <c r="AP4" s="61"/>
      <c r="AQ4" s="61">
        <v>17795</v>
      </c>
      <c r="AR4" s="74">
        <v>15.2</v>
      </c>
      <c r="AS4" s="74">
        <v>129.1</v>
      </c>
      <c r="AT4" s="64">
        <v>4.5999999999999996</v>
      </c>
      <c r="AU4" s="60">
        <v>67693</v>
      </c>
      <c r="AV4" s="61"/>
      <c r="AW4" s="61">
        <v>19345</v>
      </c>
      <c r="AX4" s="74">
        <v>16.5</v>
      </c>
      <c r="AY4" s="58">
        <v>140.30000000000001</v>
      </c>
      <c r="AZ4" s="64">
        <v>5.3</v>
      </c>
    </row>
    <row r="5" spans="1:52"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K5" si="2">+Y3/X3-1</f>
        <v>#DIV/0!</v>
      </c>
      <c r="Z5" s="18" t="e">
        <f t="shared" si="2"/>
        <v>#DIV/0!</v>
      </c>
      <c r="AA5" s="18" t="e">
        <f t="shared" si="2"/>
        <v>#DIV/0!</v>
      </c>
      <c r="AB5" s="18" t="e">
        <f t="shared" si="2"/>
        <v>#DIV/0!</v>
      </c>
      <c r="AC5" s="18" t="e">
        <f t="shared" si="2"/>
        <v>#DIV/0!</v>
      </c>
      <c r="AD5" s="18" t="e">
        <f t="shared" si="2"/>
        <v>#DIV/0!</v>
      </c>
      <c r="AE5" s="18" t="e">
        <f t="shared" si="2"/>
        <v>#DIV/0!</v>
      </c>
      <c r="AF5" s="18">
        <f t="shared" si="2"/>
        <v>0.34942815564168006</v>
      </c>
      <c r="AG5" s="18">
        <f t="shared" si="2"/>
        <v>0.35464276488915414</v>
      </c>
      <c r="AH5" s="18">
        <f t="shared" si="2"/>
        <v>-1</v>
      </c>
      <c r="AI5" s="18" t="e">
        <f t="shared" si="2"/>
        <v>#DIV/0!</v>
      </c>
      <c r="AJ5" s="18">
        <f t="shared" si="2"/>
        <v>7.1749365397062448E-3</v>
      </c>
      <c r="AK5" s="18">
        <f t="shared" si="2"/>
        <v>4.3153099849647214E-2</v>
      </c>
      <c r="AN5" s="69" t="s">
        <v>186</v>
      </c>
      <c r="AO5" s="60">
        <v>67960</v>
      </c>
      <c r="AP5" s="61"/>
      <c r="AQ5" s="61">
        <v>18641</v>
      </c>
      <c r="AR5" s="58">
        <v>15.9</v>
      </c>
      <c r="AS5" s="58">
        <v>132.30000000000001</v>
      </c>
      <c r="AT5" s="64"/>
      <c r="AU5" s="60">
        <v>65772</v>
      </c>
      <c r="AV5" s="61"/>
      <c r="AW5" s="61">
        <v>25761</v>
      </c>
      <c r="AX5" s="58">
        <v>21.4</v>
      </c>
      <c r="AY5" s="58">
        <v>151.6</v>
      </c>
      <c r="AZ5" s="64"/>
    </row>
    <row r="6" spans="1:52"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N6" s="69" t="s">
        <v>187</v>
      </c>
      <c r="AO6" s="60">
        <v>80027</v>
      </c>
      <c r="AP6" s="61">
        <v>42138</v>
      </c>
      <c r="AQ6" s="61">
        <v>23597</v>
      </c>
      <c r="AR6" s="74">
        <v>20.100000000000001</v>
      </c>
      <c r="AS6" s="74">
        <v>130.5</v>
      </c>
      <c r="AT6" s="64">
        <v>7</v>
      </c>
      <c r="AU6" s="60">
        <v>79111</v>
      </c>
      <c r="AV6" s="61">
        <v>49181</v>
      </c>
      <c r="AW6" s="61">
        <v>27542</v>
      </c>
      <c r="AX6" s="58">
        <v>23.5</v>
      </c>
      <c r="AY6" s="58">
        <v>145.69999999999999</v>
      </c>
      <c r="AZ6" s="64">
        <v>8.1999999999999993</v>
      </c>
    </row>
    <row r="7" spans="1:52" ht="18" thickTop="1" thickBot="1" x14ac:dyDescent="0.4">
      <c r="B7" s="32" t="s">
        <v>17</v>
      </c>
      <c r="C7" s="26">
        <v>2167.6080000000002</v>
      </c>
      <c r="D7" s="26"/>
      <c r="E7" s="26"/>
      <c r="F7" s="26"/>
      <c r="G7" s="26"/>
      <c r="H7" s="26"/>
      <c r="I7" s="27"/>
      <c r="J7" s="24"/>
      <c r="M7" s="1" t="s">
        <v>18</v>
      </c>
      <c r="N7" s="3">
        <f>'[1]LT Portfolio'!P294</f>
        <v>0</v>
      </c>
      <c r="W7" s="12" t="s">
        <v>230</v>
      </c>
      <c r="X7" s="13"/>
      <c r="Y7" s="13"/>
      <c r="Z7" s="13"/>
      <c r="AA7" s="13"/>
      <c r="AB7" s="13"/>
      <c r="AC7" s="13"/>
      <c r="AD7" s="13"/>
      <c r="AE7" s="13">
        <v>12030248</v>
      </c>
      <c r="AF7" s="13">
        <v>17498972</v>
      </c>
      <c r="AG7" s="13">
        <v>26373426</v>
      </c>
      <c r="AH7" s="13"/>
      <c r="AI7" s="13">
        <v>33526590</v>
      </c>
      <c r="AJ7" s="13">
        <v>36064502</v>
      </c>
      <c r="AK7" s="13">
        <v>35159367</v>
      </c>
      <c r="AN7" s="69" t="s">
        <v>196</v>
      </c>
      <c r="AO7" s="60"/>
      <c r="AP7" s="61"/>
      <c r="AQ7" s="61"/>
      <c r="AR7" s="58"/>
      <c r="AS7" s="58"/>
      <c r="AT7" s="64"/>
      <c r="AU7" s="60"/>
      <c r="AV7" s="61"/>
      <c r="AW7" s="61"/>
      <c r="AX7" s="58"/>
      <c r="AY7" s="58"/>
      <c r="AZ7" s="64"/>
    </row>
    <row r="8" spans="1:52"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X8" s="17"/>
      <c r="Y8" s="17"/>
      <c r="Z8" s="17"/>
      <c r="AA8" s="17"/>
      <c r="AB8" s="18" t="e">
        <f t="shared" ref="AB8" si="5">+AB7/X7-1</f>
        <v>#DIV/0!</v>
      </c>
      <c r="AC8" s="18" t="e">
        <f t="shared" ref="AC8" si="6">+AC7/Y7-1</f>
        <v>#DIV/0!</v>
      </c>
      <c r="AD8" s="18" t="e">
        <f t="shared" ref="AD8" si="7">+AD7/Z7-1</f>
        <v>#DIV/0!</v>
      </c>
      <c r="AE8" s="18" t="e">
        <f t="shared" ref="AE8" si="8">+AE7/AA7-1</f>
        <v>#DIV/0!</v>
      </c>
      <c r="AF8" s="18" t="e">
        <f t="shared" ref="AF8" si="9">+AF7/AB7-1</f>
        <v>#DIV/0!</v>
      </c>
      <c r="AG8" s="18" t="e">
        <f t="shared" ref="AG8" si="10">+AG7/AC7-1</f>
        <v>#DIV/0!</v>
      </c>
      <c r="AH8" s="18" t="e">
        <f t="shared" ref="AH8" si="11">+AH7/AD7-1</f>
        <v>#DIV/0!</v>
      </c>
      <c r="AI8" s="18">
        <f t="shared" ref="AI8" si="12">+AI7/AE7-1</f>
        <v>1.7868577605382701</v>
      </c>
      <c r="AJ8" s="18">
        <f t="shared" ref="AJ8:AK8" si="13">+AJ7/AF7-1</f>
        <v>1.0609497517911337</v>
      </c>
      <c r="AK8" s="18">
        <f t="shared" si="13"/>
        <v>0.33313612725172681</v>
      </c>
      <c r="AN8" s="69" t="s">
        <v>380</v>
      </c>
      <c r="AO8" s="60">
        <v>56981</v>
      </c>
      <c r="AP8" s="61">
        <v>51945</v>
      </c>
      <c r="AQ8" s="61">
        <v>15947</v>
      </c>
      <c r="AR8" s="74">
        <v>13.9</v>
      </c>
      <c r="AS8" s="74">
        <v>129</v>
      </c>
      <c r="AT8" s="64">
        <v>4.5</v>
      </c>
      <c r="AU8" s="60">
        <v>52110</v>
      </c>
      <c r="AV8" s="61">
        <v>54514</v>
      </c>
      <c r="AW8" s="61">
        <v>27534</v>
      </c>
      <c r="AX8" s="58">
        <v>24.1</v>
      </c>
      <c r="AY8" s="58">
        <v>149</v>
      </c>
      <c r="AZ8" s="64">
        <v>4.5</v>
      </c>
    </row>
    <row r="9" spans="1:52"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 si="14">+Y7/X7-1</f>
        <v>#DIV/0!</v>
      </c>
      <c r="Z9" s="18" t="e">
        <f t="shared" ref="Z9" si="15">+Z7/Y7-1</f>
        <v>#DIV/0!</v>
      </c>
      <c r="AA9" s="18" t="e">
        <f t="shared" ref="AA9" si="16">+AA7/Z7-1</f>
        <v>#DIV/0!</v>
      </c>
      <c r="AB9" s="18" t="e">
        <f t="shared" ref="AB9" si="17">+AB7/AA7-1</f>
        <v>#DIV/0!</v>
      </c>
      <c r="AC9" s="18" t="e">
        <f t="shared" ref="AC9" si="18">+AC7/AB7-1</f>
        <v>#DIV/0!</v>
      </c>
      <c r="AD9" s="18" t="e">
        <f t="shared" ref="AD9" si="19">+AD7/AC7-1</f>
        <v>#DIV/0!</v>
      </c>
      <c r="AE9" s="18" t="e">
        <f t="shared" ref="AE9" si="20">+AE7/AD7-1</f>
        <v>#DIV/0!</v>
      </c>
      <c r="AF9" s="18">
        <f t="shared" ref="AF9" si="21">+AF7/AE7-1</f>
        <v>0.45458115244174513</v>
      </c>
      <c r="AG9" s="18">
        <f t="shared" ref="AG9" si="22">+AG7/AF7-1</f>
        <v>0.507141448080493</v>
      </c>
      <c r="AH9" s="18">
        <f t="shared" ref="AH9" si="23">+AH7/AG7-1</f>
        <v>-1</v>
      </c>
      <c r="AI9" s="18" t="e">
        <f t="shared" ref="AI9" si="24">+AI7/AH7-1</f>
        <v>#DIV/0!</v>
      </c>
      <c r="AJ9" s="18">
        <f t="shared" ref="AJ9:AK9" si="25">+AJ7/AI7-1</f>
        <v>7.5698482905657949E-2</v>
      </c>
      <c r="AK9" s="18">
        <f t="shared" si="25"/>
        <v>-2.5097670834329011E-2</v>
      </c>
      <c r="AN9" s="70" t="s">
        <v>192</v>
      </c>
      <c r="AO9" s="62">
        <f>+AVERAGE(AO4:AO8)</f>
        <v>68840.75</v>
      </c>
      <c r="AP9" s="63">
        <f t="shared" ref="AP9:AZ9" si="26">+AVERAGE(AP4:AP8)</f>
        <v>47041.5</v>
      </c>
      <c r="AQ9" s="63">
        <f t="shared" si="26"/>
        <v>18995</v>
      </c>
      <c r="AR9" s="72">
        <f t="shared" si="26"/>
        <v>16.275000000000002</v>
      </c>
      <c r="AS9" s="72">
        <f t="shared" si="26"/>
        <v>130.22499999999999</v>
      </c>
      <c r="AT9" s="65">
        <f t="shared" si="26"/>
        <v>5.3666666666666671</v>
      </c>
      <c r="AU9" s="62">
        <f t="shared" si="26"/>
        <v>66171.5</v>
      </c>
      <c r="AV9" s="63">
        <f t="shared" si="26"/>
        <v>51847.5</v>
      </c>
      <c r="AW9" s="63">
        <f t="shared" si="26"/>
        <v>25045.5</v>
      </c>
      <c r="AX9" s="72">
        <f t="shared" si="26"/>
        <v>21.375</v>
      </c>
      <c r="AY9" s="72">
        <f t="shared" si="26"/>
        <v>146.64999999999998</v>
      </c>
      <c r="AZ9" s="65">
        <f t="shared" si="26"/>
        <v>6</v>
      </c>
    </row>
    <row r="10" spans="1:52"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N10" s="12"/>
      <c r="AO10" s="12"/>
      <c r="AP10" s="12"/>
      <c r="AQ10" s="12"/>
      <c r="AR10" s="12"/>
      <c r="AS10" s="12"/>
      <c r="AT10" s="12"/>
      <c r="AU10" s="12"/>
      <c r="AV10" s="12"/>
      <c r="AW10" s="12"/>
      <c r="AX10" s="12"/>
      <c r="AY10" s="12"/>
      <c r="AZ10" s="12"/>
    </row>
    <row r="11" spans="1:52" ht="18" thickTop="1" thickBot="1" x14ac:dyDescent="0.4">
      <c r="B11" s="28" t="s">
        <v>25</v>
      </c>
      <c r="C11" s="30">
        <f t="shared" ref="C11:G11" si="27">C10/C$3*100</f>
        <v>12.180949473066461</v>
      </c>
      <c r="D11" s="30" t="e">
        <f t="shared" si="27"/>
        <v>#DIV/0!</v>
      </c>
      <c r="E11" s="30" t="e">
        <f t="shared" si="27"/>
        <v>#DIV/0!</v>
      </c>
      <c r="F11" s="30" t="e">
        <f t="shared" si="27"/>
        <v>#DIV/0!</v>
      </c>
      <c r="G11" s="30" t="e">
        <f t="shared" si="27"/>
        <v>#DIV/0!</v>
      </c>
      <c r="H11" s="30" t="e">
        <f>H10/H$3*100</f>
        <v>#DIV/0!</v>
      </c>
      <c r="I11" s="31" t="e">
        <f>I10/I$3*100</f>
        <v>#DIV/0!</v>
      </c>
      <c r="J11" s="23" t="e">
        <f>AVERAGE(D11:I11)</f>
        <v>#DIV/0!</v>
      </c>
      <c r="M11" s="1" t="s">
        <v>26</v>
      </c>
      <c r="N11" s="3">
        <f>'[1]LT Portfolio'!T294</f>
        <v>0</v>
      </c>
      <c r="O11" s="4" t="e">
        <f>N11/N7-1</f>
        <v>#DIV/0!</v>
      </c>
      <c r="W11" s="12" t="s">
        <v>231</v>
      </c>
      <c r="X11" s="13">
        <f t="shared" ref="X11:AI11" si="28">+X3-X7</f>
        <v>0</v>
      </c>
      <c r="Y11" s="13">
        <f t="shared" si="28"/>
        <v>0</v>
      </c>
      <c r="Z11" s="13">
        <f t="shared" si="28"/>
        <v>0</v>
      </c>
      <c r="AA11" s="13">
        <f t="shared" si="28"/>
        <v>0</v>
      </c>
      <c r="AB11" s="13">
        <f t="shared" si="28"/>
        <v>0</v>
      </c>
      <c r="AC11" s="13">
        <f t="shared" si="28"/>
        <v>0</v>
      </c>
      <c r="AD11" s="13">
        <f t="shared" si="28"/>
        <v>0</v>
      </c>
      <c r="AE11" s="13">
        <f t="shared" si="28"/>
        <v>14589845</v>
      </c>
      <c r="AF11" s="13">
        <f t="shared" si="28"/>
        <v>18422931</v>
      </c>
      <c r="AG11" s="13">
        <f t="shared" si="28"/>
        <v>22287920</v>
      </c>
      <c r="AH11" s="13">
        <f t="shared" si="28"/>
        <v>0</v>
      </c>
      <c r="AI11" s="13">
        <f t="shared" si="28"/>
        <v>18794709</v>
      </c>
      <c r="AJ11" s="13">
        <f>+AJ3-AJ7</f>
        <v>16632199</v>
      </c>
      <c r="AK11" s="13">
        <f t="shared" ref="AK11" si="29">+AK3-AK7</f>
        <v>19811360</v>
      </c>
      <c r="AN11" s="12" t="s">
        <v>193</v>
      </c>
      <c r="AO11" s="12"/>
      <c r="AP11" s="12"/>
      <c r="AQ11" s="12"/>
      <c r="AR11" s="58">
        <f>+$X$1/AR9</f>
        <v>4.4608294930875569</v>
      </c>
      <c r="AS11" s="58">
        <f>+$X$1/AS9</f>
        <v>0.55749664043002489</v>
      </c>
      <c r="AT11" s="75">
        <f>+AT9/$X$1</f>
        <v>7.3921028466483019E-2</v>
      </c>
      <c r="AU11" s="12"/>
      <c r="AV11" s="12"/>
      <c r="AW11" s="12"/>
      <c r="AX11" s="58">
        <f>+$X$1/AX9</f>
        <v>3.3964912280701753</v>
      </c>
      <c r="AY11" s="58">
        <f>+$X$1/AY9</f>
        <v>0.49505625639277195</v>
      </c>
      <c r="AZ11" s="75">
        <f>+AZ9/$X$1</f>
        <v>8.2644628099173556E-2</v>
      </c>
    </row>
    <row r="12" spans="1:52" ht="18" thickTop="1" thickBot="1" x14ac:dyDescent="0.4">
      <c r="B12" s="28" t="s">
        <v>27</v>
      </c>
      <c r="C12" s="29"/>
      <c r="D12" s="30">
        <f t="shared" ref="D12:I12" si="30">(D10/C10-1)*100</f>
        <v>-100</v>
      </c>
      <c r="E12" s="30" t="e">
        <f t="shared" si="30"/>
        <v>#DIV/0!</v>
      </c>
      <c r="F12" s="30" t="e">
        <f t="shared" si="30"/>
        <v>#DIV/0!</v>
      </c>
      <c r="G12" s="30" t="e">
        <f t="shared" si="30"/>
        <v>#DIV/0!</v>
      </c>
      <c r="H12" s="30" t="e">
        <f t="shared" si="30"/>
        <v>#DIV/0!</v>
      </c>
      <c r="I12" s="31" t="e">
        <f t="shared" si="30"/>
        <v>#DIV/0!</v>
      </c>
      <c r="J12" s="23" t="e">
        <f>AVERAGE(D12:I12)</f>
        <v>#DIV/0!</v>
      </c>
      <c r="S12" t="s">
        <v>20</v>
      </c>
      <c r="T12" t="s">
        <v>22</v>
      </c>
      <c r="W12" s="12" t="s">
        <v>40</v>
      </c>
      <c r="X12" s="17"/>
      <c r="Y12" s="17"/>
      <c r="Z12" s="17"/>
      <c r="AA12" s="17"/>
      <c r="AB12" s="18" t="e">
        <f t="shared" ref="AB12" si="31">+AB11/X11-1</f>
        <v>#DIV/0!</v>
      </c>
      <c r="AC12" s="18" t="e">
        <f t="shared" ref="AC12" si="32">+AC11/Y11-1</f>
        <v>#DIV/0!</v>
      </c>
      <c r="AD12" s="18" t="e">
        <f t="shared" ref="AD12" si="33">+AD11/Z11-1</f>
        <v>#DIV/0!</v>
      </c>
      <c r="AE12" s="18" t="e">
        <f t="shared" ref="AE12" si="34">+AE11/AA11-1</f>
        <v>#DIV/0!</v>
      </c>
      <c r="AF12" s="18" t="e">
        <f t="shared" ref="AF12" si="35">+AF11/AB11-1</f>
        <v>#DIV/0!</v>
      </c>
      <c r="AG12" s="18" t="e">
        <f t="shared" ref="AG12" si="36">+AG11/AC11-1</f>
        <v>#DIV/0!</v>
      </c>
      <c r="AH12" s="18" t="e">
        <f t="shared" ref="AH12" si="37">+AH11/AD11-1</f>
        <v>#DIV/0!</v>
      </c>
      <c r="AI12" s="18">
        <f t="shared" ref="AI12" si="38">+AI11/AE11-1</f>
        <v>0.28820484384858092</v>
      </c>
      <c r="AJ12" s="18">
        <f t="shared" ref="AJ12:AK12" si="39">+AJ11/AF11-1</f>
        <v>-9.7201254241249702E-2</v>
      </c>
      <c r="AK12" s="18">
        <f t="shared" si="39"/>
        <v>-0.11111669460407247</v>
      </c>
    </row>
    <row r="13" spans="1:52"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t="s">
        <v>41</v>
      </c>
      <c r="X13" s="12"/>
      <c r="Y13" s="18" t="e">
        <f t="shared" ref="Y13" si="40">+Y11/X11-1</f>
        <v>#DIV/0!</v>
      </c>
      <c r="Z13" s="18" t="e">
        <f t="shared" ref="Z13" si="41">+Z11/Y11-1</f>
        <v>#DIV/0!</v>
      </c>
      <c r="AA13" s="18" t="e">
        <f t="shared" ref="AA13" si="42">+AA11/Z11-1</f>
        <v>#DIV/0!</v>
      </c>
      <c r="AB13" s="18" t="e">
        <f t="shared" ref="AB13" si="43">+AB11/AA11-1</f>
        <v>#DIV/0!</v>
      </c>
      <c r="AC13" s="18" t="e">
        <f t="shared" ref="AC13" si="44">+AC11/AB11-1</f>
        <v>#DIV/0!</v>
      </c>
      <c r="AD13" s="18" t="e">
        <f t="shared" ref="AD13" si="45">+AD11/AC11-1</f>
        <v>#DIV/0!</v>
      </c>
      <c r="AE13" s="18" t="e">
        <f t="shared" ref="AE13" si="46">+AE11/AD11-1</f>
        <v>#DIV/0!</v>
      </c>
      <c r="AF13" s="18">
        <f t="shared" ref="AF13" si="47">+AF11/AE11-1</f>
        <v>0.2627228733410123</v>
      </c>
      <c r="AG13" s="18">
        <f t="shared" ref="AG13" si="48">+AG11/AF11-1</f>
        <v>0.20979229635067287</v>
      </c>
      <c r="AH13" s="18">
        <f t="shared" ref="AH13" si="49">+AH11/AG11-1</f>
        <v>-1</v>
      </c>
      <c r="AI13" s="18" t="e">
        <f t="shared" ref="AI13" si="50">+AI11/AH11-1</f>
        <v>#DIV/0!</v>
      </c>
      <c r="AJ13" s="18">
        <f t="shared" ref="AJ13:AK13" si="51">+AJ11/AI11-1</f>
        <v>-0.11505950956729361</v>
      </c>
      <c r="AK13" s="18">
        <f t="shared" si="51"/>
        <v>0.19114495924441499</v>
      </c>
      <c r="AL13" s="12"/>
      <c r="AM13" s="12"/>
    </row>
    <row r="14" spans="1:52"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X14" s="19"/>
      <c r="Y14" s="19"/>
      <c r="Z14" s="19"/>
      <c r="AA14" s="19"/>
      <c r="AB14" s="19"/>
      <c r="AC14" s="19"/>
      <c r="AD14" s="19"/>
      <c r="AE14" s="19"/>
      <c r="AF14" s="19"/>
      <c r="AG14" s="19"/>
      <c r="AH14" s="19"/>
      <c r="AI14" s="19"/>
      <c r="AJ14" s="19"/>
      <c r="AK14" s="19"/>
    </row>
    <row r="15" spans="1:52" ht="18" thickTop="1" thickBot="1" x14ac:dyDescent="0.4">
      <c r="B15" s="32" t="s">
        <v>30</v>
      </c>
      <c r="C15" s="34">
        <f>1+0.6</f>
        <v>1.6</v>
      </c>
      <c r="D15" s="34"/>
      <c r="E15" s="34"/>
      <c r="F15" s="34"/>
      <c r="G15" s="34"/>
      <c r="H15" s="34"/>
      <c r="I15" s="35"/>
      <c r="J15" s="24"/>
      <c r="R15" s="6"/>
      <c r="S15" s="6"/>
      <c r="W15" s="12" t="s">
        <v>232</v>
      </c>
      <c r="X15" s="13"/>
      <c r="Y15" s="13"/>
      <c r="Z15" s="13"/>
      <c r="AA15" s="13"/>
      <c r="AB15" s="13"/>
      <c r="AC15" s="13"/>
      <c r="AD15" s="13"/>
      <c r="AE15" s="13">
        <v>4839904</v>
      </c>
      <c r="AF15" s="13">
        <v>4176456</v>
      </c>
      <c r="AG15" s="13">
        <v>4876789</v>
      </c>
      <c r="AH15" s="13"/>
      <c r="AI15" s="13">
        <v>5562416</v>
      </c>
      <c r="AJ15" s="13">
        <v>4511665</v>
      </c>
      <c r="AK15" s="13">
        <v>5064778</v>
      </c>
    </row>
    <row r="16" spans="1:52" ht="18" thickTop="1" thickBot="1" x14ac:dyDescent="0.4">
      <c r="B16" s="32" t="s">
        <v>8</v>
      </c>
      <c r="C16" s="34">
        <v>31.7</v>
      </c>
      <c r="D16" s="34"/>
      <c r="E16" s="34"/>
      <c r="F16" s="34"/>
      <c r="G16" s="34"/>
      <c r="H16" s="34"/>
      <c r="I16" s="35"/>
      <c r="J16" s="22" t="e">
        <f>((I16/D16)^(1/5)-1)*100</f>
        <v>#DIV/0!</v>
      </c>
      <c r="W16" s="12" t="s">
        <v>40</v>
      </c>
      <c r="X16" s="17"/>
      <c r="Y16" s="17"/>
      <c r="Z16" s="17"/>
      <c r="AA16" s="17"/>
      <c r="AB16" s="18" t="e">
        <f t="shared" ref="AB16" si="52">+AB15/X15-1</f>
        <v>#DIV/0!</v>
      </c>
      <c r="AC16" s="18" t="e">
        <f t="shared" ref="AC16" si="53">+AC15/Y15-1</f>
        <v>#DIV/0!</v>
      </c>
      <c r="AD16" s="18" t="e">
        <f t="shared" ref="AD16" si="54">+AD15/Z15-1</f>
        <v>#DIV/0!</v>
      </c>
      <c r="AE16" s="18" t="e">
        <f t="shared" ref="AE16" si="55">+AE15/AA15-1</f>
        <v>#DIV/0!</v>
      </c>
      <c r="AF16" s="18" t="e">
        <f t="shared" ref="AF16" si="56">+AF15/AB15-1</f>
        <v>#DIV/0!</v>
      </c>
      <c r="AG16" s="18" t="e">
        <f t="shared" ref="AG16" si="57">+AG15/AC15-1</f>
        <v>#DIV/0!</v>
      </c>
      <c r="AH16" s="18" t="e">
        <f t="shared" ref="AH16" si="58">+AH15/AD15-1</f>
        <v>#DIV/0!</v>
      </c>
      <c r="AI16" s="18">
        <f t="shared" ref="AI16" si="59">+AI15/AE15-1</f>
        <v>0.14928229981421115</v>
      </c>
      <c r="AJ16" s="18">
        <f t="shared" ref="AJ16:AK16" si="60">+AJ15/AF15-1</f>
        <v>8.0261590209498301E-2</v>
      </c>
      <c r="AK16" s="18">
        <f t="shared" si="60"/>
        <v>3.8547700136298602E-2</v>
      </c>
    </row>
    <row r="17" spans="2:37" ht="18" thickTop="1" thickBot="1" x14ac:dyDescent="0.4">
      <c r="B17" s="32" t="s">
        <v>31</v>
      </c>
      <c r="C17" s="34">
        <v>14.6</v>
      </c>
      <c r="D17" s="34"/>
      <c r="E17" s="34"/>
      <c r="F17" s="34"/>
      <c r="G17" s="34"/>
      <c r="H17" s="34"/>
      <c r="I17" s="35"/>
      <c r="J17" s="22" t="e">
        <f>((I17/D17)^(1/6)-1)*100</f>
        <v>#DIV/0!</v>
      </c>
      <c r="W17" s="12" t="s">
        <v>41</v>
      </c>
      <c r="Y17" s="18" t="e">
        <f t="shared" ref="Y17" si="61">+Y15/X15-1</f>
        <v>#DIV/0!</v>
      </c>
      <c r="Z17" s="18" t="e">
        <f t="shared" ref="Z17" si="62">+Z15/Y15-1</f>
        <v>#DIV/0!</v>
      </c>
      <c r="AA17" s="18" t="e">
        <f t="shared" ref="AA17" si="63">+AA15/Z15-1</f>
        <v>#DIV/0!</v>
      </c>
      <c r="AB17" s="18" t="e">
        <f t="shared" ref="AB17" si="64">+AB15/AA15-1</f>
        <v>#DIV/0!</v>
      </c>
      <c r="AC17" s="18" t="e">
        <f t="shared" ref="AC17" si="65">+AC15/AB15-1</f>
        <v>#DIV/0!</v>
      </c>
      <c r="AD17" s="18" t="e">
        <f t="shared" ref="AD17" si="66">+AD15/AC15-1</f>
        <v>#DIV/0!</v>
      </c>
      <c r="AE17" s="18" t="e">
        <f t="shared" ref="AE17" si="67">+AE15/AD15-1</f>
        <v>#DIV/0!</v>
      </c>
      <c r="AF17" s="18">
        <f t="shared" ref="AF17" si="68">+AF15/AE15-1</f>
        <v>-0.13707875197524577</v>
      </c>
      <c r="AG17" s="18">
        <f t="shared" ref="AG17" si="69">+AG15/AF15-1</f>
        <v>0.16768595191712787</v>
      </c>
      <c r="AH17" s="18">
        <f t="shared" ref="AH17" si="70">+AH15/AG15-1</f>
        <v>-1</v>
      </c>
      <c r="AI17" s="18" t="e">
        <f t="shared" ref="AI17" si="71">+AI15/AH15-1</f>
        <v>#DIV/0!</v>
      </c>
      <c r="AJ17" s="18">
        <f t="shared" ref="AJ17:AK17" si="72">+AJ15/AI15-1</f>
        <v>-0.18890190881084767</v>
      </c>
      <c r="AK17" s="18">
        <f t="shared" si="72"/>
        <v>0.12259620339719368</v>
      </c>
    </row>
    <row r="18" spans="2:37" ht="18" thickTop="1" thickBot="1" x14ac:dyDescent="0.4">
      <c r="B18" s="32" t="s">
        <v>32</v>
      </c>
      <c r="C18" s="36">
        <f t="shared" ref="C18:G18" si="73">C14/AVERAGE(B17:C17)*100</f>
        <v>22.19178082191781</v>
      </c>
      <c r="D18" s="36">
        <f t="shared" si="73"/>
        <v>0</v>
      </c>
      <c r="E18" s="36" t="e">
        <f t="shared" si="73"/>
        <v>#DIV/0!</v>
      </c>
      <c r="F18" s="36" t="e">
        <f t="shared" si="73"/>
        <v>#DIV/0!</v>
      </c>
      <c r="G18" s="36" t="e">
        <f t="shared" si="73"/>
        <v>#DIV/0!</v>
      </c>
      <c r="H18" s="36" t="e">
        <f>H14/AVERAGE(G17:H17)*100</f>
        <v>#DIV/0!</v>
      </c>
      <c r="I18" s="37" t="e">
        <f>I14/AVERAGE(H17:I17)*100</f>
        <v>#DIV/0!</v>
      </c>
      <c r="J18" s="23" t="e">
        <f>AVERAGE(D18:I18)</f>
        <v>#DIV/0!</v>
      </c>
      <c r="M18" s="9" t="s">
        <v>33</v>
      </c>
      <c r="N18" s="6"/>
      <c r="O18" s="6"/>
      <c r="P18" s="6"/>
      <c r="Q18" s="6"/>
      <c r="Y18" s="18"/>
      <c r="Z18" s="18"/>
      <c r="AA18" s="18"/>
      <c r="AB18" s="18"/>
      <c r="AC18" s="18"/>
      <c r="AD18" s="18"/>
      <c r="AE18" s="18"/>
      <c r="AF18" s="18"/>
      <c r="AG18" s="18"/>
      <c r="AH18" s="18"/>
      <c r="AI18" s="18"/>
      <c r="AJ18" s="18"/>
      <c r="AK18" s="18"/>
    </row>
    <row r="19" spans="2:37" ht="18" thickTop="1" thickBot="1" x14ac:dyDescent="0.4">
      <c r="B19" s="32" t="s">
        <v>34</v>
      </c>
      <c r="C19" s="30">
        <f t="shared" ref="C19:G19" si="74">C15/C16*100</f>
        <v>5.0473186119873823</v>
      </c>
      <c r="D19" s="30" t="e">
        <f t="shared" si="74"/>
        <v>#DIV/0!</v>
      </c>
      <c r="E19" s="30" t="e">
        <f t="shared" si="74"/>
        <v>#DIV/0!</v>
      </c>
      <c r="F19" s="30" t="e">
        <f t="shared" si="74"/>
        <v>#DIV/0!</v>
      </c>
      <c r="G19" s="30" t="e">
        <f t="shared" si="74"/>
        <v>#DIV/0!</v>
      </c>
      <c r="H19" s="30" t="e">
        <f>H15/H16*100</f>
        <v>#DIV/0!</v>
      </c>
      <c r="I19" s="31" t="e">
        <f>I15/I16*100</f>
        <v>#DIV/0!</v>
      </c>
      <c r="J19" s="23" t="e">
        <f>AVERAGE(D19:I19)</f>
        <v>#DIV/0!</v>
      </c>
      <c r="W19" s="12" t="s">
        <v>233</v>
      </c>
      <c r="X19" s="13"/>
      <c r="Y19" s="13"/>
      <c r="Z19" s="13"/>
      <c r="AA19" s="13"/>
      <c r="AB19" s="13"/>
      <c r="AC19" s="13"/>
      <c r="AD19" s="13"/>
      <c r="AE19" s="13">
        <v>-380726</v>
      </c>
      <c r="AF19" s="13">
        <v>-2160880</v>
      </c>
      <c r="AG19" s="13">
        <v>-474629</v>
      </c>
      <c r="AH19" s="13"/>
      <c r="AI19" s="13">
        <v>1672920</v>
      </c>
      <c r="AJ19" s="13">
        <v>-3100</v>
      </c>
      <c r="AK19" s="13">
        <v>-20725</v>
      </c>
    </row>
    <row r="20" spans="2:37" ht="18" thickTop="1" thickBot="1" x14ac:dyDescent="0.4">
      <c r="B20" s="32" t="s">
        <v>35</v>
      </c>
      <c r="C20" s="30">
        <f t="shared" ref="C20:G20" si="75">C15/C14*100</f>
        <v>49.382716049382715</v>
      </c>
      <c r="D20" s="30" t="e">
        <f t="shared" si="75"/>
        <v>#DIV/0!</v>
      </c>
      <c r="E20" s="30" t="e">
        <f t="shared" si="75"/>
        <v>#DIV/0!</v>
      </c>
      <c r="F20" s="30" t="e">
        <f t="shared" si="75"/>
        <v>#DIV/0!</v>
      </c>
      <c r="G20" s="30" t="e">
        <f t="shared" si="75"/>
        <v>#DIV/0!</v>
      </c>
      <c r="H20" s="30" t="e">
        <f>H15/H14*100</f>
        <v>#DIV/0!</v>
      </c>
      <c r="I20" s="31" t="e">
        <f>I15/I14*100</f>
        <v>#DIV/0!</v>
      </c>
      <c r="J20" s="23" t="e">
        <f>AVERAGE(D20:I20)</f>
        <v>#DIV/0!</v>
      </c>
      <c r="M20" t="s">
        <v>36</v>
      </c>
      <c r="N20" s="4" t="e">
        <f>N13/H14-1</f>
        <v>#DIV/0!</v>
      </c>
      <c r="W20" s="12" t="s">
        <v>40</v>
      </c>
      <c r="X20" s="17"/>
      <c r="Y20" s="17"/>
      <c r="Z20" s="17"/>
      <c r="AA20" s="17"/>
      <c r="AB20" s="18" t="e">
        <f t="shared" ref="AB20" si="76">+AB19/X19-1</f>
        <v>#DIV/0!</v>
      </c>
      <c r="AC20" s="18" t="e">
        <f t="shared" ref="AC20" si="77">+AC19/Y19-1</f>
        <v>#DIV/0!</v>
      </c>
      <c r="AD20" s="18" t="e">
        <f t="shared" ref="AD20" si="78">+AD19/Z19-1</f>
        <v>#DIV/0!</v>
      </c>
      <c r="AE20" s="18" t="e">
        <f t="shared" ref="AE20" si="79">+AE19/AA19-1</f>
        <v>#DIV/0!</v>
      </c>
      <c r="AF20" s="18" t="e">
        <f t="shared" ref="AF20" si="80">+AF19/AB19-1</f>
        <v>#DIV/0!</v>
      </c>
      <c r="AG20" s="18" t="e">
        <f t="shared" ref="AG20" si="81">+AG19/AC19-1</f>
        <v>#DIV/0!</v>
      </c>
      <c r="AH20" s="18" t="e">
        <f t="shared" ref="AH20" si="82">+AH19/AD19-1</f>
        <v>#DIV/0!</v>
      </c>
      <c r="AI20" s="18">
        <f t="shared" ref="AI20" si="83">+AI19/AE19-1</f>
        <v>-5.3940261500396609</v>
      </c>
      <c r="AJ20" s="18">
        <f t="shared" ref="AJ20:AK20" si="84">+AJ19/AF19-1</f>
        <v>-0.99856539928177412</v>
      </c>
      <c r="AK20" s="18">
        <f t="shared" si="84"/>
        <v>-0.95633431585512052</v>
      </c>
    </row>
    <row r="21" spans="2:37" ht="18" thickTop="1" thickBot="1" x14ac:dyDescent="0.4">
      <c r="B21" s="32" t="s">
        <v>11</v>
      </c>
      <c r="C21" s="38">
        <f t="shared" ref="C21:G21" si="85">C16/C14</f>
        <v>9.7839506172839492</v>
      </c>
      <c r="D21" s="38" t="e">
        <f t="shared" si="85"/>
        <v>#DIV/0!</v>
      </c>
      <c r="E21" s="38" t="e">
        <f t="shared" si="85"/>
        <v>#DIV/0!</v>
      </c>
      <c r="F21" s="38" t="e">
        <f t="shared" si="85"/>
        <v>#DIV/0!</v>
      </c>
      <c r="G21" s="38" t="e">
        <f t="shared" si="85"/>
        <v>#DIV/0!</v>
      </c>
      <c r="H21" s="38" t="e">
        <f>H16/H14</f>
        <v>#DIV/0!</v>
      </c>
      <c r="I21" s="39" t="e">
        <f>I16/I14</f>
        <v>#DIV/0!</v>
      </c>
      <c r="J21" s="23" t="e">
        <f>AVERAGE(D21:I21)</f>
        <v>#DIV/0!</v>
      </c>
      <c r="W21" s="12" t="s">
        <v>41</v>
      </c>
      <c r="Y21" s="18" t="e">
        <f t="shared" ref="Y21" si="86">+Y19/X19-1</f>
        <v>#DIV/0!</v>
      </c>
      <c r="Z21" s="18" t="e">
        <f t="shared" ref="Z21" si="87">+Z19/Y19-1</f>
        <v>#DIV/0!</v>
      </c>
      <c r="AA21" s="18" t="e">
        <f t="shared" ref="AA21" si="88">+AA19/Z19-1</f>
        <v>#DIV/0!</v>
      </c>
      <c r="AB21" s="18" t="e">
        <f t="shared" ref="AB21" si="89">+AB19/AA19-1</f>
        <v>#DIV/0!</v>
      </c>
      <c r="AC21" s="18" t="e">
        <f t="shared" ref="AC21" si="90">+AC19/AB19-1</f>
        <v>#DIV/0!</v>
      </c>
      <c r="AD21" s="18" t="e">
        <f t="shared" ref="AD21" si="91">+AD19/AC19-1</f>
        <v>#DIV/0!</v>
      </c>
      <c r="AE21" s="18" t="e">
        <f t="shared" ref="AE21" si="92">+AE19/AD19-1</f>
        <v>#DIV/0!</v>
      </c>
      <c r="AF21" s="18">
        <f t="shared" ref="AF21" si="93">+AF19/AE19-1</f>
        <v>4.6756827744887399</v>
      </c>
      <c r="AG21" s="18">
        <f t="shared" ref="AG21" si="94">+AG19/AF19-1</f>
        <v>-0.78035383732553409</v>
      </c>
      <c r="AH21" s="18">
        <f t="shared" ref="AH21" si="95">+AH19/AG19-1</f>
        <v>-1</v>
      </c>
      <c r="AI21" s="18" t="e">
        <f t="shared" ref="AI21" si="96">+AI19/AH19-1</f>
        <v>#DIV/0!</v>
      </c>
      <c r="AJ21" s="18">
        <f t="shared" ref="AJ21:AK21" si="97">+AJ19/AI19-1</f>
        <v>-1.0018530473662817</v>
      </c>
      <c r="AK21" s="18">
        <f t="shared" si="97"/>
        <v>5.685483870967742</v>
      </c>
    </row>
    <row r="22" spans="2:37" ht="18" thickTop="1" thickBot="1" x14ac:dyDescent="0.4">
      <c r="B22" s="32" t="s">
        <v>37</v>
      </c>
      <c r="C22" s="38">
        <f t="shared" ref="C22:G22" si="98">C16/C17</f>
        <v>2.1712328767123288</v>
      </c>
      <c r="D22" s="38" t="e">
        <f t="shared" si="98"/>
        <v>#DIV/0!</v>
      </c>
      <c r="E22" s="38" t="e">
        <f t="shared" si="98"/>
        <v>#DIV/0!</v>
      </c>
      <c r="F22" s="38" t="e">
        <f t="shared" si="98"/>
        <v>#DIV/0!</v>
      </c>
      <c r="G22" s="38" t="e">
        <f t="shared" si="98"/>
        <v>#DIV/0!</v>
      </c>
      <c r="H22" s="38" t="e">
        <f>H16/H17</f>
        <v>#DIV/0!</v>
      </c>
      <c r="I22" s="39" t="e">
        <f>I16/I17</f>
        <v>#DIV/0!</v>
      </c>
      <c r="J22" s="23" t="e">
        <f>AVERAGE(D22:I22)</f>
        <v>#DIV/0!</v>
      </c>
      <c r="Y22" s="18"/>
      <c r="Z22" s="18"/>
      <c r="AA22" s="18"/>
      <c r="AB22" s="18"/>
      <c r="AC22" s="18"/>
      <c r="AD22" s="18"/>
      <c r="AE22" s="18"/>
      <c r="AF22" s="18"/>
      <c r="AG22" s="18"/>
      <c r="AH22" s="18"/>
      <c r="AI22" s="18"/>
      <c r="AJ22" s="18"/>
      <c r="AK22" s="18"/>
    </row>
    <row r="23" spans="2:37" ht="15.75" thickTop="1" x14ac:dyDescent="0.25">
      <c r="W23" s="12" t="s">
        <v>234</v>
      </c>
      <c r="X23" s="13"/>
      <c r="Y23" s="13"/>
      <c r="Z23" s="13"/>
      <c r="AA23" s="13"/>
      <c r="AB23" s="13"/>
      <c r="AC23" s="13"/>
      <c r="AD23" s="13"/>
      <c r="AE23" s="13">
        <f>13181+458</f>
        <v>13639</v>
      </c>
      <c r="AF23" s="13">
        <f>208008-37163</f>
        <v>170845</v>
      </c>
      <c r="AG23" s="13">
        <f>227490+20436</f>
        <v>247926</v>
      </c>
      <c r="AH23" s="13"/>
      <c r="AI23" s="13">
        <f>96658+14918</f>
        <v>111576</v>
      </c>
      <c r="AJ23" s="13">
        <f>138020+56331</f>
        <v>194351</v>
      </c>
      <c r="AK23" s="13">
        <f>53910+87448</f>
        <v>141358</v>
      </c>
    </row>
    <row r="24" spans="2:37" x14ac:dyDescent="0.25">
      <c r="G24" s="10">
        <v>701.95658000000003</v>
      </c>
      <c r="H24" s="10">
        <v>709.32254499999999</v>
      </c>
      <c r="I24" s="10">
        <v>716.73997499999996</v>
      </c>
      <c r="W24" s="12" t="s">
        <v>40</v>
      </c>
      <c r="X24" s="17"/>
      <c r="Y24" s="17"/>
      <c r="Z24" s="17"/>
      <c r="AA24" s="17"/>
      <c r="AB24" s="18" t="e">
        <f t="shared" ref="AB24" si="99">+AB23/X23-1</f>
        <v>#DIV/0!</v>
      </c>
      <c r="AC24" s="18" t="e">
        <f t="shared" ref="AC24" si="100">+AC23/Y23-1</f>
        <v>#DIV/0!</v>
      </c>
      <c r="AD24" s="18" t="e">
        <f t="shared" ref="AD24" si="101">+AD23/Z23-1</f>
        <v>#DIV/0!</v>
      </c>
      <c r="AE24" s="18" t="e">
        <f t="shared" ref="AE24" si="102">+AE23/AA23-1</f>
        <v>#DIV/0!</v>
      </c>
      <c r="AF24" s="18" t="e">
        <f t="shared" ref="AF24" si="103">+AF23/AB23-1</f>
        <v>#DIV/0!</v>
      </c>
      <c r="AG24" s="18" t="e">
        <f t="shared" ref="AG24" si="104">+AG23/AC23-1</f>
        <v>#DIV/0!</v>
      </c>
      <c r="AH24" s="18" t="e">
        <f t="shared" ref="AH24" si="105">+AH23/AD23-1</f>
        <v>#DIV/0!</v>
      </c>
      <c r="AI24" s="18">
        <f t="shared" ref="AI24" si="106">+AI23/AE23-1</f>
        <v>7.1806584060414984</v>
      </c>
      <c r="AJ24" s="18">
        <f t="shared" ref="AJ24:AK24" si="107">+AJ23/AF23-1</f>
        <v>0.13758670139600215</v>
      </c>
      <c r="AK24" s="18">
        <f t="shared" si="107"/>
        <v>-0.42983793551301597</v>
      </c>
    </row>
    <row r="25" spans="2:37" x14ac:dyDescent="0.25">
      <c r="G25">
        <f>+G10/G24</f>
        <v>0</v>
      </c>
      <c r="H25">
        <f>+H10/H24</f>
        <v>0</v>
      </c>
      <c r="I25">
        <f>+I10/I24</f>
        <v>0</v>
      </c>
      <c r="M25" s="10"/>
      <c r="W25" s="12" t="s">
        <v>41</v>
      </c>
      <c r="Y25" s="18" t="e">
        <f t="shared" ref="Y25" si="108">+Y23/X23-1</f>
        <v>#DIV/0!</v>
      </c>
      <c r="Z25" s="18" t="e">
        <f t="shared" ref="Z25" si="109">+Z23/Y23-1</f>
        <v>#DIV/0!</v>
      </c>
      <c r="AA25" s="18" t="e">
        <f t="shared" ref="AA25" si="110">+AA23/Z23-1</f>
        <v>#DIV/0!</v>
      </c>
      <c r="AB25" s="18" t="e">
        <f t="shared" ref="AB25" si="111">+AB23/AA23-1</f>
        <v>#DIV/0!</v>
      </c>
      <c r="AC25" s="18" t="e">
        <f t="shared" ref="AC25" si="112">+AC23/AB23-1</f>
        <v>#DIV/0!</v>
      </c>
      <c r="AD25" s="18" t="e">
        <f t="shared" ref="AD25" si="113">+AD23/AC23-1</f>
        <v>#DIV/0!</v>
      </c>
      <c r="AE25" s="18" t="e">
        <f t="shared" ref="AE25" si="114">+AE23/AD23-1</f>
        <v>#DIV/0!</v>
      </c>
      <c r="AF25" s="18">
        <f t="shared" ref="AF25" si="115">+AF23/AE23-1</f>
        <v>11.526211599090843</v>
      </c>
      <c r="AG25" s="18">
        <f t="shared" ref="AG25" si="116">+AG23/AF23-1</f>
        <v>0.45117504170446887</v>
      </c>
      <c r="AH25" s="18">
        <f t="shared" ref="AH25" si="117">+AH23/AG23-1</f>
        <v>-1</v>
      </c>
      <c r="AI25" s="18" t="e">
        <f t="shared" ref="AI25" si="118">+AI23/AH23-1</f>
        <v>#DIV/0!</v>
      </c>
      <c r="AJ25" s="18">
        <f t="shared" ref="AJ25:AK25" si="119">+AJ23/AI23-1</f>
        <v>0.74187101168710123</v>
      </c>
      <c r="AK25" s="18">
        <f t="shared" si="119"/>
        <v>-0.2726664642836929</v>
      </c>
    </row>
    <row r="26" spans="2:37" x14ac:dyDescent="0.25">
      <c r="M26" s="10"/>
      <c r="Y26" s="18"/>
      <c r="Z26" s="18"/>
      <c r="AA26" s="18"/>
      <c r="AB26" s="18"/>
      <c r="AC26" s="18"/>
      <c r="AD26" s="18"/>
      <c r="AE26" s="18"/>
      <c r="AF26" s="18"/>
      <c r="AG26" s="18"/>
      <c r="AH26" s="18"/>
      <c r="AI26" s="18"/>
      <c r="AJ26" s="18"/>
      <c r="AK26" s="18"/>
    </row>
    <row r="27" spans="2:37" x14ac:dyDescent="0.25">
      <c r="W27" s="12" t="s">
        <v>235</v>
      </c>
      <c r="X27" s="13"/>
      <c r="Y27" s="13"/>
      <c r="Z27" s="13"/>
      <c r="AA27" s="13"/>
      <c r="AB27" s="13"/>
      <c r="AC27" s="13"/>
      <c r="AD27" s="13"/>
      <c r="AE27" s="13">
        <v>8768808</v>
      </c>
      <c r="AF27" s="13">
        <v>7494232</v>
      </c>
      <c r="AG27" s="13">
        <v>2157598</v>
      </c>
      <c r="AH27" s="13"/>
      <c r="AI27" s="13">
        <v>-4242283</v>
      </c>
      <c r="AJ27" s="13">
        <v>-704099</v>
      </c>
      <c r="AK27" s="13">
        <v>3106102</v>
      </c>
    </row>
    <row r="28" spans="2:37" x14ac:dyDescent="0.25">
      <c r="W28" s="12" t="s">
        <v>40</v>
      </c>
      <c r="X28" s="17"/>
      <c r="Y28" s="17"/>
      <c r="Z28" s="17"/>
      <c r="AA28" s="17"/>
      <c r="AB28" s="18" t="e">
        <f t="shared" ref="AB28" si="120">+AB27/X27-1</f>
        <v>#DIV/0!</v>
      </c>
      <c r="AC28" s="18" t="e">
        <f t="shared" ref="AC28" si="121">+AC27/Y27-1</f>
        <v>#DIV/0!</v>
      </c>
      <c r="AD28" s="18" t="e">
        <f t="shared" ref="AD28" si="122">+AD27/Z27-1</f>
        <v>#DIV/0!</v>
      </c>
      <c r="AE28" s="18" t="e">
        <f t="shared" ref="AE28" si="123">+AE27/AA27-1</f>
        <v>#DIV/0!</v>
      </c>
      <c r="AF28" s="18" t="e">
        <f t="shared" ref="AF28" si="124">+AF27/AB27-1</f>
        <v>#DIV/0!</v>
      </c>
      <c r="AG28" s="18" t="e">
        <f t="shared" ref="AG28" si="125">+AG27/AC27-1</f>
        <v>#DIV/0!</v>
      </c>
      <c r="AH28" s="18" t="e">
        <f t="shared" ref="AH28" si="126">+AH27/AD27-1</f>
        <v>#DIV/0!</v>
      </c>
      <c r="AI28" s="18">
        <f t="shared" ref="AI28" si="127">+AI27/AE27-1</f>
        <v>-1.4837924379231475</v>
      </c>
      <c r="AJ28" s="18">
        <f t="shared" ref="AJ28:AK28" si="128">+AJ27/AF27-1</f>
        <v>-1.0939521221120456</v>
      </c>
      <c r="AK28" s="18">
        <f t="shared" si="128"/>
        <v>0.43961108603178167</v>
      </c>
    </row>
    <row r="29" spans="2:37" x14ac:dyDescent="0.25">
      <c r="M29" s="10"/>
      <c r="W29" s="12" t="s">
        <v>41</v>
      </c>
      <c r="Y29" s="18" t="e">
        <f t="shared" ref="Y29" si="129">+Y27/X27-1</f>
        <v>#DIV/0!</v>
      </c>
      <c r="Z29" s="18" t="e">
        <f t="shared" ref="Z29" si="130">+Z27/Y27-1</f>
        <v>#DIV/0!</v>
      </c>
      <c r="AA29" s="18" t="e">
        <f t="shared" ref="AA29" si="131">+AA27/Z27-1</f>
        <v>#DIV/0!</v>
      </c>
      <c r="AB29" s="18" t="e">
        <f t="shared" ref="AB29" si="132">+AB27/AA27-1</f>
        <v>#DIV/0!</v>
      </c>
      <c r="AC29" s="18" t="e">
        <f t="shared" ref="AC29" si="133">+AC27/AB27-1</f>
        <v>#DIV/0!</v>
      </c>
      <c r="AD29" s="18" t="e">
        <f t="shared" ref="AD29" si="134">+AD27/AC27-1</f>
        <v>#DIV/0!</v>
      </c>
      <c r="AE29" s="18" t="e">
        <f t="shared" ref="AE29" si="135">+AE27/AD27-1</f>
        <v>#DIV/0!</v>
      </c>
      <c r="AF29" s="18">
        <f t="shared" ref="AF29" si="136">+AF27/AE27-1</f>
        <v>-0.14535339352851606</v>
      </c>
      <c r="AG29" s="18">
        <f t="shared" ref="AG29" si="137">+AG27/AF27-1</f>
        <v>-0.71209885149005259</v>
      </c>
      <c r="AH29" s="18">
        <f t="shared" ref="AH29" si="138">+AH27/AG27-1</f>
        <v>-1</v>
      </c>
      <c r="AI29" s="18" t="e">
        <f t="shared" ref="AI29" si="139">+AI27/AH27-1</f>
        <v>#DIV/0!</v>
      </c>
      <c r="AJ29" s="18">
        <f t="shared" ref="AJ29:AK29" si="140">+AJ27/AI27-1</f>
        <v>-0.83402828147014241</v>
      </c>
      <c r="AK29" s="18">
        <f t="shared" si="140"/>
        <v>-5.4114563434971501</v>
      </c>
    </row>
    <row r="30" spans="2:37" x14ac:dyDescent="0.25">
      <c r="M30" s="10"/>
      <c r="Y30" s="18"/>
      <c r="Z30" s="18"/>
      <c r="AA30" s="18"/>
      <c r="AB30" s="18"/>
      <c r="AC30" s="18"/>
      <c r="AD30" s="18"/>
      <c r="AE30" s="18"/>
      <c r="AF30" s="18"/>
      <c r="AG30" s="18"/>
      <c r="AH30" s="18"/>
      <c r="AI30" s="18"/>
      <c r="AJ30" s="18"/>
      <c r="AK30" s="18"/>
    </row>
    <row r="31" spans="2:37" x14ac:dyDescent="0.25">
      <c r="W31" s="12" t="s">
        <v>236</v>
      </c>
      <c r="X31" s="13"/>
      <c r="Y31" s="13"/>
      <c r="Z31" s="13"/>
      <c r="AA31" s="13"/>
      <c r="AB31" s="13"/>
      <c r="AC31" s="13"/>
      <c r="AD31" s="13"/>
      <c r="AE31" s="13">
        <v>12099803</v>
      </c>
      <c r="AF31" s="13">
        <v>16469961</v>
      </c>
      <c r="AG31" s="13">
        <v>20620632</v>
      </c>
      <c r="AH31" s="13"/>
      <c r="AI31" s="13">
        <v>6818202</v>
      </c>
      <c r="AJ31" s="13">
        <v>382181</v>
      </c>
      <c r="AK31" s="13">
        <v>7298125</v>
      </c>
    </row>
    <row r="32" spans="2:37" x14ac:dyDescent="0.25">
      <c r="W32" s="12" t="s">
        <v>40</v>
      </c>
      <c r="X32" s="17"/>
      <c r="Y32" s="17"/>
      <c r="Z32" s="17"/>
      <c r="AA32" s="17"/>
      <c r="AB32" s="18" t="e">
        <f t="shared" ref="AB32" si="141">+AB31/X31-1</f>
        <v>#DIV/0!</v>
      </c>
      <c r="AC32" s="18" t="e">
        <f t="shared" ref="AC32" si="142">+AC31/Y31-1</f>
        <v>#DIV/0!</v>
      </c>
      <c r="AD32" s="18" t="e">
        <f t="shared" ref="AD32" si="143">+AD31/Z31-1</f>
        <v>#DIV/0!</v>
      </c>
      <c r="AE32" s="18" t="e">
        <f t="shared" ref="AE32" si="144">+AE31/AA31-1</f>
        <v>#DIV/0!</v>
      </c>
      <c r="AF32" s="18" t="e">
        <f t="shared" ref="AF32" si="145">+AF31/AB31-1</f>
        <v>#DIV/0!</v>
      </c>
      <c r="AG32" s="18" t="e">
        <f t="shared" ref="AG32" si="146">+AG31/AC31-1</f>
        <v>#DIV/0!</v>
      </c>
      <c r="AH32" s="18" t="e">
        <f t="shared" ref="AH32" si="147">+AH31/AD31-1</f>
        <v>#DIV/0!</v>
      </c>
      <c r="AI32" s="18">
        <f t="shared" ref="AI32" si="148">+AI31/AE31-1</f>
        <v>-0.43650305711588855</v>
      </c>
      <c r="AJ32" s="18">
        <f t="shared" ref="AJ32:AK32" si="149">+AJ31/AF31-1</f>
        <v>-0.97679526988558141</v>
      </c>
      <c r="AK32" s="18">
        <f t="shared" si="149"/>
        <v>-0.64607656060202223</v>
      </c>
    </row>
    <row r="33" spans="23:40" x14ac:dyDescent="0.25">
      <c r="W33" s="12" t="s">
        <v>41</v>
      </c>
      <c r="Y33" s="18" t="e">
        <f t="shared" ref="Y33" si="150">+Y31/X31-1</f>
        <v>#DIV/0!</v>
      </c>
      <c r="Z33" s="18" t="e">
        <f t="shared" ref="Z33" si="151">+Z31/Y31-1</f>
        <v>#DIV/0!</v>
      </c>
      <c r="AA33" s="18" t="e">
        <f t="shared" ref="AA33" si="152">+AA31/Z31-1</f>
        <v>#DIV/0!</v>
      </c>
      <c r="AB33" s="18" t="e">
        <f t="shared" ref="AB33" si="153">+AB31/AA31-1</f>
        <v>#DIV/0!</v>
      </c>
      <c r="AC33" s="18" t="e">
        <f t="shared" ref="AC33" si="154">+AC31/AB31-1</f>
        <v>#DIV/0!</v>
      </c>
      <c r="AD33" s="18" t="e">
        <f t="shared" ref="AD33" si="155">+AD31/AC31-1</f>
        <v>#DIV/0!</v>
      </c>
      <c r="AE33" s="18" t="e">
        <f t="shared" ref="AE33" si="156">+AE31/AD31-1</f>
        <v>#DIV/0!</v>
      </c>
      <c r="AF33" s="18">
        <f t="shared" ref="AF33" si="157">+AF31/AE31-1</f>
        <v>0.36117596294749599</v>
      </c>
      <c r="AG33" s="18">
        <f t="shared" ref="AG33" si="158">+AG31/AF31-1</f>
        <v>0.2520146222568469</v>
      </c>
      <c r="AH33" s="18">
        <f t="shared" ref="AH33" si="159">+AH31/AG31-1</f>
        <v>-1</v>
      </c>
      <c r="AI33" s="18" t="e">
        <f t="shared" ref="AI33" si="160">+AI31/AH31-1</f>
        <v>#DIV/0!</v>
      </c>
      <c r="AJ33" s="18">
        <f t="shared" ref="AJ33:AK33" si="161">+AJ31/AI31-1</f>
        <v>-0.94394695258368699</v>
      </c>
      <c r="AK33" s="18">
        <f t="shared" si="161"/>
        <v>18.095991166489178</v>
      </c>
    </row>
    <row r="34" spans="23:40" x14ac:dyDescent="0.25">
      <c r="Y34" s="18"/>
      <c r="Z34" s="18"/>
      <c r="AA34" s="18"/>
      <c r="AB34" s="18"/>
      <c r="AC34" s="18"/>
      <c r="AD34" s="18"/>
      <c r="AE34" s="18"/>
      <c r="AF34" s="18"/>
      <c r="AG34" s="18"/>
      <c r="AH34" s="18"/>
      <c r="AI34" s="18"/>
      <c r="AJ34" s="18"/>
      <c r="AK34" s="18"/>
    </row>
    <row r="35" spans="23:40" x14ac:dyDescent="0.25">
      <c r="W35" s="12" t="s">
        <v>237</v>
      </c>
      <c r="X35" s="13">
        <f t="shared" ref="X35:AI35" si="162">+X11+X15+X19+X23+X27-X31</f>
        <v>0</v>
      </c>
      <c r="Y35" s="13">
        <f t="shared" si="162"/>
        <v>0</v>
      </c>
      <c r="Z35" s="13">
        <f t="shared" si="162"/>
        <v>0</v>
      </c>
      <c r="AA35" s="13">
        <f t="shared" si="162"/>
        <v>0</v>
      </c>
      <c r="AB35" s="13">
        <f t="shared" si="162"/>
        <v>0</v>
      </c>
      <c r="AC35" s="13">
        <f t="shared" si="162"/>
        <v>0</v>
      </c>
      <c r="AD35" s="13">
        <f t="shared" si="162"/>
        <v>0</v>
      </c>
      <c r="AE35" s="13">
        <f t="shared" si="162"/>
        <v>15731667</v>
      </c>
      <c r="AF35" s="13">
        <f t="shared" si="162"/>
        <v>11633623</v>
      </c>
      <c r="AG35" s="13">
        <f t="shared" si="162"/>
        <v>8474972</v>
      </c>
      <c r="AH35" s="13">
        <f t="shared" si="162"/>
        <v>0</v>
      </c>
      <c r="AI35" s="13">
        <f t="shared" si="162"/>
        <v>15081136</v>
      </c>
      <c r="AJ35" s="13">
        <f>+AJ11+AJ15+AJ19+AJ23+AJ27-AJ31</f>
        <v>20248835</v>
      </c>
      <c r="AK35" s="13">
        <f t="shared" ref="AK35" si="163">+AK11+AK15+AK19+AK23+AK27-AK31</f>
        <v>20804748</v>
      </c>
      <c r="AM35" s="14" t="e">
        <f>+AVERAGE(X60:AJ60)</f>
        <v>#DIV/0!</v>
      </c>
      <c r="AN35" s="50" t="s">
        <v>88</v>
      </c>
    </row>
    <row r="36" spans="23:40" x14ac:dyDescent="0.25">
      <c r="W36" s="12" t="s">
        <v>40</v>
      </c>
      <c r="X36" s="17"/>
      <c r="Y36" s="17"/>
      <c r="Z36" s="17"/>
      <c r="AA36" s="17"/>
      <c r="AB36" s="18" t="e">
        <f t="shared" ref="AB36" si="164">+AB35/X35-1</f>
        <v>#DIV/0!</v>
      </c>
      <c r="AC36" s="18" t="e">
        <f t="shared" ref="AC36" si="165">+AC35/Y35-1</f>
        <v>#DIV/0!</v>
      </c>
      <c r="AD36" s="18" t="e">
        <f t="shared" ref="AD36" si="166">+AD35/Z35-1</f>
        <v>#DIV/0!</v>
      </c>
      <c r="AE36" s="18" t="e">
        <f t="shared" ref="AE36" si="167">+AE35/AA35-1</f>
        <v>#DIV/0!</v>
      </c>
      <c r="AF36" s="18" t="e">
        <f t="shared" ref="AF36" si="168">+AF35/AB35-1</f>
        <v>#DIV/0!</v>
      </c>
      <c r="AG36" s="18" t="e">
        <f t="shared" ref="AG36" si="169">+AG35/AC35-1</f>
        <v>#DIV/0!</v>
      </c>
      <c r="AH36" s="18" t="e">
        <f t="shared" ref="AH36" si="170">+AH35/AD35-1</f>
        <v>#DIV/0!</v>
      </c>
      <c r="AI36" s="18">
        <f t="shared" ref="AI36" si="171">+AI35/AE35-1</f>
        <v>-4.1351688921460128E-2</v>
      </c>
      <c r="AJ36" s="18">
        <f t="shared" ref="AJ36:AK36" si="172">+AJ35/AF35-1</f>
        <v>0.74054419676484273</v>
      </c>
      <c r="AK36" s="18">
        <f t="shared" si="172"/>
        <v>1.4548456325283436</v>
      </c>
      <c r="AM36" s="56" t="e">
        <f>AVERAGE(X60:AJ60)*AJ84</f>
        <v>#DIV/0!</v>
      </c>
      <c r="AN36" s="50" t="s">
        <v>183</v>
      </c>
    </row>
    <row r="37" spans="23:40" x14ac:dyDescent="0.25">
      <c r="W37" s="12" t="s">
        <v>41</v>
      </c>
      <c r="Y37" s="18" t="e">
        <f t="shared" ref="Y37" si="173">+Y35/X35-1</f>
        <v>#DIV/0!</v>
      </c>
      <c r="Z37" s="18" t="e">
        <f t="shared" ref="Z37" si="174">+Z35/Y35-1</f>
        <v>#DIV/0!</v>
      </c>
      <c r="AA37" s="18" t="e">
        <f t="shared" ref="AA37" si="175">+AA35/Z35-1</f>
        <v>#DIV/0!</v>
      </c>
      <c r="AB37" s="18" t="e">
        <f t="shared" ref="AB37" si="176">+AB35/AA35-1</f>
        <v>#DIV/0!</v>
      </c>
      <c r="AC37" s="18" t="e">
        <f t="shared" ref="AC37" si="177">+AC35/AB35-1</f>
        <v>#DIV/0!</v>
      </c>
      <c r="AD37" s="18" t="e">
        <f t="shared" ref="AD37" si="178">+AD35/AC35-1</f>
        <v>#DIV/0!</v>
      </c>
      <c r="AE37" s="18" t="e">
        <f t="shared" ref="AE37" si="179">+AE35/AD35-1</f>
        <v>#DIV/0!</v>
      </c>
      <c r="AF37" s="18">
        <f t="shared" ref="AF37" si="180">+AF35/AE35-1</f>
        <v>-0.26049648775301437</v>
      </c>
      <c r="AG37" s="18">
        <f t="shared" ref="AG37" si="181">+AG35/AF35-1</f>
        <v>-0.27151051740287613</v>
      </c>
      <c r="AH37" s="18">
        <f t="shared" ref="AH37" si="182">+AH35/AG35-1</f>
        <v>-1</v>
      </c>
      <c r="AI37" s="18" t="e">
        <f t="shared" ref="AI37" si="183">+AI35/AH35-1</f>
        <v>#DIV/0!</v>
      </c>
      <c r="AJ37" s="18">
        <f t="shared" ref="AJ37:AK37" si="184">+AJ35/AI35-1</f>
        <v>0.34265979698081095</v>
      </c>
      <c r="AK37" s="18">
        <f t="shared" si="184"/>
        <v>2.7454073283722291E-2</v>
      </c>
      <c r="AM37" s="56" t="e">
        <f>91.5/AM36</f>
        <v>#DIV/0!</v>
      </c>
      <c r="AN37" s="50" t="s">
        <v>11</v>
      </c>
    </row>
    <row r="38" spans="23:40" x14ac:dyDescent="0.25">
      <c r="Y38" s="18"/>
      <c r="Z38" s="18"/>
      <c r="AA38" s="18"/>
      <c r="AB38" s="18"/>
      <c r="AC38" s="18"/>
      <c r="AD38" s="18"/>
      <c r="AE38" s="18"/>
      <c r="AF38" s="18"/>
      <c r="AG38" s="18"/>
      <c r="AH38" s="18"/>
      <c r="AI38" s="18"/>
      <c r="AJ38" s="18"/>
      <c r="AK38" s="18"/>
    </row>
    <row r="39" spans="23:40" x14ac:dyDescent="0.25">
      <c r="W39" s="12" t="s">
        <v>238</v>
      </c>
      <c r="X39" s="13"/>
      <c r="Y39" s="13"/>
      <c r="Z39" s="13"/>
      <c r="AA39" s="13"/>
      <c r="AB39" s="13"/>
      <c r="AC39" s="13"/>
      <c r="AD39" s="13"/>
      <c r="AE39" s="13">
        <v>8700418</v>
      </c>
      <c r="AF39" s="13">
        <v>3997716</v>
      </c>
      <c r="AG39" s="13">
        <v>1210060</v>
      </c>
      <c r="AH39" s="13"/>
      <c r="AI39" s="13">
        <v>6718695</v>
      </c>
      <c r="AJ39" s="13">
        <v>11042753</v>
      </c>
      <c r="AK39" s="13">
        <v>12132063</v>
      </c>
    </row>
    <row r="40" spans="23:40" x14ac:dyDescent="0.25">
      <c r="W40" s="12" t="s">
        <v>250</v>
      </c>
      <c r="X40" s="19" t="e">
        <f t="shared" ref="X40:AI40" si="185">+(X35-X39)/(X35+X31)</f>
        <v>#DIV/0!</v>
      </c>
      <c r="Y40" s="19" t="e">
        <f t="shared" si="185"/>
        <v>#DIV/0!</v>
      </c>
      <c r="Z40" s="19" t="e">
        <f t="shared" si="185"/>
        <v>#DIV/0!</v>
      </c>
      <c r="AA40" s="19" t="e">
        <f t="shared" si="185"/>
        <v>#DIV/0!</v>
      </c>
      <c r="AB40" s="19" t="e">
        <f t="shared" si="185"/>
        <v>#DIV/0!</v>
      </c>
      <c r="AC40" s="19" t="e">
        <f t="shared" si="185"/>
        <v>#DIV/0!</v>
      </c>
      <c r="AD40" s="19" t="e">
        <f t="shared" si="185"/>
        <v>#DIV/0!</v>
      </c>
      <c r="AE40" s="19">
        <f t="shared" si="185"/>
        <v>0.25263663759046862</v>
      </c>
      <c r="AF40" s="19">
        <f t="shared" si="185"/>
        <v>0.27170580805636746</v>
      </c>
      <c r="AG40" s="19">
        <f t="shared" si="185"/>
        <v>0.24969105298518635</v>
      </c>
      <c r="AH40" s="19" t="e">
        <f t="shared" si="185"/>
        <v>#DIV/0!</v>
      </c>
      <c r="AI40" s="19">
        <f t="shared" si="185"/>
        <v>0.38185816393171335</v>
      </c>
      <c r="AJ40" s="19">
        <f>+(AJ35-AJ39)/(AJ35+AJ31)</f>
        <v>0.44622533374022877</v>
      </c>
      <c r="AK40" s="19">
        <f t="shared" ref="AK40" si="186">+(AK35-AK39)/(AK35+AK31)</f>
        <v>0.3086049244858346</v>
      </c>
    </row>
    <row r="42" spans="23:40" x14ac:dyDescent="0.25">
      <c r="W42" s="12" t="s">
        <v>239</v>
      </c>
      <c r="X42" s="13"/>
      <c r="Y42" s="13"/>
      <c r="Z42" s="13"/>
      <c r="AA42" s="13"/>
      <c r="AB42" s="13"/>
      <c r="AC42" s="13"/>
      <c r="AD42" s="13"/>
      <c r="AE42" s="13">
        <v>1871796</v>
      </c>
      <c r="AF42" s="13">
        <v>1186530</v>
      </c>
      <c r="AG42" s="13">
        <v>643054</v>
      </c>
      <c r="AH42" s="13"/>
      <c r="AI42" s="13">
        <v>1716615</v>
      </c>
      <c r="AJ42" s="13">
        <v>2614473</v>
      </c>
      <c r="AK42" s="13">
        <v>2718569</v>
      </c>
    </row>
    <row r="43" spans="23:40" x14ac:dyDescent="0.25">
      <c r="W43" s="12" t="s">
        <v>45</v>
      </c>
      <c r="X43" s="15" t="e">
        <f t="shared" ref="X43:AJ43" si="187">+X42/X39</f>
        <v>#DIV/0!</v>
      </c>
      <c r="Y43" s="15" t="e">
        <f t="shared" si="187"/>
        <v>#DIV/0!</v>
      </c>
      <c r="Z43" s="15" t="e">
        <f t="shared" si="187"/>
        <v>#DIV/0!</v>
      </c>
      <c r="AA43" s="15" t="e">
        <f t="shared" si="187"/>
        <v>#DIV/0!</v>
      </c>
      <c r="AB43" s="15" t="e">
        <f t="shared" si="187"/>
        <v>#DIV/0!</v>
      </c>
      <c r="AC43" s="15" t="e">
        <f t="shared" si="187"/>
        <v>#DIV/0!</v>
      </c>
      <c r="AD43" s="15" t="e">
        <f t="shared" si="187"/>
        <v>#DIV/0!</v>
      </c>
      <c r="AE43" s="15">
        <f t="shared" si="187"/>
        <v>0.21513862897161953</v>
      </c>
      <c r="AF43" s="15">
        <f t="shared" si="187"/>
        <v>0.29680197392711238</v>
      </c>
      <c r="AG43" s="15">
        <f t="shared" si="187"/>
        <v>0.53142323521147716</v>
      </c>
      <c r="AH43" s="15" t="e">
        <f t="shared" si="187"/>
        <v>#DIV/0!</v>
      </c>
      <c r="AI43" s="15">
        <f t="shared" si="187"/>
        <v>0.25549827756729543</v>
      </c>
      <c r="AJ43" s="15">
        <f t="shared" si="187"/>
        <v>0.23675916684906381</v>
      </c>
      <c r="AK43" s="15">
        <f t="shared" ref="AK43" si="188">+AK42/AK39</f>
        <v>0.22408134543976568</v>
      </c>
    </row>
    <row r="45" spans="23:40" x14ac:dyDescent="0.25">
      <c r="W45" s="12" t="s">
        <v>21</v>
      </c>
      <c r="X45" s="13">
        <f t="shared" ref="X45:AI45" si="189">+X39-X42</f>
        <v>0</v>
      </c>
      <c r="Y45" s="13">
        <f t="shared" si="189"/>
        <v>0</v>
      </c>
      <c r="Z45" s="13">
        <f t="shared" si="189"/>
        <v>0</v>
      </c>
      <c r="AA45" s="13">
        <f t="shared" si="189"/>
        <v>0</v>
      </c>
      <c r="AB45" s="13">
        <f t="shared" si="189"/>
        <v>0</v>
      </c>
      <c r="AC45" s="13">
        <f t="shared" si="189"/>
        <v>0</v>
      </c>
      <c r="AD45" s="13">
        <f t="shared" si="189"/>
        <v>0</v>
      </c>
      <c r="AE45" s="13">
        <f t="shared" si="189"/>
        <v>6828622</v>
      </c>
      <c r="AF45" s="13">
        <f t="shared" si="189"/>
        <v>2811186</v>
      </c>
      <c r="AG45" s="13">
        <f t="shared" si="189"/>
        <v>567006</v>
      </c>
      <c r="AH45" s="13">
        <f t="shared" si="189"/>
        <v>0</v>
      </c>
      <c r="AI45" s="13">
        <f t="shared" si="189"/>
        <v>5002080</v>
      </c>
      <c r="AJ45" s="13">
        <f>+AJ39-AJ42</f>
        <v>8428280</v>
      </c>
      <c r="AK45" s="13">
        <f t="shared" ref="AK45" si="190">+AK39-AK42</f>
        <v>9413494</v>
      </c>
    </row>
    <row r="46" spans="23:40" x14ac:dyDescent="0.25">
      <c r="W46" s="12" t="s">
        <v>46</v>
      </c>
      <c r="X46" s="19" t="e">
        <f t="shared" ref="X46:AJ46" si="191">+X45/X3</f>
        <v>#DIV/0!</v>
      </c>
      <c r="Y46" s="19" t="e">
        <f t="shared" si="191"/>
        <v>#DIV/0!</v>
      </c>
      <c r="Z46" s="19" t="e">
        <f t="shared" si="191"/>
        <v>#DIV/0!</v>
      </c>
      <c r="AA46" s="19" t="e">
        <f t="shared" si="191"/>
        <v>#DIV/0!</v>
      </c>
      <c r="AB46" s="19" t="e">
        <f t="shared" si="191"/>
        <v>#DIV/0!</v>
      </c>
      <c r="AC46" s="19" t="e">
        <f t="shared" si="191"/>
        <v>#DIV/0!</v>
      </c>
      <c r="AD46" s="19" t="e">
        <f t="shared" si="191"/>
        <v>#DIV/0!</v>
      </c>
      <c r="AE46" s="19">
        <f t="shared" si="191"/>
        <v>0.25652134273159755</v>
      </c>
      <c r="AF46" s="19">
        <f t="shared" si="191"/>
        <v>7.8258270448533868E-2</v>
      </c>
      <c r="AG46" s="19">
        <f t="shared" si="191"/>
        <v>1.1652082126951442E-2</v>
      </c>
      <c r="AH46" s="19" t="e">
        <f t="shared" si="191"/>
        <v>#DIV/0!</v>
      </c>
      <c r="AI46" s="19">
        <f t="shared" si="191"/>
        <v>9.560313095437481E-2</v>
      </c>
      <c r="AJ46" s="19">
        <f t="shared" si="191"/>
        <v>0.15993942391194468</v>
      </c>
      <c r="AK46" s="19">
        <f t="shared" ref="AK46" si="192">+AK45/AK3</f>
        <v>0.17124557948815194</v>
      </c>
    </row>
    <row r="48" spans="23:40" x14ac:dyDescent="0.25">
      <c r="W48" s="12" t="s">
        <v>47</v>
      </c>
      <c r="X48" s="13"/>
      <c r="Y48" s="13"/>
      <c r="Z48" s="13"/>
      <c r="AA48" s="13"/>
      <c r="AB48" s="13"/>
      <c r="AC48" s="13"/>
      <c r="AD48" s="13"/>
      <c r="AE48" s="13">
        <v>1975170</v>
      </c>
      <c r="AF48" s="13">
        <v>295419</v>
      </c>
      <c r="AG48" s="13">
        <v>250655</v>
      </c>
      <c r="AH48" s="13"/>
      <c r="AI48" s="13">
        <v>1991849</v>
      </c>
      <c r="AJ48" s="13">
        <v>3800560</v>
      </c>
      <c r="AK48" s="13">
        <v>4321308</v>
      </c>
    </row>
    <row r="49" spans="23:37" x14ac:dyDescent="0.25">
      <c r="W49" s="12" t="s">
        <v>48</v>
      </c>
      <c r="X49" s="14" t="e">
        <f t="shared" ref="X49:AJ49" si="193">+X48/X45</f>
        <v>#DIV/0!</v>
      </c>
      <c r="Y49" s="14" t="e">
        <f t="shared" si="193"/>
        <v>#DIV/0!</v>
      </c>
      <c r="Z49" s="14" t="e">
        <f t="shared" si="193"/>
        <v>#DIV/0!</v>
      </c>
      <c r="AA49" s="14" t="e">
        <f t="shared" si="193"/>
        <v>#DIV/0!</v>
      </c>
      <c r="AB49" s="14" t="e">
        <f t="shared" si="193"/>
        <v>#DIV/0!</v>
      </c>
      <c r="AC49" s="14" t="e">
        <f t="shared" si="193"/>
        <v>#DIV/0!</v>
      </c>
      <c r="AD49" s="14" t="e">
        <f t="shared" si="193"/>
        <v>#DIV/0!</v>
      </c>
      <c r="AE49" s="14">
        <f t="shared" si="193"/>
        <v>0.28924869468539921</v>
      </c>
      <c r="AF49" s="14">
        <f t="shared" si="193"/>
        <v>0.10508696329591852</v>
      </c>
      <c r="AG49" s="14">
        <f t="shared" si="193"/>
        <v>0.44206763244127928</v>
      </c>
      <c r="AH49" s="14" t="e">
        <f t="shared" si="193"/>
        <v>#DIV/0!</v>
      </c>
      <c r="AI49" s="14">
        <f t="shared" si="193"/>
        <v>0.39820414707481688</v>
      </c>
      <c r="AJ49" s="14">
        <f t="shared" si="193"/>
        <v>0.45092948976540886</v>
      </c>
      <c r="AK49" s="14">
        <f t="shared" ref="AK49" si="194">+AK48/AK45</f>
        <v>0.4590546294500214</v>
      </c>
    </row>
    <row r="51" spans="23:37" x14ac:dyDescent="0.25">
      <c r="W51" s="12" t="s">
        <v>74</v>
      </c>
      <c r="X51" s="13">
        <v>0</v>
      </c>
      <c r="Y51" s="13">
        <v>0</v>
      </c>
      <c r="Z51" s="13">
        <v>0</v>
      </c>
      <c r="AA51" s="13">
        <v>0</v>
      </c>
      <c r="AB51" s="13">
        <v>0</v>
      </c>
      <c r="AC51" s="13">
        <v>0</v>
      </c>
      <c r="AD51" s="13">
        <v>0</v>
      </c>
      <c r="AE51" s="13">
        <v>0</v>
      </c>
      <c r="AF51" s="13">
        <v>0</v>
      </c>
      <c r="AG51" s="13">
        <v>0</v>
      </c>
      <c r="AH51" s="13">
        <v>0</v>
      </c>
      <c r="AI51" s="13">
        <v>0</v>
      </c>
      <c r="AJ51" s="13">
        <v>0</v>
      </c>
      <c r="AK51" s="13">
        <v>0</v>
      </c>
    </row>
    <row r="53" spans="23:37" x14ac:dyDescent="0.25">
      <c r="W53" s="12" t="s">
        <v>49</v>
      </c>
      <c r="X53" s="13">
        <f t="shared" ref="X53:AI53" si="195">+X45-X48-X51</f>
        <v>0</v>
      </c>
      <c r="Y53" s="13">
        <f t="shared" si="195"/>
        <v>0</v>
      </c>
      <c r="Z53" s="13">
        <f t="shared" si="195"/>
        <v>0</v>
      </c>
      <c r="AA53" s="13">
        <f t="shared" si="195"/>
        <v>0</v>
      </c>
      <c r="AB53" s="13">
        <f t="shared" si="195"/>
        <v>0</v>
      </c>
      <c r="AC53" s="13">
        <f t="shared" si="195"/>
        <v>0</v>
      </c>
      <c r="AD53" s="13">
        <f t="shared" si="195"/>
        <v>0</v>
      </c>
      <c r="AE53" s="13">
        <f t="shared" si="195"/>
        <v>4853452</v>
      </c>
      <c r="AF53" s="13">
        <f t="shared" si="195"/>
        <v>2515767</v>
      </c>
      <c r="AG53" s="13">
        <f t="shared" si="195"/>
        <v>316351</v>
      </c>
      <c r="AH53" s="13">
        <f t="shared" si="195"/>
        <v>0</v>
      </c>
      <c r="AI53" s="13">
        <f t="shared" si="195"/>
        <v>3010231</v>
      </c>
      <c r="AJ53" s="13">
        <f>+AJ45-AJ48-AJ51</f>
        <v>4627720</v>
      </c>
      <c r="AK53" s="13">
        <f t="shared" ref="AK53" si="196">+AK45-AK48-AK51</f>
        <v>5092186</v>
      </c>
    </row>
    <row r="54" spans="23:37" x14ac:dyDescent="0.25">
      <c r="W54" s="12" t="s">
        <v>25</v>
      </c>
      <c r="X54" s="19" t="e">
        <f t="shared" ref="X54:AJ54" si="197">+X53/X3</f>
        <v>#DIV/0!</v>
      </c>
      <c r="Y54" s="19" t="e">
        <f t="shared" si="197"/>
        <v>#DIV/0!</v>
      </c>
      <c r="Z54" s="19" t="e">
        <f t="shared" si="197"/>
        <v>#DIV/0!</v>
      </c>
      <c r="AA54" s="19" t="e">
        <f t="shared" si="197"/>
        <v>#DIV/0!</v>
      </c>
      <c r="AB54" s="19" t="e">
        <f t="shared" si="197"/>
        <v>#DIV/0!</v>
      </c>
      <c r="AC54" s="19" t="e">
        <f t="shared" si="197"/>
        <v>#DIV/0!</v>
      </c>
      <c r="AD54" s="19" t="e">
        <f t="shared" si="197"/>
        <v>#DIV/0!</v>
      </c>
      <c r="AE54" s="19">
        <f t="shared" si="197"/>
        <v>0.18232287918753703</v>
      </c>
      <c r="AF54" s="19">
        <f t="shared" si="197"/>
        <v>7.0034346454306728E-2</v>
      </c>
      <c r="AG54" s="19">
        <f t="shared" si="197"/>
        <v>6.5010737680786714E-3</v>
      </c>
      <c r="AH54" s="19" t="e">
        <f t="shared" si="197"/>
        <v>#DIV/0!</v>
      </c>
      <c r="AI54" s="19">
        <f t="shared" si="197"/>
        <v>5.7533567735005967E-2</v>
      </c>
      <c r="AJ54" s="19">
        <f t="shared" si="197"/>
        <v>8.7818021093958046E-2</v>
      </c>
      <c r="AK54" s="19">
        <f t="shared" ref="AK54" si="198">+AK53/AK3</f>
        <v>9.2634503451264158E-2</v>
      </c>
    </row>
    <row r="55" spans="23:37" x14ac:dyDescent="0.25">
      <c r="AK55" s="46"/>
    </row>
    <row r="56" spans="23:37" x14ac:dyDescent="0.25">
      <c r="W56" s="12" t="s">
        <v>29</v>
      </c>
      <c r="X56" s="16">
        <f t="shared" ref="X56:AJ56" si="199">+X53/X82</f>
        <v>0</v>
      </c>
      <c r="Y56" s="16">
        <f t="shared" si="199"/>
        <v>0</v>
      </c>
      <c r="Z56" s="16">
        <f t="shared" si="199"/>
        <v>0</v>
      </c>
      <c r="AA56" s="16">
        <f t="shared" si="199"/>
        <v>0</v>
      </c>
      <c r="AB56" s="16">
        <f t="shared" si="199"/>
        <v>0</v>
      </c>
      <c r="AC56" s="16">
        <f t="shared" si="199"/>
        <v>0</v>
      </c>
      <c r="AD56" s="16">
        <f t="shared" si="199"/>
        <v>0</v>
      </c>
      <c r="AE56" s="16">
        <f t="shared" si="199"/>
        <v>4.1386960472337373</v>
      </c>
      <c r="AF56" s="16">
        <f t="shared" si="199"/>
        <v>2.1452761742901916</v>
      </c>
      <c r="AG56" s="16">
        <f t="shared" si="199"/>
        <v>0.26976276539634886</v>
      </c>
      <c r="AH56" s="16">
        <f t="shared" si="199"/>
        <v>0</v>
      </c>
      <c r="AI56" s="16">
        <f t="shared" si="199"/>
        <v>2.566921675739342</v>
      </c>
      <c r="AJ56" s="16">
        <f t="shared" si="199"/>
        <v>3.9462070443273185</v>
      </c>
      <c r="AK56" s="16">
        <f t="shared" ref="AK56" si="200">+AK53/AK82</f>
        <v>4.34227227754163</v>
      </c>
    </row>
    <row r="57" spans="23:37" x14ac:dyDescent="0.25">
      <c r="W57" s="12" t="s">
        <v>40</v>
      </c>
      <c r="AA57" s="17"/>
      <c r="AB57" s="18" t="e">
        <f t="shared" ref="AB57:AK57" si="201">+AB56/X56-1</f>
        <v>#DIV/0!</v>
      </c>
      <c r="AC57" s="18" t="e">
        <f t="shared" si="201"/>
        <v>#DIV/0!</v>
      </c>
      <c r="AD57" s="18" t="e">
        <f t="shared" si="201"/>
        <v>#DIV/0!</v>
      </c>
      <c r="AE57" s="18" t="e">
        <f t="shared" si="201"/>
        <v>#DIV/0!</v>
      </c>
      <c r="AF57" s="18" t="e">
        <f t="shared" si="201"/>
        <v>#DIV/0!</v>
      </c>
      <c r="AG57" s="18" t="e">
        <f t="shared" si="201"/>
        <v>#DIV/0!</v>
      </c>
      <c r="AH57" s="18" t="e">
        <f t="shared" si="201"/>
        <v>#DIV/0!</v>
      </c>
      <c r="AI57" s="18">
        <f t="shared" si="201"/>
        <v>-0.37977526098949776</v>
      </c>
      <c r="AJ57" s="18">
        <f t="shared" si="201"/>
        <v>0.83948672512200062</v>
      </c>
      <c r="AK57" s="18">
        <f t="shared" si="201"/>
        <v>15.096633170118004</v>
      </c>
    </row>
    <row r="58" spans="23:37" x14ac:dyDescent="0.25">
      <c r="W58" s="12" t="s">
        <v>41</v>
      </c>
      <c r="Y58" s="18" t="e">
        <f t="shared" ref="Y58:AD58" si="202">+Y56/X56-1</f>
        <v>#DIV/0!</v>
      </c>
      <c r="Z58" s="18" t="e">
        <f t="shared" si="202"/>
        <v>#DIV/0!</v>
      </c>
      <c r="AA58" s="18" t="e">
        <f t="shared" si="202"/>
        <v>#DIV/0!</v>
      </c>
      <c r="AB58" s="18" t="e">
        <f t="shared" si="202"/>
        <v>#DIV/0!</v>
      </c>
      <c r="AC58" s="18" t="e">
        <f t="shared" si="202"/>
        <v>#DIV/0!</v>
      </c>
      <c r="AD58" s="18" t="e">
        <f t="shared" si="202"/>
        <v>#DIV/0!</v>
      </c>
      <c r="AE58" s="18" t="e">
        <f>+AE56/AD56-1</f>
        <v>#DIV/0!</v>
      </c>
      <c r="AF58" s="18">
        <f>+AF56/AE56-1</f>
        <v>-0.48165408867750203</v>
      </c>
      <c r="AG58" s="18">
        <f>+AG56/AF56-1</f>
        <v>-0.87425266330308016</v>
      </c>
      <c r="AH58" s="18">
        <f t="shared" ref="AH58" si="203">+AH56/AG56-1</f>
        <v>-1</v>
      </c>
      <c r="AI58" s="18" t="e">
        <f>+AI56/AH56-1</f>
        <v>#DIV/0!</v>
      </c>
      <c r="AJ58" s="18">
        <f>+AJ56/AI56-1</f>
        <v>0.53733052380365498</v>
      </c>
      <c r="AK58" s="18">
        <f>+AK56/AJ56-1</f>
        <v>0.10036605499036244</v>
      </c>
    </row>
    <row r="59" spans="23:37" x14ac:dyDescent="0.25">
      <c r="Y59" s="18"/>
      <c r="Z59" s="18"/>
      <c r="AA59" s="18"/>
      <c r="AB59" s="18"/>
      <c r="AC59" s="18"/>
      <c r="AD59" s="18"/>
      <c r="AE59" s="18"/>
      <c r="AF59" s="18"/>
      <c r="AG59" s="18"/>
      <c r="AH59" s="18"/>
      <c r="AI59" s="18"/>
      <c r="AJ59" s="18"/>
      <c r="AK59" s="18"/>
    </row>
    <row r="60" spans="23:37" x14ac:dyDescent="0.25">
      <c r="W60" s="12" t="s">
        <v>88</v>
      </c>
      <c r="X60" s="18" t="e">
        <f t="shared" ref="X60:AJ60" si="204">+X53*4/X78</f>
        <v>#DIV/0!</v>
      </c>
      <c r="Y60" s="18" t="e">
        <f t="shared" si="204"/>
        <v>#DIV/0!</v>
      </c>
      <c r="Z60" s="18" t="e">
        <f t="shared" si="204"/>
        <v>#DIV/0!</v>
      </c>
      <c r="AA60" s="18" t="e">
        <f t="shared" si="204"/>
        <v>#DIV/0!</v>
      </c>
      <c r="AB60" s="18" t="e">
        <f t="shared" si="204"/>
        <v>#DIV/0!</v>
      </c>
      <c r="AC60" s="18" t="e">
        <f t="shared" si="204"/>
        <v>#DIV/0!</v>
      </c>
      <c r="AD60" s="18" t="e">
        <f t="shared" si="204"/>
        <v>#DIV/0!</v>
      </c>
      <c r="AE60" s="18" t="e">
        <f t="shared" si="204"/>
        <v>#DIV/0!</v>
      </c>
      <c r="AF60" s="18" t="e">
        <f t="shared" si="204"/>
        <v>#DIV/0!</v>
      </c>
      <c r="AG60" s="18" t="e">
        <f t="shared" si="204"/>
        <v>#DIV/0!</v>
      </c>
      <c r="AH60" s="18">
        <f t="shared" si="204"/>
        <v>0</v>
      </c>
      <c r="AI60" s="18">
        <f t="shared" si="204"/>
        <v>8.9466956949307452E-2</v>
      </c>
      <c r="AJ60" s="18">
        <f t="shared" si="204"/>
        <v>0.13122591647481135</v>
      </c>
      <c r="AK60" s="18">
        <f t="shared" ref="AK60" si="205">+AK53*4/AK78</f>
        <v>0.13350083248177883</v>
      </c>
    </row>
    <row r="62" spans="23:37" x14ac:dyDescent="0.25">
      <c r="W62" s="12" t="s">
        <v>253</v>
      </c>
      <c r="X62" s="13"/>
      <c r="Y62" s="13"/>
      <c r="Z62" s="13"/>
      <c r="AA62" s="13"/>
      <c r="AB62" s="13"/>
      <c r="AC62" s="13"/>
      <c r="AD62" s="13"/>
      <c r="AE62" s="13"/>
      <c r="AF62" s="13"/>
      <c r="AG62" s="13"/>
      <c r="AH62" s="13">
        <v>839976738</v>
      </c>
      <c r="AI62" s="13">
        <v>814846309</v>
      </c>
      <c r="AJ62" s="13">
        <v>810840181</v>
      </c>
      <c r="AK62" s="13">
        <v>778664217</v>
      </c>
    </row>
    <row r="63" spans="23:37" x14ac:dyDescent="0.25">
      <c r="W63" s="12" t="s">
        <v>40</v>
      </c>
      <c r="X63" s="17"/>
      <c r="Y63" s="17"/>
      <c r="Z63" s="17"/>
      <c r="AA63" s="17"/>
      <c r="AB63" s="18" t="e">
        <f t="shared" ref="AB63" si="206">+AB62/X62-1</f>
        <v>#DIV/0!</v>
      </c>
      <c r="AC63" s="18" t="e">
        <f t="shared" ref="AC63" si="207">+AC62/Y62-1</f>
        <v>#DIV/0!</v>
      </c>
      <c r="AD63" s="18" t="e">
        <f t="shared" ref="AD63" si="208">+AD62/Z62-1</f>
        <v>#DIV/0!</v>
      </c>
      <c r="AE63" s="18" t="e">
        <f t="shared" ref="AE63" si="209">+AE62/AA62-1</f>
        <v>#DIV/0!</v>
      </c>
      <c r="AF63" s="18" t="e">
        <f t="shared" ref="AF63" si="210">+AF62/AB62-1</f>
        <v>#DIV/0!</v>
      </c>
      <c r="AG63" s="18" t="e">
        <f t="shared" ref="AG63" si="211">+AG62/AC62-1</f>
        <v>#DIV/0!</v>
      </c>
      <c r="AH63" s="18" t="e">
        <f t="shared" ref="AH63" si="212">+AH62/AD62-1</f>
        <v>#DIV/0!</v>
      </c>
      <c r="AI63" s="18" t="e">
        <f t="shared" ref="AI63" si="213">+AI62/AE62-1</f>
        <v>#DIV/0!</v>
      </c>
      <c r="AJ63" s="18" t="e">
        <f t="shared" ref="AJ63:AK63" si="214">+AJ62/AF62-1</f>
        <v>#DIV/0!</v>
      </c>
      <c r="AK63" s="18" t="e">
        <f t="shared" si="214"/>
        <v>#DIV/0!</v>
      </c>
    </row>
    <row r="64" spans="23:37" x14ac:dyDescent="0.25">
      <c r="W64" s="12" t="s">
        <v>41</v>
      </c>
      <c r="Y64" s="18" t="e">
        <f t="shared" ref="Y64" si="215">+Y62/X62-1</f>
        <v>#DIV/0!</v>
      </c>
      <c r="Z64" s="18" t="e">
        <f t="shared" ref="Z64" si="216">+Z62/Y62-1</f>
        <v>#DIV/0!</v>
      </c>
      <c r="AA64" s="18" t="e">
        <f t="shared" ref="AA64" si="217">+AA62/Z62-1</f>
        <v>#DIV/0!</v>
      </c>
      <c r="AB64" s="18" t="e">
        <f t="shared" ref="AB64" si="218">+AB62/AA62-1</f>
        <v>#DIV/0!</v>
      </c>
      <c r="AC64" s="18" t="e">
        <f t="shared" ref="AC64" si="219">+AC62/AB62-1</f>
        <v>#DIV/0!</v>
      </c>
      <c r="AD64" s="18" t="e">
        <f t="shared" ref="AD64" si="220">+AD62/AC62-1</f>
        <v>#DIV/0!</v>
      </c>
      <c r="AE64" s="18" t="e">
        <f t="shared" ref="AE64" si="221">+AE62/AD62-1</f>
        <v>#DIV/0!</v>
      </c>
      <c r="AF64" s="18" t="e">
        <f t="shared" ref="AF64" si="222">+AF62/AE62-1</f>
        <v>#DIV/0!</v>
      </c>
      <c r="AG64" s="18" t="e">
        <f t="shared" ref="AG64" si="223">+AG62/AF62-1</f>
        <v>#DIV/0!</v>
      </c>
      <c r="AH64" s="18" t="e">
        <f t="shared" ref="AH64" si="224">+AH62/AG62-1</f>
        <v>#DIV/0!</v>
      </c>
      <c r="AI64" s="18">
        <f t="shared" ref="AI64" si="225">+AI62/AH62-1</f>
        <v>-2.9918005896015676E-2</v>
      </c>
      <c r="AJ64" s="18">
        <f t="shared" ref="AJ64:AK64" si="226">+AJ62/AI62-1</f>
        <v>-4.9164216070591849E-3</v>
      </c>
      <c r="AK64" s="18">
        <f t="shared" si="226"/>
        <v>-3.9682251513877609E-2</v>
      </c>
    </row>
    <row r="66" spans="23:37" x14ac:dyDescent="0.25">
      <c r="W66" s="12" t="s">
        <v>240</v>
      </c>
      <c r="X66" s="13"/>
      <c r="Y66" s="13"/>
      <c r="Z66" s="13"/>
      <c r="AA66" s="13"/>
      <c r="AB66" s="13"/>
      <c r="AC66" s="13"/>
      <c r="AD66" s="13"/>
      <c r="AE66" s="13"/>
      <c r="AF66" s="13"/>
      <c r="AG66" s="13"/>
      <c r="AH66" s="13">
        <v>284237662</v>
      </c>
      <c r="AI66" s="13">
        <v>263894670</v>
      </c>
      <c r="AJ66" s="13">
        <v>315952116</v>
      </c>
      <c r="AK66" s="13">
        <v>327548395</v>
      </c>
    </row>
    <row r="67" spans="23:37" x14ac:dyDescent="0.25">
      <c r="W67" s="12" t="s">
        <v>40</v>
      </c>
      <c r="X67" s="17"/>
      <c r="Y67" s="17"/>
      <c r="Z67" s="17"/>
      <c r="AA67" s="17"/>
      <c r="AB67" s="18" t="e">
        <f t="shared" ref="AB67" si="227">+AB66/X66-1</f>
        <v>#DIV/0!</v>
      </c>
      <c r="AC67" s="18" t="e">
        <f t="shared" ref="AC67" si="228">+AC66/Y66-1</f>
        <v>#DIV/0!</v>
      </c>
      <c r="AD67" s="18" t="e">
        <f t="shared" ref="AD67" si="229">+AD66/Z66-1</f>
        <v>#DIV/0!</v>
      </c>
      <c r="AE67" s="18" t="e">
        <f t="shared" ref="AE67" si="230">+AE66/AA66-1</f>
        <v>#DIV/0!</v>
      </c>
      <c r="AF67" s="18" t="e">
        <f t="shared" ref="AF67" si="231">+AF66/AB66-1</f>
        <v>#DIV/0!</v>
      </c>
      <c r="AG67" s="18" t="e">
        <f t="shared" ref="AG67" si="232">+AG66/AC66-1</f>
        <v>#DIV/0!</v>
      </c>
      <c r="AH67" s="18" t="e">
        <f t="shared" ref="AH67" si="233">+AH66/AD66-1</f>
        <v>#DIV/0!</v>
      </c>
      <c r="AI67" s="18" t="e">
        <f t="shared" ref="AI67" si="234">+AI66/AE66-1</f>
        <v>#DIV/0!</v>
      </c>
      <c r="AJ67" s="18" t="e">
        <f t="shared" ref="AJ67:AK67" si="235">+AJ66/AF66-1</f>
        <v>#DIV/0!</v>
      </c>
      <c r="AK67" s="18" t="e">
        <f t="shared" si="235"/>
        <v>#DIV/0!</v>
      </c>
    </row>
    <row r="68" spans="23:37" x14ac:dyDescent="0.25">
      <c r="W68" s="12" t="s">
        <v>41</v>
      </c>
      <c r="Y68" s="18" t="e">
        <f t="shared" ref="Y68" si="236">+Y66/X66-1</f>
        <v>#DIV/0!</v>
      </c>
      <c r="Z68" s="18" t="e">
        <f t="shared" ref="Z68" si="237">+Z66/Y66-1</f>
        <v>#DIV/0!</v>
      </c>
      <c r="AA68" s="18" t="e">
        <f t="shared" ref="AA68" si="238">+AA66/Z66-1</f>
        <v>#DIV/0!</v>
      </c>
      <c r="AB68" s="18" t="e">
        <f t="shared" ref="AB68" si="239">+AB66/AA66-1</f>
        <v>#DIV/0!</v>
      </c>
      <c r="AC68" s="18" t="e">
        <f t="shared" ref="AC68" si="240">+AC66/AB66-1</f>
        <v>#DIV/0!</v>
      </c>
      <c r="AD68" s="18" t="e">
        <f t="shared" ref="AD68" si="241">+AD66/AC66-1</f>
        <v>#DIV/0!</v>
      </c>
      <c r="AE68" s="18" t="e">
        <f t="shared" ref="AE68" si="242">+AE66/AD66-1</f>
        <v>#DIV/0!</v>
      </c>
      <c r="AF68" s="18" t="e">
        <f t="shared" ref="AF68" si="243">+AF66/AE66-1</f>
        <v>#DIV/0!</v>
      </c>
      <c r="AG68" s="18" t="e">
        <f t="shared" ref="AG68" si="244">+AG66/AF66-1</f>
        <v>#DIV/0!</v>
      </c>
      <c r="AH68" s="18" t="e">
        <f t="shared" ref="AH68" si="245">+AH66/AG66-1</f>
        <v>#DIV/0!</v>
      </c>
      <c r="AI68" s="18">
        <f t="shared" ref="AI68" si="246">+AI66/AH66-1</f>
        <v>-7.157036072158518E-2</v>
      </c>
      <c r="AJ68" s="18">
        <f t="shared" ref="AJ68:AK68" si="247">+AJ66/AI66-1</f>
        <v>0.19726600010526929</v>
      </c>
      <c r="AK68" s="18">
        <f t="shared" si="247"/>
        <v>3.6702647055543158E-2</v>
      </c>
    </row>
    <row r="69" spans="23:37" x14ac:dyDescent="0.25">
      <c r="Y69" s="18"/>
      <c r="Z69" s="18"/>
      <c r="AA69" s="18"/>
      <c r="AB69" s="18"/>
      <c r="AC69" s="18"/>
      <c r="AD69" s="18"/>
      <c r="AE69" s="18"/>
      <c r="AF69" s="18"/>
      <c r="AG69" s="18"/>
      <c r="AH69" s="18"/>
      <c r="AI69" s="18"/>
      <c r="AJ69" s="18"/>
      <c r="AK69" s="18"/>
    </row>
    <row r="70" spans="23:37" x14ac:dyDescent="0.25">
      <c r="W70" s="12" t="s">
        <v>241</v>
      </c>
      <c r="X70" s="13"/>
      <c r="Y70" s="13"/>
      <c r="Z70" s="13"/>
      <c r="AA70" s="13"/>
      <c r="AB70" s="13"/>
      <c r="AC70" s="13"/>
      <c r="AD70" s="13"/>
      <c r="AE70" s="13"/>
      <c r="AF70" s="13"/>
      <c r="AG70" s="13"/>
      <c r="AH70" s="13"/>
      <c r="AI70" s="13">
        <v>116136049</v>
      </c>
      <c r="AJ70" s="13">
        <v>116328859</v>
      </c>
      <c r="AK70" s="13">
        <v>120106466</v>
      </c>
    </row>
    <row r="71" spans="23:37" x14ac:dyDescent="0.25">
      <c r="W71" s="12" t="s">
        <v>40</v>
      </c>
      <c r="X71" s="17"/>
      <c r="Y71" s="17"/>
      <c r="Z71" s="17"/>
      <c r="AA71" s="17"/>
      <c r="AB71" s="18" t="e">
        <f t="shared" ref="AB71" si="248">+AB70/X70-1</f>
        <v>#DIV/0!</v>
      </c>
      <c r="AC71" s="18" t="e">
        <f t="shared" ref="AC71" si="249">+AC70/Y70-1</f>
        <v>#DIV/0!</v>
      </c>
      <c r="AD71" s="18" t="e">
        <f t="shared" ref="AD71" si="250">+AD70/Z70-1</f>
        <v>#DIV/0!</v>
      </c>
      <c r="AE71" s="18" t="e">
        <f t="shared" ref="AE71" si="251">+AE70/AA70-1</f>
        <v>#DIV/0!</v>
      </c>
      <c r="AF71" s="18" t="e">
        <f t="shared" ref="AF71" si="252">+AF70/AB70-1</f>
        <v>#DIV/0!</v>
      </c>
      <c r="AG71" s="18" t="e">
        <f t="shared" ref="AG71" si="253">+AG70/AC70-1</f>
        <v>#DIV/0!</v>
      </c>
      <c r="AH71" s="18" t="e">
        <f t="shared" ref="AH71" si="254">+AH70/AD70-1</f>
        <v>#DIV/0!</v>
      </c>
      <c r="AI71" s="18" t="e">
        <f t="shared" ref="AI71" si="255">+AI70/AE70-1</f>
        <v>#DIV/0!</v>
      </c>
      <c r="AJ71" s="18" t="e">
        <f t="shared" ref="AJ71:AK71" si="256">+AJ70/AF70-1</f>
        <v>#DIV/0!</v>
      </c>
      <c r="AK71" s="18" t="e">
        <f t="shared" si="256"/>
        <v>#DIV/0!</v>
      </c>
    </row>
    <row r="72" spans="23:37" x14ac:dyDescent="0.25">
      <c r="W72" s="12" t="s">
        <v>41</v>
      </c>
      <c r="Y72" s="18" t="e">
        <f t="shared" ref="Y72" si="257">+Y70/X70-1</f>
        <v>#DIV/0!</v>
      </c>
      <c r="Z72" s="18" t="e">
        <f t="shared" ref="Z72" si="258">+Z70/Y70-1</f>
        <v>#DIV/0!</v>
      </c>
      <c r="AA72" s="18" t="e">
        <f t="shared" ref="AA72" si="259">+AA70/Z70-1</f>
        <v>#DIV/0!</v>
      </c>
      <c r="AB72" s="18" t="e">
        <f t="shared" ref="AB72" si="260">+AB70/AA70-1</f>
        <v>#DIV/0!</v>
      </c>
      <c r="AC72" s="18" t="e">
        <f t="shared" ref="AC72" si="261">+AC70/AB70-1</f>
        <v>#DIV/0!</v>
      </c>
      <c r="AD72" s="18" t="e">
        <f t="shared" ref="AD72" si="262">+AD70/AC70-1</f>
        <v>#DIV/0!</v>
      </c>
      <c r="AE72" s="18" t="e">
        <f t="shared" ref="AE72" si="263">+AE70/AD70-1</f>
        <v>#DIV/0!</v>
      </c>
      <c r="AF72" s="18" t="e">
        <f t="shared" ref="AF72" si="264">+AF70/AE70-1</f>
        <v>#DIV/0!</v>
      </c>
      <c r="AG72" s="18" t="e">
        <f t="shared" ref="AG72" si="265">+AG70/AF70-1</f>
        <v>#DIV/0!</v>
      </c>
      <c r="AH72" s="18" t="e">
        <f t="shared" ref="AH72" si="266">+AH70/AG70-1</f>
        <v>#DIV/0!</v>
      </c>
      <c r="AI72" s="18" t="e">
        <f t="shared" ref="AI72" si="267">+AI70/AH70-1</f>
        <v>#DIV/0!</v>
      </c>
      <c r="AJ72" s="18">
        <f t="shared" ref="AJ72:AK72" si="268">+AJ70/AI70-1</f>
        <v>1.6602080203365066E-3</v>
      </c>
      <c r="AK72" s="18">
        <f t="shared" si="268"/>
        <v>3.2473515449850776E-2</v>
      </c>
    </row>
    <row r="73" spans="23:37" x14ac:dyDescent="0.25">
      <c r="Y73" s="18"/>
      <c r="Z73" s="18"/>
      <c r="AA73" s="18"/>
      <c r="AB73" s="18"/>
      <c r="AC73" s="18"/>
      <c r="AD73" s="18"/>
      <c r="AE73" s="18"/>
      <c r="AF73" s="18"/>
      <c r="AG73" s="18"/>
      <c r="AH73" s="18"/>
      <c r="AI73" s="18"/>
      <c r="AJ73" s="18"/>
      <c r="AK73" s="18"/>
    </row>
    <row r="74" spans="23:37" x14ac:dyDescent="0.25">
      <c r="W74" s="12" t="s">
        <v>242</v>
      </c>
      <c r="X74" s="13"/>
      <c r="Y74" s="13"/>
      <c r="Z74" s="13"/>
      <c r="AA74" s="13"/>
      <c r="AB74" s="13"/>
      <c r="AC74" s="13"/>
      <c r="AD74" s="13"/>
      <c r="AE74" s="13"/>
      <c r="AF74" s="13"/>
      <c r="AG74" s="13"/>
      <c r="AH74" s="13">
        <v>1115155879</v>
      </c>
      <c r="AI74" s="13">
        <v>1084823050</v>
      </c>
      <c r="AJ74" s="13">
        <v>1160706548</v>
      </c>
      <c r="AK74" s="13">
        <v>1225169655</v>
      </c>
    </row>
    <row r="75" spans="23:37" x14ac:dyDescent="0.25">
      <c r="W75" s="12" t="s">
        <v>40</v>
      </c>
      <c r="X75" s="17"/>
      <c r="Y75" s="17"/>
      <c r="Z75" s="17"/>
      <c r="AA75" s="17"/>
      <c r="AB75" s="18" t="e">
        <f t="shared" ref="AB75" si="269">+AB74/X74-1</f>
        <v>#DIV/0!</v>
      </c>
      <c r="AC75" s="18" t="e">
        <f t="shared" ref="AC75" si="270">+AC74/Y74-1</f>
        <v>#DIV/0!</v>
      </c>
      <c r="AD75" s="18" t="e">
        <f t="shared" ref="AD75" si="271">+AD74/Z74-1</f>
        <v>#DIV/0!</v>
      </c>
      <c r="AE75" s="18" t="e">
        <f t="shared" ref="AE75" si="272">+AE74/AA74-1</f>
        <v>#DIV/0!</v>
      </c>
      <c r="AF75" s="18" t="e">
        <f t="shared" ref="AF75" si="273">+AF74/AB74-1</f>
        <v>#DIV/0!</v>
      </c>
      <c r="AG75" s="18" t="e">
        <f t="shared" ref="AG75" si="274">+AG74/AC74-1</f>
        <v>#DIV/0!</v>
      </c>
      <c r="AH75" s="18" t="e">
        <f t="shared" ref="AH75" si="275">+AH74/AD74-1</f>
        <v>#DIV/0!</v>
      </c>
      <c r="AI75" s="18" t="e">
        <f t="shared" ref="AI75" si="276">+AI74/AE74-1</f>
        <v>#DIV/0!</v>
      </c>
      <c r="AJ75" s="18" t="e">
        <f t="shared" ref="AJ75:AK75" si="277">+AJ74/AF74-1</f>
        <v>#DIV/0!</v>
      </c>
      <c r="AK75" s="18" t="e">
        <f t="shared" si="277"/>
        <v>#DIV/0!</v>
      </c>
    </row>
    <row r="76" spans="23:37" x14ac:dyDescent="0.25">
      <c r="W76" s="12" t="s">
        <v>41</v>
      </c>
      <c r="Y76" s="18" t="e">
        <f t="shared" ref="Y76" si="278">+Y74/X74-1</f>
        <v>#DIV/0!</v>
      </c>
      <c r="Z76" s="18" t="e">
        <f t="shared" ref="Z76" si="279">+Z74/Y74-1</f>
        <v>#DIV/0!</v>
      </c>
      <c r="AA76" s="18" t="e">
        <f t="shared" ref="AA76" si="280">+AA74/Z74-1</f>
        <v>#DIV/0!</v>
      </c>
      <c r="AB76" s="18" t="e">
        <f t="shared" ref="AB76" si="281">+AB74/AA74-1</f>
        <v>#DIV/0!</v>
      </c>
      <c r="AC76" s="18" t="e">
        <f t="shared" ref="AC76" si="282">+AC74/AB74-1</f>
        <v>#DIV/0!</v>
      </c>
      <c r="AD76" s="18" t="e">
        <f t="shared" ref="AD76" si="283">+AD74/AC74-1</f>
        <v>#DIV/0!</v>
      </c>
      <c r="AE76" s="18" t="e">
        <f t="shared" ref="AE76" si="284">+AE74/AD74-1</f>
        <v>#DIV/0!</v>
      </c>
      <c r="AF76" s="18" t="e">
        <f t="shared" ref="AF76" si="285">+AF74/AE74-1</f>
        <v>#DIV/0!</v>
      </c>
      <c r="AG76" s="18" t="e">
        <f t="shared" ref="AG76" si="286">+AG74/AF74-1</f>
        <v>#DIV/0!</v>
      </c>
      <c r="AH76" s="18" t="e">
        <f t="shared" ref="AH76" si="287">+AH74/AG74-1</f>
        <v>#DIV/0!</v>
      </c>
      <c r="AI76" s="18">
        <f t="shared" ref="AI76" si="288">+AI74/AH74-1</f>
        <v>-2.7200528259063272E-2</v>
      </c>
      <c r="AJ76" s="18">
        <f t="shared" ref="AJ76:AK76" si="289">+AJ74/AI74-1</f>
        <v>6.9950115827645876E-2</v>
      </c>
      <c r="AK76" s="18">
        <f t="shared" si="289"/>
        <v>5.553781626464982E-2</v>
      </c>
    </row>
    <row r="77" spans="23:37" x14ac:dyDescent="0.25">
      <c r="Y77" s="18"/>
      <c r="Z77" s="18"/>
      <c r="AA77" s="18"/>
      <c r="AB77" s="18"/>
      <c r="AC77" s="18"/>
      <c r="AD77" s="18"/>
      <c r="AE77" s="18"/>
      <c r="AF77" s="18"/>
      <c r="AG77" s="18"/>
      <c r="AH77" s="18"/>
      <c r="AI77" s="18"/>
      <c r="AJ77" s="18"/>
      <c r="AK77" s="18"/>
    </row>
    <row r="78" spans="23:37" x14ac:dyDescent="0.25">
      <c r="W78" s="12" t="s">
        <v>54</v>
      </c>
      <c r="X78" s="13"/>
      <c r="Y78" s="13"/>
      <c r="Z78" s="13"/>
      <c r="AA78" s="13"/>
      <c r="AB78" s="13"/>
      <c r="AC78" s="13"/>
      <c r="AD78" s="13"/>
      <c r="AE78" s="13"/>
      <c r="AF78" s="13"/>
      <c r="AG78" s="13"/>
      <c r="AH78" s="13">
        <v>135551067</v>
      </c>
      <c r="AI78" s="13">
        <v>134585152</v>
      </c>
      <c r="AJ78" s="13">
        <v>141061160</v>
      </c>
      <c r="AK78" s="13">
        <v>152573910</v>
      </c>
    </row>
    <row r="79" spans="23:37" x14ac:dyDescent="0.25">
      <c r="X79" s="13"/>
      <c r="Y79" s="13"/>
      <c r="Z79" s="13"/>
      <c r="AA79" s="13"/>
      <c r="AB79" s="13"/>
      <c r="AC79" s="13"/>
      <c r="AD79" s="13"/>
      <c r="AE79" s="13"/>
      <c r="AF79" s="13"/>
      <c r="AG79" s="13"/>
      <c r="AH79" s="13"/>
      <c r="AI79" s="13"/>
      <c r="AJ79" s="13"/>
      <c r="AK79" s="13"/>
    </row>
    <row r="80" spans="23:37" x14ac:dyDescent="0.25">
      <c r="W80" s="12" t="s">
        <v>63</v>
      </c>
      <c r="X80" s="16"/>
      <c r="Y80" s="16"/>
      <c r="Z80" s="16"/>
      <c r="AA80" s="16"/>
      <c r="AB80" s="16"/>
      <c r="AC80" s="16"/>
      <c r="AD80" s="16"/>
      <c r="AE80" s="16"/>
      <c r="AF80" s="16"/>
      <c r="AG80" s="16"/>
      <c r="AH80" s="16"/>
      <c r="AI80" s="16"/>
      <c r="AJ80" s="16"/>
      <c r="AK80" s="16"/>
    </row>
    <row r="82" spans="23:37" x14ac:dyDescent="0.25">
      <c r="W82" s="12" t="s">
        <v>56</v>
      </c>
      <c r="X82" s="13">
        <v>1172700.76</v>
      </c>
      <c r="Y82" s="13">
        <v>1172700.76</v>
      </c>
      <c r="Z82" s="13">
        <v>1172700.76</v>
      </c>
      <c r="AA82" s="13">
        <v>1172700.76</v>
      </c>
      <c r="AB82" s="13">
        <v>1172700.76</v>
      </c>
      <c r="AC82" s="13">
        <v>1172700.76</v>
      </c>
      <c r="AD82" s="13">
        <v>1172700.76</v>
      </c>
      <c r="AE82" s="13">
        <v>1172700.76</v>
      </c>
      <c r="AF82" s="13">
        <v>1172700.76</v>
      </c>
      <c r="AG82" s="13">
        <v>1172700.76</v>
      </c>
      <c r="AH82" s="13">
        <v>1172700.76</v>
      </c>
      <c r="AI82" s="13">
        <v>1172700.76</v>
      </c>
      <c r="AJ82" s="13">
        <v>1172700.76</v>
      </c>
      <c r="AK82" s="13">
        <v>1172700.76</v>
      </c>
    </row>
    <row r="84" spans="23:37" x14ac:dyDescent="0.25">
      <c r="W84" s="12" t="s">
        <v>57</v>
      </c>
      <c r="X84" s="16">
        <f t="shared" ref="X84:AJ84" si="290">+X78/X82</f>
        <v>0</v>
      </c>
      <c r="Y84" s="16">
        <f t="shared" si="290"/>
        <v>0</v>
      </c>
      <c r="Z84" s="16">
        <f t="shared" si="290"/>
        <v>0</v>
      </c>
      <c r="AA84" s="16">
        <f t="shared" si="290"/>
        <v>0</v>
      </c>
      <c r="AB84" s="16">
        <f t="shared" si="290"/>
        <v>0</v>
      </c>
      <c r="AC84" s="16">
        <f t="shared" si="290"/>
        <v>0</v>
      </c>
      <c r="AD84" s="16">
        <f t="shared" si="290"/>
        <v>0</v>
      </c>
      <c r="AE84" s="16">
        <f t="shared" si="290"/>
        <v>0</v>
      </c>
      <c r="AF84" s="16">
        <f t="shared" si="290"/>
        <v>0</v>
      </c>
      <c r="AG84" s="16">
        <f t="shared" si="290"/>
        <v>0</v>
      </c>
      <c r="AH84" s="16">
        <f t="shared" si="290"/>
        <v>115.58879436558053</v>
      </c>
      <c r="AI84" s="16">
        <f t="shared" si="290"/>
        <v>114.7651272947073</v>
      </c>
      <c r="AJ84" s="16">
        <f t="shared" si="290"/>
        <v>120.28742950588691</v>
      </c>
      <c r="AK84" s="16">
        <f t="shared" ref="AK84" si="291">+AK78/AK82</f>
        <v>130.10472509628116</v>
      </c>
    </row>
    <row r="87" spans="23:37" x14ac:dyDescent="0.25">
      <c r="W87" s="47" t="s">
        <v>243</v>
      </c>
    </row>
    <row r="88" spans="23:37" x14ac:dyDescent="0.25">
      <c r="W88" s="12" t="s">
        <v>244</v>
      </c>
      <c r="X88" s="48"/>
      <c r="Y88" s="48"/>
      <c r="Z88" s="48"/>
      <c r="AA88" s="48"/>
      <c r="AB88" s="48"/>
      <c r="AC88" s="48"/>
      <c r="AD88" s="48"/>
      <c r="AE88" s="48"/>
      <c r="AF88" s="48"/>
      <c r="AG88" s="48"/>
      <c r="AH88" s="48">
        <v>4.3499999999999996</v>
      </c>
      <c r="AI88" s="48">
        <v>5.39</v>
      </c>
      <c r="AJ88" s="48">
        <v>5.49</v>
      </c>
      <c r="AK88" s="48">
        <v>5.93</v>
      </c>
    </row>
    <row r="89" spans="23:37" x14ac:dyDescent="0.25">
      <c r="X89" s="17"/>
      <c r="Y89" s="17"/>
      <c r="Z89" s="17"/>
      <c r="AA89" s="17"/>
      <c r="AB89" s="18"/>
      <c r="AC89" s="18"/>
      <c r="AD89" s="18"/>
      <c r="AE89" s="18"/>
      <c r="AF89" s="18"/>
      <c r="AG89" s="18"/>
      <c r="AH89" s="18"/>
      <c r="AI89" s="18"/>
      <c r="AJ89" s="18"/>
      <c r="AK89" s="18"/>
    </row>
    <row r="90" spans="23:37" x14ac:dyDescent="0.25">
      <c r="W90" s="12" t="s">
        <v>245</v>
      </c>
      <c r="X90" s="48"/>
      <c r="Y90" s="48"/>
      <c r="Z90" s="48"/>
      <c r="AA90" s="48"/>
      <c r="AB90" s="48"/>
      <c r="AC90" s="48"/>
      <c r="AD90" s="48"/>
      <c r="AE90" s="48"/>
      <c r="AF90" s="48"/>
      <c r="AG90" s="48"/>
      <c r="AH90" s="48">
        <v>53.84</v>
      </c>
      <c r="AI90" s="48">
        <v>52.75</v>
      </c>
      <c r="AJ90" s="48">
        <v>54.2</v>
      </c>
      <c r="AK90" s="48">
        <v>54.68</v>
      </c>
    </row>
    <row r="91" spans="23:37" x14ac:dyDescent="0.25">
      <c r="X91" s="17"/>
      <c r="Y91" s="17"/>
      <c r="Z91" s="17"/>
      <c r="AA91" s="17"/>
      <c r="AB91" s="18"/>
      <c r="AC91" s="18"/>
      <c r="AD91" s="18"/>
      <c r="AE91" s="18"/>
      <c r="AF91" s="18"/>
      <c r="AG91" s="18"/>
      <c r="AH91" s="18"/>
      <c r="AI91" s="18"/>
      <c r="AJ91" s="18"/>
      <c r="AK91" s="18"/>
    </row>
    <row r="92" spans="23:37" x14ac:dyDescent="0.25">
      <c r="W92" s="12" t="s">
        <v>246</v>
      </c>
      <c r="X92" s="17"/>
      <c r="Y92" s="17"/>
      <c r="Z92" s="17"/>
      <c r="AA92" s="17"/>
      <c r="AB92" s="18"/>
      <c r="AC92" s="18"/>
      <c r="AD92" s="18"/>
      <c r="AE92" s="18"/>
      <c r="AF92" s="18"/>
      <c r="AG92" s="18"/>
      <c r="AH92" s="18">
        <v>5.6599999999999998E-2</v>
      </c>
      <c r="AI92" s="18">
        <v>5.6000000000000001E-2</v>
      </c>
      <c r="AJ92" s="83">
        <v>5.1900000000000002E-2</v>
      </c>
      <c r="AK92" s="18">
        <v>5.1900000000000002E-2</v>
      </c>
    </row>
    <row r="93" spans="23:37" x14ac:dyDescent="0.25">
      <c r="X93" s="14"/>
      <c r="Y93" s="14"/>
      <c r="Z93" s="14"/>
      <c r="AA93" s="14"/>
      <c r="AB93" s="14"/>
      <c r="AC93" s="14"/>
      <c r="AD93" s="14"/>
      <c r="AE93" s="14"/>
      <c r="AF93" s="14"/>
      <c r="AG93" s="14"/>
      <c r="AH93" s="14"/>
      <c r="AI93" s="82"/>
      <c r="AJ93" s="82"/>
      <c r="AK93" s="14"/>
    </row>
    <row r="94" spans="23:37" x14ac:dyDescent="0.25">
      <c r="W94" s="12" t="s">
        <v>247</v>
      </c>
      <c r="X94" s="48"/>
      <c r="Y94" s="48"/>
      <c r="Z94" s="48"/>
      <c r="AA94" s="48"/>
      <c r="AB94" s="48"/>
      <c r="AC94" s="48"/>
      <c r="AD94" s="48"/>
      <c r="AE94" s="48"/>
      <c r="AF94" s="48"/>
      <c r="AG94" s="48"/>
      <c r="AH94" s="48">
        <v>12.18</v>
      </c>
      <c r="AI94" s="48">
        <v>12.99</v>
      </c>
      <c r="AJ94" s="48">
        <v>14.24</v>
      </c>
      <c r="AK94" s="48">
        <v>14.37</v>
      </c>
    </row>
    <row r="95" spans="23:37" x14ac:dyDescent="0.25">
      <c r="X95" s="19"/>
      <c r="Y95" s="19"/>
      <c r="Z95" s="19"/>
      <c r="AA95" s="19"/>
      <c r="AB95" s="19"/>
      <c r="AC95" s="19"/>
      <c r="AD95" s="19"/>
      <c r="AE95" s="19"/>
      <c r="AF95" s="19"/>
      <c r="AG95" s="19"/>
      <c r="AH95" s="19"/>
      <c r="AI95" s="19"/>
      <c r="AJ95" s="19"/>
      <c r="AK95" s="19"/>
    </row>
    <row r="96" spans="23:37" x14ac:dyDescent="0.25">
      <c r="W96" s="12" t="s">
        <v>248</v>
      </c>
      <c r="X96" s="48"/>
      <c r="Y96" s="48"/>
      <c r="Z96" s="48"/>
      <c r="AA96" s="48"/>
      <c r="AB96" s="48"/>
      <c r="AC96" s="48"/>
      <c r="AD96" s="48"/>
      <c r="AE96" s="48"/>
      <c r="AF96" s="48"/>
      <c r="AG96" s="48"/>
      <c r="AH96" s="48">
        <v>12.18</v>
      </c>
      <c r="AI96" s="48">
        <v>12.99</v>
      </c>
      <c r="AJ96" s="48">
        <v>14.24</v>
      </c>
      <c r="AK96" s="48">
        <v>14.37</v>
      </c>
    </row>
    <row r="97" spans="23:37" x14ac:dyDescent="0.25">
      <c r="Z97" s="19"/>
      <c r="AA97" s="19"/>
      <c r="AB97" s="19"/>
      <c r="AC97" s="19"/>
      <c r="AD97" s="19"/>
      <c r="AE97" s="19"/>
      <c r="AF97" s="19"/>
      <c r="AG97" s="19"/>
      <c r="AH97" s="19"/>
      <c r="AI97" s="19"/>
      <c r="AJ97" s="19"/>
      <c r="AK97" s="19"/>
    </row>
    <row r="98" spans="23:37" x14ac:dyDescent="0.25">
      <c r="W98" s="12" t="s">
        <v>249</v>
      </c>
      <c r="X98" s="48"/>
      <c r="Y98" s="48"/>
      <c r="Z98" s="48"/>
      <c r="AA98" s="48"/>
      <c r="AB98" s="48"/>
      <c r="AC98" s="48"/>
      <c r="AD98" s="48"/>
      <c r="AE98" s="48"/>
      <c r="AF98" s="48"/>
      <c r="AG98" s="48"/>
      <c r="AH98" s="48">
        <v>14.46</v>
      </c>
      <c r="AI98" s="48">
        <v>16.47</v>
      </c>
      <c r="AJ98" s="48">
        <v>17.579999999999998</v>
      </c>
      <c r="AK98" s="48">
        <v>17.73</v>
      </c>
    </row>
    <row r="100" spans="23:37" x14ac:dyDescent="0.25">
      <c r="W100" s="47"/>
      <c r="AC100" s="13"/>
      <c r="AG100" s="13"/>
      <c r="AK100" s="13"/>
    </row>
    <row r="101" spans="23:37" x14ac:dyDescent="0.25">
      <c r="W101" s="47" t="s">
        <v>254</v>
      </c>
      <c r="Z101" s="13"/>
      <c r="AA101" s="13"/>
      <c r="AB101" s="13"/>
      <c r="AC101" s="13"/>
      <c r="AD101" s="13"/>
      <c r="AE101" s="13"/>
      <c r="AF101" s="13"/>
      <c r="AG101" s="13"/>
      <c r="AH101" s="13"/>
      <c r="AI101" s="13"/>
      <c r="AJ101" s="13"/>
      <c r="AK101" s="13"/>
    </row>
    <row r="102" spans="23:37" x14ac:dyDescent="0.25">
      <c r="W102" s="47" t="s">
        <v>255</v>
      </c>
      <c r="X102" s="17"/>
      <c r="Y102" s="17"/>
      <c r="Z102" s="17"/>
      <c r="AA102" s="17"/>
      <c r="AB102" s="18"/>
      <c r="AC102" s="18"/>
      <c r="AD102" s="18"/>
      <c r="AE102" s="18"/>
      <c r="AF102" s="18"/>
      <c r="AG102" s="18"/>
      <c r="AH102" s="18"/>
      <c r="AI102" s="18"/>
      <c r="AJ102" s="18"/>
      <c r="AK102" s="18"/>
    </row>
    <row r="103" spans="23:37" x14ac:dyDescent="0.25">
      <c r="W103" s="12" t="s">
        <v>256</v>
      </c>
      <c r="X103" s="13"/>
      <c r="Y103" s="13"/>
      <c r="Z103" s="13"/>
      <c r="AA103" s="13"/>
      <c r="AB103" s="13"/>
      <c r="AC103" s="13"/>
      <c r="AD103" s="13"/>
      <c r="AE103" s="13"/>
      <c r="AF103" s="13"/>
      <c r="AG103" s="13"/>
      <c r="AH103" s="13"/>
      <c r="AI103" s="13"/>
      <c r="AJ103" s="13">
        <v>197433</v>
      </c>
      <c r="AK103" s="13"/>
    </row>
    <row r="104" spans="23:37" x14ac:dyDescent="0.25">
      <c r="W104" s="12" t="s">
        <v>257</v>
      </c>
      <c r="X104" s="13"/>
      <c r="Y104" s="13"/>
      <c r="Z104" s="13"/>
      <c r="AA104" s="13"/>
      <c r="AB104" s="13"/>
      <c r="AC104" s="13"/>
      <c r="AD104" s="13"/>
      <c r="AE104" s="13"/>
      <c r="AF104" s="13"/>
      <c r="AG104" s="13"/>
      <c r="AH104" s="13"/>
      <c r="AI104" s="13"/>
      <c r="AJ104" s="13">
        <v>51695538</v>
      </c>
      <c r="AK104" s="13"/>
    </row>
    <row r="105" spans="23:37" x14ac:dyDescent="0.25">
      <c r="W105" s="12" t="s">
        <v>258</v>
      </c>
      <c r="X105" s="13"/>
      <c r="Y105" s="13"/>
      <c r="Z105" s="13"/>
      <c r="AA105" s="13"/>
      <c r="AB105" s="13"/>
      <c r="AC105" s="13"/>
      <c r="AD105" s="13"/>
      <c r="AE105" s="13"/>
      <c r="AF105" s="13"/>
      <c r="AG105" s="13"/>
      <c r="AH105" s="13"/>
      <c r="AI105" s="13"/>
      <c r="AJ105" s="13">
        <v>51542934</v>
      </c>
      <c r="AK105" s="13"/>
    </row>
    <row r="106" spans="23:37" x14ac:dyDescent="0.25">
      <c r="W106" s="12" t="s">
        <v>259</v>
      </c>
      <c r="X106" s="13"/>
      <c r="Y106" s="13"/>
      <c r="Z106" s="13"/>
      <c r="AA106" s="13"/>
      <c r="AB106" s="13"/>
      <c r="AC106" s="13"/>
      <c r="AD106" s="13"/>
      <c r="AE106" s="13"/>
      <c r="AF106" s="13"/>
      <c r="AG106" s="13"/>
      <c r="AH106" s="13"/>
      <c r="AI106" s="13"/>
      <c r="AJ106" s="13">
        <v>6805109</v>
      </c>
      <c r="AK106" s="13"/>
    </row>
    <row r="107" spans="23:37" x14ac:dyDescent="0.25">
      <c r="W107" s="12" t="s">
        <v>260</v>
      </c>
      <c r="X107" s="13"/>
      <c r="Y107" s="13"/>
      <c r="Z107" s="13"/>
      <c r="AA107" s="13"/>
      <c r="AB107" s="13"/>
      <c r="AC107" s="13"/>
      <c r="AD107" s="13"/>
      <c r="AE107" s="13"/>
      <c r="AF107" s="13"/>
      <c r="AG107" s="13"/>
      <c r="AH107" s="13"/>
      <c r="AI107" s="13"/>
      <c r="AJ107" s="13">
        <v>73939296</v>
      </c>
      <c r="AK107" s="13"/>
    </row>
    <row r="108" spans="23:37" x14ac:dyDescent="0.25">
      <c r="W108" s="12" t="s">
        <v>261</v>
      </c>
      <c r="X108" s="13"/>
      <c r="Y108" s="13"/>
      <c r="Z108" s="13"/>
      <c r="AA108" s="13"/>
      <c r="AB108" s="13"/>
      <c r="AC108" s="13"/>
      <c r="AD108" s="13"/>
      <c r="AE108" s="13"/>
      <c r="AF108" s="13"/>
      <c r="AG108" s="13"/>
      <c r="AH108" s="13"/>
      <c r="AI108" s="13"/>
      <c r="AJ108" s="13">
        <v>6558359</v>
      </c>
      <c r="AK108" s="13"/>
    </row>
    <row r="109" spans="23:37" x14ac:dyDescent="0.25">
      <c r="W109" s="12" t="s">
        <v>262</v>
      </c>
      <c r="X109" s="13"/>
      <c r="Y109" s="13"/>
      <c r="Z109" s="13"/>
      <c r="AA109" s="13"/>
      <c r="AB109" s="13"/>
      <c r="AC109" s="13"/>
      <c r="AD109" s="13"/>
      <c r="AE109" s="13"/>
      <c r="AF109" s="13"/>
      <c r="AG109" s="13"/>
      <c r="AH109" s="13"/>
      <c r="AI109" s="13"/>
      <c r="AJ109" s="13">
        <v>367108190</v>
      </c>
      <c r="AK109" s="13"/>
    </row>
    <row r="110" spans="23:37" x14ac:dyDescent="0.25">
      <c r="W110" s="12" t="s">
        <v>263</v>
      </c>
      <c r="X110" s="13"/>
      <c r="Y110" s="13"/>
      <c r="Z110" s="13"/>
      <c r="AA110" s="13"/>
      <c r="AB110" s="13"/>
      <c r="AC110" s="13"/>
      <c r="AD110" s="13"/>
      <c r="AE110" s="13"/>
      <c r="AF110" s="13"/>
      <c r="AG110" s="13"/>
      <c r="AH110" s="13"/>
      <c r="AI110" s="13"/>
      <c r="AJ110" s="13">
        <v>83330393</v>
      </c>
      <c r="AK110" s="13"/>
    </row>
    <row r="111" spans="23:37" x14ac:dyDescent="0.25">
      <c r="W111" s="12" t="s">
        <v>264</v>
      </c>
      <c r="X111" s="13"/>
      <c r="Y111" s="13"/>
      <c r="Z111" s="13"/>
      <c r="AA111" s="13"/>
      <c r="AB111" s="13"/>
      <c r="AC111" s="13"/>
      <c r="AD111" s="13"/>
      <c r="AE111" s="13"/>
      <c r="AF111" s="13"/>
      <c r="AG111" s="13"/>
      <c r="AH111" s="13"/>
      <c r="AI111" s="13"/>
      <c r="AJ111" s="13">
        <v>10742631</v>
      </c>
      <c r="AK111" s="13"/>
    </row>
    <row r="112" spans="23:37" x14ac:dyDescent="0.25">
      <c r="W112" s="12" t="s">
        <v>265</v>
      </c>
      <c r="X112" s="13"/>
      <c r="Y112" s="13"/>
      <c r="Z112" s="13"/>
      <c r="AA112" s="13"/>
      <c r="AB112" s="13"/>
      <c r="AC112" s="13"/>
      <c r="AD112" s="13"/>
      <c r="AE112" s="13"/>
      <c r="AF112" s="13"/>
      <c r="AG112" s="13"/>
      <c r="AH112" s="13"/>
      <c r="AI112" s="13"/>
      <c r="AJ112" s="13">
        <v>87271778</v>
      </c>
      <c r="AK112" s="13"/>
    </row>
    <row r="113" spans="23:37" x14ac:dyDescent="0.25">
      <c r="W113" s="12" t="s">
        <v>266</v>
      </c>
      <c r="X113" s="13"/>
      <c r="Y113" s="13"/>
      <c r="Z113" s="13"/>
      <c r="AA113" s="13"/>
      <c r="AB113" s="13"/>
      <c r="AC113" s="13"/>
      <c r="AD113" s="13"/>
      <c r="AE113" s="13"/>
      <c r="AF113" s="13"/>
      <c r="AG113" s="13"/>
      <c r="AH113" s="13"/>
      <c r="AI113" s="13"/>
      <c r="AJ113" s="13">
        <v>20157474</v>
      </c>
      <c r="AK113" s="13"/>
    </row>
    <row r="114" spans="23:37" x14ac:dyDescent="0.25">
      <c r="W114" s="12" t="s">
        <v>267</v>
      </c>
      <c r="X114" s="13"/>
      <c r="Y114" s="13"/>
      <c r="Z114" s="13"/>
      <c r="AA114" s="13"/>
      <c r="AB114" s="13"/>
      <c r="AC114" s="13"/>
      <c r="AD114" s="13"/>
      <c r="AE114" s="13"/>
      <c r="AF114" s="13"/>
      <c r="AG114" s="13"/>
      <c r="AH114" s="13"/>
      <c r="AI114" s="13"/>
      <c r="AJ114" s="13">
        <v>28466220</v>
      </c>
      <c r="AK114" s="13"/>
    </row>
    <row r="115" spans="23:37" x14ac:dyDescent="0.25">
      <c r="W115" s="12" t="s">
        <v>268</v>
      </c>
      <c r="X115" s="13"/>
      <c r="Y115" s="13"/>
      <c r="Z115" s="13"/>
      <c r="AA115" s="13"/>
      <c r="AB115" s="13"/>
      <c r="AC115" s="13"/>
      <c r="AD115" s="13"/>
      <c r="AE115" s="13"/>
      <c r="AF115" s="13"/>
      <c r="AG115" s="13"/>
      <c r="AH115" s="13"/>
      <c r="AI115" s="13"/>
      <c r="AJ115" s="13">
        <v>1923707</v>
      </c>
      <c r="AK115" s="13"/>
    </row>
    <row r="116" spans="23:37" x14ac:dyDescent="0.25">
      <c r="W116" s="12" t="s">
        <v>269</v>
      </c>
      <c r="X116" s="13"/>
      <c r="Y116" s="13"/>
      <c r="Z116" s="13"/>
      <c r="AA116" s="13"/>
      <c r="AB116" s="13"/>
      <c r="AC116" s="13"/>
      <c r="AD116" s="13"/>
      <c r="AE116" s="13"/>
      <c r="AF116" s="13"/>
      <c r="AG116" s="13"/>
      <c r="AH116" s="13"/>
      <c r="AI116" s="13"/>
      <c r="AJ116" s="13">
        <v>444611</v>
      </c>
      <c r="AK116" s="13"/>
    </row>
    <row r="117" spans="23:37" x14ac:dyDescent="0.25">
      <c r="Z117" s="19"/>
      <c r="AA117" s="19"/>
      <c r="AB117" s="19"/>
      <c r="AC117" s="19"/>
      <c r="AD117" s="19"/>
      <c r="AE117" s="19"/>
      <c r="AF117" s="19"/>
      <c r="AG117" s="19"/>
      <c r="AH117" s="19"/>
      <c r="AI117" s="19"/>
      <c r="AJ117" s="19"/>
      <c r="AK117" s="19"/>
    </row>
    <row r="118" spans="23:37" x14ac:dyDescent="0.25">
      <c r="W118" s="47" t="s">
        <v>270</v>
      </c>
    </row>
    <row r="119" spans="23:37" x14ac:dyDescent="0.25">
      <c r="W119" s="12" t="s">
        <v>256</v>
      </c>
      <c r="X119" s="13"/>
      <c r="Y119" s="13"/>
      <c r="Z119" s="13"/>
      <c r="AA119" s="13"/>
      <c r="AB119" s="13"/>
      <c r="AC119" s="13"/>
      <c r="AD119" s="13"/>
      <c r="AE119" s="13"/>
      <c r="AF119" s="13"/>
      <c r="AG119" s="13"/>
      <c r="AH119" s="13"/>
      <c r="AI119" s="13"/>
      <c r="AJ119" s="13">
        <v>1774627</v>
      </c>
      <c r="AK119" s="13"/>
    </row>
    <row r="120" spans="23:37" x14ac:dyDescent="0.25">
      <c r="W120" s="12" t="s">
        <v>258</v>
      </c>
      <c r="X120" s="13"/>
      <c r="Y120" s="13"/>
      <c r="Z120" s="13"/>
      <c r="AA120" s="13"/>
      <c r="AB120" s="13"/>
      <c r="AC120" s="13"/>
      <c r="AD120" s="13"/>
      <c r="AE120" s="13"/>
      <c r="AF120" s="13"/>
      <c r="AG120" s="13"/>
      <c r="AH120" s="13"/>
      <c r="AI120" s="13"/>
      <c r="AJ120" s="13">
        <v>424743</v>
      </c>
      <c r="AK120" s="13"/>
    </row>
    <row r="121" spans="23:37" x14ac:dyDescent="0.25">
      <c r="W121" s="12" t="s">
        <v>259</v>
      </c>
      <c r="X121" s="13"/>
      <c r="Y121" s="13"/>
      <c r="Z121" s="13"/>
      <c r="AA121" s="13"/>
      <c r="AB121" s="13"/>
      <c r="AC121" s="13"/>
      <c r="AD121" s="13"/>
      <c r="AE121" s="13"/>
      <c r="AF121" s="13"/>
      <c r="AG121" s="13"/>
      <c r="AH121" s="13"/>
      <c r="AI121" s="13"/>
      <c r="AJ121" s="13">
        <v>31195921</v>
      </c>
      <c r="AK121" s="13"/>
    </row>
    <row r="122" spans="23:37" x14ac:dyDescent="0.25">
      <c r="W122" s="12" t="s">
        <v>260</v>
      </c>
      <c r="X122" s="13"/>
      <c r="Y122" s="13"/>
      <c r="Z122" s="13"/>
      <c r="AA122" s="13"/>
      <c r="AB122" s="13"/>
      <c r="AC122" s="13"/>
      <c r="AD122" s="13"/>
      <c r="AE122" s="13"/>
      <c r="AF122" s="13"/>
      <c r="AG122" s="13"/>
      <c r="AH122" s="13"/>
      <c r="AI122" s="13"/>
      <c r="AJ122" s="13">
        <v>10386491</v>
      </c>
      <c r="AK122" s="13"/>
    </row>
    <row r="123" spans="23:37" x14ac:dyDescent="0.25">
      <c r="W123" s="12" t="s">
        <v>262</v>
      </c>
      <c r="X123" s="13"/>
      <c r="Y123" s="13"/>
      <c r="Z123" s="13"/>
      <c r="AA123" s="13"/>
      <c r="AB123" s="13"/>
      <c r="AC123" s="13"/>
      <c r="AD123" s="13"/>
      <c r="AE123" s="13"/>
      <c r="AF123" s="13"/>
      <c r="AG123" s="13"/>
      <c r="AH123" s="13"/>
      <c r="AI123" s="13"/>
      <c r="AJ123" s="13">
        <v>84383209</v>
      </c>
      <c r="AK123" s="13"/>
    </row>
    <row r="124" spans="23:37" x14ac:dyDescent="0.25">
      <c r="W124" s="12" t="s">
        <v>263</v>
      </c>
      <c r="X124" s="13"/>
      <c r="Y124" s="13"/>
      <c r="Z124" s="13"/>
      <c r="AA124" s="13"/>
      <c r="AB124" s="13"/>
      <c r="AC124" s="13"/>
      <c r="AD124" s="13"/>
      <c r="AE124" s="13"/>
      <c r="AF124" s="13"/>
      <c r="AG124" s="13"/>
      <c r="AH124" s="13"/>
      <c r="AI124" s="13"/>
      <c r="AJ124" s="13">
        <v>8812314</v>
      </c>
      <c r="AK124" s="13"/>
    </row>
    <row r="125" spans="23:37" x14ac:dyDescent="0.25">
      <c r="W125" s="12" t="s">
        <v>269</v>
      </c>
      <c r="X125" s="13"/>
      <c r="Y125" s="13"/>
      <c r="Z125" s="13"/>
      <c r="AA125" s="13"/>
      <c r="AB125" s="13"/>
      <c r="AC125" s="13"/>
      <c r="AD125" s="13"/>
      <c r="AE125" s="13"/>
      <c r="AF125" s="13"/>
      <c r="AG125" s="13"/>
      <c r="AH125" s="13"/>
      <c r="AI125" s="13"/>
      <c r="AJ125" s="13">
        <v>8062</v>
      </c>
      <c r="AK125" s="13"/>
    </row>
    <row r="128" spans="23:37" x14ac:dyDescent="0.25">
      <c r="W128" s="47" t="s">
        <v>271</v>
      </c>
    </row>
    <row r="129" spans="23:23" x14ac:dyDescent="0.25">
      <c r="W129" s="47" t="s">
        <v>255</v>
      </c>
    </row>
    <row r="130" spans="23:23" x14ac:dyDescent="0.25">
      <c r="W130" s="12" t="s">
        <v>272</v>
      </c>
    </row>
    <row r="131" spans="23:23" x14ac:dyDescent="0.25">
      <c r="W131" s="12" t="s">
        <v>273</v>
      </c>
    </row>
    <row r="132" spans="23:23" x14ac:dyDescent="0.25">
      <c r="W132" s="12" t="s">
        <v>274</v>
      </c>
    </row>
    <row r="133" spans="23:23" x14ac:dyDescent="0.25">
      <c r="W133" s="12" t="s">
        <v>275</v>
      </c>
    </row>
    <row r="134" spans="23:23" x14ac:dyDescent="0.25">
      <c r="W134" s="12" t="s">
        <v>276</v>
      </c>
    </row>
    <row r="135" spans="23:23" x14ac:dyDescent="0.25">
      <c r="W135" s="12" t="s">
        <v>277</v>
      </c>
    </row>
    <row r="137" spans="23:23" x14ac:dyDescent="0.25">
      <c r="W137" s="47" t="s">
        <v>270</v>
      </c>
    </row>
    <row r="138" spans="23:23" x14ac:dyDescent="0.25">
      <c r="W138" s="12" t="s">
        <v>272</v>
      </c>
    </row>
    <row r="139" spans="23:23" x14ac:dyDescent="0.25">
      <c r="W139" s="12" t="s">
        <v>273</v>
      </c>
    </row>
    <row r="140" spans="23:23" x14ac:dyDescent="0.25">
      <c r="W140" s="12" t="s">
        <v>275</v>
      </c>
    </row>
    <row r="141" spans="23:23" x14ac:dyDescent="0.25">
      <c r="W141" s="12" t="s">
        <v>277</v>
      </c>
    </row>
  </sheetData>
  <mergeCells count="3">
    <mergeCell ref="AO2:AT2"/>
    <mergeCell ref="AU2:AZ2"/>
    <mergeCell ref="B13:H13"/>
  </mergeCells>
  <pageMargins left="0.7" right="0.7" top="0.75" bottom="0.75" header="0.3" footer="0.3"/>
  <pageSetup paperSize="9"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7278-7DEC-4A35-ACC0-1EF98B8FEE32}">
  <sheetPr>
    <tabColor rgb="FF92D050"/>
  </sheetPr>
  <dimension ref="A1:BB142"/>
  <sheetViews>
    <sheetView topLeftCell="Z58" zoomScale="85" zoomScaleNormal="85" workbookViewId="0">
      <selection activeCell="AI16" sqref="AI16:AL16"/>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9" width="12.85546875" style="12" bestFit="1" customWidth="1"/>
    <col min="40" max="41" width="8.85546875" style="12"/>
    <col min="42" max="42" width="14.28515625" style="50" bestFit="1" customWidth="1"/>
    <col min="43" max="16384" width="8.85546875" style="50"/>
  </cols>
  <sheetData>
    <row r="1" spans="1:54" ht="15.75" thickBot="1" x14ac:dyDescent="0.3">
      <c r="W1" s="20" t="s">
        <v>194</v>
      </c>
      <c r="X1" s="59">
        <f>+'Valuation Sheet'!C31</f>
        <v>64.5</v>
      </c>
    </row>
    <row r="2" spans="1:54"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524</v>
      </c>
      <c r="X2" s="11" t="s">
        <v>105</v>
      </c>
      <c r="Y2" s="11" t="s">
        <v>104</v>
      </c>
      <c r="Z2" s="11" t="s">
        <v>103</v>
      </c>
      <c r="AA2" s="11" t="s">
        <v>101</v>
      </c>
      <c r="AB2" s="11" t="s">
        <v>102</v>
      </c>
      <c r="AC2" s="11" t="s">
        <v>100</v>
      </c>
      <c r="AD2" s="11" t="s">
        <v>99</v>
      </c>
      <c r="AE2" s="11" t="s">
        <v>97</v>
      </c>
      <c r="AF2" s="11" t="s">
        <v>98</v>
      </c>
      <c r="AG2" s="11" t="s">
        <v>96</v>
      </c>
      <c r="AH2" s="11" t="s">
        <v>95</v>
      </c>
      <c r="AI2" s="11" t="s">
        <v>94</v>
      </c>
      <c r="AJ2" s="11" t="s">
        <v>93</v>
      </c>
      <c r="AK2" s="11" t="s">
        <v>366</v>
      </c>
      <c r="AL2" s="11" t="s">
        <v>985</v>
      </c>
      <c r="AM2" s="11" t="s">
        <v>1024</v>
      </c>
      <c r="AP2" s="71" t="str">
        <f>+W2</f>
        <v>AAIC</v>
      </c>
      <c r="AQ2" s="189" t="s">
        <v>198</v>
      </c>
      <c r="AR2" s="190"/>
      <c r="AS2" s="190"/>
      <c r="AT2" s="190"/>
      <c r="AU2" s="190"/>
      <c r="AV2" s="191"/>
      <c r="AW2" s="192" t="s">
        <v>199</v>
      </c>
      <c r="AX2" s="192"/>
      <c r="AY2" s="192"/>
      <c r="AZ2" s="192"/>
      <c r="BA2" s="192"/>
      <c r="BB2" s="192"/>
    </row>
    <row r="3" spans="1:54" ht="18" thickTop="1" thickBot="1" x14ac:dyDescent="0.4">
      <c r="B3" s="25" t="s">
        <v>10</v>
      </c>
      <c r="C3" s="26">
        <v>17820.179</v>
      </c>
      <c r="D3" s="26"/>
      <c r="E3" s="26"/>
      <c r="F3" s="26"/>
      <c r="G3" s="26"/>
      <c r="H3" s="26"/>
      <c r="I3" s="27"/>
      <c r="J3" s="21"/>
      <c r="M3" s="1" t="s">
        <v>11</v>
      </c>
      <c r="N3" s="2">
        <f>'[1]LT Portfolio'!W294</f>
        <v>0</v>
      </c>
      <c r="W3" s="12" t="s">
        <v>972</v>
      </c>
      <c r="X3" s="13"/>
      <c r="Y3" s="13"/>
      <c r="Z3" s="13"/>
      <c r="AA3" s="13"/>
      <c r="AB3" s="13"/>
      <c r="AC3" s="13"/>
      <c r="AD3" s="13">
        <v>5720538</v>
      </c>
      <c r="AE3" s="13">
        <v>5803596</v>
      </c>
      <c r="AF3" s="13">
        <v>5600185</v>
      </c>
      <c r="AG3" s="13">
        <v>5271699</v>
      </c>
      <c r="AH3" s="13">
        <v>6407945</v>
      </c>
      <c r="AI3" s="13">
        <v>5984618</v>
      </c>
      <c r="AJ3" s="13">
        <v>6487574</v>
      </c>
      <c r="AK3" s="13">
        <v>6076894</v>
      </c>
      <c r="AL3" s="13">
        <v>7792235</v>
      </c>
      <c r="AM3" s="13">
        <v>7162827</v>
      </c>
      <c r="AP3" s="69"/>
      <c r="AQ3" s="66" t="s">
        <v>379</v>
      </c>
      <c r="AR3" s="67" t="s">
        <v>17</v>
      </c>
      <c r="AS3" s="67" t="s">
        <v>184</v>
      </c>
      <c r="AT3" s="67" t="s">
        <v>29</v>
      </c>
      <c r="AU3" s="67" t="s">
        <v>31</v>
      </c>
      <c r="AV3" s="68" t="s">
        <v>30</v>
      </c>
      <c r="AW3" s="66" t="s">
        <v>78</v>
      </c>
      <c r="AX3" s="67" t="s">
        <v>17</v>
      </c>
      <c r="AY3" s="67" t="s">
        <v>184</v>
      </c>
      <c r="AZ3" s="67" t="s">
        <v>29</v>
      </c>
      <c r="BA3" s="67" t="s">
        <v>31</v>
      </c>
      <c r="BB3" s="68" t="s">
        <v>30</v>
      </c>
    </row>
    <row r="4" spans="1:54"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M4" si="1">+AB3/X3-1</f>
        <v>#DIV/0!</v>
      </c>
      <c r="AC4" s="18" t="e">
        <f t="shared" si="1"/>
        <v>#DIV/0!</v>
      </c>
      <c r="AD4" s="18" t="e">
        <f t="shared" si="1"/>
        <v>#DIV/0!</v>
      </c>
      <c r="AE4" s="18" t="e">
        <f t="shared" si="1"/>
        <v>#DIV/0!</v>
      </c>
      <c r="AF4" s="18" t="e">
        <f t="shared" si="1"/>
        <v>#DIV/0!</v>
      </c>
      <c r="AG4" s="18" t="e">
        <f t="shared" si="1"/>
        <v>#DIV/0!</v>
      </c>
      <c r="AH4" s="18">
        <f t="shared" si="1"/>
        <v>0.12016474674235189</v>
      </c>
      <c r="AI4" s="18">
        <f t="shared" si="1"/>
        <v>3.1191351017541447E-2</v>
      </c>
      <c r="AJ4" s="18">
        <f t="shared" si="1"/>
        <v>0.15845708668552905</v>
      </c>
      <c r="AK4" s="18">
        <f t="shared" si="1"/>
        <v>0.15273918332590686</v>
      </c>
      <c r="AL4" s="18">
        <f t="shared" si="1"/>
        <v>0.21602713506436144</v>
      </c>
      <c r="AM4" s="18">
        <f t="shared" si="1"/>
        <v>0.19687288311467843</v>
      </c>
      <c r="AN4" s="46"/>
      <c r="AP4" s="69" t="s">
        <v>185</v>
      </c>
      <c r="AQ4" s="60"/>
      <c r="AR4" s="61"/>
      <c r="AS4" s="61"/>
      <c r="AT4" s="74"/>
      <c r="AU4" s="74"/>
      <c r="AV4" s="64"/>
      <c r="AW4" s="60"/>
      <c r="AX4" s="61"/>
      <c r="AY4" s="61"/>
      <c r="AZ4" s="74"/>
      <c r="BA4" s="58"/>
      <c r="BB4" s="64"/>
    </row>
    <row r="5" spans="1:54"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M5" si="2">+Y3/X3-1</f>
        <v>#DIV/0!</v>
      </c>
      <c r="Z5" s="18" t="e">
        <f t="shared" si="2"/>
        <v>#DIV/0!</v>
      </c>
      <c r="AA5" s="18" t="e">
        <f t="shared" si="2"/>
        <v>#DIV/0!</v>
      </c>
      <c r="AB5" s="18" t="e">
        <f t="shared" si="2"/>
        <v>#DIV/0!</v>
      </c>
      <c r="AC5" s="18" t="e">
        <f t="shared" si="2"/>
        <v>#DIV/0!</v>
      </c>
      <c r="AD5" s="18" t="e">
        <f t="shared" si="2"/>
        <v>#DIV/0!</v>
      </c>
      <c r="AE5" s="18">
        <f t="shared" si="2"/>
        <v>1.4519263747570621E-2</v>
      </c>
      <c r="AF5" s="18">
        <f t="shared" si="2"/>
        <v>-3.5049131607369E-2</v>
      </c>
      <c r="AG5" s="18">
        <f t="shared" si="2"/>
        <v>-5.865627653372163E-2</v>
      </c>
      <c r="AH5" s="18">
        <f t="shared" si="2"/>
        <v>0.21553696445870685</v>
      </c>
      <c r="AI5" s="18">
        <f t="shared" si="2"/>
        <v>-6.606283293630022E-2</v>
      </c>
      <c r="AJ5" s="18">
        <f t="shared" si="2"/>
        <v>8.4041454274942806E-2</v>
      </c>
      <c r="AK5" s="18">
        <f t="shared" si="2"/>
        <v>-6.3302553466056843E-2</v>
      </c>
      <c r="AL5" s="18">
        <f t="shared" si="2"/>
        <v>0.28227265441852367</v>
      </c>
      <c r="AM5" s="18">
        <f t="shared" si="2"/>
        <v>-8.0773744631674971E-2</v>
      </c>
      <c r="AP5" s="69" t="s">
        <v>186</v>
      </c>
      <c r="AQ5" s="60"/>
      <c r="AR5" s="61"/>
      <c r="AS5" s="61"/>
      <c r="AT5" s="58"/>
      <c r="AU5" s="58"/>
      <c r="AV5" s="64"/>
      <c r="AW5" s="60"/>
      <c r="AX5" s="61"/>
      <c r="AY5" s="61"/>
      <c r="AZ5" s="58"/>
      <c r="BA5" s="58"/>
      <c r="BB5" s="64"/>
    </row>
    <row r="6" spans="1:54"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P6" s="69" t="s">
        <v>187</v>
      </c>
      <c r="AQ6" s="60"/>
      <c r="AR6" s="61"/>
      <c r="AS6" s="61"/>
      <c r="AT6" s="74"/>
      <c r="AU6" s="74"/>
      <c r="AV6" s="64"/>
      <c r="AW6" s="60"/>
      <c r="AX6" s="61"/>
      <c r="AY6" s="61"/>
      <c r="AZ6" s="58"/>
      <c r="BA6" s="58"/>
      <c r="BB6" s="64"/>
    </row>
    <row r="7" spans="1:54" ht="18" thickTop="1" thickBot="1" x14ac:dyDescent="0.4">
      <c r="B7" s="32" t="s">
        <v>17</v>
      </c>
      <c r="C7" s="26">
        <v>2167.6080000000002</v>
      </c>
      <c r="D7" s="26"/>
      <c r="E7" s="26"/>
      <c r="F7" s="26"/>
      <c r="G7" s="26"/>
      <c r="H7" s="26"/>
      <c r="I7" s="27"/>
      <c r="J7" s="24"/>
      <c r="M7" s="1" t="s">
        <v>18</v>
      </c>
      <c r="N7" s="3">
        <f>'[1]LT Portfolio'!P294</f>
        <v>0</v>
      </c>
      <c r="W7" s="47" t="s">
        <v>973</v>
      </c>
      <c r="X7" s="143"/>
      <c r="Y7" s="143"/>
      <c r="Z7" s="143"/>
      <c r="AA7" s="143"/>
      <c r="AB7" s="143"/>
      <c r="AC7" s="143"/>
      <c r="AD7" s="143">
        <v>5229019</v>
      </c>
      <c r="AE7" s="143">
        <v>5291070</v>
      </c>
      <c r="AF7" s="143">
        <v>4941419</v>
      </c>
      <c r="AG7" s="143">
        <v>4534473</v>
      </c>
      <c r="AH7" s="143">
        <v>5637660</v>
      </c>
      <c r="AI7" s="143">
        <v>5345006</v>
      </c>
      <c r="AJ7" s="143">
        <v>5844884</v>
      </c>
      <c r="AK7" s="143">
        <v>5479223</v>
      </c>
      <c r="AL7" s="143">
        <v>7181319</v>
      </c>
      <c r="AM7" s="143">
        <v>6527187</v>
      </c>
      <c r="AP7" s="69" t="s">
        <v>196</v>
      </c>
      <c r="AQ7" s="60"/>
      <c r="AR7" s="61"/>
      <c r="AS7" s="61"/>
      <c r="AT7" s="58"/>
      <c r="AU7" s="58"/>
      <c r="AV7" s="64"/>
      <c r="AW7" s="60"/>
      <c r="AX7" s="61"/>
      <c r="AY7" s="61"/>
      <c r="AZ7" s="58"/>
      <c r="BA7" s="58"/>
      <c r="BB7" s="64"/>
    </row>
    <row r="8" spans="1:54"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X8" s="17"/>
      <c r="Y8" s="17"/>
      <c r="Z8" s="17"/>
      <c r="AA8" s="17"/>
      <c r="AB8" s="18" t="e">
        <f t="shared" ref="AB8:AM8" si="5">+AB7/X7-1</f>
        <v>#DIV/0!</v>
      </c>
      <c r="AC8" s="18" t="e">
        <f t="shared" si="5"/>
        <v>#DIV/0!</v>
      </c>
      <c r="AD8" s="18" t="e">
        <f t="shared" si="5"/>
        <v>#DIV/0!</v>
      </c>
      <c r="AE8" s="18" t="e">
        <f t="shared" si="5"/>
        <v>#DIV/0!</v>
      </c>
      <c r="AF8" s="18" t="e">
        <f t="shared" si="5"/>
        <v>#DIV/0!</v>
      </c>
      <c r="AG8" s="18" t="e">
        <f t="shared" si="5"/>
        <v>#DIV/0!</v>
      </c>
      <c r="AH8" s="18">
        <f t="shared" si="5"/>
        <v>7.8148692900140482E-2</v>
      </c>
      <c r="AI8" s="18">
        <f t="shared" si="5"/>
        <v>1.0193779330078812E-2</v>
      </c>
      <c r="AJ8" s="18">
        <f t="shared" si="5"/>
        <v>0.1828351329850797</v>
      </c>
      <c r="AK8" s="18">
        <f t="shared" si="5"/>
        <v>0.2083483571299245</v>
      </c>
      <c r="AL8" s="18">
        <f t="shared" si="5"/>
        <v>0.27381200710933262</v>
      </c>
      <c r="AM8" s="18">
        <f t="shared" si="5"/>
        <v>0.2211748686530941</v>
      </c>
      <c r="AP8" s="69" t="s">
        <v>380</v>
      </c>
      <c r="AQ8" s="60"/>
      <c r="AR8" s="61"/>
      <c r="AS8" s="61"/>
      <c r="AT8" s="74"/>
      <c r="AU8" s="74"/>
      <c r="AV8" s="64"/>
      <c r="AW8" s="60"/>
      <c r="AX8" s="61"/>
      <c r="AY8" s="61"/>
      <c r="AZ8" s="58"/>
      <c r="BA8" s="58"/>
      <c r="BB8" s="64"/>
    </row>
    <row r="9" spans="1:54"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M9" si="6">+Y7/X7-1</f>
        <v>#DIV/0!</v>
      </c>
      <c r="Z9" s="18" t="e">
        <f t="shared" si="6"/>
        <v>#DIV/0!</v>
      </c>
      <c r="AA9" s="18" t="e">
        <f t="shared" si="6"/>
        <v>#DIV/0!</v>
      </c>
      <c r="AB9" s="18" t="e">
        <f t="shared" si="6"/>
        <v>#DIV/0!</v>
      </c>
      <c r="AC9" s="18" t="e">
        <f t="shared" si="6"/>
        <v>#DIV/0!</v>
      </c>
      <c r="AD9" s="18" t="e">
        <f t="shared" si="6"/>
        <v>#DIV/0!</v>
      </c>
      <c r="AE9" s="18">
        <f t="shared" si="6"/>
        <v>1.1866661796409606E-2</v>
      </c>
      <c r="AF9" s="18">
        <f t="shared" si="6"/>
        <v>-6.6083230802087334E-2</v>
      </c>
      <c r="AG9" s="18">
        <f t="shared" si="6"/>
        <v>-8.2354076835014389E-2</v>
      </c>
      <c r="AH9" s="18">
        <f t="shared" si="6"/>
        <v>0.2432889114126382</v>
      </c>
      <c r="AI9" s="18">
        <f t="shared" si="6"/>
        <v>-5.1910544445745166E-2</v>
      </c>
      <c r="AJ9" s="18">
        <f t="shared" si="6"/>
        <v>9.3522439450956618E-2</v>
      </c>
      <c r="AK9" s="18">
        <f t="shared" si="6"/>
        <v>-6.2560865194245086E-2</v>
      </c>
      <c r="AL9" s="18">
        <f t="shared" si="6"/>
        <v>0.31064550575875449</v>
      </c>
      <c r="AM9" s="18">
        <f t="shared" si="6"/>
        <v>-9.1088002078726804E-2</v>
      </c>
      <c r="AP9" s="70" t="s">
        <v>192</v>
      </c>
      <c r="AQ9" s="62" t="e">
        <f>+AVERAGE(AQ4:AQ8)</f>
        <v>#DIV/0!</v>
      </c>
      <c r="AR9" s="63" t="e">
        <f t="shared" ref="AR9:BB9" si="7">+AVERAGE(AR4:AR8)</f>
        <v>#DIV/0!</v>
      </c>
      <c r="AS9" s="63" t="e">
        <f t="shared" si="7"/>
        <v>#DIV/0!</v>
      </c>
      <c r="AT9" s="72" t="e">
        <f t="shared" si="7"/>
        <v>#DIV/0!</v>
      </c>
      <c r="AU9" s="72" t="e">
        <f t="shared" si="7"/>
        <v>#DIV/0!</v>
      </c>
      <c r="AV9" s="65" t="e">
        <f t="shared" si="7"/>
        <v>#DIV/0!</v>
      </c>
      <c r="AW9" s="62" t="e">
        <f t="shared" si="7"/>
        <v>#DIV/0!</v>
      </c>
      <c r="AX9" s="63" t="e">
        <f t="shared" si="7"/>
        <v>#DIV/0!</v>
      </c>
      <c r="AY9" s="63" t="e">
        <f t="shared" si="7"/>
        <v>#DIV/0!</v>
      </c>
      <c r="AZ9" s="72" t="e">
        <f t="shared" si="7"/>
        <v>#DIV/0!</v>
      </c>
      <c r="BA9" s="72" t="e">
        <f t="shared" si="7"/>
        <v>#DIV/0!</v>
      </c>
      <c r="BB9" s="65" t="e">
        <f t="shared" si="7"/>
        <v>#DIV/0!</v>
      </c>
    </row>
    <row r="10" spans="1:54"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W10" s="12" t="s">
        <v>987</v>
      </c>
      <c r="Y10" s="18"/>
      <c r="Z10" s="18"/>
      <c r="AA10" s="18"/>
      <c r="AB10" s="18"/>
      <c r="AC10" s="18"/>
      <c r="AD10" s="19">
        <f t="shared" ref="AD10:AL10" si="8">+AD7/AD3</f>
        <v>0.91407818635240257</v>
      </c>
      <c r="AE10" s="19">
        <f t="shared" si="8"/>
        <v>0.91168820159087571</v>
      </c>
      <c r="AF10" s="19">
        <f t="shared" si="8"/>
        <v>0.88236710037257693</v>
      </c>
      <c r="AG10" s="19">
        <f t="shared" si="8"/>
        <v>0.86015400348160997</v>
      </c>
      <c r="AH10" s="19">
        <f t="shared" si="8"/>
        <v>0.87979219546984255</v>
      </c>
      <c r="AI10" s="19">
        <f t="shared" si="8"/>
        <v>0.89312400557562743</v>
      </c>
      <c r="AJ10" s="19">
        <f t="shared" si="8"/>
        <v>0.90093523403355402</v>
      </c>
      <c r="AK10" s="19">
        <f t="shared" si="8"/>
        <v>0.90164860535661806</v>
      </c>
      <c r="AL10" s="19">
        <f t="shared" si="8"/>
        <v>0.92159938708214006</v>
      </c>
      <c r="AM10" s="19">
        <f t="shared" ref="AM10" si="9">+AM7/AM3</f>
        <v>0.91125850170610012</v>
      </c>
      <c r="AP10" s="12"/>
      <c r="AQ10" s="12"/>
      <c r="AR10" s="12"/>
      <c r="AS10" s="12"/>
      <c r="AT10" s="12"/>
      <c r="AU10" s="12"/>
      <c r="AV10" s="12"/>
      <c r="AW10" s="12"/>
      <c r="AX10" s="12"/>
      <c r="AY10" s="12"/>
      <c r="AZ10" s="12"/>
      <c r="BA10" s="12"/>
      <c r="BB10" s="12"/>
    </row>
    <row r="11" spans="1:54" ht="18" thickTop="1" thickBot="1" x14ac:dyDescent="0.4">
      <c r="B11" s="28" t="s">
        <v>25</v>
      </c>
      <c r="C11" s="30">
        <f t="shared" ref="C11:G11" si="10">C10/C$3*100</f>
        <v>12.180949473066461</v>
      </c>
      <c r="D11" s="30" t="e">
        <f t="shared" si="10"/>
        <v>#DIV/0!</v>
      </c>
      <c r="E11" s="30" t="e">
        <f t="shared" si="10"/>
        <v>#DIV/0!</v>
      </c>
      <c r="F11" s="30" t="e">
        <f t="shared" si="10"/>
        <v>#DIV/0!</v>
      </c>
      <c r="G11" s="30" t="e">
        <f t="shared" si="10"/>
        <v>#DIV/0!</v>
      </c>
      <c r="H11" s="30" t="e">
        <f>H10/H$3*100</f>
        <v>#DIV/0!</v>
      </c>
      <c r="I11" s="31" t="e">
        <f>I10/I$3*100</f>
        <v>#DIV/0!</v>
      </c>
      <c r="J11" s="23" t="e">
        <f>AVERAGE(D11:I11)</f>
        <v>#DIV/0!</v>
      </c>
      <c r="M11" s="1" t="s">
        <v>26</v>
      </c>
      <c r="N11" s="3">
        <f>'[1]LT Portfolio'!T294</f>
        <v>0</v>
      </c>
      <c r="O11" s="4" t="e">
        <f>N11/N7-1</f>
        <v>#DIV/0!</v>
      </c>
      <c r="AP11" s="12" t="s">
        <v>193</v>
      </c>
      <c r="AQ11" s="12"/>
      <c r="AR11" s="12"/>
      <c r="AS11" s="12"/>
      <c r="AT11" s="58" t="e">
        <f>+$X$1/AT9</f>
        <v>#DIV/0!</v>
      </c>
      <c r="AU11" s="58" t="e">
        <f>+$X$1/AU9</f>
        <v>#DIV/0!</v>
      </c>
      <c r="AV11" s="75" t="e">
        <f>+AV9/$X$1</f>
        <v>#DIV/0!</v>
      </c>
      <c r="AW11" s="12"/>
      <c r="AX11" s="12"/>
      <c r="AY11" s="12"/>
      <c r="AZ11" s="58" t="e">
        <f>+$X$1/AZ9</f>
        <v>#DIV/0!</v>
      </c>
      <c r="BA11" s="58" t="e">
        <f>+$X$1/BA9</f>
        <v>#DIV/0!</v>
      </c>
      <c r="BB11" s="75" t="e">
        <f>+BB9/$X$1</f>
        <v>#DIV/0!</v>
      </c>
    </row>
    <row r="12" spans="1:54" ht="18" thickTop="1" thickBot="1" x14ac:dyDescent="0.4">
      <c r="B12" s="28" t="s">
        <v>27</v>
      </c>
      <c r="C12" s="29"/>
      <c r="D12" s="30">
        <f t="shared" ref="D12:I12" si="11">(D10/C10-1)*100</f>
        <v>-100</v>
      </c>
      <c r="E12" s="30" t="e">
        <f t="shared" si="11"/>
        <v>#DIV/0!</v>
      </c>
      <c r="F12" s="30" t="e">
        <f t="shared" si="11"/>
        <v>#DIV/0!</v>
      </c>
      <c r="G12" s="30" t="e">
        <f t="shared" si="11"/>
        <v>#DIV/0!</v>
      </c>
      <c r="H12" s="30" t="e">
        <f t="shared" si="11"/>
        <v>#DIV/0!</v>
      </c>
      <c r="I12" s="31" t="e">
        <f t="shared" si="11"/>
        <v>#DIV/0!</v>
      </c>
      <c r="J12" s="23" t="e">
        <f>AVERAGE(D12:I12)</f>
        <v>#DIV/0!</v>
      </c>
      <c r="S12" t="s">
        <v>20</v>
      </c>
      <c r="T12" t="s">
        <v>22</v>
      </c>
      <c r="W12" s="12" t="s">
        <v>974</v>
      </c>
      <c r="X12" s="13"/>
      <c r="Y12" s="13"/>
      <c r="Z12" s="13"/>
      <c r="AA12" s="13"/>
      <c r="AB12" s="13"/>
      <c r="AC12" s="13"/>
      <c r="AD12" s="13">
        <v>660125</v>
      </c>
      <c r="AE12" s="13">
        <v>737325</v>
      </c>
      <c r="AF12" s="13">
        <v>1249129</v>
      </c>
      <c r="AG12" s="13">
        <v>1401406</v>
      </c>
      <c r="AH12" s="13">
        <v>1603285</v>
      </c>
      <c r="AI12" s="13">
        <v>1732591</v>
      </c>
      <c r="AJ12" s="13">
        <v>1732563</v>
      </c>
      <c r="AK12" s="13">
        <v>1743799</v>
      </c>
      <c r="AL12" s="13">
        <v>1768490</v>
      </c>
      <c r="AM12" s="13">
        <v>1764710</v>
      </c>
    </row>
    <row r="13" spans="1:54"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t="s">
        <v>40</v>
      </c>
      <c r="X13" s="17"/>
      <c r="Y13" s="17"/>
      <c r="Z13" s="17"/>
      <c r="AA13" s="17"/>
      <c r="AB13" s="18" t="e">
        <f t="shared" ref="AB13:AM13" si="12">+AB12/X12-1</f>
        <v>#DIV/0!</v>
      </c>
      <c r="AC13" s="18" t="e">
        <f t="shared" si="12"/>
        <v>#DIV/0!</v>
      </c>
      <c r="AD13" s="18" t="e">
        <f t="shared" si="12"/>
        <v>#DIV/0!</v>
      </c>
      <c r="AE13" s="18" t="e">
        <f t="shared" si="12"/>
        <v>#DIV/0!</v>
      </c>
      <c r="AF13" s="18" t="e">
        <f t="shared" si="12"/>
        <v>#DIV/0!</v>
      </c>
      <c r="AG13" s="18" t="e">
        <f t="shared" si="12"/>
        <v>#DIV/0!</v>
      </c>
      <c r="AH13" s="18">
        <f t="shared" si="12"/>
        <v>1.4287597046014011</v>
      </c>
      <c r="AI13" s="18">
        <f t="shared" si="12"/>
        <v>1.3498335198182621</v>
      </c>
      <c r="AJ13" s="18">
        <f t="shared" si="12"/>
        <v>0.38701687335735535</v>
      </c>
      <c r="AK13" s="18">
        <f t="shared" si="12"/>
        <v>0.24432106042074886</v>
      </c>
      <c r="AL13" s="18">
        <f t="shared" si="12"/>
        <v>0.10304156778114937</v>
      </c>
      <c r="AM13" s="18">
        <f t="shared" si="12"/>
        <v>1.8538131619060705E-2</v>
      </c>
      <c r="AN13" s="12"/>
      <c r="AO13" s="12"/>
    </row>
    <row r="14" spans="1:54"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41</v>
      </c>
      <c r="Y14" s="18" t="e">
        <f t="shared" ref="Y14:AM14" si="13">+Y12/X12-1</f>
        <v>#DIV/0!</v>
      </c>
      <c r="Z14" s="18" t="e">
        <f t="shared" si="13"/>
        <v>#DIV/0!</v>
      </c>
      <c r="AA14" s="18" t="e">
        <f t="shared" si="13"/>
        <v>#DIV/0!</v>
      </c>
      <c r="AB14" s="18" t="e">
        <f t="shared" si="13"/>
        <v>#DIV/0!</v>
      </c>
      <c r="AC14" s="18" t="e">
        <f t="shared" si="13"/>
        <v>#DIV/0!</v>
      </c>
      <c r="AD14" s="18" t="e">
        <f t="shared" si="13"/>
        <v>#DIV/0!</v>
      </c>
      <c r="AE14" s="18">
        <f t="shared" si="13"/>
        <v>0.11694754781291428</v>
      </c>
      <c r="AF14" s="18">
        <f t="shared" si="13"/>
        <v>0.69413623571694982</v>
      </c>
      <c r="AG14" s="18">
        <f t="shared" si="13"/>
        <v>0.12190654448019389</v>
      </c>
      <c r="AH14" s="18">
        <f t="shared" si="13"/>
        <v>0.14405461372364603</v>
      </c>
      <c r="AI14" s="18">
        <f t="shared" si="13"/>
        <v>8.0650664105258896E-2</v>
      </c>
      <c r="AJ14" s="18">
        <f t="shared" si="13"/>
        <v>-1.6160767313255775E-5</v>
      </c>
      <c r="AK14" s="18">
        <f t="shared" si="13"/>
        <v>6.4851898603397462E-3</v>
      </c>
      <c r="AL14" s="18">
        <f t="shared" si="13"/>
        <v>1.4159315379811632E-2</v>
      </c>
      <c r="AM14" s="18">
        <f t="shared" si="13"/>
        <v>-2.1374166661954908E-3</v>
      </c>
    </row>
    <row r="15" spans="1:54" ht="18" thickTop="1" thickBot="1" x14ac:dyDescent="0.4">
      <c r="B15" s="32" t="s">
        <v>30</v>
      </c>
      <c r="C15" s="34">
        <f>1+0.6</f>
        <v>1.6</v>
      </c>
      <c r="D15" s="34"/>
      <c r="E15" s="34"/>
      <c r="F15" s="34"/>
      <c r="G15" s="34"/>
      <c r="H15" s="34"/>
      <c r="I15" s="35"/>
      <c r="J15" s="24"/>
      <c r="R15" s="6"/>
      <c r="S15" s="6"/>
      <c r="X15" s="19"/>
      <c r="Y15" s="19"/>
      <c r="Z15" s="19"/>
      <c r="AA15" s="19"/>
      <c r="AB15" s="19"/>
      <c r="AC15" s="19"/>
      <c r="AD15" s="19"/>
      <c r="AE15" s="19"/>
      <c r="AF15" s="19"/>
      <c r="AG15" s="19"/>
      <c r="AH15" s="19"/>
      <c r="AI15" s="19"/>
      <c r="AJ15" s="19"/>
      <c r="AK15" s="19"/>
      <c r="AL15" s="19"/>
      <c r="AM15" s="19"/>
    </row>
    <row r="16" spans="1:54" ht="18" thickTop="1" thickBot="1" x14ac:dyDescent="0.4">
      <c r="B16" s="32" t="s">
        <v>8</v>
      </c>
      <c r="C16" s="34">
        <v>31.7</v>
      </c>
      <c r="D16" s="34"/>
      <c r="E16" s="34"/>
      <c r="F16" s="34"/>
      <c r="G16" s="34"/>
      <c r="H16" s="34"/>
      <c r="I16" s="35"/>
      <c r="J16" s="22" t="e">
        <f>((I16/D16)^(1/5)-1)*100</f>
        <v>#DIV/0!</v>
      </c>
      <c r="W16" s="47" t="s">
        <v>975</v>
      </c>
      <c r="X16" s="143"/>
      <c r="Y16" s="143"/>
      <c r="Z16" s="143"/>
      <c r="AA16" s="143"/>
      <c r="AB16" s="143"/>
      <c r="AC16" s="143"/>
      <c r="AD16" s="143">
        <v>6033027</v>
      </c>
      <c r="AE16" s="143">
        <v>5876975</v>
      </c>
      <c r="AF16" s="143">
        <v>6213899</v>
      </c>
      <c r="AG16" s="143">
        <v>6050566</v>
      </c>
      <c r="AH16" s="143">
        <v>7383373</v>
      </c>
      <c r="AI16" s="143">
        <v>7287434</v>
      </c>
      <c r="AJ16" s="143">
        <v>7872833</v>
      </c>
      <c r="AK16" s="143">
        <v>7547642</v>
      </c>
      <c r="AL16" s="143">
        <v>9090687</v>
      </c>
      <c r="AM16" s="143">
        <v>8448459</v>
      </c>
    </row>
    <row r="17" spans="2:39" ht="18" thickTop="1" thickBot="1" x14ac:dyDescent="0.4">
      <c r="B17" s="32" t="s">
        <v>31</v>
      </c>
      <c r="C17" s="34">
        <v>14.6</v>
      </c>
      <c r="D17" s="34"/>
      <c r="E17" s="34"/>
      <c r="F17" s="34"/>
      <c r="G17" s="34"/>
      <c r="H17" s="34"/>
      <c r="I17" s="35"/>
      <c r="J17" s="22" t="e">
        <f>((I17/D17)^(1/6)-1)*100</f>
        <v>#DIV/0!</v>
      </c>
      <c r="W17" s="12" t="s">
        <v>40</v>
      </c>
      <c r="X17" s="17"/>
      <c r="Y17" s="17"/>
      <c r="Z17" s="17"/>
      <c r="AA17" s="17"/>
      <c r="AB17" s="18" t="e">
        <f t="shared" ref="AB17:AM17" si="14">+AB16/X16-1</f>
        <v>#DIV/0!</v>
      </c>
      <c r="AC17" s="18" t="e">
        <f t="shared" si="14"/>
        <v>#DIV/0!</v>
      </c>
      <c r="AD17" s="18" t="e">
        <f t="shared" si="14"/>
        <v>#DIV/0!</v>
      </c>
      <c r="AE17" s="18" t="e">
        <f t="shared" si="14"/>
        <v>#DIV/0!</v>
      </c>
      <c r="AF17" s="18" t="e">
        <f t="shared" si="14"/>
        <v>#DIV/0!</v>
      </c>
      <c r="AG17" s="18" t="e">
        <f t="shared" si="14"/>
        <v>#DIV/0!</v>
      </c>
      <c r="AH17" s="18">
        <f t="shared" si="14"/>
        <v>0.22382561854936167</v>
      </c>
      <c r="AI17" s="18">
        <f t="shared" si="14"/>
        <v>0.2399974476665292</v>
      </c>
      <c r="AJ17" s="18">
        <f t="shared" si="14"/>
        <v>0.26697151015811493</v>
      </c>
      <c r="AK17" s="18">
        <f t="shared" si="14"/>
        <v>0.24742743075606488</v>
      </c>
      <c r="AL17" s="18">
        <f t="shared" si="14"/>
        <v>0.23123767416328556</v>
      </c>
      <c r="AM17" s="18">
        <f t="shared" si="14"/>
        <v>0.15931876707219583</v>
      </c>
    </row>
    <row r="18" spans="2:39" ht="18" thickTop="1" thickBot="1" x14ac:dyDescent="0.4">
      <c r="B18" s="32" t="s">
        <v>32</v>
      </c>
      <c r="C18" s="36">
        <f t="shared" ref="C18:G18" si="15">C14/AVERAGE(B17:C17)*100</f>
        <v>22.19178082191781</v>
      </c>
      <c r="D18" s="36">
        <f t="shared" si="15"/>
        <v>0</v>
      </c>
      <c r="E18" s="36" t="e">
        <f t="shared" si="15"/>
        <v>#DIV/0!</v>
      </c>
      <c r="F18" s="36" t="e">
        <f t="shared" si="15"/>
        <v>#DIV/0!</v>
      </c>
      <c r="G18" s="36" t="e">
        <f t="shared" si="15"/>
        <v>#DIV/0!</v>
      </c>
      <c r="H18" s="36" t="e">
        <f>H14/AVERAGE(G17:H17)*100</f>
        <v>#DIV/0!</v>
      </c>
      <c r="I18" s="37" t="e">
        <f>I14/AVERAGE(H17:I17)*100</f>
        <v>#DIV/0!</v>
      </c>
      <c r="J18" s="23" t="e">
        <f>AVERAGE(D18:I18)</f>
        <v>#DIV/0!</v>
      </c>
      <c r="M18" s="9" t="s">
        <v>33</v>
      </c>
      <c r="N18" s="6"/>
      <c r="O18" s="6"/>
      <c r="P18" s="6"/>
      <c r="Q18" s="6"/>
      <c r="W18" s="12" t="s">
        <v>41</v>
      </c>
      <c r="Y18" s="18" t="e">
        <f t="shared" ref="Y18:AM18" si="16">+Y16/X16-1</f>
        <v>#DIV/0!</v>
      </c>
      <c r="Z18" s="18" t="e">
        <f t="shared" si="16"/>
        <v>#DIV/0!</v>
      </c>
      <c r="AA18" s="18" t="e">
        <f t="shared" si="16"/>
        <v>#DIV/0!</v>
      </c>
      <c r="AB18" s="18" t="e">
        <f t="shared" si="16"/>
        <v>#DIV/0!</v>
      </c>
      <c r="AC18" s="18" t="e">
        <f t="shared" si="16"/>
        <v>#DIV/0!</v>
      </c>
      <c r="AD18" s="18" t="e">
        <f t="shared" si="16"/>
        <v>#DIV/0!</v>
      </c>
      <c r="AE18" s="18">
        <f t="shared" si="16"/>
        <v>-2.5866285697047298E-2</v>
      </c>
      <c r="AF18" s="18">
        <f t="shared" si="16"/>
        <v>5.7329493489422623E-2</v>
      </c>
      <c r="AG18" s="18">
        <f t="shared" si="16"/>
        <v>-2.628510698355413E-2</v>
      </c>
      <c r="AH18" s="18">
        <f t="shared" si="16"/>
        <v>0.22027806985329978</v>
      </c>
      <c r="AI18" s="18">
        <f t="shared" si="16"/>
        <v>-1.2993925675974904E-2</v>
      </c>
      <c r="AJ18" s="18">
        <f t="shared" si="16"/>
        <v>8.0329921341311561E-2</v>
      </c>
      <c r="AK18" s="18">
        <f t="shared" si="16"/>
        <v>-4.1305461452059267E-2</v>
      </c>
      <c r="AL18" s="18">
        <f t="shared" si="16"/>
        <v>0.20444067166937696</v>
      </c>
      <c r="AM18" s="18">
        <f t="shared" si="16"/>
        <v>-7.0646805901468213E-2</v>
      </c>
    </row>
    <row r="19" spans="2:39" ht="18" thickTop="1" thickBot="1" x14ac:dyDescent="0.4">
      <c r="B19" s="32" t="s">
        <v>34</v>
      </c>
      <c r="C19" s="30">
        <f t="shared" ref="C19:G19" si="17">C15/C16*100</f>
        <v>5.0473186119873823</v>
      </c>
      <c r="D19" s="30" t="e">
        <f t="shared" si="17"/>
        <v>#DIV/0!</v>
      </c>
      <c r="E19" s="30" t="e">
        <f t="shared" si="17"/>
        <v>#DIV/0!</v>
      </c>
      <c r="F19" s="30" t="e">
        <f t="shared" si="17"/>
        <v>#DIV/0!</v>
      </c>
      <c r="G19" s="30" t="e">
        <f t="shared" si="17"/>
        <v>#DIV/0!</v>
      </c>
      <c r="H19" s="30" t="e">
        <f>H15/H16*100</f>
        <v>#DIV/0!</v>
      </c>
      <c r="I19" s="31" t="e">
        <f>I15/I16*100</f>
        <v>#DIV/0!</v>
      </c>
      <c r="J19" s="23" t="e">
        <f>AVERAGE(D19:I19)</f>
        <v>#DIV/0!</v>
      </c>
      <c r="Y19" s="18"/>
      <c r="Z19" s="18"/>
      <c r="AA19" s="18"/>
      <c r="AB19" s="18"/>
      <c r="AC19" s="18"/>
      <c r="AD19" s="18"/>
      <c r="AE19" s="18"/>
      <c r="AF19" s="18"/>
      <c r="AG19" s="18"/>
      <c r="AH19" s="18"/>
      <c r="AI19" s="18"/>
      <c r="AJ19" s="18"/>
      <c r="AK19" s="18"/>
      <c r="AL19" s="18"/>
      <c r="AM19" s="18"/>
    </row>
    <row r="20" spans="2:39" ht="18" thickTop="1" thickBot="1" x14ac:dyDescent="0.4">
      <c r="B20" s="32" t="s">
        <v>35</v>
      </c>
      <c r="C20" s="30">
        <f t="shared" ref="C20:G20" si="18">C15/C14*100</f>
        <v>49.382716049382715</v>
      </c>
      <c r="D20" s="30" t="e">
        <f t="shared" si="18"/>
        <v>#DIV/0!</v>
      </c>
      <c r="E20" s="30" t="e">
        <f t="shared" si="18"/>
        <v>#DIV/0!</v>
      </c>
      <c r="F20" s="30" t="e">
        <f t="shared" si="18"/>
        <v>#DIV/0!</v>
      </c>
      <c r="G20" s="30" t="e">
        <f t="shared" si="18"/>
        <v>#DIV/0!</v>
      </c>
      <c r="H20" s="30" t="e">
        <f>H15/H14*100</f>
        <v>#DIV/0!</v>
      </c>
      <c r="I20" s="31" t="e">
        <f>I15/I14*100</f>
        <v>#DIV/0!</v>
      </c>
      <c r="J20" s="23" t="e">
        <f>AVERAGE(D20:I20)</f>
        <v>#DIV/0!</v>
      </c>
      <c r="M20" t="s">
        <v>36</v>
      </c>
      <c r="N20" s="4" t="e">
        <f>N13/H14-1</f>
        <v>#DIV/0!</v>
      </c>
      <c r="W20" s="12" t="s">
        <v>976</v>
      </c>
      <c r="X20" s="13"/>
      <c r="Y20" s="13"/>
      <c r="Z20" s="13"/>
      <c r="AA20" s="13"/>
      <c r="AB20" s="13"/>
      <c r="AC20" s="13"/>
      <c r="AD20" s="13">
        <v>-1915434</v>
      </c>
      <c r="AE20" s="13">
        <v>-1724312</v>
      </c>
      <c r="AF20" s="13">
        <v>-1892874</v>
      </c>
      <c r="AG20" s="13">
        <v>-2158672</v>
      </c>
      <c r="AH20" s="13">
        <v>-2488428</v>
      </c>
      <c r="AI20" s="13">
        <v>-3188942</v>
      </c>
      <c r="AJ20" s="13">
        <v>-3227241</v>
      </c>
      <c r="AK20" s="13">
        <v>-3116593</v>
      </c>
      <c r="AL20" s="13">
        <v>-3365385</v>
      </c>
      <c r="AM20" s="13">
        <v>-3367726</v>
      </c>
    </row>
    <row r="21" spans="2:39" ht="18" thickTop="1" thickBot="1" x14ac:dyDescent="0.4">
      <c r="B21" s="32" t="s">
        <v>11</v>
      </c>
      <c r="C21" s="38">
        <f t="shared" ref="C21:G21" si="19">C16/C14</f>
        <v>9.7839506172839492</v>
      </c>
      <c r="D21" s="38" t="e">
        <f t="shared" si="19"/>
        <v>#DIV/0!</v>
      </c>
      <c r="E21" s="38" t="e">
        <f t="shared" si="19"/>
        <v>#DIV/0!</v>
      </c>
      <c r="F21" s="38" t="e">
        <f t="shared" si="19"/>
        <v>#DIV/0!</v>
      </c>
      <c r="G21" s="38" t="e">
        <f t="shared" si="19"/>
        <v>#DIV/0!</v>
      </c>
      <c r="H21" s="38" t="e">
        <f>H16/H14</f>
        <v>#DIV/0!</v>
      </c>
      <c r="I21" s="39" t="e">
        <f>I16/I14</f>
        <v>#DIV/0!</v>
      </c>
      <c r="J21" s="23" t="e">
        <f>AVERAGE(D21:I21)</f>
        <v>#DIV/0!</v>
      </c>
      <c r="W21" s="12" t="s">
        <v>40</v>
      </c>
      <c r="X21" s="17"/>
      <c r="Y21" s="17"/>
      <c r="Z21" s="17"/>
      <c r="AA21" s="17"/>
      <c r="AB21" s="18" t="e">
        <f t="shared" ref="AB21:AM21" si="20">+AB20/X20-1</f>
        <v>#DIV/0!</v>
      </c>
      <c r="AC21" s="18" t="e">
        <f t="shared" si="20"/>
        <v>#DIV/0!</v>
      </c>
      <c r="AD21" s="18" t="e">
        <f t="shared" si="20"/>
        <v>#DIV/0!</v>
      </c>
      <c r="AE21" s="18" t="e">
        <f t="shared" si="20"/>
        <v>#DIV/0!</v>
      </c>
      <c r="AF21" s="18" t="e">
        <f t="shared" si="20"/>
        <v>#DIV/0!</v>
      </c>
      <c r="AG21" s="18" t="e">
        <f t="shared" si="20"/>
        <v>#DIV/0!</v>
      </c>
      <c r="AH21" s="18">
        <f t="shared" si="20"/>
        <v>0.29914578106058465</v>
      </c>
      <c r="AI21" s="18">
        <f t="shared" si="20"/>
        <v>0.84939964461187989</v>
      </c>
      <c r="AJ21" s="18">
        <f t="shared" si="20"/>
        <v>0.70494232579664584</v>
      </c>
      <c r="AK21" s="18">
        <f t="shared" si="20"/>
        <v>0.44375477145207798</v>
      </c>
      <c r="AL21" s="18">
        <f t="shared" si="20"/>
        <v>0.35241405417396043</v>
      </c>
      <c r="AM21" s="18">
        <f t="shared" si="20"/>
        <v>5.6063735245106328E-2</v>
      </c>
    </row>
    <row r="22" spans="2:39" ht="18" thickTop="1" thickBot="1" x14ac:dyDescent="0.4">
      <c r="B22" s="32" t="s">
        <v>37</v>
      </c>
      <c r="C22" s="38">
        <f t="shared" ref="C22:G22" si="21">C16/C17</f>
        <v>2.1712328767123288</v>
      </c>
      <c r="D22" s="38" t="e">
        <f t="shared" si="21"/>
        <v>#DIV/0!</v>
      </c>
      <c r="E22" s="38" t="e">
        <f t="shared" si="21"/>
        <v>#DIV/0!</v>
      </c>
      <c r="F22" s="38" t="e">
        <f t="shared" si="21"/>
        <v>#DIV/0!</v>
      </c>
      <c r="G22" s="38" t="e">
        <f t="shared" si="21"/>
        <v>#DIV/0!</v>
      </c>
      <c r="H22" s="38" t="e">
        <f>H16/H17</f>
        <v>#DIV/0!</v>
      </c>
      <c r="I22" s="39" t="e">
        <f>I16/I17</f>
        <v>#DIV/0!</v>
      </c>
      <c r="J22" s="23" t="e">
        <f>AVERAGE(D22:I22)</f>
        <v>#DIV/0!</v>
      </c>
      <c r="W22" s="12" t="s">
        <v>41</v>
      </c>
      <c r="Y22" s="18" t="e">
        <f t="shared" ref="Y22:AM22" si="22">+Y20/X20-1</f>
        <v>#DIV/0!</v>
      </c>
      <c r="Z22" s="18" t="e">
        <f t="shared" si="22"/>
        <v>#DIV/0!</v>
      </c>
      <c r="AA22" s="18" t="e">
        <f t="shared" si="22"/>
        <v>#DIV/0!</v>
      </c>
      <c r="AB22" s="18" t="e">
        <f t="shared" si="22"/>
        <v>#DIV/0!</v>
      </c>
      <c r="AC22" s="18" t="e">
        <f t="shared" si="22"/>
        <v>#DIV/0!</v>
      </c>
      <c r="AD22" s="18" t="e">
        <f t="shared" si="22"/>
        <v>#DIV/0!</v>
      </c>
      <c r="AE22" s="18">
        <f t="shared" si="22"/>
        <v>-9.9779997640221496E-2</v>
      </c>
      <c r="AF22" s="18">
        <f t="shared" si="22"/>
        <v>9.7756090545098484E-2</v>
      </c>
      <c r="AG22" s="18">
        <f t="shared" si="22"/>
        <v>0.14042033436985246</v>
      </c>
      <c r="AH22" s="18">
        <f t="shared" si="22"/>
        <v>0.15275873314704591</v>
      </c>
      <c r="AI22" s="18">
        <f t="shared" si="22"/>
        <v>0.28150864722628111</v>
      </c>
      <c r="AJ22" s="18">
        <f t="shared" si="22"/>
        <v>1.2009939346654841E-2</v>
      </c>
      <c r="AK22" s="18">
        <f t="shared" si="22"/>
        <v>-3.4285632836221436E-2</v>
      </c>
      <c r="AL22" s="18">
        <f t="shared" si="22"/>
        <v>7.982819700872068E-2</v>
      </c>
      <c r="AM22" s="18">
        <f t="shared" si="22"/>
        <v>6.9561134907303313E-4</v>
      </c>
    </row>
    <row r="23" spans="2:39" ht="15.75" thickTop="1" x14ac:dyDescent="0.25">
      <c r="Y23" s="18"/>
      <c r="Z23" s="18"/>
      <c r="AA23" s="18"/>
      <c r="AB23" s="18"/>
      <c r="AC23" s="18"/>
      <c r="AD23" s="18"/>
      <c r="AE23" s="18"/>
      <c r="AF23" s="18"/>
      <c r="AG23" s="18"/>
      <c r="AH23" s="18"/>
      <c r="AI23" s="18"/>
      <c r="AJ23" s="18"/>
      <c r="AK23" s="18"/>
      <c r="AL23" s="18"/>
      <c r="AM23" s="18"/>
    </row>
    <row r="24" spans="2:39" x14ac:dyDescent="0.25">
      <c r="G24" s="10">
        <v>701.95658000000003</v>
      </c>
      <c r="H24" s="10">
        <v>709.32254499999999</v>
      </c>
      <c r="I24" s="10">
        <v>716.73997499999996</v>
      </c>
      <c r="W24" s="12" t="s">
        <v>977</v>
      </c>
      <c r="X24" s="13"/>
      <c r="Y24" s="13"/>
      <c r="Z24" s="13"/>
      <c r="AA24" s="13"/>
      <c r="AB24" s="13"/>
      <c r="AC24" s="13"/>
      <c r="AD24" s="13">
        <v>-1097777</v>
      </c>
      <c r="AE24" s="13">
        <v>-1695599</v>
      </c>
      <c r="AF24" s="13">
        <v>-1893271</v>
      </c>
      <c r="AG24" s="13">
        <v>126227</v>
      </c>
      <c r="AH24" s="13">
        <v>-254431</v>
      </c>
      <c r="AI24" s="13">
        <v>65026</v>
      </c>
      <c r="AJ24" s="13">
        <v>-903991</v>
      </c>
      <c r="AK24" s="13">
        <v>-531579</v>
      </c>
      <c r="AL24" s="13">
        <v>-1457538</v>
      </c>
      <c r="AM24" s="13">
        <v>-557262</v>
      </c>
    </row>
    <row r="25" spans="2:39" x14ac:dyDescent="0.25">
      <c r="G25">
        <f>+G10/G24</f>
        <v>0</v>
      </c>
      <c r="H25">
        <f>+H10/H24</f>
        <v>0</v>
      </c>
      <c r="I25">
        <f>+I10/I24</f>
        <v>0</v>
      </c>
      <c r="M25" s="10"/>
      <c r="W25" s="12" t="s">
        <v>40</v>
      </c>
      <c r="X25" s="17"/>
      <c r="Y25" s="17"/>
      <c r="Z25" s="17"/>
      <c r="AA25" s="17"/>
      <c r="AB25" s="18" t="e">
        <f t="shared" ref="AB25:AM25" si="23">+AB24/X24-1</f>
        <v>#DIV/0!</v>
      </c>
      <c r="AC25" s="18" t="e">
        <f t="shared" si="23"/>
        <v>#DIV/0!</v>
      </c>
      <c r="AD25" s="18" t="e">
        <f t="shared" si="23"/>
        <v>#DIV/0!</v>
      </c>
      <c r="AE25" s="18" t="e">
        <f t="shared" si="23"/>
        <v>#DIV/0!</v>
      </c>
      <c r="AF25" s="18" t="e">
        <f t="shared" si="23"/>
        <v>#DIV/0!</v>
      </c>
      <c r="AG25" s="18" t="e">
        <f t="shared" si="23"/>
        <v>#DIV/0!</v>
      </c>
      <c r="AH25" s="18">
        <f t="shared" si="23"/>
        <v>-0.76823070623633027</v>
      </c>
      <c r="AI25" s="18">
        <f t="shared" si="23"/>
        <v>-1.0383498692792341</v>
      </c>
      <c r="AJ25" s="18">
        <f t="shared" si="23"/>
        <v>-0.5225242450763784</v>
      </c>
      <c r="AK25" s="18">
        <f t="shared" si="23"/>
        <v>-5.211293938697743</v>
      </c>
      <c r="AL25" s="18">
        <f t="shared" si="23"/>
        <v>4.7286179750109065</v>
      </c>
      <c r="AM25" s="18">
        <f t="shared" si="23"/>
        <v>-9.5698336050195305</v>
      </c>
    </row>
    <row r="26" spans="2:39" x14ac:dyDescent="0.25">
      <c r="M26" s="10"/>
      <c r="W26" s="12" t="s">
        <v>41</v>
      </c>
      <c r="Y26" s="18" t="e">
        <f t="shared" ref="Y26:AM26" si="24">+Y24/X24-1</f>
        <v>#DIV/0!</v>
      </c>
      <c r="Z26" s="18" t="e">
        <f t="shared" si="24"/>
        <v>#DIV/0!</v>
      </c>
      <c r="AA26" s="18" t="e">
        <f t="shared" si="24"/>
        <v>#DIV/0!</v>
      </c>
      <c r="AB26" s="18" t="e">
        <f t="shared" si="24"/>
        <v>#DIV/0!</v>
      </c>
      <c r="AC26" s="18" t="e">
        <f t="shared" si="24"/>
        <v>#DIV/0!</v>
      </c>
      <c r="AD26" s="18" t="e">
        <f t="shared" si="24"/>
        <v>#DIV/0!</v>
      </c>
      <c r="AE26" s="18">
        <f t="shared" si="24"/>
        <v>0.54457508218882333</v>
      </c>
      <c r="AF26" s="18">
        <f t="shared" si="24"/>
        <v>0.1165794506837996</v>
      </c>
      <c r="AG26" s="18">
        <f t="shared" si="24"/>
        <v>-1.0666713851318697</v>
      </c>
      <c r="AH26" s="18">
        <f t="shared" si="24"/>
        <v>-3.0156622592630735</v>
      </c>
      <c r="AI26" s="18">
        <f t="shared" si="24"/>
        <v>-1.2555742028290577</v>
      </c>
      <c r="AJ26" s="18">
        <f t="shared" si="24"/>
        <v>-14.901993048934273</v>
      </c>
      <c r="AK26" s="18">
        <f t="shared" si="24"/>
        <v>-0.4119642784054266</v>
      </c>
      <c r="AL26" s="18">
        <f t="shared" si="24"/>
        <v>1.7419028968412973</v>
      </c>
      <c r="AM26" s="18">
        <f t="shared" si="24"/>
        <v>-0.61766897329606496</v>
      </c>
    </row>
    <row r="27" spans="2:39" x14ac:dyDescent="0.25">
      <c r="Y27" s="18"/>
      <c r="Z27" s="18"/>
      <c r="AA27" s="18"/>
      <c r="AB27" s="18"/>
      <c r="AC27" s="18"/>
      <c r="AD27" s="18"/>
      <c r="AE27" s="18"/>
      <c r="AF27" s="18"/>
      <c r="AG27" s="18"/>
      <c r="AH27" s="18"/>
      <c r="AI27" s="18"/>
      <c r="AJ27" s="18"/>
      <c r="AK27" s="18"/>
      <c r="AL27" s="18"/>
      <c r="AM27" s="18"/>
    </row>
    <row r="28" spans="2:39" x14ac:dyDescent="0.25">
      <c r="W28" s="12" t="s">
        <v>978</v>
      </c>
      <c r="X28" s="13"/>
      <c r="Y28" s="13"/>
      <c r="Z28" s="13"/>
      <c r="AA28" s="13"/>
      <c r="AB28" s="13"/>
      <c r="AC28" s="13"/>
      <c r="AD28" s="13">
        <v>-969275</v>
      </c>
      <c r="AE28" s="13">
        <v>-1329438</v>
      </c>
      <c r="AF28" s="13">
        <v>-1259895</v>
      </c>
      <c r="AG28" s="13">
        <v>-1213915</v>
      </c>
      <c r="AH28" s="13">
        <v>-1152640</v>
      </c>
      <c r="AI28" s="13">
        <v>-1371103</v>
      </c>
      <c r="AJ28" s="13">
        <v>-1309820</v>
      </c>
      <c r="AK28" s="13">
        <v>-1348381</v>
      </c>
      <c r="AL28" s="13">
        <v>-1456903</v>
      </c>
      <c r="AM28" s="13">
        <v>-1490712</v>
      </c>
    </row>
    <row r="29" spans="2:39" x14ac:dyDescent="0.25">
      <c r="M29" s="10"/>
      <c r="W29" s="12" t="s">
        <v>40</v>
      </c>
      <c r="X29" s="17"/>
      <c r="Y29" s="17"/>
      <c r="Z29" s="17"/>
      <c r="AA29" s="17"/>
      <c r="AB29" s="18" t="e">
        <f t="shared" ref="AB29:AM29" si="25">+AB28/X28-1</f>
        <v>#DIV/0!</v>
      </c>
      <c r="AC29" s="18" t="e">
        <f t="shared" si="25"/>
        <v>#DIV/0!</v>
      </c>
      <c r="AD29" s="18" t="e">
        <f t="shared" si="25"/>
        <v>#DIV/0!</v>
      </c>
      <c r="AE29" s="18" t="e">
        <f t="shared" si="25"/>
        <v>#DIV/0!</v>
      </c>
      <c r="AF29" s="18" t="e">
        <f t="shared" si="25"/>
        <v>#DIV/0!</v>
      </c>
      <c r="AG29" s="18" t="e">
        <f t="shared" si="25"/>
        <v>#DIV/0!</v>
      </c>
      <c r="AH29" s="18">
        <f t="shared" si="25"/>
        <v>0.1891774780119162</v>
      </c>
      <c r="AI29" s="18">
        <f t="shared" si="25"/>
        <v>3.1340310717761888E-2</v>
      </c>
      <c r="AJ29" s="18">
        <f t="shared" si="25"/>
        <v>3.9626318066187993E-2</v>
      </c>
      <c r="AK29" s="18">
        <f t="shared" si="25"/>
        <v>0.11077052347157745</v>
      </c>
      <c r="AL29" s="18">
        <f t="shared" si="25"/>
        <v>0.26397053720155461</v>
      </c>
      <c r="AM29" s="18">
        <f t="shared" si="25"/>
        <v>8.7235605202526711E-2</v>
      </c>
    </row>
    <row r="30" spans="2:39" x14ac:dyDescent="0.25">
      <c r="M30" s="10"/>
      <c r="W30" s="12" t="s">
        <v>41</v>
      </c>
      <c r="Y30" s="18" t="e">
        <f t="shared" ref="Y30:AM30" si="26">+Y28/X28-1</f>
        <v>#DIV/0!</v>
      </c>
      <c r="Z30" s="18" t="e">
        <f t="shared" si="26"/>
        <v>#DIV/0!</v>
      </c>
      <c r="AA30" s="18" t="e">
        <f t="shared" si="26"/>
        <v>#DIV/0!</v>
      </c>
      <c r="AB30" s="18" t="e">
        <f t="shared" si="26"/>
        <v>#DIV/0!</v>
      </c>
      <c r="AC30" s="18" t="e">
        <f t="shared" si="26"/>
        <v>#DIV/0!</v>
      </c>
      <c r="AD30" s="18" t="e">
        <f t="shared" si="26"/>
        <v>#DIV/0!</v>
      </c>
      <c r="AE30" s="18">
        <f t="shared" si="26"/>
        <v>0.37157978901756472</v>
      </c>
      <c r="AF30" s="18">
        <f t="shared" si="26"/>
        <v>-5.2310073880842856E-2</v>
      </c>
      <c r="AG30" s="18">
        <f t="shared" si="26"/>
        <v>-3.6495104750792762E-2</v>
      </c>
      <c r="AH30" s="18">
        <f t="shared" si="26"/>
        <v>-5.0477175090512971E-2</v>
      </c>
      <c r="AI30" s="18">
        <f t="shared" si="26"/>
        <v>0.18953272487506934</v>
      </c>
      <c r="AJ30" s="18">
        <f t="shared" si="26"/>
        <v>-4.469613150871965E-2</v>
      </c>
      <c r="AK30" s="18">
        <f t="shared" si="26"/>
        <v>2.9439923042860805E-2</v>
      </c>
      <c r="AL30" s="18">
        <f t="shared" si="26"/>
        <v>8.0483186873739676E-2</v>
      </c>
      <c r="AM30" s="18">
        <f t="shared" si="26"/>
        <v>2.3206074803882037E-2</v>
      </c>
    </row>
    <row r="31" spans="2:39" x14ac:dyDescent="0.25">
      <c r="Y31" s="18"/>
      <c r="Z31" s="18"/>
      <c r="AA31" s="18"/>
      <c r="AB31" s="18"/>
      <c r="AC31" s="18"/>
      <c r="AD31" s="18"/>
      <c r="AE31" s="18"/>
      <c r="AF31" s="18"/>
      <c r="AG31" s="18"/>
      <c r="AH31" s="18"/>
      <c r="AI31" s="18"/>
      <c r="AJ31" s="18"/>
      <c r="AK31" s="18"/>
      <c r="AL31" s="18"/>
      <c r="AM31" s="18"/>
    </row>
    <row r="32" spans="2:39" x14ac:dyDescent="0.25">
      <c r="W32" s="12" t="s">
        <v>979</v>
      </c>
      <c r="X32" s="13"/>
      <c r="Y32" s="13"/>
      <c r="Z32" s="13"/>
      <c r="AA32" s="13"/>
      <c r="AB32" s="13"/>
      <c r="AC32" s="13"/>
      <c r="AD32" s="13">
        <v>-1138454</v>
      </c>
      <c r="AE32" s="13">
        <v>-1052795</v>
      </c>
      <c r="AF32" s="13">
        <v>-1000459</v>
      </c>
      <c r="AG32" s="13">
        <v>-1027992</v>
      </c>
      <c r="AH32" s="13">
        <v>-1275665</v>
      </c>
      <c r="AI32" s="13">
        <v>-1261235</v>
      </c>
      <c r="AJ32" s="13">
        <v>-1352838</v>
      </c>
      <c r="AK32" s="13">
        <v>-1347631</v>
      </c>
      <c r="AL32" s="13">
        <v>-1149407</v>
      </c>
      <c r="AM32" s="13">
        <v>-1495699</v>
      </c>
    </row>
    <row r="33" spans="23:42" x14ac:dyDescent="0.25">
      <c r="W33" s="12" t="s">
        <v>40</v>
      </c>
      <c r="X33" s="17"/>
      <c r="Y33" s="17"/>
      <c r="Z33" s="17"/>
      <c r="AA33" s="17"/>
      <c r="AB33" s="18" t="e">
        <f t="shared" ref="AB33:AM33" si="27">+AB32/X32-1</f>
        <v>#DIV/0!</v>
      </c>
      <c r="AC33" s="18" t="e">
        <f t="shared" si="27"/>
        <v>#DIV/0!</v>
      </c>
      <c r="AD33" s="18" t="e">
        <f t="shared" si="27"/>
        <v>#DIV/0!</v>
      </c>
      <c r="AE33" s="18" t="e">
        <f t="shared" si="27"/>
        <v>#DIV/0!</v>
      </c>
      <c r="AF33" s="18" t="e">
        <f t="shared" si="27"/>
        <v>#DIV/0!</v>
      </c>
      <c r="AG33" s="18" t="e">
        <f t="shared" si="27"/>
        <v>#DIV/0!</v>
      </c>
      <c r="AH33" s="18">
        <f t="shared" si="27"/>
        <v>0.12052397373982604</v>
      </c>
      <c r="AI33" s="18">
        <f t="shared" si="27"/>
        <v>0.19798726247750031</v>
      </c>
      <c r="AJ33" s="18">
        <f t="shared" si="27"/>
        <v>0.35221733224449969</v>
      </c>
      <c r="AK33" s="18">
        <f t="shared" si="27"/>
        <v>0.31093529910738615</v>
      </c>
      <c r="AL33" s="18">
        <f t="shared" si="27"/>
        <v>-9.8974260483747689E-2</v>
      </c>
      <c r="AM33" s="18">
        <f t="shared" si="27"/>
        <v>0.18590032785325494</v>
      </c>
    </row>
    <row r="34" spans="23:42" x14ac:dyDescent="0.25">
      <c r="W34" s="12" t="s">
        <v>41</v>
      </c>
      <c r="Y34" s="18" t="e">
        <f t="shared" ref="Y34:AM34" si="28">+Y32/X32-1</f>
        <v>#DIV/0!</v>
      </c>
      <c r="Z34" s="18" t="e">
        <f t="shared" si="28"/>
        <v>#DIV/0!</v>
      </c>
      <c r="AA34" s="18" t="e">
        <f t="shared" si="28"/>
        <v>#DIV/0!</v>
      </c>
      <c r="AB34" s="18" t="e">
        <f t="shared" si="28"/>
        <v>#DIV/0!</v>
      </c>
      <c r="AC34" s="18" t="e">
        <f t="shared" si="28"/>
        <v>#DIV/0!</v>
      </c>
      <c r="AD34" s="18" t="e">
        <f t="shared" si="28"/>
        <v>#DIV/0!</v>
      </c>
      <c r="AE34" s="18">
        <f t="shared" si="28"/>
        <v>-7.5241511734334465E-2</v>
      </c>
      <c r="AF34" s="18">
        <f t="shared" si="28"/>
        <v>-4.9711482292374098E-2</v>
      </c>
      <c r="AG34" s="18">
        <f t="shared" si="28"/>
        <v>2.752036815101877E-2</v>
      </c>
      <c r="AH34" s="18">
        <f t="shared" si="28"/>
        <v>0.24092891773476843</v>
      </c>
      <c r="AI34" s="18">
        <f t="shared" si="28"/>
        <v>-1.131174720635908E-2</v>
      </c>
      <c r="AJ34" s="18">
        <f t="shared" si="28"/>
        <v>7.2629605109277851E-2</v>
      </c>
      <c r="AK34" s="18">
        <f t="shared" si="28"/>
        <v>-3.8489456978588743E-3</v>
      </c>
      <c r="AL34" s="18">
        <f t="shared" si="28"/>
        <v>-0.14709070954883052</v>
      </c>
      <c r="AM34" s="18">
        <f t="shared" si="28"/>
        <v>0.30127883334623862</v>
      </c>
    </row>
    <row r="35" spans="23:42" x14ac:dyDescent="0.25">
      <c r="Y35" s="18"/>
      <c r="Z35" s="18"/>
      <c r="AA35" s="18"/>
      <c r="AB35" s="18"/>
      <c r="AC35" s="18"/>
      <c r="AD35" s="18"/>
      <c r="AE35" s="18"/>
      <c r="AF35" s="18"/>
      <c r="AG35" s="18"/>
      <c r="AH35" s="18"/>
      <c r="AI35" s="18"/>
      <c r="AJ35" s="18"/>
      <c r="AK35" s="18"/>
      <c r="AL35" s="18"/>
      <c r="AM35" s="18"/>
      <c r="AO35" s="14"/>
      <c r="AP35" s="50" t="s">
        <v>88</v>
      </c>
    </row>
    <row r="36" spans="23:42" x14ac:dyDescent="0.25">
      <c r="W36" s="12" t="s">
        <v>980</v>
      </c>
      <c r="X36" s="13"/>
      <c r="Y36" s="13"/>
      <c r="Z36" s="13"/>
      <c r="AA36" s="13"/>
      <c r="AB36" s="13"/>
      <c r="AC36" s="13"/>
      <c r="AD36" s="13">
        <v>25032</v>
      </c>
      <c r="AE36" s="13">
        <v>-680692</v>
      </c>
      <c r="AF36" s="13">
        <v>-365395</v>
      </c>
      <c r="AG36" s="13">
        <v>-503089</v>
      </c>
      <c r="AH36" s="13">
        <v>-589582</v>
      </c>
      <c r="AI36" s="13">
        <v>-156114</v>
      </c>
      <c r="AJ36" s="13">
        <v>52814</v>
      </c>
      <c r="AK36" s="13">
        <v>-131687</v>
      </c>
      <c r="AL36" s="13">
        <v>-846790</v>
      </c>
      <c r="AM36" s="13">
        <v>117878</v>
      </c>
      <c r="AO36" s="56"/>
      <c r="AP36" s="50" t="s">
        <v>183</v>
      </c>
    </row>
    <row r="37" spans="23:42" x14ac:dyDescent="0.25">
      <c r="W37" s="12" t="s">
        <v>40</v>
      </c>
      <c r="X37" s="17"/>
      <c r="Y37" s="17"/>
      <c r="Z37" s="17"/>
      <c r="AA37" s="17"/>
      <c r="AB37" s="18" t="e">
        <f t="shared" ref="AB37:AM37" si="29">+AB36/X36-1</f>
        <v>#DIV/0!</v>
      </c>
      <c r="AC37" s="18" t="e">
        <f t="shared" si="29"/>
        <v>#DIV/0!</v>
      </c>
      <c r="AD37" s="18" t="e">
        <f t="shared" si="29"/>
        <v>#DIV/0!</v>
      </c>
      <c r="AE37" s="18" t="e">
        <f t="shared" si="29"/>
        <v>#DIV/0!</v>
      </c>
      <c r="AF37" s="18" t="e">
        <f t="shared" si="29"/>
        <v>#DIV/0!</v>
      </c>
      <c r="AG37" s="18" t="e">
        <f t="shared" si="29"/>
        <v>#DIV/0!</v>
      </c>
      <c r="AH37" s="18">
        <f t="shared" si="29"/>
        <v>-24.553131991051455</v>
      </c>
      <c r="AI37" s="18">
        <f t="shared" si="29"/>
        <v>-0.77065398153643638</v>
      </c>
      <c r="AJ37" s="18">
        <f t="shared" si="29"/>
        <v>-1.1445394709834562</v>
      </c>
      <c r="AK37" s="18">
        <f t="shared" si="29"/>
        <v>-0.7382431339186506</v>
      </c>
      <c r="AL37" s="18">
        <f t="shared" si="29"/>
        <v>0.43625483817348565</v>
      </c>
      <c r="AM37" s="18">
        <f t="shared" si="29"/>
        <v>-1.7550764185146752</v>
      </c>
      <c r="AO37" s="56"/>
      <c r="AP37" s="50" t="s">
        <v>11</v>
      </c>
    </row>
    <row r="38" spans="23:42" x14ac:dyDescent="0.25">
      <c r="W38" s="12" t="s">
        <v>41</v>
      </c>
      <c r="Y38" s="18" t="e">
        <f t="shared" ref="Y38:AM38" si="30">+Y36/X36-1</f>
        <v>#DIV/0!</v>
      </c>
      <c r="Z38" s="18" t="e">
        <f t="shared" si="30"/>
        <v>#DIV/0!</v>
      </c>
      <c r="AA38" s="18" t="e">
        <f t="shared" si="30"/>
        <v>#DIV/0!</v>
      </c>
      <c r="AB38" s="18" t="e">
        <f t="shared" si="30"/>
        <v>#DIV/0!</v>
      </c>
      <c r="AC38" s="18" t="e">
        <f t="shared" si="30"/>
        <v>#DIV/0!</v>
      </c>
      <c r="AD38" s="18" t="e">
        <f t="shared" si="30"/>
        <v>#DIV/0!</v>
      </c>
      <c r="AE38" s="18">
        <f t="shared" si="30"/>
        <v>-28.192873122403324</v>
      </c>
      <c r="AF38" s="18">
        <f t="shared" si="30"/>
        <v>-0.46320068400980174</v>
      </c>
      <c r="AG38" s="18">
        <f t="shared" si="30"/>
        <v>0.37683602676555505</v>
      </c>
      <c r="AH38" s="18">
        <f t="shared" si="30"/>
        <v>0.17192385442734781</v>
      </c>
      <c r="AI38" s="18">
        <f t="shared" si="30"/>
        <v>-0.73521240472063254</v>
      </c>
      <c r="AJ38" s="18">
        <f t="shared" si="30"/>
        <v>-1.3383040598536966</v>
      </c>
      <c r="AK38" s="18">
        <f t="shared" si="30"/>
        <v>-3.4934108380353694</v>
      </c>
      <c r="AL38" s="18">
        <f t="shared" si="30"/>
        <v>5.4303234184088023</v>
      </c>
      <c r="AM38" s="18">
        <f t="shared" si="30"/>
        <v>-1.139205706255388</v>
      </c>
    </row>
    <row r="39" spans="23:42" x14ac:dyDescent="0.25">
      <c r="Y39" s="18"/>
      <c r="Z39" s="18"/>
      <c r="AA39" s="18"/>
      <c r="AB39" s="18"/>
      <c r="AC39" s="18"/>
      <c r="AD39" s="18"/>
      <c r="AE39" s="18"/>
      <c r="AF39" s="18"/>
      <c r="AG39" s="18"/>
      <c r="AH39" s="18"/>
      <c r="AI39" s="18"/>
      <c r="AJ39" s="18"/>
      <c r="AK39" s="18"/>
      <c r="AL39" s="18"/>
      <c r="AM39" s="18"/>
    </row>
    <row r="40" spans="23:42" x14ac:dyDescent="0.25">
      <c r="W40" s="47" t="s">
        <v>21</v>
      </c>
      <c r="X40" s="143"/>
      <c r="Y40" s="143"/>
      <c r="Z40" s="143"/>
      <c r="AA40" s="143"/>
      <c r="AB40" s="143"/>
      <c r="AC40" s="143"/>
      <c r="AD40" s="143">
        <v>892541</v>
      </c>
      <c r="AE40" s="143">
        <v>719852</v>
      </c>
      <c r="AF40" s="143">
        <v>935647</v>
      </c>
      <c r="AG40" s="143">
        <v>1098834</v>
      </c>
      <c r="AH40" s="143">
        <v>1276051</v>
      </c>
      <c r="AI40" s="143">
        <v>820760</v>
      </c>
      <c r="AJ40" s="143">
        <v>709144</v>
      </c>
      <c r="AK40" s="143">
        <v>949495</v>
      </c>
      <c r="AL40" s="143">
        <v>717773</v>
      </c>
      <c r="AM40" s="143">
        <v>1196172</v>
      </c>
    </row>
    <row r="41" spans="23:42" x14ac:dyDescent="0.25">
      <c r="W41" s="12" t="s">
        <v>46</v>
      </c>
      <c r="X41" s="19" t="e">
        <f t="shared" ref="X41:AK41" si="31">+X40/X7</f>
        <v>#DIV/0!</v>
      </c>
      <c r="Y41" s="19" t="e">
        <f t="shared" si="31"/>
        <v>#DIV/0!</v>
      </c>
      <c r="Z41" s="19" t="e">
        <f t="shared" si="31"/>
        <v>#DIV/0!</v>
      </c>
      <c r="AA41" s="19" t="e">
        <f t="shared" si="31"/>
        <v>#DIV/0!</v>
      </c>
      <c r="AB41" s="19" t="e">
        <f t="shared" si="31"/>
        <v>#DIV/0!</v>
      </c>
      <c r="AC41" s="19" t="e">
        <f t="shared" si="31"/>
        <v>#DIV/0!</v>
      </c>
      <c r="AD41" s="19">
        <f t="shared" si="31"/>
        <v>0.17068995159512712</v>
      </c>
      <c r="AE41" s="19">
        <f t="shared" si="31"/>
        <v>0.136050364104047</v>
      </c>
      <c r="AF41" s="19">
        <f t="shared" si="31"/>
        <v>0.1893478371293752</v>
      </c>
      <c r="AG41" s="19">
        <f t="shared" si="31"/>
        <v>0.2423289321603635</v>
      </c>
      <c r="AH41" s="19">
        <f t="shared" si="31"/>
        <v>0.22634408602150538</v>
      </c>
      <c r="AI41" s="19">
        <f t="shared" si="31"/>
        <v>0.15355642257464258</v>
      </c>
      <c r="AJ41" s="19">
        <f t="shared" si="31"/>
        <v>0.12132730093531369</v>
      </c>
      <c r="AK41" s="19">
        <f t="shared" si="31"/>
        <v>0.17329008145863017</v>
      </c>
      <c r="AL41" s="19">
        <f>+AL40/AL7</f>
        <v>9.9950023108568223E-2</v>
      </c>
      <c r="AM41" s="19">
        <f t="shared" ref="AM41" si="32">+AM40/AM7</f>
        <v>0.18325995562866515</v>
      </c>
    </row>
    <row r="43" spans="23:42" x14ac:dyDescent="0.25">
      <c r="W43" s="12" t="s">
        <v>47</v>
      </c>
      <c r="X43" s="13"/>
      <c r="Y43" s="13"/>
      <c r="Z43" s="13"/>
      <c r="AA43" s="13"/>
      <c r="AB43" s="13"/>
      <c r="AC43" s="13"/>
      <c r="AD43" s="13">
        <v>-198570</v>
      </c>
      <c r="AE43" s="13">
        <v>-218086</v>
      </c>
      <c r="AF43" s="13">
        <v>-245442</v>
      </c>
      <c r="AG43" s="13">
        <v>-335986</v>
      </c>
      <c r="AH43" s="13">
        <v>-547994</v>
      </c>
      <c r="AI43" s="13">
        <v>-319124</v>
      </c>
      <c r="AJ43" s="13">
        <v>-203731</v>
      </c>
      <c r="AK43" s="13">
        <v>-249020</v>
      </c>
      <c r="AL43" s="13">
        <v>413107</v>
      </c>
      <c r="AM43" s="13">
        <v>-342559</v>
      </c>
    </row>
    <row r="44" spans="23:42" x14ac:dyDescent="0.25">
      <c r="W44" s="12" t="s">
        <v>48</v>
      </c>
      <c r="X44" s="14" t="e">
        <f t="shared" ref="X44:AL44" si="33">+X43/X40</f>
        <v>#DIV/0!</v>
      </c>
      <c r="Y44" s="14" t="e">
        <f t="shared" si="33"/>
        <v>#DIV/0!</v>
      </c>
      <c r="Z44" s="14" t="e">
        <f t="shared" si="33"/>
        <v>#DIV/0!</v>
      </c>
      <c r="AA44" s="14" t="e">
        <f t="shared" si="33"/>
        <v>#DIV/0!</v>
      </c>
      <c r="AB44" s="14" t="e">
        <f t="shared" si="33"/>
        <v>#DIV/0!</v>
      </c>
      <c r="AC44" s="14" t="e">
        <f t="shared" si="33"/>
        <v>#DIV/0!</v>
      </c>
      <c r="AD44" s="14">
        <f t="shared" si="33"/>
        <v>-0.22247717471802417</v>
      </c>
      <c r="AE44" s="14">
        <f t="shared" si="33"/>
        <v>-0.30295949722998616</v>
      </c>
      <c r="AF44" s="14">
        <f t="shared" si="33"/>
        <v>-0.26232329072823407</v>
      </c>
      <c r="AG44" s="14">
        <f t="shared" si="33"/>
        <v>-0.30576593006768993</v>
      </c>
      <c r="AH44" s="14">
        <f t="shared" si="33"/>
        <v>-0.42944521809864966</v>
      </c>
      <c r="AI44" s="14">
        <f t="shared" si="33"/>
        <v>-0.38881524440762222</v>
      </c>
      <c r="AJ44" s="14">
        <f t="shared" si="33"/>
        <v>-0.28729143869228252</v>
      </c>
      <c r="AK44" s="14">
        <f t="shared" si="33"/>
        <v>-0.26226573073054626</v>
      </c>
      <c r="AL44" s="14">
        <f t="shared" si="33"/>
        <v>0.57553989910459158</v>
      </c>
      <c r="AM44" s="14">
        <f t="shared" ref="AM44" si="34">+AM43/AM40</f>
        <v>-0.28637938356691178</v>
      </c>
    </row>
    <row r="46" spans="23:42" x14ac:dyDescent="0.25">
      <c r="W46" s="12" t="s">
        <v>74</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row>
    <row r="48" spans="23:42" x14ac:dyDescent="0.25">
      <c r="W48" s="47" t="s">
        <v>49</v>
      </c>
      <c r="X48" s="143">
        <f t="shared" ref="X48:AK48" si="35">+X40+X43-X46</f>
        <v>0</v>
      </c>
      <c r="Y48" s="143">
        <f t="shared" si="35"/>
        <v>0</v>
      </c>
      <c r="Z48" s="143">
        <f t="shared" si="35"/>
        <v>0</v>
      </c>
      <c r="AA48" s="143">
        <f t="shared" si="35"/>
        <v>0</v>
      </c>
      <c r="AB48" s="143">
        <f t="shared" si="35"/>
        <v>0</v>
      </c>
      <c r="AC48" s="143">
        <f t="shared" si="35"/>
        <v>0</v>
      </c>
      <c r="AD48" s="143">
        <f t="shared" si="35"/>
        <v>693971</v>
      </c>
      <c r="AE48" s="143">
        <f t="shared" si="35"/>
        <v>501766</v>
      </c>
      <c r="AF48" s="143">
        <f t="shared" si="35"/>
        <v>690205</v>
      </c>
      <c r="AG48" s="143">
        <f t="shared" si="35"/>
        <v>762848</v>
      </c>
      <c r="AH48" s="143">
        <f t="shared" si="35"/>
        <v>728057</v>
      </c>
      <c r="AI48" s="143">
        <f t="shared" si="35"/>
        <v>501636</v>
      </c>
      <c r="AJ48" s="143">
        <f t="shared" si="35"/>
        <v>505413</v>
      </c>
      <c r="AK48" s="143">
        <f t="shared" si="35"/>
        <v>700475</v>
      </c>
      <c r="AL48" s="143">
        <f>+AL40+AL43-AL46</f>
        <v>1130880</v>
      </c>
      <c r="AM48" s="143">
        <f t="shared" ref="AM48" si="36">+AM40+AM43-AM46</f>
        <v>853613</v>
      </c>
    </row>
    <row r="49" spans="23:42" x14ac:dyDescent="0.25">
      <c r="W49" s="12" t="s">
        <v>25</v>
      </c>
      <c r="X49" s="19" t="e">
        <f t="shared" ref="X49:AL49" si="37">+X48/X3</f>
        <v>#DIV/0!</v>
      </c>
      <c r="Y49" s="19" t="e">
        <f t="shared" si="37"/>
        <v>#DIV/0!</v>
      </c>
      <c r="Z49" s="19" t="e">
        <f t="shared" si="37"/>
        <v>#DIV/0!</v>
      </c>
      <c r="AA49" s="19" t="e">
        <f t="shared" si="37"/>
        <v>#DIV/0!</v>
      </c>
      <c r="AB49" s="19" t="e">
        <f t="shared" si="37"/>
        <v>#DIV/0!</v>
      </c>
      <c r="AC49" s="19" t="e">
        <f t="shared" si="37"/>
        <v>#DIV/0!</v>
      </c>
      <c r="AD49" s="19">
        <f t="shared" si="37"/>
        <v>0.12131219126592639</v>
      </c>
      <c r="AE49" s="19">
        <f t="shared" si="37"/>
        <v>8.6457775489541311E-2</v>
      </c>
      <c r="AF49" s="19">
        <f t="shared" si="37"/>
        <v>0.12324682131036742</v>
      </c>
      <c r="AG49" s="19">
        <f t="shared" si="37"/>
        <v>0.14470628918684469</v>
      </c>
      <c r="AH49" s="19">
        <f t="shared" si="37"/>
        <v>0.11361786032807709</v>
      </c>
      <c r="AI49" s="19">
        <f t="shared" si="37"/>
        <v>8.3820888818634712E-2</v>
      </c>
      <c r="AJ49" s="19">
        <f t="shared" si="37"/>
        <v>7.7904776115077845E-2</v>
      </c>
      <c r="AK49" s="19">
        <f t="shared" si="37"/>
        <v>0.11526858951299793</v>
      </c>
      <c r="AL49" s="19">
        <f t="shared" si="37"/>
        <v>0.14512909325758272</v>
      </c>
      <c r="AM49" s="19">
        <f t="shared" ref="AM49" si="38">+AM48/AM3</f>
        <v>0.11917263951788867</v>
      </c>
    </row>
    <row r="50" spans="23:42" x14ac:dyDescent="0.25">
      <c r="AK50" s="46"/>
    </row>
    <row r="51" spans="23:42" x14ac:dyDescent="0.25">
      <c r="W51" s="12" t="s">
        <v>29</v>
      </c>
      <c r="X51" s="16">
        <f t="shared" ref="X51:AL51" si="39">+X48/X81</f>
        <v>0</v>
      </c>
      <c r="Y51" s="16">
        <f t="shared" si="39"/>
        <v>0</v>
      </c>
      <c r="Z51" s="16">
        <f t="shared" si="39"/>
        <v>0</v>
      </c>
      <c r="AA51" s="16">
        <f t="shared" si="39"/>
        <v>0</v>
      </c>
      <c r="AB51" s="16">
        <f t="shared" si="39"/>
        <v>0</v>
      </c>
      <c r="AC51" s="16">
        <f t="shared" si="39"/>
        <v>0</v>
      </c>
      <c r="AD51" s="16">
        <f t="shared" si="39"/>
        <v>1.8505893333333334</v>
      </c>
      <c r="AE51" s="16">
        <f t="shared" si="39"/>
        <v>1.3380426666666667</v>
      </c>
      <c r="AF51" s="16">
        <f t="shared" si="39"/>
        <v>1.8405466666666668</v>
      </c>
      <c r="AG51" s="16">
        <f t="shared" si="39"/>
        <v>2.0342613333333333</v>
      </c>
      <c r="AH51" s="16">
        <f t="shared" si="39"/>
        <v>1.9414853333333333</v>
      </c>
      <c r="AI51" s="16">
        <f t="shared" si="39"/>
        <v>1.337696</v>
      </c>
      <c r="AJ51" s="16">
        <f t="shared" si="39"/>
        <v>1.3477680000000001</v>
      </c>
      <c r="AK51" s="16">
        <f t="shared" si="39"/>
        <v>1.8679333333333332</v>
      </c>
      <c r="AL51" s="16">
        <f t="shared" si="39"/>
        <v>3.0156800000000001</v>
      </c>
      <c r="AM51" s="16">
        <f t="shared" ref="AM51" si="40">+AM48/AM81</f>
        <v>2.2763013333333335</v>
      </c>
    </row>
    <row r="52" spans="23:42" x14ac:dyDescent="0.25">
      <c r="W52" s="12" t="s">
        <v>40</v>
      </c>
      <c r="AA52" s="17"/>
      <c r="AB52" s="18" t="e">
        <f t="shared" ref="AB52:AM52" si="41">+AB51/X51-1</f>
        <v>#DIV/0!</v>
      </c>
      <c r="AC52" s="18" t="e">
        <f t="shared" si="41"/>
        <v>#DIV/0!</v>
      </c>
      <c r="AD52" s="18" t="e">
        <f t="shared" si="41"/>
        <v>#DIV/0!</v>
      </c>
      <c r="AE52" s="18" t="e">
        <f t="shared" si="41"/>
        <v>#DIV/0!</v>
      </c>
      <c r="AF52" s="18" t="e">
        <f t="shared" si="41"/>
        <v>#DIV/0!</v>
      </c>
      <c r="AG52" s="18" t="e">
        <f t="shared" si="41"/>
        <v>#DIV/0!</v>
      </c>
      <c r="AH52" s="18">
        <f t="shared" si="41"/>
        <v>4.9117326228329317E-2</v>
      </c>
      <c r="AI52" s="18">
        <f t="shared" si="41"/>
        <v>-2.5908491209047924E-4</v>
      </c>
      <c r="AJ52" s="18">
        <f t="shared" si="41"/>
        <v>-0.26773494831245792</v>
      </c>
      <c r="AK52" s="18">
        <f t="shared" si="41"/>
        <v>-8.176333948571668E-2</v>
      </c>
      <c r="AL52" s="18">
        <f t="shared" si="41"/>
        <v>0.5532849763136678</v>
      </c>
      <c r="AM52" s="18">
        <f t="shared" si="41"/>
        <v>0.70165817445318934</v>
      </c>
    </row>
    <row r="53" spans="23:42" x14ac:dyDescent="0.25">
      <c r="W53" s="12" t="s">
        <v>41</v>
      </c>
      <c r="Y53" s="18" t="e">
        <f t="shared" ref="Y53:AD53" si="42">+Y51/X51-1</f>
        <v>#DIV/0!</v>
      </c>
      <c r="Z53" s="18" t="e">
        <f t="shared" si="42"/>
        <v>#DIV/0!</v>
      </c>
      <c r="AA53" s="18" t="e">
        <f t="shared" si="42"/>
        <v>#DIV/0!</v>
      </c>
      <c r="AB53" s="18" t="e">
        <f t="shared" si="42"/>
        <v>#DIV/0!</v>
      </c>
      <c r="AC53" s="18" t="e">
        <f t="shared" si="42"/>
        <v>#DIV/0!</v>
      </c>
      <c r="AD53" s="18" t="e">
        <f t="shared" si="42"/>
        <v>#DIV/0!</v>
      </c>
      <c r="AE53" s="18">
        <f>+AE51/AD51-1</f>
        <v>-0.27696402299231526</v>
      </c>
      <c r="AF53" s="18">
        <f>+AF51/AE51-1</f>
        <v>0.37555155191862344</v>
      </c>
      <c r="AG53" s="18">
        <f>+AG51/AF51-1</f>
        <v>0.1052484406806673</v>
      </c>
      <c r="AH53" s="18">
        <f t="shared" ref="AH53" si="43">+AH51/AG51-1</f>
        <v>-4.5606726372750539E-2</v>
      </c>
      <c r="AI53" s="18">
        <f>+AI51/AH51-1</f>
        <v>-0.3109935073764829</v>
      </c>
      <c r="AJ53" s="18">
        <f>+AJ51/AI51-1</f>
        <v>7.5293639212496988E-3</v>
      </c>
      <c r="AK53" s="18">
        <f>+AK51/AJ51-1</f>
        <v>0.38594575129646436</v>
      </c>
      <c r="AL53" s="18">
        <f t="shared" ref="AL53" si="44">+AL51/AK51-1</f>
        <v>0.61444733930547146</v>
      </c>
      <c r="AM53" s="18">
        <f>+AM51/AL51-1</f>
        <v>-0.24517809139784941</v>
      </c>
    </row>
    <row r="54" spans="23:42" x14ac:dyDescent="0.25">
      <c r="Y54" s="18"/>
      <c r="Z54" s="18"/>
      <c r="AA54" s="18"/>
      <c r="AB54" s="18"/>
      <c r="AC54" s="18"/>
      <c r="AD54" s="18"/>
      <c r="AE54" s="18"/>
      <c r="AF54" s="18"/>
      <c r="AG54" s="18"/>
      <c r="AH54" s="18"/>
      <c r="AI54" s="18"/>
      <c r="AJ54" s="18"/>
      <c r="AK54" s="18"/>
      <c r="AL54" s="18"/>
      <c r="AM54" s="18"/>
    </row>
    <row r="55" spans="23:42" x14ac:dyDescent="0.25">
      <c r="W55" s="12" t="s">
        <v>88</v>
      </c>
      <c r="X55" s="18" t="e">
        <f t="shared" ref="X55:AL55" si="45">+X48*4/X77</f>
        <v>#DIV/0!</v>
      </c>
      <c r="Y55" s="18" t="e">
        <f t="shared" si="45"/>
        <v>#DIV/0!</v>
      </c>
      <c r="Z55" s="18" t="e">
        <f t="shared" si="45"/>
        <v>#DIV/0!</v>
      </c>
      <c r="AA55" s="18" t="e">
        <f t="shared" si="45"/>
        <v>#DIV/0!</v>
      </c>
      <c r="AB55" s="18" t="e">
        <f t="shared" si="45"/>
        <v>#DIV/0!</v>
      </c>
      <c r="AC55" s="18" t="e">
        <f t="shared" si="45"/>
        <v>#DIV/0!</v>
      </c>
      <c r="AD55" s="18">
        <f t="shared" si="45"/>
        <v>0.26216200135430845</v>
      </c>
      <c r="AE55" s="18" t="e">
        <f t="shared" si="45"/>
        <v>#DIV/0!</v>
      </c>
      <c r="AF55" s="18" t="e">
        <f t="shared" si="45"/>
        <v>#DIV/0!</v>
      </c>
      <c r="AG55" s="18" t="e">
        <f t="shared" si="45"/>
        <v>#DIV/0!</v>
      </c>
      <c r="AH55" s="18">
        <f t="shared" si="45"/>
        <v>0.26784221061418251</v>
      </c>
      <c r="AI55" s="18">
        <f t="shared" si="45"/>
        <v>0.19535553733423863</v>
      </c>
      <c r="AJ55" s="18">
        <f t="shared" si="45"/>
        <v>0.18176456340314642</v>
      </c>
      <c r="AK55" s="18">
        <f t="shared" si="45"/>
        <v>0.22343755395248585</v>
      </c>
      <c r="AL55" s="18">
        <f t="shared" si="45"/>
        <v>0.33926367769950616</v>
      </c>
      <c r="AM55" s="18">
        <f t="shared" ref="AM55" si="46">+AM48*4/AM77</f>
        <v>0.26745026898144231</v>
      </c>
      <c r="AO55" s="14">
        <f>+AVERAGE(AH55:AM55)</f>
        <v>0.2458523019975003</v>
      </c>
      <c r="AP55" s="50" t="s">
        <v>88</v>
      </c>
    </row>
    <row r="56" spans="23:42" x14ac:dyDescent="0.25">
      <c r="AO56" s="56">
        <f>AVERAGE(AH55:AM55)*AM83</f>
        <v>8.3699137783078594</v>
      </c>
      <c r="AP56" s="50" t="s">
        <v>183</v>
      </c>
    </row>
    <row r="57" spans="23:42" x14ac:dyDescent="0.25">
      <c r="W57" s="12" t="s">
        <v>981</v>
      </c>
      <c r="X57" s="13"/>
      <c r="Y57" s="13"/>
      <c r="Z57" s="13"/>
      <c r="AA57" s="13"/>
      <c r="AB57" s="13"/>
      <c r="AC57" s="13"/>
      <c r="AD57" s="13">
        <v>34217429</v>
      </c>
      <c r="AE57" s="13"/>
      <c r="AF57" s="13"/>
      <c r="AG57" s="13"/>
      <c r="AH57" s="13">
        <v>42599855</v>
      </c>
      <c r="AI57" s="13">
        <v>41398435</v>
      </c>
      <c r="AJ57" s="13">
        <v>41992814</v>
      </c>
      <c r="AK57" s="13">
        <v>43858099</v>
      </c>
      <c r="AL57" s="13">
        <v>43500215</v>
      </c>
      <c r="AM57" s="13">
        <v>43457777</v>
      </c>
      <c r="AO57" s="56">
        <f>+X1/AO56</f>
        <v>7.7061725733858069</v>
      </c>
      <c r="AP57" s="50" t="s">
        <v>11</v>
      </c>
    </row>
    <row r="58" spans="23:42" x14ac:dyDescent="0.25">
      <c r="W58" s="12" t="s">
        <v>40</v>
      </c>
      <c r="X58" s="17"/>
      <c r="Y58" s="17"/>
      <c r="Z58" s="17"/>
      <c r="AA58" s="17"/>
      <c r="AB58" s="18" t="e">
        <f t="shared" ref="AB58:AM58" si="47">+AB57/X57-1</f>
        <v>#DIV/0!</v>
      </c>
      <c r="AC58" s="18" t="e">
        <f t="shared" si="47"/>
        <v>#DIV/0!</v>
      </c>
      <c r="AD58" s="18" t="e">
        <f t="shared" si="47"/>
        <v>#DIV/0!</v>
      </c>
      <c r="AE58" s="18" t="e">
        <f t="shared" si="47"/>
        <v>#DIV/0!</v>
      </c>
      <c r="AF58" s="18" t="e">
        <f t="shared" si="47"/>
        <v>#DIV/0!</v>
      </c>
      <c r="AG58" s="18" t="e">
        <f t="shared" si="47"/>
        <v>#DIV/0!</v>
      </c>
      <c r="AH58" s="18">
        <f t="shared" si="47"/>
        <v>0.2449753311389935</v>
      </c>
      <c r="AI58" s="18" t="e">
        <f t="shared" si="47"/>
        <v>#DIV/0!</v>
      </c>
      <c r="AJ58" s="18" t="e">
        <f t="shared" si="47"/>
        <v>#DIV/0!</v>
      </c>
      <c r="AK58" s="18" t="e">
        <f t="shared" si="47"/>
        <v>#DIV/0!</v>
      </c>
      <c r="AL58" s="18">
        <f t="shared" si="47"/>
        <v>2.1135283206949795E-2</v>
      </c>
      <c r="AM58" s="18">
        <f t="shared" si="47"/>
        <v>4.9744440822460989E-2</v>
      </c>
    </row>
    <row r="59" spans="23:42" x14ac:dyDescent="0.25">
      <c r="W59" s="12" t="s">
        <v>41</v>
      </c>
      <c r="Y59" s="18" t="e">
        <f t="shared" ref="Y59:AM59" si="48">+Y57/X57-1</f>
        <v>#DIV/0!</v>
      </c>
      <c r="Z59" s="18" t="e">
        <f t="shared" si="48"/>
        <v>#DIV/0!</v>
      </c>
      <c r="AA59" s="18" t="e">
        <f t="shared" si="48"/>
        <v>#DIV/0!</v>
      </c>
      <c r="AB59" s="18" t="e">
        <f t="shared" si="48"/>
        <v>#DIV/0!</v>
      </c>
      <c r="AC59" s="18" t="e">
        <f t="shared" si="48"/>
        <v>#DIV/0!</v>
      </c>
      <c r="AD59" s="18" t="e">
        <f t="shared" si="48"/>
        <v>#DIV/0!</v>
      </c>
      <c r="AE59" s="18">
        <f t="shared" si="48"/>
        <v>-1</v>
      </c>
      <c r="AF59" s="18" t="e">
        <f t="shared" si="48"/>
        <v>#DIV/0!</v>
      </c>
      <c r="AG59" s="18" t="e">
        <f t="shared" si="48"/>
        <v>#DIV/0!</v>
      </c>
      <c r="AH59" s="18" t="e">
        <f t="shared" si="48"/>
        <v>#DIV/0!</v>
      </c>
      <c r="AI59" s="18">
        <f t="shared" si="48"/>
        <v>-2.8202443412072675E-2</v>
      </c>
      <c r="AJ59" s="18">
        <f t="shared" si="48"/>
        <v>1.4357523418457641E-2</v>
      </c>
      <c r="AK59" s="18">
        <f t="shared" si="48"/>
        <v>4.4419147523669267E-2</v>
      </c>
      <c r="AL59" s="18">
        <f t="shared" si="48"/>
        <v>-8.1600435987888575E-3</v>
      </c>
      <c r="AM59" s="18">
        <f t="shared" si="48"/>
        <v>-9.7558138505748904E-4</v>
      </c>
    </row>
    <row r="61" spans="23:42" x14ac:dyDescent="0.25">
      <c r="W61" s="12" t="s">
        <v>240</v>
      </c>
      <c r="X61" s="13"/>
      <c r="Y61" s="13"/>
      <c r="Z61" s="13"/>
      <c r="AA61" s="13"/>
      <c r="AB61" s="13"/>
      <c r="AC61" s="13"/>
      <c r="AD61" s="13">
        <v>25600336</v>
      </c>
      <c r="AE61" s="13"/>
      <c r="AF61" s="13"/>
      <c r="AG61" s="13"/>
      <c r="AH61" s="13">
        <v>37065567</v>
      </c>
      <c r="AI61" s="13">
        <v>35382849</v>
      </c>
      <c r="AJ61" s="13">
        <v>35347645</v>
      </c>
      <c r="AK61" s="13">
        <v>34279989</v>
      </c>
      <c r="AL61" s="13">
        <v>33698659</v>
      </c>
      <c r="AM61" s="13">
        <v>32391521</v>
      </c>
    </row>
    <row r="62" spans="23:42" x14ac:dyDescent="0.25">
      <c r="W62" s="12" t="s">
        <v>40</v>
      </c>
      <c r="X62" s="17"/>
      <c r="Y62" s="17"/>
      <c r="Z62" s="17"/>
      <c r="AA62" s="17"/>
      <c r="AB62" s="18" t="e">
        <f t="shared" ref="AB62:AM62" si="49">+AB61/X61-1</f>
        <v>#DIV/0!</v>
      </c>
      <c r="AC62" s="18" t="e">
        <f t="shared" si="49"/>
        <v>#DIV/0!</v>
      </c>
      <c r="AD62" s="18" t="e">
        <f t="shared" si="49"/>
        <v>#DIV/0!</v>
      </c>
      <c r="AE62" s="18" t="e">
        <f t="shared" si="49"/>
        <v>#DIV/0!</v>
      </c>
      <c r="AF62" s="18" t="e">
        <f t="shared" si="49"/>
        <v>#DIV/0!</v>
      </c>
      <c r="AG62" s="18" t="e">
        <f t="shared" si="49"/>
        <v>#DIV/0!</v>
      </c>
      <c r="AH62" s="18">
        <f t="shared" si="49"/>
        <v>0.44785470784445947</v>
      </c>
      <c r="AI62" s="18" t="e">
        <f t="shared" si="49"/>
        <v>#DIV/0!</v>
      </c>
      <c r="AJ62" s="18" t="e">
        <f t="shared" si="49"/>
        <v>#DIV/0!</v>
      </c>
      <c r="AK62" s="18" t="e">
        <f t="shared" si="49"/>
        <v>#DIV/0!</v>
      </c>
      <c r="AL62" s="18">
        <f t="shared" si="49"/>
        <v>-9.0836543792787494E-2</v>
      </c>
      <c r="AM62" s="18">
        <f t="shared" si="49"/>
        <v>-8.4541750722221365E-2</v>
      </c>
    </row>
    <row r="63" spans="23:42" x14ac:dyDescent="0.25">
      <c r="W63" s="12" t="s">
        <v>41</v>
      </c>
      <c r="Y63" s="18" t="e">
        <f t="shared" ref="Y63:AM63" si="50">+Y61/X61-1</f>
        <v>#DIV/0!</v>
      </c>
      <c r="Z63" s="18" t="e">
        <f t="shared" si="50"/>
        <v>#DIV/0!</v>
      </c>
      <c r="AA63" s="18" t="e">
        <f t="shared" si="50"/>
        <v>#DIV/0!</v>
      </c>
      <c r="AB63" s="18" t="e">
        <f t="shared" si="50"/>
        <v>#DIV/0!</v>
      </c>
      <c r="AC63" s="18" t="e">
        <f t="shared" si="50"/>
        <v>#DIV/0!</v>
      </c>
      <c r="AD63" s="18" t="e">
        <f t="shared" si="50"/>
        <v>#DIV/0!</v>
      </c>
      <c r="AE63" s="18">
        <f t="shared" si="50"/>
        <v>-1</v>
      </c>
      <c r="AF63" s="18" t="e">
        <f t="shared" si="50"/>
        <v>#DIV/0!</v>
      </c>
      <c r="AG63" s="18" t="e">
        <f t="shared" si="50"/>
        <v>#DIV/0!</v>
      </c>
      <c r="AH63" s="18" t="e">
        <f t="shared" si="50"/>
        <v>#DIV/0!</v>
      </c>
      <c r="AI63" s="18">
        <f t="shared" si="50"/>
        <v>-4.5398415192191677E-2</v>
      </c>
      <c r="AJ63" s="18">
        <f t="shared" si="50"/>
        <v>-9.9494531941168862E-4</v>
      </c>
      <c r="AK63" s="18">
        <f t="shared" si="50"/>
        <v>-3.0204445020311832E-2</v>
      </c>
      <c r="AL63" s="18">
        <f t="shared" si="50"/>
        <v>-1.695829015581074E-2</v>
      </c>
      <c r="AM63" s="18">
        <f t="shared" si="50"/>
        <v>-3.8789021248590294E-2</v>
      </c>
    </row>
    <row r="64" spans="23:42" x14ac:dyDescent="0.25">
      <c r="Y64" s="18"/>
      <c r="Z64" s="18"/>
      <c r="AA64" s="18"/>
      <c r="AB64" s="18"/>
      <c r="AC64" s="18"/>
      <c r="AD64" s="18"/>
      <c r="AE64" s="18"/>
      <c r="AF64" s="18"/>
      <c r="AG64" s="18"/>
      <c r="AH64" s="18"/>
      <c r="AI64" s="18"/>
      <c r="AJ64" s="18"/>
      <c r="AK64" s="18"/>
      <c r="AL64" s="18"/>
      <c r="AM64" s="18"/>
    </row>
    <row r="65" spans="23:39" x14ac:dyDescent="0.25">
      <c r="W65" s="12" t="s">
        <v>983</v>
      </c>
      <c r="X65" s="13"/>
      <c r="Y65" s="13"/>
      <c r="Z65" s="13"/>
      <c r="AA65" s="13"/>
      <c r="AB65" s="13"/>
      <c r="AC65" s="13"/>
      <c r="AD65" s="13">
        <v>5234184</v>
      </c>
      <c r="AE65" s="13"/>
      <c r="AF65" s="13"/>
      <c r="AG65" s="13"/>
      <c r="AH65" s="13">
        <v>3451509</v>
      </c>
      <c r="AI65" s="13">
        <v>3740003</v>
      </c>
      <c r="AJ65" s="13">
        <v>4011332</v>
      </c>
      <c r="AK65" s="13">
        <v>4083809</v>
      </c>
      <c r="AL65" s="13">
        <v>4626674</v>
      </c>
      <c r="AM65" s="13">
        <v>5341337</v>
      </c>
    </row>
    <row r="66" spans="23:39" x14ac:dyDescent="0.25">
      <c r="W66" s="12" t="s">
        <v>40</v>
      </c>
      <c r="X66" s="17"/>
      <c r="Y66" s="17"/>
      <c r="Z66" s="17"/>
      <c r="AA66" s="17"/>
      <c r="AB66" s="18" t="e">
        <f t="shared" ref="AB66:AM66" si="51">+AB65/X65-1</f>
        <v>#DIV/0!</v>
      </c>
      <c r="AC66" s="18" t="e">
        <f t="shared" si="51"/>
        <v>#DIV/0!</v>
      </c>
      <c r="AD66" s="18" t="e">
        <f t="shared" si="51"/>
        <v>#DIV/0!</v>
      </c>
      <c r="AE66" s="18" t="e">
        <f t="shared" si="51"/>
        <v>#DIV/0!</v>
      </c>
      <c r="AF66" s="18" t="e">
        <f t="shared" si="51"/>
        <v>#DIV/0!</v>
      </c>
      <c r="AG66" s="18" t="e">
        <f t="shared" si="51"/>
        <v>#DIV/0!</v>
      </c>
      <c r="AH66" s="18">
        <f t="shared" si="51"/>
        <v>-0.34058317399617588</v>
      </c>
      <c r="AI66" s="18" t="e">
        <f t="shared" si="51"/>
        <v>#DIV/0!</v>
      </c>
      <c r="AJ66" s="18" t="e">
        <f t="shared" si="51"/>
        <v>#DIV/0!</v>
      </c>
      <c r="AK66" s="18" t="e">
        <f t="shared" si="51"/>
        <v>#DIV/0!</v>
      </c>
      <c r="AL66" s="18">
        <f t="shared" si="51"/>
        <v>0.34047861384687095</v>
      </c>
      <c r="AM66" s="18">
        <f t="shared" si="51"/>
        <v>0.42816382767607397</v>
      </c>
    </row>
    <row r="67" spans="23:39" x14ac:dyDescent="0.25">
      <c r="W67" s="12" t="s">
        <v>41</v>
      </c>
      <c r="Y67" s="18" t="e">
        <f t="shared" ref="Y67:AM67" si="52">+Y65/X65-1</f>
        <v>#DIV/0!</v>
      </c>
      <c r="Z67" s="18" t="e">
        <f t="shared" si="52"/>
        <v>#DIV/0!</v>
      </c>
      <c r="AA67" s="18" t="e">
        <f t="shared" si="52"/>
        <v>#DIV/0!</v>
      </c>
      <c r="AB67" s="18" t="e">
        <f t="shared" si="52"/>
        <v>#DIV/0!</v>
      </c>
      <c r="AC67" s="18" t="e">
        <f t="shared" si="52"/>
        <v>#DIV/0!</v>
      </c>
      <c r="AD67" s="18" t="e">
        <f t="shared" si="52"/>
        <v>#DIV/0!</v>
      </c>
      <c r="AE67" s="18">
        <f t="shared" si="52"/>
        <v>-1</v>
      </c>
      <c r="AF67" s="18" t="e">
        <f t="shared" si="52"/>
        <v>#DIV/0!</v>
      </c>
      <c r="AG67" s="18" t="e">
        <f t="shared" si="52"/>
        <v>#DIV/0!</v>
      </c>
      <c r="AH67" s="18" t="e">
        <f t="shared" si="52"/>
        <v>#DIV/0!</v>
      </c>
      <c r="AI67" s="18">
        <f t="shared" si="52"/>
        <v>8.358488997131408E-2</v>
      </c>
      <c r="AJ67" s="18">
        <f t="shared" si="52"/>
        <v>7.2547802769142189E-2</v>
      </c>
      <c r="AK67" s="18">
        <f t="shared" si="52"/>
        <v>1.8068063177019589E-2</v>
      </c>
      <c r="AL67" s="18">
        <f t="shared" si="52"/>
        <v>0.13293104550188306</v>
      </c>
      <c r="AM67" s="18">
        <f t="shared" si="52"/>
        <v>0.15446582145186794</v>
      </c>
    </row>
    <row r="68" spans="23:39" x14ac:dyDescent="0.25">
      <c r="Y68" s="18"/>
      <c r="Z68" s="18"/>
      <c r="AA68" s="18"/>
      <c r="AB68" s="18"/>
      <c r="AC68" s="18"/>
      <c r="AD68" s="18"/>
      <c r="AE68" s="18"/>
      <c r="AF68" s="18"/>
      <c r="AG68" s="18"/>
      <c r="AH68" s="18"/>
      <c r="AI68" s="18"/>
      <c r="AJ68" s="18"/>
      <c r="AK68" s="18"/>
      <c r="AL68" s="18"/>
      <c r="AM68" s="18"/>
    </row>
    <row r="69" spans="23:39" x14ac:dyDescent="0.25">
      <c r="W69" s="12" t="s">
        <v>984</v>
      </c>
      <c r="X69" s="13"/>
      <c r="Y69" s="13"/>
      <c r="Z69" s="13"/>
      <c r="AA69" s="13"/>
      <c r="AB69" s="13"/>
      <c r="AC69" s="13"/>
      <c r="AD69" s="13">
        <v>3382909</v>
      </c>
      <c r="AE69" s="13"/>
      <c r="AF69" s="13"/>
      <c r="AG69" s="13"/>
      <c r="AH69" s="13">
        <v>2082779</v>
      </c>
      <c r="AI69" s="13">
        <v>2275583</v>
      </c>
      <c r="AJ69" s="13">
        <v>2633837</v>
      </c>
      <c r="AK69" s="13">
        <v>5494301</v>
      </c>
      <c r="AL69" s="13">
        <v>5174882</v>
      </c>
      <c r="AM69" s="13">
        <v>5724919</v>
      </c>
    </row>
    <row r="70" spans="23:39" x14ac:dyDescent="0.25">
      <c r="W70" s="12" t="s">
        <v>40</v>
      </c>
      <c r="X70" s="17"/>
      <c r="Y70" s="17"/>
      <c r="Z70" s="17"/>
      <c r="AA70" s="17"/>
      <c r="AB70" s="18" t="e">
        <f t="shared" ref="AB70" si="53">+AB69/X69-1</f>
        <v>#DIV/0!</v>
      </c>
      <c r="AC70" s="18" t="e">
        <f t="shared" ref="AC70" si="54">+AC69/Y69-1</f>
        <v>#DIV/0!</v>
      </c>
      <c r="AD70" s="18" t="e">
        <f t="shared" ref="AD70" si="55">+AD69/Z69-1</f>
        <v>#DIV/0!</v>
      </c>
      <c r="AE70" s="18" t="e">
        <f t="shared" ref="AE70" si="56">+AE69/AA69-1</f>
        <v>#DIV/0!</v>
      </c>
      <c r="AF70" s="18" t="e">
        <f t="shared" ref="AF70" si="57">+AF69/AB69-1</f>
        <v>#DIV/0!</v>
      </c>
      <c r="AG70" s="18" t="e">
        <f t="shared" ref="AG70" si="58">+AG69/AC69-1</f>
        <v>#DIV/0!</v>
      </c>
      <c r="AH70" s="18">
        <f t="shared" ref="AH70" si="59">+AH69/AD69-1</f>
        <v>-0.38432307815551647</v>
      </c>
      <c r="AI70" s="18" t="e">
        <f t="shared" ref="AI70" si="60">+AI69/AE69-1</f>
        <v>#DIV/0!</v>
      </c>
      <c r="AJ70" s="18" t="e">
        <f t="shared" ref="AJ70" si="61">+AJ69/AF69-1</f>
        <v>#DIV/0!</v>
      </c>
      <c r="AK70" s="18" t="e">
        <f t="shared" ref="AK70:AM70" si="62">+AK69/AG69-1</f>
        <v>#DIV/0!</v>
      </c>
      <c r="AL70" s="18">
        <f t="shared" si="62"/>
        <v>1.4846044635556628</v>
      </c>
      <c r="AM70" s="18">
        <f t="shared" si="62"/>
        <v>1.5158032029594173</v>
      </c>
    </row>
    <row r="71" spans="23:39" x14ac:dyDescent="0.25">
      <c r="W71" s="12" t="s">
        <v>41</v>
      </c>
      <c r="Y71" s="18" t="e">
        <f t="shared" ref="Y71" si="63">+Y69/X69-1</f>
        <v>#DIV/0!</v>
      </c>
      <c r="Z71" s="18" t="e">
        <f t="shared" ref="Z71" si="64">+Z69/Y69-1</f>
        <v>#DIV/0!</v>
      </c>
      <c r="AA71" s="18" t="e">
        <f t="shared" ref="AA71" si="65">+AA69/Z69-1</f>
        <v>#DIV/0!</v>
      </c>
      <c r="AB71" s="18" t="e">
        <f t="shared" ref="AB71" si="66">+AB69/AA69-1</f>
        <v>#DIV/0!</v>
      </c>
      <c r="AC71" s="18" t="e">
        <f t="shared" ref="AC71" si="67">+AC69/AB69-1</f>
        <v>#DIV/0!</v>
      </c>
      <c r="AD71" s="18" t="e">
        <f t="shared" ref="AD71" si="68">+AD69/AC69-1</f>
        <v>#DIV/0!</v>
      </c>
      <c r="AE71" s="18">
        <f t="shared" ref="AE71" si="69">+AE69/AD69-1</f>
        <v>-1</v>
      </c>
      <c r="AF71" s="18" t="e">
        <f t="shared" ref="AF71" si="70">+AF69/AE69-1</f>
        <v>#DIV/0!</v>
      </c>
      <c r="AG71" s="18" t="e">
        <f t="shared" ref="AG71" si="71">+AG69/AF69-1</f>
        <v>#DIV/0!</v>
      </c>
      <c r="AH71" s="18" t="e">
        <f t="shared" ref="AH71" si="72">+AH69/AG69-1</f>
        <v>#DIV/0!</v>
      </c>
      <c r="AI71" s="18">
        <f t="shared" ref="AI71" si="73">+AI69/AH69-1</f>
        <v>9.2570551172255877E-2</v>
      </c>
      <c r="AJ71" s="18">
        <f t="shared" ref="AJ71" si="74">+AJ69/AI69-1</f>
        <v>0.15743394110432352</v>
      </c>
      <c r="AK71" s="18">
        <f t="shared" ref="AK71:AM71" si="75">+AK69/AJ69-1</f>
        <v>1.0860444287174946</v>
      </c>
      <c r="AL71" s="18">
        <f t="shared" si="75"/>
        <v>-5.813642172134359E-2</v>
      </c>
      <c r="AM71" s="18">
        <f t="shared" si="75"/>
        <v>0.10628976660723866</v>
      </c>
    </row>
    <row r="72" spans="23:39" x14ac:dyDescent="0.25">
      <c r="Y72" s="18"/>
      <c r="Z72" s="18"/>
      <c r="AA72" s="18"/>
      <c r="AB72" s="18"/>
      <c r="AC72" s="18"/>
      <c r="AD72" s="18"/>
      <c r="AE72" s="18"/>
      <c r="AF72" s="18"/>
      <c r="AG72" s="18"/>
      <c r="AH72" s="18"/>
      <c r="AI72" s="18"/>
      <c r="AJ72" s="18"/>
      <c r="AK72" s="18"/>
      <c r="AL72" s="18"/>
      <c r="AM72" s="18"/>
    </row>
    <row r="73" spans="23:39" x14ac:dyDescent="0.25">
      <c r="W73" s="12" t="s">
        <v>982</v>
      </c>
      <c r="X73" s="13"/>
      <c r="Y73" s="13"/>
      <c r="Z73" s="13"/>
      <c r="AA73" s="13"/>
      <c r="AB73" s="13"/>
      <c r="AC73" s="13"/>
      <c r="AD73" s="13">
        <v>21492757</v>
      </c>
      <c r="AE73" s="13"/>
      <c r="AF73" s="13"/>
      <c r="AG73" s="13"/>
      <c r="AH73" s="13">
        <v>25338502</v>
      </c>
      <c r="AI73" s="13">
        <v>25294564</v>
      </c>
      <c r="AJ73" s="13">
        <v>26194257</v>
      </c>
      <c r="AK73" s="13">
        <v>26828634</v>
      </c>
      <c r="AL73" s="13">
        <v>27925474</v>
      </c>
      <c r="AM73" s="13">
        <v>28549811</v>
      </c>
    </row>
    <row r="74" spans="23:39" x14ac:dyDescent="0.25">
      <c r="W74" s="12" t="s">
        <v>40</v>
      </c>
      <c r="X74" s="17"/>
      <c r="Y74" s="17"/>
      <c r="Z74" s="17"/>
      <c r="AA74" s="17"/>
      <c r="AB74" s="18" t="e">
        <f t="shared" ref="AB74:AM74" si="76">+AB73/X73-1</f>
        <v>#DIV/0!</v>
      </c>
      <c r="AC74" s="18" t="e">
        <f t="shared" si="76"/>
        <v>#DIV/0!</v>
      </c>
      <c r="AD74" s="18" t="e">
        <f t="shared" si="76"/>
        <v>#DIV/0!</v>
      </c>
      <c r="AE74" s="18" t="e">
        <f t="shared" si="76"/>
        <v>#DIV/0!</v>
      </c>
      <c r="AF74" s="18" t="e">
        <f t="shared" si="76"/>
        <v>#DIV/0!</v>
      </c>
      <c r="AG74" s="18" t="e">
        <f t="shared" si="76"/>
        <v>#DIV/0!</v>
      </c>
      <c r="AH74" s="18">
        <f t="shared" si="76"/>
        <v>0.17893213979016287</v>
      </c>
      <c r="AI74" s="18" t="e">
        <f t="shared" si="76"/>
        <v>#DIV/0!</v>
      </c>
      <c r="AJ74" s="18" t="e">
        <f t="shared" si="76"/>
        <v>#DIV/0!</v>
      </c>
      <c r="AK74" s="18" t="e">
        <f t="shared" si="76"/>
        <v>#DIV/0!</v>
      </c>
      <c r="AL74" s="18">
        <f t="shared" si="76"/>
        <v>0.1020964854196984</v>
      </c>
      <c r="AM74" s="18">
        <f t="shared" si="76"/>
        <v>0.12869354063584582</v>
      </c>
    </row>
    <row r="75" spans="23:39" x14ac:dyDescent="0.25">
      <c r="W75" s="12" t="s">
        <v>41</v>
      </c>
      <c r="Y75" s="18" t="e">
        <f t="shared" ref="Y75:AM75" si="77">+Y73/X73-1</f>
        <v>#DIV/0!</v>
      </c>
      <c r="Z75" s="18" t="e">
        <f t="shared" si="77"/>
        <v>#DIV/0!</v>
      </c>
      <c r="AA75" s="18" t="e">
        <f t="shared" si="77"/>
        <v>#DIV/0!</v>
      </c>
      <c r="AB75" s="18" t="e">
        <f t="shared" si="77"/>
        <v>#DIV/0!</v>
      </c>
      <c r="AC75" s="18" t="e">
        <f t="shared" si="77"/>
        <v>#DIV/0!</v>
      </c>
      <c r="AD75" s="18" t="e">
        <f t="shared" si="77"/>
        <v>#DIV/0!</v>
      </c>
      <c r="AE75" s="18">
        <f t="shared" si="77"/>
        <v>-1</v>
      </c>
      <c r="AF75" s="18" t="e">
        <f t="shared" si="77"/>
        <v>#DIV/0!</v>
      </c>
      <c r="AG75" s="18" t="e">
        <f t="shared" si="77"/>
        <v>#DIV/0!</v>
      </c>
      <c r="AH75" s="18" t="e">
        <f t="shared" si="77"/>
        <v>#DIV/0!</v>
      </c>
      <c r="AI75" s="18">
        <f t="shared" si="77"/>
        <v>-1.7340409468562523E-3</v>
      </c>
      <c r="AJ75" s="18">
        <f t="shared" si="77"/>
        <v>3.5568630477283536E-2</v>
      </c>
      <c r="AK75" s="18">
        <f t="shared" si="77"/>
        <v>2.4218171181568549E-2</v>
      </c>
      <c r="AL75" s="18">
        <f t="shared" si="77"/>
        <v>4.0883184734638478E-2</v>
      </c>
      <c r="AM75" s="18">
        <f t="shared" si="77"/>
        <v>2.2357257033488454E-2</v>
      </c>
    </row>
    <row r="76" spans="23:39" x14ac:dyDescent="0.25">
      <c r="Y76" s="18"/>
      <c r="Z76" s="18"/>
      <c r="AA76" s="18"/>
      <c r="AB76" s="18"/>
      <c r="AC76" s="18"/>
      <c r="AD76" s="18"/>
      <c r="AE76" s="18"/>
      <c r="AF76" s="18"/>
      <c r="AG76" s="18"/>
      <c r="AH76" s="18"/>
      <c r="AI76" s="18"/>
      <c r="AJ76" s="18"/>
      <c r="AK76" s="18"/>
      <c r="AL76" s="18"/>
      <c r="AM76" s="18"/>
    </row>
    <row r="77" spans="23:39" x14ac:dyDescent="0.25">
      <c r="W77" s="12" t="s">
        <v>54</v>
      </c>
      <c r="X77" s="13"/>
      <c r="Y77" s="13"/>
      <c r="Z77" s="13"/>
      <c r="AA77" s="13"/>
      <c r="AB77" s="13"/>
      <c r="AC77" s="13"/>
      <c r="AD77" s="13">
        <v>10588430</v>
      </c>
      <c r="AE77" s="13"/>
      <c r="AF77" s="13"/>
      <c r="AG77" s="13"/>
      <c r="AH77" s="13">
        <v>10872924</v>
      </c>
      <c r="AI77" s="13">
        <v>10271242</v>
      </c>
      <c r="AJ77" s="13">
        <v>11122366</v>
      </c>
      <c r="AK77" s="13">
        <v>12539969</v>
      </c>
      <c r="AL77" s="13">
        <v>13333346</v>
      </c>
      <c r="AM77" s="13">
        <v>12766680</v>
      </c>
    </row>
    <row r="78" spans="23:39" x14ac:dyDescent="0.25">
      <c r="X78" s="13"/>
      <c r="Y78" s="13"/>
      <c r="Z78" s="13"/>
      <c r="AA78" s="13"/>
      <c r="AB78" s="13"/>
      <c r="AC78" s="13"/>
      <c r="AD78" s="13"/>
      <c r="AE78" s="13"/>
      <c r="AF78" s="13"/>
      <c r="AG78" s="13"/>
      <c r="AH78" s="13"/>
      <c r="AI78" s="13"/>
      <c r="AJ78" s="13"/>
      <c r="AK78" s="13"/>
      <c r="AL78" s="13"/>
      <c r="AM78" s="13"/>
    </row>
    <row r="79" spans="23:39" x14ac:dyDescent="0.25">
      <c r="W79" s="12" t="s">
        <v>63</v>
      </c>
      <c r="X79" s="16"/>
      <c r="Y79" s="16"/>
      <c r="Z79" s="16"/>
      <c r="AA79" s="16"/>
      <c r="AB79" s="16"/>
      <c r="AC79" s="16"/>
      <c r="AD79" s="16"/>
      <c r="AE79" s="16"/>
      <c r="AF79" s="16"/>
      <c r="AG79" s="16"/>
      <c r="AH79" s="16"/>
      <c r="AI79" s="16"/>
      <c r="AJ79" s="16"/>
      <c r="AK79" s="16"/>
      <c r="AL79" s="16"/>
      <c r="AM79" s="16"/>
    </row>
    <row r="81" spans="23:39" x14ac:dyDescent="0.25">
      <c r="W81" s="12" t="s">
        <v>56</v>
      </c>
      <c r="X81" s="13">
        <f t="shared" ref="X81:AJ81" si="78">Y81</f>
        <v>375000</v>
      </c>
      <c r="Y81" s="13">
        <f t="shared" si="78"/>
        <v>375000</v>
      </c>
      <c r="Z81" s="13">
        <f t="shared" si="78"/>
        <v>375000</v>
      </c>
      <c r="AA81" s="13">
        <f t="shared" si="78"/>
        <v>375000</v>
      </c>
      <c r="AB81" s="13">
        <f t="shared" si="78"/>
        <v>375000</v>
      </c>
      <c r="AC81" s="13">
        <f t="shared" si="78"/>
        <v>375000</v>
      </c>
      <c r="AD81" s="13">
        <f t="shared" si="78"/>
        <v>375000</v>
      </c>
      <c r="AE81" s="13">
        <f t="shared" si="78"/>
        <v>375000</v>
      </c>
      <c r="AF81" s="13">
        <f t="shared" si="78"/>
        <v>375000</v>
      </c>
      <c r="AG81" s="13">
        <f t="shared" si="78"/>
        <v>375000</v>
      </c>
      <c r="AH81" s="13">
        <f t="shared" si="78"/>
        <v>375000</v>
      </c>
      <c r="AI81" s="13">
        <f t="shared" si="78"/>
        <v>375000</v>
      </c>
      <c r="AJ81" s="13">
        <f t="shared" si="78"/>
        <v>375000</v>
      </c>
      <c r="AK81" s="13">
        <f>AL81</f>
        <v>375000</v>
      </c>
      <c r="AL81" s="13">
        <f>AM81</f>
        <v>375000</v>
      </c>
      <c r="AM81" s="13">
        <v>375000</v>
      </c>
    </row>
    <row r="83" spans="23:39" x14ac:dyDescent="0.25">
      <c r="W83" s="12" t="s">
        <v>57</v>
      </c>
      <c r="X83" s="16">
        <f t="shared" ref="X83:AK83" si="79">+X77/X81</f>
        <v>0</v>
      </c>
      <c r="Y83" s="16">
        <f t="shared" si="79"/>
        <v>0</v>
      </c>
      <c r="Z83" s="16">
        <f t="shared" si="79"/>
        <v>0</v>
      </c>
      <c r="AA83" s="16">
        <f t="shared" si="79"/>
        <v>0</v>
      </c>
      <c r="AB83" s="16">
        <f t="shared" si="79"/>
        <v>0</v>
      </c>
      <c r="AC83" s="16">
        <f t="shared" si="79"/>
        <v>0</v>
      </c>
      <c r="AD83" s="16">
        <f t="shared" si="79"/>
        <v>28.235813333333333</v>
      </c>
      <c r="AE83" s="16">
        <f t="shared" si="79"/>
        <v>0</v>
      </c>
      <c r="AF83" s="16">
        <f t="shared" si="79"/>
        <v>0</v>
      </c>
      <c r="AG83" s="16">
        <f t="shared" si="79"/>
        <v>0</v>
      </c>
      <c r="AH83" s="16">
        <f t="shared" si="79"/>
        <v>28.994464000000001</v>
      </c>
      <c r="AI83" s="16">
        <f t="shared" si="79"/>
        <v>27.389978666666668</v>
      </c>
      <c r="AJ83" s="16">
        <f t="shared" si="79"/>
        <v>29.659642666666667</v>
      </c>
      <c r="AK83" s="16">
        <f t="shared" si="79"/>
        <v>33.439917333333334</v>
      </c>
      <c r="AL83" s="16">
        <f t="shared" ref="AL83:AM83" si="80">+AL77/AL81</f>
        <v>35.55558933333333</v>
      </c>
      <c r="AM83" s="16">
        <f t="shared" si="80"/>
        <v>34.04448</v>
      </c>
    </row>
    <row r="86" spans="23:39" x14ac:dyDescent="0.25">
      <c r="W86" s="47" t="s">
        <v>243</v>
      </c>
    </row>
    <row r="87" spans="23:39" x14ac:dyDescent="0.25">
      <c r="W87" s="12" t="s">
        <v>986</v>
      </c>
      <c r="X87" s="13"/>
      <c r="Y87" s="13"/>
      <c r="Z87" s="13"/>
      <c r="AA87" s="13"/>
      <c r="AB87" s="13"/>
      <c r="AC87" s="13"/>
      <c r="AD87" s="13">
        <v>4436261</v>
      </c>
      <c r="AE87" s="13">
        <v>1183916</v>
      </c>
      <c r="AF87" s="13">
        <f>2358593-AE87</f>
        <v>1174677</v>
      </c>
      <c r="AG87" s="13">
        <f>3644017-AF87-AE87</f>
        <v>1285424</v>
      </c>
      <c r="AH87" s="13">
        <f>5226525-AG87-AF87-AE87</f>
        <v>1582508</v>
      </c>
      <c r="AI87" s="13">
        <v>1555822</v>
      </c>
      <c r="AJ87" s="13">
        <f>3139548-AI87</f>
        <v>1583726</v>
      </c>
      <c r="AK87" s="13">
        <f>4733847-AJ87-AI87</f>
        <v>1594299</v>
      </c>
      <c r="AL87" s="13">
        <f>6366477-AK87-AJ87-AI87</f>
        <v>1632630</v>
      </c>
      <c r="AM87" s="13">
        <v>1689279</v>
      </c>
    </row>
    <row r="88" spans="23:39" x14ac:dyDescent="0.25">
      <c r="W88" s="12" t="s">
        <v>40</v>
      </c>
      <c r="X88" s="17"/>
      <c r="Y88" s="17"/>
      <c r="Z88" s="17"/>
      <c r="AA88" s="17"/>
      <c r="AB88" s="18" t="e">
        <f t="shared" ref="AB88" si="81">+AB87/X87-1</f>
        <v>#DIV/0!</v>
      </c>
      <c r="AC88" s="18" t="e">
        <f t="shared" ref="AC88" si="82">+AC87/Y87-1</f>
        <v>#DIV/0!</v>
      </c>
      <c r="AD88" s="18" t="e">
        <f t="shared" ref="AD88" si="83">+AD87/Z87-1</f>
        <v>#DIV/0!</v>
      </c>
      <c r="AE88" s="18" t="e">
        <f t="shared" ref="AE88" si="84">+AE87/AA87-1</f>
        <v>#DIV/0!</v>
      </c>
      <c r="AF88" s="18" t="e">
        <f t="shared" ref="AF88" si="85">+AF87/AB87-1</f>
        <v>#DIV/0!</v>
      </c>
      <c r="AG88" s="18" t="e">
        <f t="shared" ref="AG88" si="86">+AG87/AC87-1</f>
        <v>#DIV/0!</v>
      </c>
      <c r="AH88" s="18">
        <f t="shared" ref="AH88" si="87">+AH87/AD87-1</f>
        <v>-0.64327887831667252</v>
      </c>
      <c r="AI88" s="18">
        <f t="shared" ref="AI88" si="88">+AI87/AE87-1</f>
        <v>0.31413208369512713</v>
      </c>
      <c r="AJ88" s="18">
        <f t="shared" ref="AJ88" si="89">+AJ87/AF87-1</f>
        <v>0.34822253266217018</v>
      </c>
      <c r="AK88" s="18">
        <f t="shared" ref="AK88" si="90">+AK87/AG87-1</f>
        <v>0.24029036333536635</v>
      </c>
      <c r="AL88" s="18">
        <f t="shared" ref="AL88:AM88" si="91">+AL87/AH87-1</f>
        <v>3.1672509712431074E-2</v>
      </c>
      <c r="AM88" s="18">
        <f t="shared" si="91"/>
        <v>8.5779092981073779E-2</v>
      </c>
    </row>
    <row r="89" spans="23:39" x14ac:dyDescent="0.25">
      <c r="W89" s="12" t="s">
        <v>41</v>
      </c>
      <c r="Y89" s="18" t="e">
        <f t="shared" ref="Y89" si="92">+Y87/X87-1</f>
        <v>#DIV/0!</v>
      </c>
      <c r="Z89" s="18" t="e">
        <f t="shared" ref="Z89" si="93">+Z87/Y87-1</f>
        <v>#DIV/0!</v>
      </c>
      <c r="AA89" s="18" t="e">
        <f t="shared" ref="AA89" si="94">+AA87/Z87-1</f>
        <v>#DIV/0!</v>
      </c>
      <c r="AB89" s="18" t="e">
        <f t="shared" ref="AB89" si="95">+AB87/AA87-1</f>
        <v>#DIV/0!</v>
      </c>
      <c r="AC89" s="18" t="e">
        <f t="shared" ref="AC89" si="96">+AC87/AB87-1</f>
        <v>#DIV/0!</v>
      </c>
      <c r="AD89" s="18" t="e">
        <f t="shared" ref="AD89" si="97">+AD87/AC87-1</f>
        <v>#DIV/0!</v>
      </c>
      <c r="AE89" s="18">
        <f t="shared" ref="AE89" si="98">+AE87/AD87-1</f>
        <v>-0.73312751436401058</v>
      </c>
      <c r="AF89" s="18">
        <f t="shared" ref="AF89" si="99">+AF87/AE87-1</f>
        <v>-7.8037631048148981E-3</v>
      </c>
      <c r="AG89" s="18">
        <f t="shared" ref="AG89" si="100">+AG87/AF87-1</f>
        <v>9.4278682565505312E-2</v>
      </c>
      <c r="AH89" s="18">
        <f t="shared" ref="AH89" si="101">+AH87/AG87-1</f>
        <v>0.23111751453217</v>
      </c>
      <c r="AI89" s="18">
        <f t="shared" ref="AI89" si="102">+AI87/AH87-1</f>
        <v>-1.6863105905309816E-2</v>
      </c>
      <c r="AJ89" s="18">
        <f t="shared" ref="AJ89" si="103">+AJ87/AI87-1</f>
        <v>1.7935213668401673E-2</v>
      </c>
      <c r="AK89" s="18">
        <f t="shared" ref="AK89" si="104">+AK87/AJ87-1</f>
        <v>6.6760285554445797E-3</v>
      </c>
      <c r="AL89" s="18">
        <f t="shared" ref="AL89:AM89" si="105">+AL87/AK87-1</f>
        <v>2.4042541580970633E-2</v>
      </c>
      <c r="AM89" s="18">
        <f t="shared" si="105"/>
        <v>3.4698002609286904E-2</v>
      </c>
    </row>
    <row r="90" spans="23:39" x14ac:dyDescent="0.25">
      <c r="W90" s="47"/>
    </row>
    <row r="91" spans="23:39" x14ac:dyDescent="0.25">
      <c r="W91" s="12" t="s">
        <v>988</v>
      </c>
      <c r="X91" s="15" t="e">
        <f t="shared" ref="X91:AK91" si="106">-X20/X7</f>
        <v>#DIV/0!</v>
      </c>
      <c r="Y91" s="15" t="e">
        <f t="shared" si="106"/>
        <v>#DIV/0!</v>
      </c>
      <c r="Z91" s="15" t="e">
        <f t="shared" si="106"/>
        <v>#DIV/0!</v>
      </c>
      <c r="AA91" s="15" t="e">
        <f t="shared" si="106"/>
        <v>#DIV/0!</v>
      </c>
      <c r="AB91" s="15" t="e">
        <f t="shared" si="106"/>
        <v>#DIV/0!</v>
      </c>
      <c r="AC91" s="15" t="e">
        <f t="shared" si="106"/>
        <v>#DIV/0!</v>
      </c>
      <c r="AD91" s="15">
        <f t="shared" si="106"/>
        <v>0.36630847965937779</v>
      </c>
      <c r="AE91" s="15">
        <f t="shared" si="106"/>
        <v>0.32589098235328584</v>
      </c>
      <c r="AF91" s="15">
        <f t="shared" si="106"/>
        <v>0.38306284085603753</v>
      </c>
      <c r="AG91" s="15">
        <f t="shared" si="106"/>
        <v>0.47605796748596807</v>
      </c>
      <c r="AH91" s="15">
        <f t="shared" si="106"/>
        <v>0.44139376975553685</v>
      </c>
      <c r="AI91" s="15">
        <f t="shared" si="106"/>
        <v>0.59662084570157636</v>
      </c>
      <c r="AJ91" s="15">
        <f t="shared" si="106"/>
        <v>0.5521479981467553</v>
      </c>
      <c r="AK91" s="15">
        <f t="shared" si="106"/>
        <v>0.56880199984559854</v>
      </c>
      <c r="AL91" s="15">
        <f>-AL20/$AL$7</f>
        <v>0.46863048417707109</v>
      </c>
      <c r="AM91" s="15">
        <f t="shared" ref="AM91" si="107">-AM20/AM7</f>
        <v>0.51595365660582426</v>
      </c>
    </row>
    <row r="92" spans="23:39" x14ac:dyDescent="0.25">
      <c r="X92" s="17"/>
      <c r="Y92" s="17"/>
      <c r="Z92" s="17"/>
      <c r="AA92" s="17"/>
      <c r="AB92" s="18"/>
      <c r="AC92" s="18"/>
      <c r="AD92" s="18"/>
      <c r="AE92" s="18"/>
      <c r="AF92" s="18"/>
      <c r="AG92" s="18"/>
      <c r="AH92" s="18"/>
      <c r="AI92" s="18"/>
      <c r="AJ92" s="18"/>
      <c r="AK92" s="18"/>
      <c r="AL92" s="18"/>
      <c r="AM92" s="18"/>
    </row>
    <row r="93" spans="23:39" x14ac:dyDescent="0.25">
      <c r="W93" s="12" t="s">
        <v>990</v>
      </c>
      <c r="X93" s="15" t="e">
        <f t="shared" ref="X93:AK93" si="108">+X95-X91</f>
        <v>#DIV/0!</v>
      </c>
      <c r="Y93" s="15" t="e">
        <f t="shared" si="108"/>
        <v>#DIV/0!</v>
      </c>
      <c r="Z93" s="15" t="e">
        <f t="shared" si="108"/>
        <v>#DIV/0!</v>
      </c>
      <c r="AA93" s="15" t="e">
        <f t="shared" si="108"/>
        <v>#DIV/0!</v>
      </c>
      <c r="AB93" s="15" t="e">
        <f t="shared" si="108"/>
        <v>#DIV/0!</v>
      </c>
      <c r="AC93" s="15" t="e">
        <f t="shared" si="108"/>
        <v>#DIV/0!</v>
      </c>
      <c r="AD93" s="15">
        <f t="shared" si="108"/>
        <v>0.40308306395520838</v>
      </c>
      <c r="AE93" s="15">
        <f t="shared" si="108"/>
        <v>0.45023653060723068</v>
      </c>
      <c r="AF93" s="15">
        <f t="shared" si="108"/>
        <v>0.4574301430419076</v>
      </c>
      <c r="AG93" s="15">
        <f t="shared" si="108"/>
        <v>0.49441401459441925</v>
      </c>
      <c r="AH93" s="15">
        <f t="shared" si="108"/>
        <v>0.43072923872670582</v>
      </c>
      <c r="AI93" s="15">
        <f t="shared" si="108"/>
        <v>0.49248550890307696</v>
      </c>
      <c r="AJ93" s="15">
        <f t="shared" si="108"/>
        <v>0.4555536089338984</v>
      </c>
      <c r="AK93" s="15">
        <f t="shared" si="108"/>
        <v>0.49204275861741709</v>
      </c>
      <c r="AL93" s="15">
        <f>+AL95-AL91</f>
        <v>0.3629291499235725</v>
      </c>
      <c r="AM93" s="15">
        <f t="shared" ref="AM93" si="109">+AM95-AM91</f>
        <v>0.45753415675083309</v>
      </c>
    </row>
    <row r="94" spans="23:39" x14ac:dyDescent="0.25">
      <c r="X94" s="17"/>
      <c r="Y94" s="17"/>
      <c r="Z94" s="17"/>
      <c r="AA94" s="17"/>
      <c r="AB94" s="18"/>
      <c r="AC94" s="18"/>
      <c r="AD94" s="18"/>
      <c r="AE94" s="18"/>
      <c r="AF94" s="18"/>
      <c r="AG94" s="18"/>
      <c r="AH94" s="18"/>
      <c r="AI94" s="18"/>
      <c r="AJ94" s="18"/>
      <c r="AK94" s="18"/>
      <c r="AL94" s="18"/>
      <c r="AM94" s="18"/>
    </row>
    <row r="95" spans="23:39" x14ac:dyDescent="0.25">
      <c r="W95" s="12" t="s">
        <v>989</v>
      </c>
      <c r="X95" s="15">
        <f t="shared" ref="X95:AC95" si="110">(-X28-X20-X32)/$AL$7</f>
        <v>0</v>
      </c>
      <c r="Y95" s="15">
        <f t="shared" si="110"/>
        <v>0</v>
      </c>
      <c r="Z95" s="15">
        <f t="shared" si="110"/>
        <v>0</v>
      </c>
      <c r="AA95" s="15">
        <f t="shared" si="110"/>
        <v>0</v>
      </c>
      <c r="AB95" s="15">
        <f t="shared" si="110"/>
        <v>0</v>
      </c>
      <c r="AC95" s="15">
        <f t="shared" si="110"/>
        <v>0</v>
      </c>
      <c r="AD95" s="15">
        <f t="shared" ref="AD95:AL95" si="111">(-AD28-AD20-AD32)/AD7</f>
        <v>0.76939154361458617</v>
      </c>
      <c r="AE95" s="15">
        <f t="shared" si="111"/>
        <v>0.77612751296051652</v>
      </c>
      <c r="AF95" s="15">
        <f t="shared" si="111"/>
        <v>0.84049298389794513</v>
      </c>
      <c r="AG95" s="15">
        <f t="shared" si="111"/>
        <v>0.97047198208038732</v>
      </c>
      <c r="AH95" s="15">
        <f t="shared" si="111"/>
        <v>0.87212300848224267</v>
      </c>
      <c r="AI95" s="15">
        <f t="shared" si="111"/>
        <v>1.0891063546046533</v>
      </c>
      <c r="AJ95" s="15">
        <f t="shared" si="111"/>
        <v>1.0077016070806537</v>
      </c>
      <c r="AK95" s="15">
        <f t="shared" si="111"/>
        <v>1.0608447584630156</v>
      </c>
      <c r="AL95" s="15">
        <f t="shared" si="111"/>
        <v>0.8315596341006436</v>
      </c>
      <c r="AM95" s="15">
        <f t="shared" ref="AM95" si="112">(-AM28-AM20-AM32)/AM7</f>
        <v>0.97348781335665735</v>
      </c>
    </row>
    <row r="96" spans="23:39" x14ac:dyDescent="0.25">
      <c r="X96" s="17"/>
      <c r="Y96" s="17"/>
      <c r="Z96" s="17"/>
      <c r="AA96" s="17"/>
      <c r="AB96" s="18"/>
      <c r="AC96" s="18"/>
      <c r="AD96" s="18"/>
      <c r="AE96" s="18"/>
      <c r="AF96" s="18"/>
      <c r="AG96" s="18"/>
      <c r="AH96" s="18"/>
      <c r="AI96" s="18"/>
      <c r="AJ96" s="18"/>
      <c r="AK96" s="18"/>
      <c r="AL96" s="18"/>
      <c r="AM96" s="18"/>
    </row>
    <row r="97" spans="23:39" x14ac:dyDescent="0.25">
      <c r="X97" s="17"/>
      <c r="Y97" s="17"/>
      <c r="Z97" s="17"/>
      <c r="AA97" s="17"/>
      <c r="AB97" s="18"/>
      <c r="AC97" s="18"/>
      <c r="AD97" s="18"/>
      <c r="AE97" s="18"/>
      <c r="AF97" s="18"/>
      <c r="AG97" s="18"/>
      <c r="AH97" s="18"/>
      <c r="AI97" s="18"/>
      <c r="AJ97" s="83"/>
      <c r="AK97" s="18"/>
      <c r="AL97" s="18"/>
      <c r="AM97" s="18"/>
    </row>
    <row r="98" spans="23:39" x14ac:dyDescent="0.25">
      <c r="X98" s="14"/>
      <c r="Y98" s="14"/>
      <c r="Z98" s="14"/>
      <c r="AA98" s="14"/>
      <c r="AB98" s="14"/>
      <c r="AC98" s="14"/>
      <c r="AD98" s="14"/>
      <c r="AE98" s="14"/>
      <c r="AF98" s="14"/>
      <c r="AG98" s="14"/>
      <c r="AH98" s="14"/>
      <c r="AI98" s="82"/>
      <c r="AJ98" s="82"/>
      <c r="AK98" s="14"/>
      <c r="AL98" s="14"/>
      <c r="AM98" s="82"/>
    </row>
    <row r="99" spans="23:39" x14ac:dyDescent="0.25">
      <c r="X99" s="48"/>
      <c r="Y99" s="48"/>
      <c r="Z99" s="48"/>
      <c r="AA99" s="48"/>
      <c r="AB99" s="48"/>
      <c r="AC99" s="48"/>
      <c r="AD99" s="48"/>
      <c r="AE99" s="48"/>
      <c r="AF99" s="48"/>
      <c r="AG99" s="48"/>
      <c r="AH99" s="48"/>
      <c r="AI99" s="48"/>
      <c r="AJ99" s="48"/>
      <c r="AK99" s="48"/>
      <c r="AL99" s="48"/>
      <c r="AM99" s="48"/>
    </row>
    <row r="100" spans="23:39" x14ac:dyDescent="0.25">
      <c r="X100" s="19"/>
      <c r="Y100" s="19"/>
      <c r="Z100" s="19"/>
      <c r="AA100" s="19"/>
      <c r="AB100" s="19"/>
      <c r="AC100" s="19"/>
      <c r="AD100" s="19"/>
      <c r="AE100" s="19"/>
      <c r="AF100" s="19"/>
      <c r="AG100" s="19"/>
      <c r="AH100" s="19"/>
      <c r="AI100" s="19"/>
      <c r="AJ100" s="19"/>
      <c r="AK100" s="19"/>
      <c r="AL100" s="19"/>
      <c r="AM100" s="19"/>
    </row>
    <row r="101" spans="23:39" x14ac:dyDescent="0.25">
      <c r="X101" s="48"/>
      <c r="Y101" s="48"/>
      <c r="Z101" s="48"/>
      <c r="AA101" s="48"/>
      <c r="AB101" s="48"/>
      <c r="AC101" s="48"/>
      <c r="AD101" s="48"/>
      <c r="AE101" s="48"/>
      <c r="AF101" s="48"/>
      <c r="AG101" s="48"/>
      <c r="AH101" s="48"/>
      <c r="AI101" s="48"/>
      <c r="AJ101" s="48"/>
      <c r="AK101" s="48"/>
      <c r="AL101" s="48"/>
      <c r="AM101" s="48"/>
    </row>
    <row r="102" spans="23:39" x14ac:dyDescent="0.25">
      <c r="Z102" s="19"/>
      <c r="AA102" s="19"/>
      <c r="AB102" s="19"/>
      <c r="AC102" s="19"/>
      <c r="AD102" s="19"/>
      <c r="AE102" s="19"/>
      <c r="AF102" s="19"/>
      <c r="AG102" s="19"/>
      <c r="AH102" s="19"/>
      <c r="AI102" s="19"/>
      <c r="AJ102" s="19"/>
      <c r="AK102" s="19"/>
      <c r="AL102" s="19"/>
      <c r="AM102" s="19"/>
    </row>
    <row r="103" spans="23:39" x14ac:dyDescent="0.25">
      <c r="X103" s="48"/>
      <c r="Y103" s="48"/>
      <c r="Z103" s="48"/>
      <c r="AA103" s="48"/>
      <c r="AB103" s="48"/>
      <c r="AC103" s="48"/>
      <c r="AD103" s="48"/>
      <c r="AE103" s="48"/>
      <c r="AF103" s="48"/>
      <c r="AG103" s="48"/>
      <c r="AH103" s="48"/>
      <c r="AI103" s="48"/>
      <c r="AJ103" s="48"/>
      <c r="AK103" s="48"/>
      <c r="AL103" s="48"/>
      <c r="AM103" s="48"/>
    </row>
    <row r="105" spans="23:39" x14ac:dyDescent="0.25">
      <c r="W105" s="47"/>
      <c r="AC105" s="13"/>
      <c r="AG105" s="13"/>
      <c r="AK105" s="13"/>
    </row>
    <row r="106" spans="23:39" x14ac:dyDescent="0.25">
      <c r="W106" s="47"/>
      <c r="Z106" s="13"/>
      <c r="AA106" s="13"/>
      <c r="AB106" s="13"/>
      <c r="AC106" s="13"/>
      <c r="AD106" s="13"/>
      <c r="AE106" s="13"/>
      <c r="AF106" s="13"/>
      <c r="AG106" s="13"/>
      <c r="AH106" s="13"/>
      <c r="AI106" s="13"/>
      <c r="AJ106" s="13"/>
      <c r="AK106" s="13"/>
      <c r="AL106" s="13"/>
      <c r="AM106" s="13"/>
    </row>
    <row r="107" spans="23:39" x14ac:dyDescent="0.25">
      <c r="W107" s="47"/>
      <c r="X107" s="17"/>
      <c r="Y107" s="17"/>
      <c r="Z107" s="17"/>
      <c r="AA107" s="17"/>
      <c r="AB107" s="18"/>
      <c r="AC107" s="18"/>
      <c r="AD107" s="18"/>
      <c r="AE107" s="18"/>
      <c r="AF107" s="18"/>
      <c r="AG107" s="18"/>
      <c r="AH107" s="18"/>
      <c r="AI107" s="18"/>
      <c r="AJ107" s="18"/>
      <c r="AK107" s="18"/>
      <c r="AL107" s="18"/>
      <c r="AM107" s="18"/>
    </row>
    <row r="108" spans="23:39" x14ac:dyDescent="0.25">
      <c r="X108" s="13"/>
      <c r="Y108" s="13"/>
      <c r="Z108" s="13"/>
      <c r="AA108" s="13"/>
      <c r="AB108" s="13"/>
      <c r="AC108" s="13"/>
      <c r="AD108" s="13"/>
      <c r="AE108" s="13"/>
      <c r="AF108" s="13"/>
      <c r="AG108" s="13"/>
      <c r="AH108" s="13"/>
      <c r="AI108" s="13"/>
      <c r="AJ108" s="13"/>
      <c r="AK108" s="13"/>
      <c r="AL108" s="13"/>
      <c r="AM108" s="13"/>
    </row>
    <row r="109" spans="23:39" x14ac:dyDescent="0.25">
      <c r="X109" s="13"/>
      <c r="Y109" s="13"/>
      <c r="Z109" s="13"/>
      <c r="AA109" s="13"/>
      <c r="AB109" s="13"/>
      <c r="AC109" s="13"/>
      <c r="AD109" s="13"/>
      <c r="AE109" s="13"/>
      <c r="AF109" s="13"/>
      <c r="AG109" s="13"/>
      <c r="AH109" s="13"/>
      <c r="AI109" s="13"/>
      <c r="AJ109" s="13"/>
      <c r="AK109" s="13"/>
      <c r="AL109" s="13"/>
      <c r="AM109" s="13"/>
    </row>
    <row r="110" spans="23:39" x14ac:dyDescent="0.25">
      <c r="X110" s="13"/>
      <c r="Y110" s="13"/>
      <c r="Z110" s="13"/>
      <c r="AA110" s="13"/>
      <c r="AB110" s="13"/>
      <c r="AC110" s="13"/>
      <c r="AD110" s="13"/>
      <c r="AE110" s="13"/>
      <c r="AF110" s="13"/>
      <c r="AG110" s="13"/>
      <c r="AH110" s="13"/>
      <c r="AI110" s="13"/>
      <c r="AJ110" s="13"/>
      <c r="AK110" s="13"/>
      <c r="AL110" s="13"/>
      <c r="AM110" s="13"/>
    </row>
    <row r="111" spans="23:39" x14ac:dyDescent="0.25">
      <c r="X111" s="13"/>
      <c r="Y111" s="13"/>
      <c r="Z111" s="13"/>
      <c r="AA111" s="13"/>
      <c r="AB111" s="13"/>
      <c r="AC111" s="13"/>
      <c r="AD111" s="13"/>
      <c r="AE111" s="13"/>
      <c r="AF111" s="13"/>
      <c r="AG111" s="13"/>
      <c r="AH111" s="13"/>
      <c r="AI111" s="13"/>
      <c r="AJ111" s="13"/>
      <c r="AK111" s="13"/>
      <c r="AL111" s="13"/>
      <c r="AM111" s="13"/>
    </row>
    <row r="112" spans="23:39" x14ac:dyDescent="0.25">
      <c r="X112" s="13"/>
      <c r="Y112" s="13"/>
      <c r="Z112" s="13"/>
      <c r="AA112" s="13"/>
      <c r="AB112" s="13"/>
      <c r="AC112" s="13"/>
      <c r="AD112" s="13"/>
      <c r="AE112" s="13"/>
      <c r="AF112" s="13"/>
      <c r="AG112" s="13"/>
      <c r="AH112" s="13"/>
      <c r="AI112" s="13"/>
      <c r="AJ112" s="13"/>
      <c r="AK112" s="13"/>
      <c r="AL112" s="13"/>
      <c r="AM112" s="13"/>
    </row>
    <row r="113" spans="23:39" x14ac:dyDescent="0.25">
      <c r="X113" s="13"/>
      <c r="Y113" s="13"/>
      <c r="Z113" s="13"/>
      <c r="AA113" s="13"/>
      <c r="AB113" s="13"/>
      <c r="AC113" s="13"/>
      <c r="AD113" s="13"/>
      <c r="AE113" s="13"/>
      <c r="AF113" s="13"/>
      <c r="AG113" s="13"/>
      <c r="AH113" s="13"/>
      <c r="AI113" s="13"/>
      <c r="AJ113" s="13"/>
      <c r="AK113" s="13"/>
      <c r="AL113" s="13"/>
      <c r="AM113" s="13"/>
    </row>
    <row r="114" spans="23:39" x14ac:dyDescent="0.25">
      <c r="X114" s="13"/>
      <c r="Y114" s="13"/>
      <c r="Z114" s="13"/>
      <c r="AA114" s="13"/>
      <c r="AB114" s="13"/>
      <c r="AC114" s="13"/>
      <c r="AD114" s="13"/>
      <c r="AE114" s="13"/>
      <c r="AF114" s="13"/>
      <c r="AG114" s="13"/>
      <c r="AH114" s="13"/>
      <c r="AI114" s="13"/>
      <c r="AJ114" s="13"/>
      <c r="AK114" s="13"/>
      <c r="AL114" s="13"/>
      <c r="AM114" s="13"/>
    </row>
    <row r="115" spans="23:39" x14ac:dyDescent="0.25">
      <c r="X115" s="13"/>
      <c r="Y115" s="13"/>
      <c r="Z115" s="13"/>
      <c r="AA115" s="13"/>
      <c r="AB115" s="13"/>
      <c r="AC115" s="13"/>
      <c r="AD115" s="13"/>
      <c r="AE115" s="13"/>
      <c r="AF115" s="13"/>
      <c r="AG115" s="13"/>
      <c r="AH115" s="13"/>
      <c r="AI115" s="13"/>
      <c r="AJ115" s="13"/>
      <c r="AK115" s="13"/>
      <c r="AL115" s="13"/>
      <c r="AM115" s="13"/>
    </row>
    <row r="116" spans="23:39" x14ac:dyDescent="0.25">
      <c r="X116" s="13"/>
      <c r="Y116" s="13"/>
      <c r="Z116" s="13"/>
      <c r="AA116" s="13"/>
      <c r="AB116" s="13"/>
      <c r="AC116" s="13"/>
      <c r="AD116" s="13"/>
      <c r="AE116" s="13"/>
      <c r="AF116" s="13"/>
      <c r="AG116" s="13"/>
      <c r="AH116" s="13"/>
      <c r="AI116" s="13"/>
      <c r="AJ116" s="13"/>
      <c r="AK116" s="13"/>
      <c r="AL116" s="13"/>
      <c r="AM116" s="13"/>
    </row>
    <row r="117" spans="23:39" x14ac:dyDescent="0.25">
      <c r="X117" s="13"/>
      <c r="Y117" s="13"/>
      <c r="Z117" s="13"/>
      <c r="AA117" s="13"/>
      <c r="AB117" s="13"/>
      <c r="AC117" s="13"/>
      <c r="AD117" s="13"/>
      <c r="AE117" s="13"/>
      <c r="AF117" s="13"/>
      <c r="AG117" s="13"/>
      <c r="AH117" s="13"/>
      <c r="AI117" s="13"/>
      <c r="AJ117" s="13"/>
      <c r="AK117" s="13"/>
      <c r="AL117" s="13"/>
      <c r="AM117" s="13"/>
    </row>
    <row r="118" spans="23:39" x14ac:dyDescent="0.25">
      <c r="X118" s="13"/>
      <c r="Y118" s="13"/>
      <c r="Z118" s="13"/>
      <c r="AA118" s="13"/>
      <c r="AB118" s="13"/>
      <c r="AC118" s="13"/>
      <c r="AD118" s="13"/>
      <c r="AE118" s="13"/>
      <c r="AF118" s="13"/>
      <c r="AG118" s="13"/>
      <c r="AH118" s="13"/>
      <c r="AI118" s="13"/>
      <c r="AJ118" s="13"/>
      <c r="AK118" s="13"/>
      <c r="AL118" s="13"/>
      <c r="AM118" s="13"/>
    </row>
    <row r="119" spans="23:39" x14ac:dyDescent="0.25">
      <c r="X119" s="13"/>
      <c r="Y119" s="13"/>
      <c r="Z119" s="13"/>
      <c r="AA119" s="13"/>
      <c r="AB119" s="13"/>
      <c r="AC119" s="13"/>
      <c r="AD119" s="13"/>
      <c r="AE119" s="13"/>
      <c r="AF119" s="13"/>
      <c r="AG119" s="13"/>
      <c r="AH119" s="13"/>
      <c r="AI119" s="13"/>
      <c r="AJ119" s="13"/>
      <c r="AK119" s="13"/>
      <c r="AL119" s="13"/>
      <c r="AM119" s="13"/>
    </row>
    <row r="120" spans="23:39" x14ac:dyDescent="0.25">
      <c r="X120" s="13"/>
      <c r="Y120" s="13"/>
      <c r="Z120" s="13"/>
      <c r="AA120" s="13"/>
      <c r="AB120" s="13"/>
      <c r="AC120" s="13"/>
      <c r="AD120" s="13"/>
      <c r="AE120" s="13"/>
      <c r="AF120" s="13"/>
      <c r="AG120" s="13"/>
      <c r="AH120" s="13"/>
      <c r="AI120" s="13"/>
      <c r="AJ120" s="13"/>
      <c r="AK120" s="13"/>
      <c r="AL120" s="13"/>
      <c r="AM120" s="13"/>
    </row>
    <row r="121" spans="23:39" x14ac:dyDescent="0.25">
      <c r="X121" s="13"/>
      <c r="Y121" s="13"/>
      <c r="Z121" s="13"/>
      <c r="AA121" s="13"/>
      <c r="AB121" s="13"/>
      <c r="AC121" s="13"/>
      <c r="AD121" s="13"/>
      <c r="AE121" s="13"/>
      <c r="AF121" s="13"/>
      <c r="AG121" s="13"/>
      <c r="AH121" s="13"/>
      <c r="AI121" s="13"/>
      <c r="AJ121" s="13"/>
      <c r="AK121" s="13"/>
      <c r="AL121" s="13"/>
      <c r="AM121" s="13"/>
    </row>
    <row r="122" spans="23:39" x14ac:dyDescent="0.25">
      <c r="Z122" s="19"/>
      <c r="AA122" s="19"/>
      <c r="AB122" s="19"/>
      <c r="AC122" s="19"/>
      <c r="AD122" s="19"/>
      <c r="AE122" s="19"/>
      <c r="AF122" s="19"/>
      <c r="AG122" s="19"/>
      <c r="AH122" s="19"/>
      <c r="AI122" s="19"/>
      <c r="AJ122" s="19"/>
      <c r="AK122" s="19"/>
      <c r="AL122" s="19"/>
      <c r="AM122" s="19"/>
    </row>
    <row r="123" spans="23:39" x14ac:dyDescent="0.25">
      <c r="W123" s="47"/>
    </row>
    <row r="124" spans="23:39" x14ac:dyDescent="0.25">
      <c r="X124" s="13"/>
      <c r="Y124" s="13"/>
      <c r="Z124" s="13"/>
      <c r="AA124" s="13"/>
      <c r="AB124" s="13"/>
      <c r="AC124" s="13"/>
      <c r="AD124" s="13"/>
      <c r="AE124" s="13"/>
      <c r="AF124" s="13"/>
      <c r="AG124" s="13"/>
      <c r="AH124" s="13"/>
      <c r="AI124" s="13"/>
      <c r="AJ124" s="13"/>
      <c r="AK124" s="13"/>
      <c r="AL124" s="13"/>
      <c r="AM124" s="13"/>
    </row>
    <row r="125" spans="23:39" x14ac:dyDescent="0.25">
      <c r="X125" s="13"/>
      <c r="Y125" s="13"/>
      <c r="Z125" s="13"/>
      <c r="AA125" s="13"/>
      <c r="AB125" s="13"/>
      <c r="AC125" s="13"/>
      <c r="AD125" s="13"/>
      <c r="AE125" s="13"/>
      <c r="AF125" s="13"/>
      <c r="AG125" s="13"/>
      <c r="AH125" s="13"/>
      <c r="AI125" s="13"/>
      <c r="AJ125" s="13"/>
      <c r="AK125" s="13"/>
      <c r="AL125" s="13"/>
      <c r="AM125" s="13"/>
    </row>
    <row r="126" spans="23:39" x14ac:dyDescent="0.25">
      <c r="X126" s="13"/>
      <c r="Y126" s="13"/>
      <c r="Z126" s="13"/>
      <c r="AA126" s="13"/>
      <c r="AB126" s="13"/>
      <c r="AC126" s="13"/>
      <c r="AD126" s="13"/>
      <c r="AE126" s="13"/>
      <c r="AF126" s="13"/>
      <c r="AG126" s="13"/>
      <c r="AH126" s="13"/>
      <c r="AI126" s="13"/>
      <c r="AJ126" s="13"/>
      <c r="AK126" s="13"/>
      <c r="AL126" s="13"/>
      <c r="AM126" s="13"/>
    </row>
    <row r="127" spans="23:39" x14ac:dyDescent="0.25">
      <c r="X127" s="13"/>
      <c r="Y127" s="13"/>
      <c r="Z127" s="13"/>
      <c r="AA127" s="13"/>
      <c r="AB127" s="13"/>
      <c r="AC127" s="13"/>
      <c r="AD127" s="13"/>
      <c r="AE127" s="13"/>
      <c r="AF127" s="13"/>
      <c r="AG127" s="13"/>
      <c r="AH127" s="13"/>
      <c r="AI127" s="13"/>
      <c r="AJ127" s="13"/>
      <c r="AK127" s="13"/>
      <c r="AL127" s="13"/>
      <c r="AM127" s="13"/>
    </row>
    <row r="128" spans="23:39" x14ac:dyDescent="0.25">
      <c r="X128" s="13"/>
      <c r="Y128" s="13"/>
      <c r="Z128" s="13"/>
      <c r="AA128" s="13"/>
      <c r="AB128" s="13"/>
      <c r="AC128" s="13"/>
      <c r="AD128" s="13"/>
      <c r="AE128" s="13"/>
      <c r="AF128" s="13"/>
      <c r="AG128" s="13"/>
      <c r="AH128" s="13"/>
      <c r="AI128" s="13"/>
      <c r="AJ128" s="13"/>
      <c r="AK128" s="13"/>
      <c r="AL128" s="13"/>
      <c r="AM128" s="13"/>
    </row>
    <row r="129" spans="23:39" x14ac:dyDescent="0.25">
      <c r="X129" s="13"/>
      <c r="Y129" s="13"/>
      <c r="Z129" s="13"/>
      <c r="AA129" s="13"/>
      <c r="AB129" s="13"/>
      <c r="AC129" s="13"/>
      <c r="AD129" s="13"/>
      <c r="AE129" s="13"/>
      <c r="AF129" s="13"/>
      <c r="AG129" s="13"/>
      <c r="AH129" s="13"/>
      <c r="AI129" s="13"/>
      <c r="AJ129" s="13"/>
      <c r="AK129" s="13"/>
      <c r="AL129" s="13"/>
      <c r="AM129" s="13"/>
    </row>
    <row r="130" spans="23:39" x14ac:dyDescent="0.25">
      <c r="X130" s="13"/>
      <c r="Y130" s="13"/>
      <c r="Z130" s="13"/>
      <c r="AA130" s="13"/>
      <c r="AB130" s="13"/>
      <c r="AC130" s="13"/>
      <c r="AD130" s="13"/>
      <c r="AE130" s="13"/>
      <c r="AF130" s="13"/>
      <c r="AG130" s="13"/>
      <c r="AH130" s="13"/>
      <c r="AI130" s="13"/>
      <c r="AJ130" s="13"/>
      <c r="AK130" s="13"/>
      <c r="AL130" s="13"/>
      <c r="AM130" s="13"/>
    </row>
    <row r="133" spans="23:39" x14ac:dyDescent="0.25">
      <c r="W133" s="47"/>
    </row>
    <row r="134" spans="23:39" x14ac:dyDescent="0.25">
      <c r="W134" s="47"/>
    </row>
    <row r="142" spans="23:39" x14ac:dyDescent="0.25">
      <c r="W142" s="47"/>
    </row>
  </sheetData>
  <mergeCells count="3">
    <mergeCell ref="AQ2:AV2"/>
    <mergeCell ref="AW2:BB2"/>
    <mergeCell ref="B13:H13"/>
  </mergeCells>
  <pageMargins left="0.7" right="0.7" top="0.75" bottom="0.75" header="0.3" footer="0.3"/>
  <pageSetup paperSize="9" orientation="portrait"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D28A-99BB-449E-9BC5-FD30E06895FB}">
  <sheetPr>
    <tabColor rgb="FF92D050"/>
  </sheetPr>
  <dimension ref="B1:AN72"/>
  <sheetViews>
    <sheetView topLeftCell="Y1" zoomScale="85" zoomScaleNormal="85" workbookViewId="0">
      <selection activeCell="AJ2" sqref="AJ2"/>
    </sheetView>
  </sheetViews>
  <sheetFormatPr defaultRowHeight="15" x14ac:dyDescent="0.25"/>
  <cols>
    <col min="2" max="2" width="28.28515625" customWidth="1"/>
    <col min="3" max="3" width="8.7109375" hidden="1" customWidth="1"/>
    <col min="8" max="9" width="9.42578125" bestFit="1" customWidth="1"/>
    <col min="10" max="10" width="14.28515625" customWidth="1"/>
    <col min="13" max="13" width="19.85546875" customWidth="1"/>
    <col min="23" max="23" width="34.7109375" style="12" customWidth="1"/>
    <col min="24" max="37" width="12" style="12" customWidth="1"/>
    <col min="38" max="39" width="8.85546875" style="12"/>
  </cols>
  <sheetData>
    <row r="1" spans="2:39" ht="15.75" thickBot="1" x14ac:dyDescent="0.3"/>
    <row r="2" spans="2:39"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f>J14*J21</f>
        <v>34.398437959079992</v>
      </c>
      <c r="W2" s="20" t="s">
        <v>278</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row>
    <row r="3" spans="2:39" ht="18" thickTop="1" thickBot="1" x14ac:dyDescent="0.4">
      <c r="B3" s="25" t="s">
        <v>10</v>
      </c>
      <c r="C3" s="26">
        <v>17820.179</v>
      </c>
      <c r="D3" s="26">
        <v>22137.641</v>
      </c>
      <c r="E3" s="26">
        <v>24647.488000000001</v>
      </c>
      <c r="F3" s="26">
        <v>31746.592000000001</v>
      </c>
      <c r="G3" s="26">
        <v>33276.976999999999</v>
      </c>
      <c r="H3" s="26">
        <v>31780.287</v>
      </c>
      <c r="I3" s="27">
        <v>49587.964</v>
      </c>
      <c r="J3" s="21"/>
      <c r="M3" s="1" t="s">
        <v>11</v>
      </c>
      <c r="N3" s="2">
        <f>'[1]LT Portfolio'!W294</f>
        <v>0</v>
      </c>
      <c r="W3" s="12" t="s">
        <v>62</v>
      </c>
      <c r="X3" s="13"/>
      <c r="Y3" s="13">
        <v>989480</v>
      </c>
      <c r="Z3" s="13">
        <v>2024835</v>
      </c>
      <c r="AA3" s="13">
        <v>1541199</v>
      </c>
      <c r="AB3" s="13">
        <v>2377811</v>
      </c>
      <c r="AC3" s="13">
        <v>3918249</v>
      </c>
      <c r="AD3" s="13">
        <v>5517465</v>
      </c>
      <c r="AE3" s="13">
        <v>6204506</v>
      </c>
      <c r="AF3" s="13">
        <v>6094545</v>
      </c>
      <c r="AG3" s="13">
        <v>7751268</v>
      </c>
      <c r="AH3" s="13">
        <v>8785081</v>
      </c>
      <c r="AI3" s="13">
        <v>5994177</v>
      </c>
      <c r="AJ3" s="13">
        <v>6520192</v>
      </c>
      <c r="AK3" s="13">
        <v>8165638</v>
      </c>
    </row>
    <row r="4" spans="2:39" ht="18" thickTop="1" thickBot="1" x14ac:dyDescent="0.4">
      <c r="B4" s="28" t="s">
        <v>12</v>
      </c>
      <c r="C4" s="29"/>
      <c r="D4" s="30">
        <f t="shared" ref="D4:G4" si="0">(D3/C3-1)*100</f>
        <v>24.2279384511233</v>
      </c>
      <c r="E4" s="30">
        <f t="shared" si="0"/>
        <v>11.337463643935685</v>
      </c>
      <c r="F4" s="30">
        <f t="shared" si="0"/>
        <v>28.802545719872128</v>
      </c>
      <c r="G4" s="30">
        <f t="shared" si="0"/>
        <v>4.8206276755627719</v>
      </c>
      <c r="H4" s="30">
        <f>(H3/G3-1)*100</f>
        <v>-4.4976741727471126</v>
      </c>
      <c r="I4" s="31">
        <f>(I3/H3-1)*100</f>
        <v>56.033719896865634</v>
      </c>
      <c r="J4" s="22">
        <f>((I3/D3)^(1/5)-1)*100</f>
        <v>17.503008805594654</v>
      </c>
      <c r="W4" s="12" t="s">
        <v>40</v>
      </c>
      <c r="X4" s="17"/>
      <c r="Y4" s="17"/>
      <c r="Z4" s="17"/>
      <c r="AA4" s="17"/>
      <c r="AB4" s="18" t="e">
        <f t="shared" ref="AB4:AG4" si="1">+AB3/X3-1</f>
        <v>#DIV/0!</v>
      </c>
      <c r="AC4" s="18">
        <f t="shared" si="1"/>
        <v>2.9599072239964426</v>
      </c>
      <c r="AD4" s="18">
        <f t="shared" si="1"/>
        <v>1.7248961026454008</v>
      </c>
      <c r="AE4" s="18">
        <f t="shared" si="1"/>
        <v>3.0257656538837621</v>
      </c>
      <c r="AF4" s="18">
        <f t="shared" si="1"/>
        <v>1.5630905904632453</v>
      </c>
      <c r="AG4" s="18">
        <f t="shared" si="1"/>
        <v>0.97824793676971522</v>
      </c>
      <c r="AH4" s="18">
        <f>+AH3/AD3-1</f>
        <v>0.59223139612122599</v>
      </c>
      <c r="AI4" s="18">
        <f>+AI3/AE3-1</f>
        <v>-3.3899395052563452E-2</v>
      </c>
      <c r="AJ4" s="18">
        <f t="shared" ref="AJ4:AK4" si="2">+AJ3/AF3-1</f>
        <v>6.9840652583580853E-2</v>
      </c>
      <c r="AK4" s="18">
        <f t="shared" si="2"/>
        <v>5.3458350298299484E-2</v>
      </c>
      <c r="AL4" s="46"/>
    </row>
    <row r="5" spans="2:39" ht="18" thickTop="1" thickBot="1" x14ac:dyDescent="0.4">
      <c r="B5" s="32" t="s">
        <v>13</v>
      </c>
      <c r="C5" s="29">
        <v>2994.8620000000001</v>
      </c>
      <c r="D5" s="26">
        <v>3075.7150000000001</v>
      </c>
      <c r="E5" s="26">
        <v>2911.1990000000001</v>
      </c>
      <c r="F5" s="26">
        <v>3686.058</v>
      </c>
      <c r="G5" s="26">
        <v>4229.0420000000004</v>
      </c>
      <c r="H5" s="26">
        <v>3789.9589999999998</v>
      </c>
      <c r="I5" s="27">
        <v>4577.6409999999996</v>
      </c>
      <c r="J5" s="21"/>
      <c r="M5" s="1" t="s">
        <v>14</v>
      </c>
      <c r="N5" s="3">
        <f>202.575/415.481776</f>
        <v>0.48756651122045841</v>
      </c>
      <c r="W5" s="12" t="s">
        <v>41</v>
      </c>
      <c r="Y5" s="18" t="e">
        <f t="shared" ref="Y5:AK5" si="3">+Y3/X3-1</f>
        <v>#DIV/0!</v>
      </c>
      <c r="Z5" s="18">
        <f t="shared" si="3"/>
        <v>1.0463627359825365</v>
      </c>
      <c r="AA5" s="18">
        <f t="shared" si="3"/>
        <v>-0.23885205461185721</v>
      </c>
      <c r="AB5" s="18">
        <f t="shared" si="3"/>
        <v>0.5428319120373164</v>
      </c>
      <c r="AC5" s="18">
        <f t="shared" si="3"/>
        <v>0.64783870543117184</v>
      </c>
      <c r="AD5" s="18">
        <f t="shared" si="3"/>
        <v>0.40814557727188849</v>
      </c>
      <c r="AE5" s="18">
        <f t="shared" si="3"/>
        <v>0.12452113425277722</v>
      </c>
      <c r="AF5" s="18">
        <f t="shared" si="3"/>
        <v>-1.7722764713258399E-2</v>
      </c>
      <c r="AG5" s="18">
        <f t="shared" si="3"/>
        <v>0.27183702803080467</v>
      </c>
      <c r="AH5" s="18">
        <f t="shared" si="3"/>
        <v>0.13337340419657795</v>
      </c>
      <c r="AI5" s="18">
        <f t="shared" si="3"/>
        <v>-0.31768676919427374</v>
      </c>
      <c r="AJ5" s="18">
        <f t="shared" si="3"/>
        <v>8.7754332246111622E-2</v>
      </c>
      <c r="AK5" s="18">
        <f t="shared" si="3"/>
        <v>0.25236158689805444</v>
      </c>
    </row>
    <row r="6" spans="2:39" ht="18" thickTop="1" thickBot="1" x14ac:dyDescent="0.4">
      <c r="B6" s="28" t="s">
        <v>15</v>
      </c>
      <c r="C6" s="30">
        <f t="shared" ref="C6:G6" si="4">C5/C$3*100</f>
        <v>16.806015248219449</v>
      </c>
      <c r="D6" s="30">
        <f t="shared" si="4"/>
        <v>13.893598690122404</v>
      </c>
      <c r="E6" s="30">
        <f t="shared" si="4"/>
        <v>11.811341585803795</v>
      </c>
      <c r="F6" s="30">
        <f t="shared" si="4"/>
        <v>11.610877791228742</v>
      </c>
      <c r="G6" s="30">
        <f t="shared" si="4"/>
        <v>12.708612323769675</v>
      </c>
      <c r="H6" s="30">
        <f>H5/H$3*100</f>
        <v>11.925502749550374</v>
      </c>
      <c r="I6" s="31">
        <f>I5/I$3*100</f>
        <v>9.2313550118734451</v>
      </c>
      <c r="J6" s="23">
        <f>AVERAGE(D6:I6)</f>
        <v>11.863548025391404</v>
      </c>
      <c r="M6" s="1" t="s">
        <v>16</v>
      </c>
      <c r="N6" s="3">
        <f>261.001/415.481776</f>
        <v>0.62818880412218114</v>
      </c>
    </row>
    <row r="7" spans="2:39" ht="18" thickTop="1" thickBot="1" x14ac:dyDescent="0.4">
      <c r="B7" s="32" t="s">
        <v>17</v>
      </c>
      <c r="C7" s="26">
        <v>2167.6080000000002</v>
      </c>
      <c r="D7" s="26">
        <v>1992.405</v>
      </c>
      <c r="E7" s="26">
        <v>1810.8420000000001</v>
      </c>
      <c r="F7" s="26">
        <v>2344.6489999999999</v>
      </c>
      <c r="G7" s="26">
        <v>2728.431</v>
      </c>
      <c r="H7" s="26">
        <v>2441.4009999999998</v>
      </c>
      <c r="I7" s="27">
        <v>2573.1030000000001</v>
      </c>
      <c r="J7" s="24"/>
      <c r="M7" s="1" t="s">
        <v>18</v>
      </c>
      <c r="N7" s="3">
        <f>'[1]LT Portfolio'!P294</f>
        <v>0</v>
      </c>
      <c r="W7" s="12" t="s">
        <v>61</v>
      </c>
      <c r="X7" s="13"/>
      <c r="Y7" s="13">
        <f t="shared" ref="Y7:AJ7" si="5">+Y3/Y45</f>
        <v>5265.898522138431</v>
      </c>
      <c r="Z7" s="13">
        <f t="shared" si="5"/>
        <v>10231.683333495826</v>
      </c>
      <c r="AA7" s="13">
        <f t="shared" si="5"/>
        <v>7633.981032746221</v>
      </c>
      <c r="AB7" s="13">
        <f t="shared" si="5"/>
        <v>11717.203061608938</v>
      </c>
      <c r="AC7" s="13">
        <f t="shared" si="5"/>
        <v>19301.718561664158</v>
      </c>
      <c r="AD7" s="13">
        <f t="shared" si="5"/>
        <v>23631.60329694115</v>
      </c>
      <c r="AE7" s="13">
        <f t="shared" si="5"/>
        <v>17032.556703406859</v>
      </c>
      <c r="AF7" s="13">
        <f t="shared" si="5"/>
        <v>16523.13273974842</v>
      </c>
      <c r="AG7" s="13">
        <f t="shared" si="5"/>
        <v>20849.327748773201</v>
      </c>
      <c r="AH7" s="13">
        <f t="shared" si="5"/>
        <v>24560.922394321809</v>
      </c>
      <c r="AI7" s="13">
        <f t="shared" si="5"/>
        <v>18941.541648281382</v>
      </c>
      <c r="AJ7" s="13">
        <f t="shared" si="5"/>
        <v>19703.326457254119</v>
      </c>
      <c r="AK7" s="13">
        <f t="shared" ref="AK7" si="6">+AK3/AK45</f>
        <v>24430.709065088064</v>
      </c>
    </row>
    <row r="8" spans="2:39" ht="18" thickTop="1" thickBot="1" x14ac:dyDescent="0.4">
      <c r="B8" s="28" t="s">
        <v>19</v>
      </c>
      <c r="C8" s="30">
        <f t="shared" ref="C8:I8" si="7">C7/C$3*100</f>
        <v>12.16378353999699</v>
      </c>
      <c r="D8" s="30">
        <f t="shared" si="7"/>
        <v>9.0000781926132056</v>
      </c>
      <c r="E8" s="30">
        <f t="shared" si="7"/>
        <v>7.3469637149229978</v>
      </c>
      <c r="F8" s="30">
        <f t="shared" si="7"/>
        <v>7.3855140104487429</v>
      </c>
      <c r="G8" s="30">
        <f t="shared" si="7"/>
        <v>8.1991552297553945</v>
      </c>
      <c r="H8" s="30">
        <f t="shared" si="7"/>
        <v>7.6821238272643662</v>
      </c>
      <c r="I8" s="31">
        <f t="shared" si="7"/>
        <v>5.1889668226749546</v>
      </c>
      <c r="J8" s="23">
        <f>AVERAGE(D8:I8)</f>
        <v>7.4671336329466103</v>
      </c>
      <c r="M8" s="1" t="s">
        <v>20</v>
      </c>
      <c r="N8" s="3">
        <f>'[1]LT Portfolio'!Q294</f>
        <v>0</v>
      </c>
      <c r="W8" s="12" t="s">
        <v>40</v>
      </c>
      <c r="AB8" s="18" t="e">
        <f t="shared" ref="AB8:AG8" si="8">+AB7/X7-1</f>
        <v>#DIV/0!</v>
      </c>
      <c r="AC8" s="18">
        <f t="shared" si="8"/>
        <v>2.665417873230477</v>
      </c>
      <c r="AD8" s="18">
        <f t="shared" si="8"/>
        <v>1.3096495978894818</v>
      </c>
      <c r="AE8" s="18">
        <f t="shared" si="8"/>
        <v>1.2311499898080869</v>
      </c>
      <c r="AF8" s="18">
        <f t="shared" si="8"/>
        <v>0.41016014255876176</v>
      </c>
      <c r="AG8" s="18">
        <f t="shared" si="8"/>
        <v>8.0179864925748356E-2</v>
      </c>
      <c r="AH8" s="18">
        <f>+AH7/AD7-1</f>
        <v>3.9325266496029521E-2</v>
      </c>
      <c r="AI8" s="18">
        <f>+AI7/AE7-1</f>
        <v>0.11207859032065848</v>
      </c>
      <c r="AJ8" s="18">
        <f t="shared" ref="AJ8:AK8" si="9">+AJ7/AF7-1</f>
        <v>0.19246917443538747</v>
      </c>
      <c r="AK8" s="18">
        <f t="shared" si="9"/>
        <v>0.17177442646924646</v>
      </c>
    </row>
    <row r="9" spans="2:39" ht="18" thickTop="1" thickBot="1" x14ac:dyDescent="0.4">
      <c r="B9" s="32" t="s">
        <v>21</v>
      </c>
      <c r="C9" s="26">
        <v>2228.9470000000001</v>
      </c>
      <c r="D9" s="26">
        <v>2011.37</v>
      </c>
      <c r="E9" s="26">
        <v>1817.7159999999999</v>
      </c>
      <c r="F9" s="26">
        <v>2257.0619999999999</v>
      </c>
      <c r="G9" s="26">
        <v>2811.9639999999999</v>
      </c>
      <c r="H9" s="26">
        <v>2599.3359999999998</v>
      </c>
      <c r="I9" s="27">
        <v>2863.72</v>
      </c>
      <c r="J9" s="21"/>
      <c r="M9" s="1" t="s">
        <v>22</v>
      </c>
      <c r="N9" s="3">
        <f>'[1]LT Portfolio'!R294</f>
        <v>0</v>
      </c>
      <c r="O9" s="4">
        <f>N9/N5-1</f>
        <v>-1</v>
      </c>
      <c r="W9" s="12" t="s">
        <v>41</v>
      </c>
      <c r="Y9" s="18" t="e">
        <f t="shared" ref="Y9:AK9" si="10">+Y7/X7-1</f>
        <v>#DIV/0!</v>
      </c>
      <c r="Z9" s="18">
        <f t="shared" si="10"/>
        <v>0.94300807174325074</v>
      </c>
      <c r="AA9" s="18">
        <f t="shared" si="10"/>
        <v>-0.25388806671189823</v>
      </c>
      <c r="AB9" s="18">
        <f t="shared" si="10"/>
        <v>0.53487453156453979</v>
      </c>
      <c r="AC9" s="18">
        <f t="shared" si="10"/>
        <v>0.64729743610108259</v>
      </c>
      <c r="AD9" s="18">
        <f t="shared" si="10"/>
        <v>0.22432638427734264</v>
      </c>
      <c r="AE9" s="18">
        <f t="shared" si="10"/>
        <v>-0.27924667279720561</v>
      </c>
      <c r="AF9" s="18">
        <f t="shared" si="10"/>
        <v>-2.9908837089416163E-2</v>
      </c>
      <c r="AG9" s="18">
        <f t="shared" si="10"/>
        <v>0.26182656020293238</v>
      </c>
      <c r="AH9" s="18">
        <f t="shared" si="10"/>
        <v>0.17801987144487197</v>
      </c>
      <c r="AI9" s="18">
        <f t="shared" si="10"/>
        <v>-0.22879355489269249</v>
      </c>
      <c r="AJ9" s="18">
        <f t="shared" si="10"/>
        <v>4.021767726819947E-2</v>
      </c>
      <c r="AK9" s="18">
        <f t="shared" si="10"/>
        <v>0.23992814706135457</v>
      </c>
    </row>
    <row r="10" spans="2:39" ht="18" thickTop="1" thickBot="1" x14ac:dyDescent="0.4">
      <c r="B10" s="32" t="s">
        <v>23</v>
      </c>
      <c r="C10" s="29">
        <v>2170.6669999999999</v>
      </c>
      <c r="D10" s="26">
        <v>1959.175</v>
      </c>
      <c r="E10" s="26">
        <v>1596.114</v>
      </c>
      <c r="F10" s="26">
        <v>1858.7170000000001</v>
      </c>
      <c r="G10" s="26">
        <v>2383.7840000000001</v>
      </c>
      <c r="H10" s="26">
        <v>2139.5970000000002</v>
      </c>
      <c r="I10" s="27">
        <v>2531.25</v>
      </c>
      <c r="J10" s="22">
        <f>((I10/D10)^(1/5)-1)*100</f>
        <v>5.2573330805531393</v>
      </c>
      <c r="M10" s="1" t="s">
        <v>24</v>
      </c>
      <c r="N10" s="3">
        <f>'[1]LT Portfolio'!S294</f>
        <v>0</v>
      </c>
      <c r="O10" s="4">
        <f>N10/N6-1</f>
        <v>-1</v>
      </c>
    </row>
    <row r="11" spans="2:39" ht="18" thickTop="1" thickBot="1" x14ac:dyDescent="0.4">
      <c r="B11" s="28" t="s">
        <v>25</v>
      </c>
      <c r="C11" s="30">
        <f t="shared" ref="C11:G11" si="11">C10/C$3*100</f>
        <v>12.180949473066461</v>
      </c>
      <c r="D11" s="30">
        <f t="shared" si="11"/>
        <v>8.849971864662546</v>
      </c>
      <c r="E11" s="30">
        <f t="shared" si="11"/>
        <v>6.4757674291189433</v>
      </c>
      <c r="F11" s="30">
        <f t="shared" si="11"/>
        <v>5.8548552235150151</v>
      </c>
      <c r="G11" s="30">
        <f t="shared" si="11"/>
        <v>7.1634631955901531</v>
      </c>
      <c r="H11" s="30">
        <f>H10/H$3*100</f>
        <v>6.7324659465787713</v>
      </c>
      <c r="I11" s="31">
        <f>I10/I$3*100</f>
        <v>5.1045652933038346</v>
      </c>
      <c r="J11" s="23">
        <f>AVERAGE(D11:I11)</f>
        <v>6.6968481587948778</v>
      </c>
      <c r="M11" s="1" t="s">
        <v>26</v>
      </c>
      <c r="N11" s="3">
        <f>'[1]LT Portfolio'!T294</f>
        <v>0</v>
      </c>
      <c r="O11" s="4" t="e">
        <f>N11/N7-1</f>
        <v>#DIV/0!</v>
      </c>
      <c r="W11" s="12" t="s">
        <v>42</v>
      </c>
      <c r="X11" s="13"/>
      <c r="Y11" s="13">
        <v>450399</v>
      </c>
      <c r="Z11" s="13">
        <v>1199877</v>
      </c>
      <c r="AA11" s="13">
        <v>750184</v>
      </c>
      <c r="AB11" s="13">
        <v>1344640</v>
      </c>
      <c r="AC11" s="13">
        <v>2434121</v>
      </c>
      <c r="AD11" s="13">
        <v>3828658</v>
      </c>
      <c r="AE11" s="13">
        <v>3909886</v>
      </c>
      <c r="AF11" s="13">
        <v>3707723</v>
      </c>
      <c r="AG11" s="13">
        <v>4633959</v>
      </c>
      <c r="AH11" s="13">
        <v>5814863</v>
      </c>
      <c r="AI11" s="13">
        <v>3456624</v>
      </c>
      <c r="AJ11" s="13">
        <v>3715138</v>
      </c>
      <c r="AK11" s="13">
        <v>5167801</v>
      </c>
    </row>
    <row r="12" spans="2:39" ht="18" thickTop="1" thickBot="1" x14ac:dyDescent="0.4">
      <c r="B12" s="28" t="s">
        <v>27</v>
      </c>
      <c r="C12" s="29"/>
      <c r="D12" s="30">
        <f t="shared" ref="D12:I12" si="12">(D10/C10-1)*100</f>
        <v>-9.7431803219931936</v>
      </c>
      <c r="E12" s="30">
        <f t="shared" si="12"/>
        <v>-18.531320581367151</v>
      </c>
      <c r="F12" s="30">
        <f t="shared" si="12"/>
        <v>16.452646866075995</v>
      </c>
      <c r="G12" s="30">
        <f t="shared" si="12"/>
        <v>28.248894264161795</v>
      </c>
      <c r="H12" s="30">
        <f t="shared" si="12"/>
        <v>-10.243671406469712</v>
      </c>
      <c r="I12" s="31">
        <f t="shared" si="12"/>
        <v>18.304989210584964</v>
      </c>
      <c r="J12" s="23">
        <f>AVERAGE(D12:I12)</f>
        <v>4.0813930051654497</v>
      </c>
      <c r="S12" t="s">
        <v>20</v>
      </c>
      <c r="T12" t="s">
        <v>22</v>
      </c>
      <c r="W12" s="12" t="s">
        <v>43</v>
      </c>
      <c r="X12" s="19" t="e">
        <f t="shared" ref="X12:AI12" si="13">+X11/X3</f>
        <v>#DIV/0!</v>
      </c>
      <c r="Y12" s="19">
        <f t="shared" si="13"/>
        <v>0.45518757327080889</v>
      </c>
      <c r="Z12" s="19">
        <f t="shared" si="13"/>
        <v>0.59258013615924265</v>
      </c>
      <c r="AA12" s="19">
        <f t="shared" si="13"/>
        <v>0.48675349516837213</v>
      </c>
      <c r="AB12" s="19">
        <f t="shared" si="13"/>
        <v>0.56549490266467772</v>
      </c>
      <c r="AC12" s="19">
        <f t="shared" si="13"/>
        <v>0.62122672653014144</v>
      </c>
      <c r="AD12" s="19">
        <f t="shared" si="13"/>
        <v>0.69391613721156364</v>
      </c>
      <c r="AE12" s="19">
        <f t="shared" si="13"/>
        <v>0.6301687837839145</v>
      </c>
      <c r="AF12" s="19">
        <f t="shared" si="13"/>
        <v>0.60836748272430508</v>
      </c>
      <c r="AG12" s="19">
        <f t="shared" si="13"/>
        <v>0.59783238045697817</v>
      </c>
      <c r="AH12" s="19">
        <f t="shared" si="13"/>
        <v>0.661902035963015</v>
      </c>
      <c r="AI12" s="19">
        <f t="shared" si="13"/>
        <v>0.57666365207433812</v>
      </c>
      <c r="AJ12" s="19">
        <f t="shared" ref="AJ12:AK12" si="14">+AJ11/AJ3</f>
        <v>0.56978966263570152</v>
      </c>
      <c r="AK12" s="19">
        <f t="shared" si="14"/>
        <v>0.6328716751832496</v>
      </c>
    </row>
    <row r="13" spans="2:39" s="6" customFormat="1" ht="18" thickTop="1" thickBot="1" x14ac:dyDescent="0.3">
      <c r="B13" s="187"/>
      <c r="C13" s="188"/>
      <c r="D13" s="188"/>
      <c r="E13" s="188"/>
      <c r="F13" s="188"/>
      <c r="G13" s="188"/>
      <c r="H13" s="188"/>
      <c r="I13" s="41"/>
      <c r="J13" s="5"/>
      <c r="M13" s="1" t="s">
        <v>28</v>
      </c>
      <c r="N13" s="3">
        <f>SUM(N8:N11)</f>
        <v>0</v>
      </c>
      <c r="O13"/>
      <c r="P13"/>
      <c r="Q13" s="7">
        <f>N13*J21</f>
        <v>0</v>
      </c>
      <c r="R13"/>
      <c r="S13" s="7">
        <v>19.109573515092499</v>
      </c>
      <c r="T13" s="7">
        <v>18.873652854412345</v>
      </c>
      <c r="W13" s="12"/>
      <c r="X13" s="12"/>
      <c r="Y13" s="12"/>
      <c r="Z13" s="12"/>
      <c r="AA13" s="12"/>
      <c r="AB13" s="12"/>
      <c r="AC13" s="12"/>
      <c r="AD13" s="12"/>
      <c r="AE13" s="12"/>
      <c r="AF13" s="12"/>
      <c r="AG13" s="12"/>
      <c r="AH13" s="12"/>
      <c r="AI13" s="12"/>
      <c r="AJ13" s="12"/>
      <c r="AK13" s="12"/>
      <c r="AL13" s="12"/>
      <c r="AM13" s="12"/>
    </row>
    <row r="14" spans="2:39" ht="18" thickTop="1" thickBot="1" x14ac:dyDescent="0.4">
      <c r="B14" s="32" t="s">
        <v>29</v>
      </c>
      <c r="C14" s="33">
        <v>3.24</v>
      </c>
      <c r="D14" s="34">
        <v>2.81</v>
      </c>
      <c r="E14" s="34">
        <v>2.2799999999999998</v>
      </c>
      <c r="F14" s="34">
        <v>2.65</v>
      </c>
      <c r="G14" s="34">
        <v>3.4</v>
      </c>
      <c r="H14" s="34">
        <v>3.04</v>
      </c>
      <c r="I14" s="35">
        <v>3.54</v>
      </c>
      <c r="J14" s="23">
        <f>AVERAGE(D14:I14)</f>
        <v>2.9533333333333331</v>
      </c>
      <c r="M14" s="1" t="s">
        <v>11</v>
      </c>
      <c r="N14" s="2" t="e">
        <f>N2/N13</f>
        <v>#VALUE!</v>
      </c>
      <c r="Q14" s="8" t="e">
        <f>Q13/N2-1</f>
        <v>#VALUE!</v>
      </c>
      <c r="S14" s="8" t="e">
        <f>S13/N2-1</f>
        <v>#VALUE!</v>
      </c>
      <c r="T14" s="8" t="e">
        <f>T13/N2-1</f>
        <v>#VALUE!</v>
      </c>
      <c r="W14" s="12" t="s">
        <v>17</v>
      </c>
      <c r="X14" s="13"/>
      <c r="Y14" s="13">
        <v>-1139100</v>
      </c>
      <c r="Z14" s="13">
        <v>-593144</v>
      </c>
      <c r="AA14" s="10">
        <v>-1131342</v>
      </c>
      <c r="AB14" s="13">
        <v>-623485</v>
      </c>
      <c r="AC14" s="13">
        <v>210290</v>
      </c>
      <c r="AD14" s="13">
        <v>1354185</v>
      </c>
      <c r="AE14" s="13">
        <v>-9417</v>
      </c>
      <c r="AF14" s="13">
        <v>-326582</v>
      </c>
      <c r="AG14" s="13">
        <v>374274</v>
      </c>
      <c r="AH14" s="13">
        <v>1704162</v>
      </c>
      <c r="AI14" s="13">
        <v>-537758</v>
      </c>
      <c r="AJ14" s="13">
        <v>-410120</v>
      </c>
      <c r="AK14" s="13">
        <v>859902</v>
      </c>
    </row>
    <row r="15" spans="2:39" ht="18" thickTop="1" thickBot="1" x14ac:dyDescent="0.4">
      <c r="B15" s="32" t="s">
        <v>30</v>
      </c>
      <c r="C15" s="34">
        <f>1+0.6</f>
        <v>1.6</v>
      </c>
      <c r="D15" s="34">
        <f>1+1.25</f>
        <v>2.25</v>
      </c>
      <c r="E15" s="34">
        <f>0.9+0.7</f>
        <v>1.6</v>
      </c>
      <c r="F15" s="34">
        <f>1.1+0.85</f>
        <v>1.9500000000000002</v>
      </c>
      <c r="G15" s="34">
        <v>1.3</v>
      </c>
      <c r="H15" s="34">
        <f>1.65+1.15</f>
        <v>2.8</v>
      </c>
      <c r="I15" s="35">
        <f>1.5+0.85</f>
        <v>2.35</v>
      </c>
      <c r="J15" s="24"/>
      <c r="R15" s="6"/>
      <c r="S15" s="6"/>
      <c r="W15" s="12" t="s">
        <v>55</v>
      </c>
      <c r="X15" s="19" t="e">
        <f t="shared" ref="X15:AI15" si="15">+X14/X3</f>
        <v>#DIV/0!</v>
      </c>
      <c r="Y15" s="19">
        <f t="shared" si="15"/>
        <v>-1.1512107369527429</v>
      </c>
      <c r="Z15" s="19">
        <f t="shared" si="15"/>
        <v>-0.29293448601984851</v>
      </c>
      <c r="AA15" s="19">
        <f t="shared" si="15"/>
        <v>-0.73406613941483223</v>
      </c>
      <c r="AB15" s="19">
        <f t="shared" si="15"/>
        <v>-0.26220965417352349</v>
      </c>
      <c r="AC15" s="19">
        <f t="shared" si="15"/>
        <v>5.3669381399701753E-2</v>
      </c>
      <c r="AD15" s="19">
        <f t="shared" si="15"/>
        <v>0.24543608341874393</v>
      </c>
      <c r="AE15" s="19">
        <f t="shared" si="15"/>
        <v>-1.5177678932053575E-3</v>
      </c>
      <c r="AF15" s="19">
        <f t="shared" si="15"/>
        <v>-5.358595268391652E-2</v>
      </c>
      <c r="AG15" s="19">
        <f t="shared" si="15"/>
        <v>4.8285519220855222E-2</v>
      </c>
      <c r="AH15" s="19">
        <f t="shared" si="15"/>
        <v>0.19398364112977445</v>
      </c>
      <c r="AI15" s="19">
        <f t="shared" si="15"/>
        <v>-8.9713400188215997E-2</v>
      </c>
      <c r="AJ15" s="19">
        <f t="shared" ref="AJ15:AK15" si="16">+AJ14/AJ3</f>
        <v>-6.2899988221205752E-2</v>
      </c>
      <c r="AK15" s="19">
        <f t="shared" si="16"/>
        <v>0.10530738688146597</v>
      </c>
    </row>
    <row r="16" spans="2:39" ht="18" thickTop="1" thickBot="1" x14ac:dyDescent="0.4">
      <c r="B16" s="32" t="s">
        <v>8</v>
      </c>
      <c r="C16" s="34">
        <v>31.7</v>
      </c>
      <c r="D16" s="34">
        <v>37</v>
      </c>
      <c r="E16" s="34">
        <v>31.9</v>
      </c>
      <c r="F16" s="34">
        <v>30.4</v>
      </c>
      <c r="G16" s="34">
        <v>23.3</v>
      </c>
      <c r="H16" s="34">
        <v>40</v>
      </c>
      <c r="I16" s="35">
        <v>39.799999999999997</v>
      </c>
      <c r="J16" s="22">
        <f>((I16/D16)^(1/5)-1)*100</f>
        <v>1.4696750556643323</v>
      </c>
    </row>
    <row r="17" spans="2:37" ht="18" thickTop="1" thickBot="1" x14ac:dyDescent="0.4">
      <c r="B17" s="32" t="s">
        <v>31</v>
      </c>
      <c r="C17" s="34">
        <v>14.6</v>
      </c>
      <c r="D17" s="34">
        <v>16</v>
      </c>
      <c r="E17" s="34">
        <v>16.7</v>
      </c>
      <c r="F17" s="34">
        <v>19.8</v>
      </c>
      <c r="G17" s="34">
        <v>22.3</v>
      </c>
      <c r="H17" s="34">
        <v>25</v>
      </c>
      <c r="I17" s="35">
        <v>39.4</v>
      </c>
      <c r="J17" s="22">
        <f>((I17/D17)^(1/6)-1)*100</f>
        <v>16.206219645289856</v>
      </c>
      <c r="W17" s="12" t="s">
        <v>44</v>
      </c>
      <c r="X17" s="13"/>
      <c r="Y17" s="13">
        <f>-253856+5114</f>
        <v>-248742</v>
      </c>
      <c r="Z17" s="13">
        <f>-295215+7151</f>
        <v>-288064</v>
      </c>
      <c r="AA17" s="13">
        <f>-289381+6821</f>
        <v>-282560</v>
      </c>
      <c r="AB17" s="13">
        <f>-300737+4714</f>
        <v>-296023</v>
      </c>
      <c r="AC17" s="13">
        <f>-309930+3222</f>
        <v>-306708</v>
      </c>
      <c r="AD17" s="13">
        <f>-334965+6012</f>
        <v>-328953</v>
      </c>
      <c r="AE17" s="13">
        <f>-533585+19445</f>
        <v>-514140</v>
      </c>
      <c r="AF17" s="13">
        <f>-661051+23107</f>
        <v>-637944</v>
      </c>
      <c r="AG17" s="13">
        <f>-732302+56453</f>
        <v>-675849</v>
      </c>
      <c r="AH17" s="13">
        <f>-775066+49161</f>
        <v>-725905</v>
      </c>
      <c r="AI17" s="13">
        <f>-734839+36638</f>
        <v>-698201</v>
      </c>
      <c r="AJ17" s="13">
        <f>-706926+6752</f>
        <v>-700174</v>
      </c>
      <c r="AK17" s="13">
        <f>-761977+12239</f>
        <v>-749738</v>
      </c>
    </row>
    <row r="18" spans="2:37" ht="18" thickTop="1" thickBot="1" x14ac:dyDescent="0.4">
      <c r="B18" s="32" t="s">
        <v>32</v>
      </c>
      <c r="C18" s="36">
        <f t="shared" ref="C18:G18" si="17">C14/AVERAGE(B17:C17)*100</f>
        <v>22.19178082191781</v>
      </c>
      <c r="D18" s="36">
        <f t="shared" si="17"/>
        <v>18.366013071895424</v>
      </c>
      <c r="E18" s="36">
        <f t="shared" si="17"/>
        <v>13.944954128440365</v>
      </c>
      <c r="F18" s="36">
        <f t="shared" si="17"/>
        <v>14.520547945205479</v>
      </c>
      <c r="G18" s="36">
        <f t="shared" si="17"/>
        <v>16.152019002375294</v>
      </c>
      <c r="H18" s="36">
        <f>H14/AVERAGE(G17:H17)*100</f>
        <v>12.854122621564482</v>
      </c>
      <c r="I18" s="37">
        <f>I14/AVERAGE(H17:I17)*100</f>
        <v>10.993788819875776</v>
      </c>
      <c r="J18" s="23">
        <f>AVERAGE(D18:I18)</f>
        <v>14.471907598226137</v>
      </c>
      <c r="M18" s="9" t="s">
        <v>33</v>
      </c>
      <c r="N18" s="6"/>
      <c r="O18" s="6"/>
      <c r="P18" s="6"/>
      <c r="Q18" s="6"/>
      <c r="W18" s="12" t="s">
        <v>45</v>
      </c>
      <c r="X18" s="15" t="e">
        <f t="shared" ref="X18:AI18" si="18">+X17/X14</f>
        <v>#DIV/0!</v>
      </c>
      <c r="Y18" s="15">
        <f t="shared" si="18"/>
        <v>0.21836713194627339</v>
      </c>
      <c r="Z18" s="15">
        <f t="shared" si="18"/>
        <v>0.48565609700173989</v>
      </c>
      <c r="AA18" s="15">
        <f t="shared" si="18"/>
        <v>0.24975648389258068</v>
      </c>
      <c r="AB18" s="15">
        <f t="shared" si="18"/>
        <v>0.47478768534928667</v>
      </c>
      <c r="AC18" s="15">
        <f t="shared" si="18"/>
        <v>-1.4585001664368253</v>
      </c>
      <c r="AD18" s="15">
        <f t="shared" si="18"/>
        <v>-0.24291584975464947</v>
      </c>
      <c r="AE18" s="15">
        <f t="shared" si="18"/>
        <v>54.597005415737499</v>
      </c>
      <c r="AF18" s="15">
        <f t="shared" si="18"/>
        <v>1.9533960842912346</v>
      </c>
      <c r="AG18" s="15">
        <f t="shared" si="18"/>
        <v>-1.8057599512656504</v>
      </c>
      <c r="AH18" s="15">
        <f t="shared" si="18"/>
        <v>-0.42596009064865897</v>
      </c>
      <c r="AI18" s="15">
        <f t="shared" si="18"/>
        <v>1.2983553940620129</v>
      </c>
      <c r="AJ18" s="15">
        <f t="shared" ref="AJ18:AK18" si="19">+AJ17/AJ14</f>
        <v>1.7072417828928119</v>
      </c>
      <c r="AK18" s="15">
        <f t="shared" si="19"/>
        <v>-0.87188772674095416</v>
      </c>
    </row>
    <row r="19" spans="2:37" ht="18" thickTop="1" thickBot="1" x14ac:dyDescent="0.4">
      <c r="B19" s="32" t="s">
        <v>34</v>
      </c>
      <c r="C19" s="30">
        <f t="shared" ref="C19:G19" si="20">C15/C16*100</f>
        <v>5.0473186119873823</v>
      </c>
      <c r="D19" s="30">
        <f t="shared" si="20"/>
        <v>6.0810810810810816</v>
      </c>
      <c r="E19" s="30">
        <f t="shared" si="20"/>
        <v>5.015673981191223</v>
      </c>
      <c r="F19" s="30">
        <f t="shared" si="20"/>
        <v>6.4144736842105265</v>
      </c>
      <c r="G19" s="30">
        <f t="shared" si="20"/>
        <v>5.5793991416309012</v>
      </c>
      <c r="H19" s="30">
        <f>H15/H16*100</f>
        <v>6.9999999999999991</v>
      </c>
      <c r="I19" s="31">
        <f>I15/I16*100</f>
        <v>5.9045226130653274</v>
      </c>
      <c r="J19" s="23">
        <f>AVERAGE(D19:I19)</f>
        <v>5.99919175019651</v>
      </c>
    </row>
    <row r="20" spans="2:37" ht="18" thickTop="1" thickBot="1" x14ac:dyDescent="0.4">
      <c r="B20" s="32" t="s">
        <v>35</v>
      </c>
      <c r="C20" s="30">
        <f t="shared" ref="C20:G20" si="21">C15/C14*100</f>
        <v>49.382716049382715</v>
      </c>
      <c r="D20" s="30">
        <f t="shared" si="21"/>
        <v>80.071174377224196</v>
      </c>
      <c r="E20" s="30">
        <f t="shared" si="21"/>
        <v>70.175438596491233</v>
      </c>
      <c r="F20" s="30">
        <f t="shared" si="21"/>
        <v>73.584905660377359</v>
      </c>
      <c r="G20" s="30">
        <f t="shared" si="21"/>
        <v>38.235294117647065</v>
      </c>
      <c r="H20" s="30">
        <f>H15/H14*100</f>
        <v>92.10526315789474</v>
      </c>
      <c r="I20" s="31">
        <f>I15/I14*100</f>
        <v>66.384180790960457</v>
      </c>
      <c r="J20" s="23">
        <f>AVERAGE(D20:I20)</f>
        <v>70.092709450099179</v>
      </c>
      <c r="M20" t="s">
        <v>36</v>
      </c>
      <c r="N20" s="4">
        <f>N13/H14-1</f>
        <v>-1</v>
      </c>
      <c r="W20" s="12" t="s">
        <v>21</v>
      </c>
      <c r="X20" s="13"/>
      <c r="Y20" s="13">
        <v>-1388370</v>
      </c>
      <c r="Z20" s="13">
        <v>-865159</v>
      </c>
      <c r="AA20" s="13">
        <v>-1413911</v>
      </c>
      <c r="AB20" s="13">
        <v>-919646</v>
      </c>
      <c r="AC20" s="13">
        <v>-96640</v>
      </c>
      <c r="AD20" s="13">
        <v>1132325</v>
      </c>
      <c r="AE20" s="13">
        <v>-523784</v>
      </c>
      <c r="AF20" s="13">
        <v>-964670</v>
      </c>
      <c r="AG20" s="13">
        <v>-301866</v>
      </c>
      <c r="AH20" s="13">
        <v>1186287</v>
      </c>
      <c r="AI20" s="13">
        <v>-1235500</v>
      </c>
      <c r="AJ20" s="13">
        <v>-1109478</v>
      </c>
      <c r="AK20" s="13">
        <v>109819</v>
      </c>
    </row>
    <row r="21" spans="2:37" ht="18" thickTop="1" thickBot="1" x14ac:dyDescent="0.4">
      <c r="B21" s="32" t="s">
        <v>11</v>
      </c>
      <c r="C21" s="38">
        <f t="shared" ref="C21:G21" si="22">C16/C14</f>
        <v>9.7839506172839492</v>
      </c>
      <c r="D21" s="38">
        <f t="shared" si="22"/>
        <v>13.167259786476867</v>
      </c>
      <c r="E21" s="38">
        <f t="shared" si="22"/>
        <v>13.991228070175438</v>
      </c>
      <c r="F21" s="38">
        <f t="shared" si="22"/>
        <v>11.471698113207546</v>
      </c>
      <c r="G21" s="38">
        <f t="shared" si="22"/>
        <v>6.8529411764705888</v>
      </c>
      <c r="H21" s="38">
        <f>H16/H14</f>
        <v>13.157894736842104</v>
      </c>
      <c r="I21" s="39">
        <f>I16/I14</f>
        <v>11.242937853107344</v>
      </c>
      <c r="J21" s="23">
        <f>AVERAGE(D21:I21)</f>
        <v>11.647326622713315</v>
      </c>
      <c r="W21" s="12" t="s">
        <v>46</v>
      </c>
      <c r="X21" s="19" t="e">
        <f t="shared" ref="X21:AI21" si="23">+X20/X3</f>
        <v>#DIV/0!</v>
      </c>
      <c r="Y21" s="19">
        <f t="shared" si="23"/>
        <v>-1.4031309374621013</v>
      </c>
      <c r="Z21" s="19">
        <f t="shared" si="23"/>
        <v>-0.42727382725012164</v>
      </c>
      <c r="AA21" s="19">
        <f t="shared" si="23"/>
        <v>-0.91740975694897287</v>
      </c>
      <c r="AB21" s="19">
        <f t="shared" si="23"/>
        <v>-0.38676160552710037</v>
      </c>
      <c r="AC21" s="19">
        <f t="shared" si="23"/>
        <v>-2.4664078265572199E-2</v>
      </c>
      <c r="AD21" s="19">
        <f t="shared" si="23"/>
        <v>0.20522558820037826</v>
      </c>
      <c r="AE21" s="19">
        <f t="shared" si="23"/>
        <v>-8.4419936091608264E-2</v>
      </c>
      <c r="AF21" s="19">
        <f t="shared" si="23"/>
        <v>-0.15828417051642082</v>
      </c>
      <c r="AG21" s="19">
        <f t="shared" si="23"/>
        <v>-3.8944079858934048E-2</v>
      </c>
      <c r="AH21" s="19">
        <f t="shared" si="23"/>
        <v>0.13503427003120405</v>
      </c>
      <c r="AI21" s="19">
        <f t="shared" si="23"/>
        <v>-0.20611670292685719</v>
      </c>
      <c r="AJ21" s="19">
        <f t="shared" ref="AJ21:AK21" si="24">+AJ20/AJ3</f>
        <v>-0.17016032656707042</v>
      </c>
      <c r="AK21" s="19">
        <f t="shared" si="24"/>
        <v>1.3448918504592048E-2</v>
      </c>
    </row>
    <row r="22" spans="2:37" ht="18" thickTop="1" thickBot="1" x14ac:dyDescent="0.4">
      <c r="B22" s="32" t="s">
        <v>37</v>
      </c>
      <c r="C22" s="38">
        <f t="shared" ref="C22:G22" si="25">C16/C17</f>
        <v>2.1712328767123288</v>
      </c>
      <c r="D22" s="38">
        <f t="shared" si="25"/>
        <v>2.3125</v>
      </c>
      <c r="E22" s="38">
        <f t="shared" si="25"/>
        <v>1.9101796407185629</v>
      </c>
      <c r="F22" s="38">
        <f t="shared" si="25"/>
        <v>1.5353535353535352</v>
      </c>
      <c r="G22" s="38">
        <f t="shared" si="25"/>
        <v>1.0448430493273542</v>
      </c>
      <c r="H22" s="38">
        <f>H16/H17</f>
        <v>1.6</v>
      </c>
      <c r="I22" s="39">
        <f>I16/I17</f>
        <v>1.0101522842639594</v>
      </c>
      <c r="J22" s="23">
        <f>AVERAGE(D22:I22)</f>
        <v>1.5688380849439021</v>
      </c>
    </row>
    <row r="23" spans="2:37" ht="15.75" thickTop="1" x14ac:dyDescent="0.25">
      <c r="W23" s="12" t="s">
        <v>47</v>
      </c>
      <c r="X23" s="13"/>
      <c r="Y23" s="13">
        <v>155734</v>
      </c>
      <c r="Z23" s="13">
        <v>83573</v>
      </c>
      <c r="AA23" s="13">
        <v>183980</v>
      </c>
      <c r="AB23" s="13">
        <v>85298</v>
      </c>
      <c r="AC23" s="13">
        <v>-28665</v>
      </c>
      <c r="AD23" s="13">
        <v>-159673</v>
      </c>
      <c r="AE23" s="13">
        <v>59596</v>
      </c>
      <c r="AF23" s="13">
        <v>146742</v>
      </c>
      <c r="AG23" s="13">
        <v>543260</v>
      </c>
      <c r="AH23" s="13">
        <v>-478109</v>
      </c>
      <c r="AI23" s="13">
        <v>275121</v>
      </c>
      <c r="AJ23" s="13">
        <v>190496</v>
      </c>
      <c r="AK23" s="13">
        <v>-101596</v>
      </c>
    </row>
    <row r="24" spans="2:37" x14ac:dyDescent="0.25">
      <c r="G24" s="10">
        <v>701.95658000000003</v>
      </c>
      <c r="H24" s="10">
        <v>709.32254499999999</v>
      </c>
      <c r="I24" s="10">
        <v>716.73997499999996</v>
      </c>
      <c r="W24" s="12" t="s">
        <v>48</v>
      </c>
      <c r="X24" s="14" t="e">
        <f t="shared" ref="X24:AI24" si="26">+X23/X20</f>
        <v>#DIV/0!</v>
      </c>
      <c r="Y24" s="14">
        <f t="shared" si="26"/>
        <v>-0.11217038685652959</v>
      </c>
      <c r="Z24" s="14">
        <f t="shared" si="26"/>
        <v>-9.6598428728129737E-2</v>
      </c>
      <c r="AA24" s="14">
        <f t="shared" si="26"/>
        <v>-0.13012134427131553</v>
      </c>
      <c r="AB24" s="14">
        <f t="shared" si="26"/>
        <v>-9.2750906326999741E-2</v>
      </c>
      <c r="AC24" s="14">
        <f t="shared" si="26"/>
        <v>0.29661630794701987</v>
      </c>
      <c r="AD24" s="14">
        <f t="shared" si="26"/>
        <v>-0.14101340162939086</v>
      </c>
      <c r="AE24" s="14">
        <f t="shared" si="26"/>
        <v>-0.11377972599392115</v>
      </c>
      <c r="AF24" s="14">
        <f t="shared" si="26"/>
        <v>-0.15211626773922687</v>
      </c>
      <c r="AG24" s="14">
        <f t="shared" si="26"/>
        <v>-1.7996727024573818</v>
      </c>
      <c r="AH24" s="14">
        <f t="shared" si="26"/>
        <v>-0.40302978958717411</v>
      </c>
      <c r="AI24" s="14">
        <f t="shared" si="26"/>
        <v>-0.22267988668555241</v>
      </c>
      <c r="AJ24" s="14">
        <f t="shared" ref="AJ24:AK24" si="27">+AJ23/AJ20</f>
        <v>-0.17169876284162461</v>
      </c>
      <c r="AK24" s="14">
        <f t="shared" si="27"/>
        <v>-0.92512224660577858</v>
      </c>
    </row>
    <row r="25" spans="2:37" x14ac:dyDescent="0.25">
      <c r="G25">
        <f>+G10/G24</f>
        <v>3.3959137472577008</v>
      </c>
      <c r="H25">
        <f>+H10/H24</f>
        <v>3.0163950308388974</v>
      </c>
      <c r="I25">
        <f>+I10/I24</f>
        <v>3.5316154927733732</v>
      </c>
      <c r="M25" s="10"/>
    </row>
    <row r="26" spans="2:37" x14ac:dyDescent="0.25">
      <c r="M26" s="10"/>
      <c r="W26" s="12" t="s">
        <v>74</v>
      </c>
      <c r="Y26" s="13">
        <v>-6815</v>
      </c>
      <c r="Z26" s="13">
        <v>-5200</v>
      </c>
      <c r="AA26" s="13">
        <v>-6151</v>
      </c>
      <c r="AB26" s="13">
        <v>-7019</v>
      </c>
      <c r="AC26" s="13">
        <v>-3730</v>
      </c>
      <c r="AD26" s="13">
        <v>2744</v>
      </c>
      <c r="AE26" s="13">
        <v>-6239</v>
      </c>
      <c r="AF26" s="13">
        <v>-7589</v>
      </c>
      <c r="AG26" s="13">
        <v>-683</v>
      </c>
      <c r="AH26" s="13">
        <v>2891</v>
      </c>
      <c r="AI26" s="13">
        <v>-7243</v>
      </c>
      <c r="AJ26" s="13">
        <v>-2395</v>
      </c>
      <c r="AK26" s="13">
        <v>-429</v>
      </c>
    </row>
    <row r="29" spans="2:37" x14ac:dyDescent="0.25">
      <c r="M29" s="10"/>
      <c r="W29" s="12" t="s">
        <v>49</v>
      </c>
      <c r="X29" s="13">
        <f t="shared" ref="X29:AH29" si="28">+X20+X23-X26</f>
        <v>0</v>
      </c>
      <c r="Y29" s="13">
        <f t="shared" si="28"/>
        <v>-1225821</v>
      </c>
      <c r="Z29" s="13">
        <f t="shared" si="28"/>
        <v>-776386</v>
      </c>
      <c r="AA29" s="13">
        <f t="shared" si="28"/>
        <v>-1223780</v>
      </c>
      <c r="AB29" s="13">
        <f t="shared" si="28"/>
        <v>-827329</v>
      </c>
      <c r="AC29" s="13">
        <f t="shared" si="28"/>
        <v>-121575</v>
      </c>
      <c r="AD29" s="13">
        <f t="shared" si="28"/>
        <v>969908</v>
      </c>
      <c r="AE29" s="13">
        <f t="shared" si="28"/>
        <v>-457949</v>
      </c>
      <c r="AF29" s="13">
        <f t="shared" si="28"/>
        <v>-810339</v>
      </c>
      <c r="AG29" s="13">
        <f t="shared" si="28"/>
        <v>242077</v>
      </c>
      <c r="AH29" s="13">
        <f t="shared" si="28"/>
        <v>705287</v>
      </c>
      <c r="AI29" s="13">
        <f>+AI20+AI23-AI26</f>
        <v>-953136</v>
      </c>
      <c r="AJ29" s="13">
        <f t="shared" ref="AJ29:AK29" si="29">+AJ20+AJ23-AJ26</f>
        <v>-916587</v>
      </c>
      <c r="AK29" s="13">
        <f t="shared" si="29"/>
        <v>8652</v>
      </c>
    </row>
    <row r="30" spans="2:37" x14ac:dyDescent="0.25">
      <c r="M30" s="10"/>
      <c r="W30" s="12" t="s">
        <v>25</v>
      </c>
      <c r="X30" s="19" t="e">
        <f t="shared" ref="X30:AI30" si="30">+X29/X3</f>
        <v>#DIV/0!</v>
      </c>
      <c r="Y30" s="19">
        <f t="shared" si="30"/>
        <v>-1.2388537413590976</v>
      </c>
      <c r="Z30" s="19">
        <f t="shared" si="30"/>
        <v>-0.38343173641309047</v>
      </c>
      <c r="AA30" s="19">
        <f t="shared" si="30"/>
        <v>-0.79404411759934956</v>
      </c>
      <c r="AB30" s="19">
        <f t="shared" si="30"/>
        <v>-0.34793724143760796</v>
      </c>
      <c r="AC30" s="19">
        <f t="shared" si="30"/>
        <v>-3.1027890264248136E-2</v>
      </c>
      <c r="AD30" s="19">
        <f t="shared" si="30"/>
        <v>0.17578870006425051</v>
      </c>
      <c r="AE30" s="19">
        <f t="shared" si="30"/>
        <v>-7.3809099386800497E-2</v>
      </c>
      <c r="AF30" s="19">
        <f t="shared" si="30"/>
        <v>-0.13296136134855022</v>
      </c>
      <c r="AG30" s="19">
        <f t="shared" si="30"/>
        <v>3.1230632201079876E-2</v>
      </c>
      <c r="AH30" s="19">
        <f t="shared" si="30"/>
        <v>8.0282355962341151E-2</v>
      </c>
      <c r="AI30" s="19">
        <f t="shared" si="30"/>
        <v>-0.1590103195150894</v>
      </c>
      <c r="AJ30" s="19">
        <f t="shared" ref="AJ30:AK30" si="31">+AJ29/AJ3</f>
        <v>-0.14057668853923319</v>
      </c>
      <c r="AK30" s="19">
        <f t="shared" si="31"/>
        <v>1.0595620329972991E-3</v>
      </c>
    </row>
    <row r="32" spans="2:37" x14ac:dyDescent="0.25">
      <c r="W32" s="12" t="s">
        <v>29</v>
      </c>
      <c r="X32" s="16">
        <f t="shared" ref="X32:AI32" si="32">+X29/X47</f>
        <v>0</v>
      </c>
      <c r="Y32" s="16">
        <f t="shared" si="32"/>
        <v>-0.8418251627078418</v>
      </c>
      <c r="Z32" s="16">
        <f t="shared" si="32"/>
        <v>-0.53317839290898961</v>
      </c>
      <c r="AA32" s="16">
        <f t="shared" si="32"/>
        <v>-0.84042351829394557</v>
      </c>
      <c r="AB32" s="16">
        <f t="shared" si="32"/>
        <v>-0.56816319025201567</v>
      </c>
      <c r="AC32" s="16">
        <f t="shared" si="32"/>
        <v>-8.3490896432844491E-2</v>
      </c>
      <c r="AD32" s="16">
        <f t="shared" si="32"/>
        <v>0.66607845673359933</v>
      </c>
      <c r="AE32" s="16">
        <f t="shared" si="32"/>
        <v>-0.31449370783898584</v>
      </c>
      <c r="AF32" s="16">
        <f t="shared" si="32"/>
        <v>-0.55649541044207096</v>
      </c>
      <c r="AG32" s="16">
        <f t="shared" si="32"/>
        <v>0.16624491660105858</v>
      </c>
      <c r="AH32" s="16">
        <f t="shared" si="32"/>
        <v>0.48435158439178777</v>
      </c>
      <c r="AI32" s="16">
        <f t="shared" si="32"/>
        <v>-0.65456038710603059</v>
      </c>
      <c r="AJ32" s="16">
        <f t="shared" ref="AJ32:AK32" si="33">+AJ29/AJ47</f>
        <v>-0.6294605822635545</v>
      </c>
      <c r="AK32" s="16">
        <f t="shared" si="33"/>
        <v>5.9417087060412961E-3</v>
      </c>
    </row>
    <row r="33" spans="23:40" x14ac:dyDescent="0.25">
      <c r="W33" s="12" t="s">
        <v>40</v>
      </c>
      <c r="AA33" s="17"/>
      <c r="AB33" s="18" t="e">
        <f t="shared" ref="AB33:AG33" si="34">+AB32/X32-1</f>
        <v>#DIV/0!</v>
      </c>
      <c r="AC33" s="18">
        <f t="shared" si="34"/>
        <v>-0.90082157182818701</v>
      </c>
      <c r="AD33" s="18">
        <f t="shared" si="34"/>
        <v>-2.24926003302481</v>
      </c>
      <c r="AE33" s="18">
        <f t="shared" si="34"/>
        <v>-0.62579140041510728</v>
      </c>
      <c r="AF33" s="18">
        <f t="shared" si="34"/>
        <v>-2.0535965740352435E-2</v>
      </c>
      <c r="AG33" s="18">
        <f t="shared" si="34"/>
        <v>-2.9911741723216121</v>
      </c>
      <c r="AH33" s="18">
        <f>+AH32/AD32-1</f>
        <v>-0.27283103139679221</v>
      </c>
      <c r="AI33" s="18">
        <f>+AI32/AE32-1</f>
        <v>1.0813147315530767</v>
      </c>
      <c r="AJ33" s="18">
        <f t="shared" ref="AJ33:AK33" si="35">+AJ32/AF32-1</f>
        <v>0.13111549610718476</v>
      </c>
      <c r="AK33" s="18">
        <f t="shared" si="35"/>
        <v>-0.96425930592332187</v>
      </c>
    </row>
    <row r="34" spans="23:40" x14ac:dyDescent="0.25">
      <c r="W34" s="12" t="s">
        <v>41</v>
      </c>
      <c r="Y34" s="18" t="e">
        <f t="shared" ref="Y34:AD34" si="36">+Y32/X32-1</f>
        <v>#DIV/0!</v>
      </c>
      <c r="Z34" s="18">
        <f t="shared" si="36"/>
        <v>-0.3666399906674791</v>
      </c>
      <c r="AA34" s="18">
        <f t="shared" si="36"/>
        <v>0.57625201896994516</v>
      </c>
      <c r="AB34" s="18">
        <f t="shared" si="36"/>
        <v>-0.32395610322116719</v>
      </c>
      <c r="AC34" s="18">
        <f t="shared" si="36"/>
        <v>-0.85305120453894401</v>
      </c>
      <c r="AD34" s="18">
        <f t="shared" si="36"/>
        <v>-8.9778572897388447</v>
      </c>
      <c r="AE34" s="18">
        <f t="shared" ref="AE34:AK34" si="37">+AE32/AD32-1</f>
        <v>-1.4721571530495676</v>
      </c>
      <c r="AF34" s="18">
        <f t="shared" si="37"/>
        <v>0.76949616660370479</v>
      </c>
      <c r="AG34" s="18">
        <f t="shared" si="37"/>
        <v>-1.2987354675018727</v>
      </c>
      <c r="AH34" s="18">
        <f t="shared" si="37"/>
        <v>1.9134820738855818</v>
      </c>
      <c r="AI34" s="18">
        <f t="shared" si="37"/>
        <v>-2.351415806614896</v>
      </c>
      <c r="AJ34" s="18">
        <f t="shared" si="37"/>
        <v>-3.8346049252152903E-2</v>
      </c>
      <c r="AK34" s="18">
        <f t="shared" si="37"/>
        <v>-1.0094393658212477</v>
      </c>
    </row>
    <row r="35" spans="23:40" x14ac:dyDescent="0.25">
      <c r="Y35" s="18"/>
      <c r="Z35" s="18"/>
      <c r="AA35" s="18"/>
      <c r="AB35" s="18"/>
      <c r="AC35" s="18"/>
      <c r="AD35" s="18"/>
      <c r="AE35" s="18"/>
      <c r="AF35" s="18"/>
      <c r="AG35" s="18"/>
      <c r="AH35" s="18"/>
      <c r="AI35" s="18"/>
      <c r="AJ35" s="18"/>
      <c r="AK35" s="18"/>
    </row>
    <row r="36" spans="23:40" x14ac:dyDescent="0.25">
      <c r="W36" s="12" t="s">
        <v>88</v>
      </c>
      <c r="X36" s="18"/>
      <c r="Y36" s="18"/>
      <c r="Z36" s="18">
        <f t="shared" ref="Z36:AI36" si="38">+Z29*4/Z41</f>
        <v>-0.12766284037100997</v>
      </c>
      <c r="AA36" s="18">
        <f t="shared" si="38"/>
        <v>-0.21041850849990412</v>
      </c>
      <c r="AB36" s="18">
        <f t="shared" si="38"/>
        <v>-0.14801159881496476</v>
      </c>
      <c r="AC36" s="18">
        <f t="shared" si="38"/>
        <v>-2.1877011606512682E-2</v>
      </c>
      <c r="AD36" s="18">
        <f t="shared" si="38"/>
        <v>0.12914473674793558</v>
      </c>
      <c r="AE36" s="18">
        <f t="shared" si="38"/>
        <v>-5.3497449388609675E-2</v>
      </c>
      <c r="AF36" s="18">
        <f t="shared" si="38"/>
        <v>-0.10023227461208248</v>
      </c>
      <c r="AG36" s="18">
        <f t="shared" si="38"/>
        <v>3.0170598164634511E-2</v>
      </c>
      <c r="AH36" s="18">
        <f t="shared" si="38"/>
        <v>8.6807003139134725E-2</v>
      </c>
      <c r="AI36" s="18">
        <f t="shared" si="38"/>
        <v>-0.12582696238208335</v>
      </c>
      <c r="AJ36" s="18">
        <f t="shared" ref="AJ36:AK36" si="39">+AJ29*4/AJ41</f>
        <v>-0.12117467197947009</v>
      </c>
      <c r="AK36" s="18">
        <f t="shared" si="39"/>
        <v>1.1419434598742061E-3</v>
      </c>
      <c r="AM36" s="14">
        <f>+AVERAGE(Z36:AK36)</f>
        <v>-5.5119753011921513E-2</v>
      </c>
      <c r="AN36" t="s">
        <v>88</v>
      </c>
    </row>
    <row r="37" spans="23:40" x14ac:dyDescent="0.25">
      <c r="AM37" s="56">
        <f>AVERAGE(Z36:AK36)*AK49</f>
        <v>-1.1471864513567327</v>
      </c>
      <c r="AN37" t="s">
        <v>183</v>
      </c>
    </row>
    <row r="38" spans="23:40" x14ac:dyDescent="0.25">
      <c r="W38" s="12" t="s">
        <v>52</v>
      </c>
      <c r="X38" s="13"/>
      <c r="Y38" s="13">
        <f>11455758+14160968+80102+2282282+1073158+4116629</f>
        <v>33168897</v>
      </c>
      <c r="Z38" s="13">
        <f>13240350+14983915+98670+1922745+1131749+4047898</f>
        <v>35425327</v>
      </c>
      <c r="AA38" s="13">
        <f>12995628+15073059+73915+2229587+1119328+4598713</f>
        <v>36090230</v>
      </c>
      <c r="AB38" s="13">
        <f>12589292+14378844+96663+3256688+1108049+4429836</f>
        <v>35859372</v>
      </c>
      <c r="AC38" s="13">
        <f>12370460+13256290+163691+2893372+2063245+4769420</f>
        <v>35516478</v>
      </c>
      <c r="AD38" s="13">
        <f>16466986+19659970+259788+3710639+2947669+6410697</f>
        <v>49455749</v>
      </c>
      <c r="AE38" s="13">
        <f>17746374+22939598+4378748+3481099+5606643+441930</f>
        <v>54594392</v>
      </c>
      <c r="AF38" s="13">
        <f>16322503+22075845+304912+5518388+3635916+8163090</f>
        <v>56020654</v>
      </c>
      <c r="AG38" s="13">
        <f>15388615+23856044+282098+4848218+1818912+8528476</f>
        <v>54722363</v>
      </c>
      <c r="AH38" s="13">
        <f>12961265+21125639+347262+4604427+1682243+7987588</f>
        <v>48708424</v>
      </c>
      <c r="AI38" s="13">
        <f>11114059+19615711+258150+5306886+1583606+8814624</f>
        <v>46693036</v>
      </c>
      <c r="AJ38" s="13">
        <f>10435834+17886787+321943+4679257+3359219+10962323</f>
        <v>47645363</v>
      </c>
      <c r="AK38" s="13">
        <f>6808713+17682658+588827+7069729+3381480+10917228</f>
        <v>46448635</v>
      </c>
      <c r="AM38" s="56">
        <f>18/AM37</f>
        <v>-15.69056187746299</v>
      </c>
      <c r="AN38" t="s">
        <v>11</v>
      </c>
    </row>
    <row r="39" spans="23:40" x14ac:dyDescent="0.25">
      <c r="W39" s="12" t="s">
        <v>53</v>
      </c>
      <c r="X39" s="13"/>
      <c r="Y39" s="13">
        <f>237486+946379</f>
        <v>1183865</v>
      </c>
      <c r="Z39" s="13">
        <f>1177140+151201</f>
        <v>1328341</v>
      </c>
      <c r="AA39" s="13">
        <f>89233+796445</f>
        <v>885678</v>
      </c>
      <c r="AB39" s="13">
        <f>46860+762774</f>
        <v>809634</v>
      </c>
      <c r="AC39" s="13">
        <f>80726+790904</f>
        <v>871630</v>
      </c>
      <c r="AD39" s="13">
        <f>54987+1677692</f>
        <v>1732679</v>
      </c>
      <c r="AE39" s="13">
        <f>20218+1776189</f>
        <v>1796407</v>
      </c>
      <c r="AF39" s="13">
        <f>1158675+773845</f>
        <v>1932520</v>
      </c>
      <c r="AG39" s="13">
        <f>1012290+1007257</f>
        <v>2019547</v>
      </c>
      <c r="AH39" s="13">
        <f>576683+1218959</f>
        <v>1795642</v>
      </c>
      <c r="AI39" s="13">
        <f>154632+1721248</f>
        <v>1875880</v>
      </c>
      <c r="AJ39" s="13">
        <f>578437+437059</f>
        <v>1015496</v>
      </c>
      <c r="AK39" s="13">
        <f>716579+371169</f>
        <v>1087748</v>
      </c>
    </row>
    <row r="40" spans="23:40" x14ac:dyDescent="0.25">
      <c r="W40" s="12" t="s">
        <v>50</v>
      </c>
      <c r="X40" s="13">
        <f t="shared" ref="X40:AI40" si="40">+X38-X39</f>
        <v>0</v>
      </c>
      <c r="Y40" s="13">
        <f t="shared" si="40"/>
        <v>31985032</v>
      </c>
      <c r="Z40" s="13">
        <f t="shared" si="40"/>
        <v>34096986</v>
      </c>
      <c r="AA40" s="13">
        <f t="shared" si="40"/>
        <v>35204552</v>
      </c>
      <c r="AB40" s="13">
        <f t="shared" si="40"/>
        <v>35049738</v>
      </c>
      <c r="AC40" s="13">
        <f t="shared" si="40"/>
        <v>34644848</v>
      </c>
      <c r="AD40" s="13">
        <f t="shared" si="40"/>
        <v>47723070</v>
      </c>
      <c r="AE40" s="13">
        <f t="shared" si="40"/>
        <v>52797985</v>
      </c>
      <c r="AF40" s="13">
        <f t="shared" si="40"/>
        <v>54088134</v>
      </c>
      <c r="AG40" s="13">
        <f t="shared" si="40"/>
        <v>52702816</v>
      </c>
      <c r="AH40" s="13">
        <f t="shared" si="40"/>
        <v>46912782</v>
      </c>
      <c r="AI40" s="13">
        <f t="shared" si="40"/>
        <v>44817156</v>
      </c>
      <c r="AJ40" s="13">
        <f t="shared" ref="AJ40:AK40" si="41">+AJ38-AJ39</f>
        <v>46629867</v>
      </c>
      <c r="AK40" s="13">
        <f t="shared" si="41"/>
        <v>45360887</v>
      </c>
    </row>
    <row r="41" spans="23:40" x14ac:dyDescent="0.25">
      <c r="W41" s="12" t="s">
        <v>54</v>
      </c>
      <c r="X41" s="13"/>
      <c r="Y41" s="13">
        <v>24232039</v>
      </c>
      <c r="Z41" s="13">
        <v>24326139</v>
      </c>
      <c r="AA41" s="13">
        <v>23263733</v>
      </c>
      <c r="AB41" s="13">
        <v>22358491</v>
      </c>
      <c r="AC41" s="13">
        <v>22228813</v>
      </c>
      <c r="AD41" s="13">
        <v>30040961</v>
      </c>
      <c r="AE41" s="13">
        <v>34240810</v>
      </c>
      <c r="AF41" s="13">
        <v>32338446</v>
      </c>
      <c r="AG41" s="13">
        <v>32094425</v>
      </c>
      <c r="AH41" s="13">
        <v>32499083</v>
      </c>
      <c r="AI41" s="13">
        <v>30299897</v>
      </c>
      <c r="AJ41" s="13">
        <v>30256719</v>
      </c>
      <c r="AK41" s="13">
        <v>30306229</v>
      </c>
    </row>
    <row r="43" spans="23:40" x14ac:dyDescent="0.25">
      <c r="W43" s="12" t="s">
        <v>51</v>
      </c>
      <c r="X43" s="14" t="e">
        <f t="shared" ref="X43:AI43" si="42">+X38/X41</f>
        <v>#DIV/0!</v>
      </c>
      <c r="Y43" s="14">
        <f t="shared" si="42"/>
        <v>1.3688033846429515</v>
      </c>
      <c r="Z43" s="14">
        <f t="shared" si="42"/>
        <v>1.456265912153178</v>
      </c>
      <c r="AA43" s="14">
        <f t="shared" si="42"/>
        <v>1.5513516252959059</v>
      </c>
      <c r="AB43" s="14">
        <f t="shared" si="42"/>
        <v>1.6038368600099175</v>
      </c>
      <c r="AC43" s="14">
        <f t="shared" si="42"/>
        <v>1.5977676360856516</v>
      </c>
      <c r="AD43" s="14">
        <f t="shared" si="42"/>
        <v>1.6462771946609831</v>
      </c>
      <c r="AE43" s="14">
        <f t="shared" si="42"/>
        <v>1.5944246646034366</v>
      </c>
      <c r="AF43" s="14">
        <f t="shared" si="42"/>
        <v>1.7323236249509331</v>
      </c>
      <c r="AG43" s="14">
        <f t="shared" si="42"/>
        <v>1.7050426359095077</v>
      </c>
      <c r="AH43" s="14">
        <f t="shared" si="42"/>
        <v>1.4987630266367824</v>
      </c>
      <c r="AI43" s="14">
        <f t="shared" si="42"/>
        <v>1.54102952891226</v>
      </c>
      <c r="AJ43" s="14">
        <f t="shared" ref="AJ43:AK43" si="43">+AJ38/AJ41</f>
        <v>1.574703555927528</v>
      </c>
      <c r="AK43" s="14">
        <f t="shared" si="43"/>
        <v>1.5326431737845048</v>
      </c>
    </row>
    <row r="45" spans="23:40" x14ac:dyDescent="0.25">
      <c r="W45" s="12" t="s">
        <v>63</v>
      </c>
      <c r="X45" s="16">
        <f>+EXPO!X45</f>
        <v>187.87664531682452</v>
      </c>
      <c r="Y45" s="16">
        <f>+EXPO!Y45</f>
        <v>187.90335511406354</v>
      </c>
      <c r="Z45" s="16">
        <f>+EXPO!Z45</f>
        <v>197.89852109390694</v>
      </c>
      <c r="AA45" s="16">
        <f>+EXPO!AA45</f>
        <v>201.8866687497617</v>
      </c>
      <c r="AB45" s="16">
        <f>+EXPO!AB45</f>
        <v>202.93332696356742</v>
      </c>
      <c r="AC45" s="16">
        <f>+EXPO!AC45</f>
        <v>203.00000683784583</v>
      </c>
      <c r="AD45" s="16">
        <f>+EXPO!AD45</f>
        <v>233.47823381556913</v>
      </c>
      <c r="AE45" s="16">
        <f>+EXPO!AE45</f>
        <v>364.27332126591261</v>
      </c>
      <c r="AF45" s="16">
        <f>+EXPO!AF45</f>
        <v>368.84924281572984</v>
      </c>
      <c r="AG45" s="16">
        <f>+EXPO!AG45</f>
        <v>371.77544011969854</v>
      </c>
      <c r="AH45" s="16">
        <f>+EXPO!AH45</f>
        <v>357.68530427957404</v>
      </c>
      <c r="AI45" s="16">
        <f>+EXPO!AI45</f>
        <v>316.45665972198566</v>
      </c>
      <c r="AJ45" s="16">
        <f>+EXPO!AJ45</f>
        <v>330.91833575134615</v>
      </c>
      <c r="AK45" s="16">
        <f>+EXPO!AK45</f>
        <v>334.23663546748418</v>
      </c>
      <c r="AL45" s="46">
        <f>+AI45/AE45-1</f>
        <v>-0.13126588951877072</v>
      </c>
    </row>
    <row r="47" spans="23:40" x14ac:dyDescent="0.25">
      <c r="W47" s="12" t="s">
        <v>56</v>
      </c>
      <c r="X47" s="13">
        <v>1456146.78</v>
      </c>
      <c r="Y47" s="13">
        <v>1456146.78</v>
      </c>
      <c r="Z47" s="13">
        <v>1456146.78</v>
      </c>
      <c r="AA47" s="13">
        <v>1456146.78</v>
      </c>
      <c r="AB47" s="13">
        <v>1456146.78</v>
      </c>
      <c r="AC47" s="13">
        <v>1456146.78</v>
      </c>
      <c r="AD47" s="13">
        <v>1456146.78</v>
      </c>
      <c r="AE47" s="13">
        <v>1456146.78</v>
      </c>
      <c r="AF47" s="13">
        <v>1456146.78</v>
      </c>
      <c r="AG47" s="13">
        <v>1456146.78</v>
      </c>
      <c r="AH47" s="13">
        <v>1456146.78</v>
      </c>
      <c r="AI47" s="13">
        <v>1456146.78</v>
      </c>
      <c r="AJ47" s="13">
        <v>1456146.78</v>
      </c>
      <c r="AK47" s="13">
        <v>1456146.78</v>
      </c>
    </row>
    <row r="49" spans="23:37" x14ac:dyDescent="0.25">
      <c r="W49" s="12" t="s">
        <v>57</v>
      </c>
      <c r="X49" s="16"/>
      <c r="Y49" s="16">
        <f t="shared" ref="Y49:AI49" si="44">+Y41/Y47</f>
        <v>16.641206321247367</v>
      </c>
      <c r="Z49" s="16">
        <f t="shared" si="44"/>
        <v>16.705828927493148</v>
      </c>
      <c r="AA49" s="16">
        <f t="shared" si="44"/>
        <v>15.976228028331045</v>
      </c>
      <c r="AB49" s="16">
        <f t="shared" si="44"/>
        <v>15.354558556246644</v>
      </c>
      <c r="AC49" s="16">
        <f t="shared" si="44"/>
        <v>15.265502973539522</v>
      </c>
      <c r="AD49" s="16">
        <f t="shared" si="44"/>
        <v>20.630448394769655</v>
      </c>
      <c r="AE49" s="16">
        <f t="shared" si="44"/>
        <v>23.514669311015474</v>
      </c>
      <c r="AF49" s="16">
        <f t="shared" si="44"/>
        <v>22.208232332182885</v>
      </c>
      <c r="AG49" s="16">
        <f t="shared" si="44"/>
        <v>22.040652385331647</v>
      </c>
      <c r="AH49" s="16">
        <f t="shared" si="44"/>
        <v>22.318548821019267</v>
      </c>
      <c r="AI49" s="16">
        <f t="shared" si="44"/>
        <v>20.808271127722438</v>
      </c>
      <c r="AJ49" s="16">
        <f t="shared" ref="AJ49:AK49" si="45">+AJ41/AJ47</f>
        <v>20.778618897196612</v>
      </c>
      <c r="AK49" s="16">
        <f t="shared" si="45"/>
        <v>20.8126195904509</v>
      </c>
    </row>
    <row r="51" spans="23:37" x14ac:dyDescent="0.25">
      <c r="W51" s="12" t="s">
        <v>67</v>
      </c>
      <c r="X51" s="13"/>
      <c r="Y51" s="13">
        <f>+Y55-X55</f>
        <v>-1017435</v>
      </c>
      <c r="Z51" s="13">
        <f>+Z55-Y55</f>
        <v>19905</v>
      </c>
      <c r="AA51" s="13">
        <f>+AA55</f>
        <v>-358135</v>
      </c>
      <c r="AB51" s="13">
        <f t="shared" ref="AB51:AD52" si="46">+AB55-AA55</f>
        <v>119403</v>
      </c>
      <c r="AC51" s="13">
        <f t="shared" si="46"/>
        <v>746542</v>
      </c>
      <c r="AD51" s="13">
        <f t="shared" si="46"/>
        <v>-540607</v>
      </c>
      <c r="AE51" s="13">
        <f>+AE55</f>
        <v>2313396</v>
      </c>
      <c r="AF51" s="13">
        <f t="shared" ref="AF51:AK52" si="47">+AF55-AE55</f>
        <v>-275729</v>
      </c>
      <c r="AG51" s="13">
        <f t="shared" si="47"/>
        <v>2162622</v>
      </c>
      <c r="AH51" s="13">
        <f t="shared" si="47"/>
        <v>1371130</v>
      </c>
      <c r="AI51" s="13">
        <f>+AI55</f>
        <v>1146665</v>
      </c>
      <c r="AJ51" s="13">
        <f t="shared" si="47"/>
        <v>363382</v>
      </c>
      <c r="AK51" s="13">
        <f t="shared" si="47"/>
        <v>2333377</v>
      </c>
    </row>
    <row r="52" spans="23:37" x14ac:dyDescent="0.25">
      <c r="W52" s="12" t="s">
        <v>60</v>
      </c>
      <c r="Y52" s="13">
        <f>+Y56-X56</f>
        <v>-1037641</v>
      </c>
      <c r="Z52" s="13">
        <f>+Z56-Y56</f>
        <v>-362220</v>
      </c>
      <c r="AA52" s="13">
        <f>+AA56</f>
        <v>-110241</v>
      </c>
      <c r="AB52" s="13">
        <f t="shared" si="46"/>
        <v>-90800</v>
      </c>
      <c r="AC52" s="13">
        <f t="shared" si="46"/>
        <v>-158237</v>
      </c>
      <c r="AD52" s="13">
        <f t="shared" si="46"/>
        <v>-181909</v>
      </c>
      <c r="AE52" s="13">
        <f>+AE56</f>
        <v>-155208</v>
      </c>
      <c r="AF52" s="13">
        <f t="shared" si="47"/>
        <v>-243732</v>
      </c>
      <c r="AG52" s="13">
        <f t="shared" si="47"/>
        <v>-295928</v>
      </c>
      <c r="AH52" s="13">
        <f t="shared" si="47"/>
        <v>-368497</v>
      </c>
      <c r="AI52" s="13">
        <f>+AI56</f>
        <v>-268761</v>
      </c>
      <c r="AJ52" s="13">
        <f t="shared" si="47"/>
        <v>-266441</v>
      </c>
      <c r="AK52" s="13">
        <f t="shared" si="47"/>
        <v>-313688</v>
      </c>
    </row>
    <row r="53" spans="23:37" x14ac:dyDescent="0.25">
      <c r="W53" s="12" t="s">
        <v>68</v>
      </c>
      <c r="Y53" s="13">
        <f t="shared" ref="Y53:AI53" si="48">+Y51+Y52</f>
        <v>-2055076</v>
      </c>
      <c r="Z53" s="13">
        <f t="shared" si="48"/>
        <v>-342315</v>
      </c>
      <c r="AA53" s="13">
        <f t="shared" si="48"/>
        <v>-468376</v>
      </c>
      <c r="AB53" s="13">
        <f t="shared" si="48"/>
        <v>28603</v>
      </c>
      <c r="AC53" s="13">
        <f t="shared" si="48"/>
        <v>588305</v>
      </c>
      <c r="AD53" s="13">
        <f t="shared" si="48"/>
        <v>-722516</v>
      </c>
      <c r="AE53" s="13">
        <f t="shared" si="48"/>
        <v>2158188</v>
      </c>
      <c r="AF53" s="13">
        <f t="shared" si="48"/>
        <v>-519461</v>
      </c>
      <c r="AG53" s="13">
        <f t="shared" si="48"/>
        <v>1866694</v>
      </c>
      <c r="AH53" s="13">
        <f t="shared" si="48"/>
        <v>1002633</v>
      </c>
      <c r="AI53" s="13">
        <f t="shared" si="48"/>
        <v>877904</v>
      </c>
      <c r="AJ53" s="13">
        <f t="shared" ref="AJ53:AK53" si="49">+AJ51+AJ52</f>
        <v>96941</v>
      </c>
      <c r="AK53" s="13">
        <f t="shared" si="49"/>
        <v>2019689</v>
      </c>
    </row>
    <row r="55" spans="23:37" x14ac:dyDescent="0.25">
      <c r="W55" s="12" t="s">
        <v>67</v>
      </c>
      <c r="X55" s="13"/>
      <c r="Y55" s="13">
        <v>-1017435</v>
      </c>
      <c r="Z55" s="13">
        <v>-997530</v>
      </c>
      <c r="AA55" s="13">
        <v>-358135</v>
      </c>
      <c r="AB55" s="13">
        <v>-238732</v>
      </c>
      <c r="AC55" s="10">
        <v>507810</v>
      </c>
      <c r="AD55" s="13">
        <v>-32797</v>
      </c>
      <c r="AE55" s="13">
        <v>2313396</v>
      </c>
      <c r="AF55" s="13">
        <v>2037667</v>
      </c>
      <c r="AG55" s="13">
        <v>4200289</v>
      </c>
      <c r="AH55" s="13">
        <v>5571419</v>
      </c>
      <c r="AI55" s="13">
        <v>1146665</v>
      </c>
      <c r="AJ55" s="13">
        <v>1510047</v>
      </c>
      <c r="AK55" s="13">
        <v>3843424</v>
      </c>
    </row>
    <row r="56" spans="23:37" x14ac:dyDescent="0.25">
      <c r="W56" s="12" t="s">
        <v>60</v>
      </c>
      <c r="X56" s="13"/>
      <c r="Y56" s="13">
        <v>-1037641</v>
      </c>
      <c r="Z56" s="13">
        <v>-1399861</v>
      </c>
      <c r="AA56" s="13">
        <v>-110241</v>
      </c>
      <c r="AB56" s="13">
        <v>-201041</v>
      </c>
      <c r="AC56" s="13">
        <v>-359278</v>
      </c>
      <c r="AD56" s="13">
        <v>-541187</v>
      </c>
      <c r="AE56" s="13">
        <v>-155208</v>
      </c>
      <c r="AF56" s="13">
        <v>-398940</v>
      </c>
      <c r="AG56" s="13">
        <v>-694868</v>
      </c>
      <c r="AH56" s="13">
        <v>-1063365</v>
      </c>
      <c r="AI56" s="13">
        <v>-268761</v>
      </c>
      <c r="AJ56" s="13">
        <v>-535202</v>
      </c>
      <c r="AK56" s="13">
        <v>-848890</v>
      </c>
    </row>
    <row r="57" spans="23:37" x14ac:dyDescent="0.25">
      <c r="W57" s="12" t="s">
        <v>68</v>
      </c>
      <c r="X57" s="13">
        <f t="shared" ref="X57:AI57" si="50">+X55+X56</f>
        <v>0</v>
      </c>
      <c r="Y57" s="13">
        <f t="shared" si="50"/>
        <v>-2055076</v>
      </c>
      <c r="Z57" s="13">
        <f t="shared" si="50"/>
        <v>-2397391</v>
      </c>
      <c r="AA57" s="13">
        <f t="shared" si="50"/>
        <v>-468376</v>
      </c>
      <c r="AB57" s="13">
        <f t="shared" si="50"/>
        <v>-439773</v>
      </c>
      <c r="AC57" s="13">
        <f t="shared" si="50"/>
        <v>148532</v>
      </c>
      <c r="AD57" s="13">
        <f t="shared" si="50"/>
        <v>-573984</v>
      </c>
      <c r="AE57" s="13">
        <f t="shared" si="50"/>
        <v>2158188</v>
      </c>
      <c r="AF57" s="13">
        <f t="shared" si="50"/>
        <v>1638727</v>
      </c>
      <c r="AG57" s="13">
        <f t="shared" si="50"/>
        <v>3505421</v>
      </c>
      <c r="AH57" s="13">
        <f t="shared" si="50"/>
        <v>4508054</v>
      </c>
      <c r="AI57" s="13">
        <f t="shared" si="50"/>
        <v>877904</v>
      </c>
      <c r="AJ57" s="13">
        <f t="shared" ref="AJ57:AK57" si="51">+AJ55+AJ56</f>
        <v>974845</v>
      </c>
      <c r="AK57" s="13">
        <f t="shared" si="51"/>
        <v>2994534</v>
      </c>
    </row>
    <row r="59" spans="23:37" x14ac:dyDescent="0.25">
      <c r="W59" s="47" t="s">
        <v>76</v>
      </c>
    </row>
    <row r="60" spans="23:37" x14ac:dyDescent="0.25">
      <c r="W60" s="47"/>
      <c r="AC60" s="13"/>
      <c r="AG60" s="13"/>
      <c r="AK60" s="13"/>
    </row>
    <row r="61" spans="23:37" x14ac:dyDescent="0.25">
      <c r="Z61" s="13"/>
      <c r="AA61" s="13"/>
      <c r="AB61" s="13"/>
      <c r="AC61" s="13"/>
      <c r="AD61" s="13"/>
      <c r="AE61" s="13"/>
      <c r="AF61" s="13"/>
      <c r="AG61" s="13"/>
      <c r="AH61" s="13"/>
      <c r="AI61" s="13"/>
      <c r="AJ61" s="13"/>
      <c r="AK61" s="13"/>
    </row>
    <row r="62" spans="23:37" x14ac:dyDescent="0.25">
      <c r="X62" s="17"/>
      <c r="Y62" s="17"/>
      <c r="Z62" s="17"/>
      <c r="AA62" s="17"/>
      <c r="AB62" s="18"/>
      <c r="AC62" s="18"/>
      <c r="AD62" s="18"/>
      <c r="AE62" s="18"/>
      <c r="AF62" s="18"/>
      <c r="AG62" s="18"/>
      <c r="AI62" s="18"/>
      <c r="AJ62" s="18"/>
      <c r="AK62" s="18"/>
    </row>
    <row r="63" spans="23:37" x14ac:dyDescent="0.25">
      <c r="Y63" s="18"/>
      <c r="Z63" s="18"/>
      <c r="AA63" s="18"/>
      <c r="AB63" s="18"/>
      <c r="AC63" s="18"/>
      <c r="AD63" s="18"/>
      <c r="AE63" s="18"/>
      <c r="AF63" s="18"/>
      <c r="AG63" s="18"/>
      <c r="AI63" s="18"/>
      <c r="AJ63" s="18"/>
      <c r="AK63" s="18"/>
    </row>
    <row r="64" spans="23:37" x14ac:dyDescent="0.25">
      <c r="Z64" s="13"/>
      <c r="AA64" s="13"/>
      <c r="AB64" s="13"/>
      <c r="AC64" s="13"/>
      <c r="AD64" s="13"/>
      <c r="AE64" s="13"/>
      <c r="AF64" s="13"/>
      <c r="AG64" s="13"/>
      <c r="AH64" s="13"/>
      <c r="AI64" s="13"/>
      <c r="AJ64" s="13"/>
      <c r="AK64" s="13"/>
    </row>
    <row r="65" spans="23:37" x14ac:dyDescent="0.25">
      <c r="X65" s="19"/>
      <c r="Y65" s="19"/>
      <c r="Z65" s="19"/>
      <c r="AA65" s="19"/>
      <c r="AB65" s="19"/>
      <c r="AC65" s="19"/>
      <c r="AD65" s="19"/>
      <c r="AE65" s="19"/>
      <c r="AF65" s="19"/>
      <c r="AG65" s="19"/>
      <c r="AI65" s="19"/>
      <c r="AJ65" s="19"/>
      <c r="AK65" s="19"/>
    </row>
    <row r="67" spans="23:37" x14ac:dyDescent="0.25">
      <c r="W67" s="47"/>
      <c r="AC67" s="13"/>
      <c r="AG67" s="13"/>
      <c r="AK67" s="13"/>
    </row>
    <row r="68" spans="23:37" x14ac:dyDescent="0.25">
      <c r="Z68" s="13"/>
      <c r="AA68" s="13"/>
      <c r="AB68" s="13"/>
      <c r="AC68" s="13"/>
      <c r="AD68" s="13"/>
      <c r="AE68" s="13"/>
      <c r="AF68" s="13"/>
      <c r="AG68" s="13"/>
      <c r="AH68" s="13"/>
      <c r="AI68" s="13"/>
      <c r="AJ68" s="13"/>
      <c r="AK68" s="13"/>
    </row>
    <row r="69" spans="23:37" x14ac:dyDescent="0.25">
      <c r="X69" s="17"/>
      <c r="Y69" s="17"/>
      <c r="Z69" s="17"/>
      <c r="AA69" s="17"/>
      <c r="AB69" s="18"/>
      <c r="AC69" s="18"/>
      <c r="AD69" s="18"/>
      <c r="AE69" s="18"/>
      <c r="AF69" s="18"/>
      <c r="AG69" s="18"/>
      <c r="AI69" s="18"/>
      <c r="AJ69" s="18"/>
      <c r="AK69" s="18"/>
    </row>
    <row r="70" spans="23:37" x14ac:dyDescent="0.25">
      <c r="Y70" s="18"/>
      <c r="Z70" s="18"/>
      <c r="AA70" s="18"/>
      <c r="AB70" s="18"/>
      <c r="AC70" s="18"/>
      <c r="AD70" s="18"/>
      <c r="AE70" s="18"/>
      <c r="AF70" s="18"/>
      <c r="AG70" s="18"/>
      <c r="AI70" s="18"/>
      <c r="AJ70" s="18"/>
      <c r="AK70" s="18"/>
    </row>
    <row r="71" spans="23:37" x14ac:dyDescent="0.25">
      <c r="Z71" s="13"/>
      <c r="AA71" s="13"/>
      <c r="AB71" s="13"/>
      <c r="AC71" s="13"/>
      <c r="AD71" s="13"/>
      <c r="AE71" s="13"/>
      <c r="AF71" s="13"/>
      <c r="AG71" s="13"/>
      <c r="AH71" s="13"/>
      <c r="AI71" s="13"/>
      <c r="AJ71" s="13"/>
      <c r="AK71" s="13"/>
    </row>
    <row r="72" spans="23:37" x14ac:dyDescent="0.25">
      <c r="X72" s="19"/>
      <c r="Y72" s="19"/>
      <c r="Z72" s="19"/>
      <c r="AA72" s="19"/>
      <c r="AB72" s="19"/>
      <c r="AC72" s="19"/>
      <c r="AD72" s="19"/>
      <c r="AE72" s="19"/>
      <c r="AF72" s="19"/>
      <c r="AG72" s="19"/>
      <c r="AI72" s="19"/>
      <c r="AJ72" s="19"/>
      <c r="AK72" s="19"/>
    </row>
  </sheetData>
  <mergeCells count="1">
    <mergeCell ref="B13:H13"/>
  </mergeCells>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647B7-79DA-4688-8AC0-4351EE3F6039}">
  <sheetPr>
    <tabColor rgb="FF92D050"/>
  </sheetPr>
  <dimension ref="B1:AN72"/>
  <sheetViews>
    <sheetView topLeftCell="V1" zoomScale="85" zoomScaleNormal="85" workbookViewId="0">
      <selection activeCell="AH3" sqref="AH3"/>
    </sheetView>
  </sheetViews>
  <sheetFormatPr defaultRowHeight="15" x14ac:dyDescent="0.25"/>
  <cols>
    <col min="2" max="2" width="28.28515625" customWidth="1"/>
    <col min="3" max="3" width="8.7109375" hidden="1" customWidth="1"/>
    <col min="8" max="9" width="9.42578125" bestFit="1" customWidth="1"/>
    <col min="10" max="10" width="14.28515625" customWidth="1"/>
    <col min="13" max="13" width="19.85546875" customWidth="1"/>
    <col min="23" max="23" width="34.7109375" style="12" customWidth="1"/>
    <col min="24" max="37" width="12" style="12" customWidth="1"/>
    <col min="38" max="39" width="8.85546875" style="12"/>
  </cols>
  <sheetData>
    <row r="1" spans="2:39" ht="15.75" thickBot="1" x14ac:dyDescent="0.3"/>
    <row r="2" spans="2:39"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f>J14*J21</f>
        <v>34.398437959079992</v>
      </c>
      <c r="W2" s="20" t="s">
        <v>280</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row>
    <row r="3" spans="2:39" ht="18" thickTop="1" thickBot="1" x14ac:dyDescent="0.4">
      <c r="B3" s="25" t="s">
        <v>10</v>
      </c>
      <c r="C3" s="26">
        <v>17820.179</v>
      </c>
      <c r="D3" s="26">
        <v>22137.641</v>
      </c>
      <c r="E3" s="26">
        <v>24647.488000000001</v>
      </c>
      <c r="F3" s="26">
        <v>31746.592000000001</v>
      </c>
      <c r="G3" s="26">
        <v>33276.976999999999</v>
      </c>
      <c r="H3" s="26">
        <v>31780.287</v>
      </c>
      <c r="I3" s="27">
        <v>49587.964</v>
      </c>
      <c r="J3" s="21"/>
      <c r="M3" s="1" t="s">
        <v>11</v>
      </c>
      <c r="N3" s="2">
        <f>'[1]LT Portfolio'!W294</f>
        <v>0</v>
      </c>
      <c r="W3" s="12" t="s">
        <v>62</v>
      </c>
      <c r="X3" s="13"/>
      <c r="Y3" s="13"/>
      <c r="Z3" s="13"/>
      <c r="AA3" s="13"/>
      <c r="AB3" s="13"/>
      <c r="AC3" s="13"/>
      <c r="AD3" s="13"/>
      <c r="AE3" s="13">
        <v>8657119</v>
      </c>
      <c r="AF3" s="13">
        <v>9596659</v>
      </c>
      <c r="AG3" s="13">
        <v>12133255</v>
      </c>
      <c r="AH3" s="13"/>
      <c r="AI3" s="13">
        <v>7894932</v>
      </c>
      <c r="AJ3" s="13">
        <v>8919486</v>
      </c>
      <c r="AK3" s="13">
        <v>13753651</v>
      </c>
    </row>
    <row r="4" spans="2:39" ht="18" thickTop="1" thickBot="1" x14ac:dyDescent="0.4">
      <c r="B4" s="28" t="s">
        <v>12</v>
      </c>
      <c r="C4" s="29"/>
      <c r="D4" s="30">
        <f t="shared" ref="D4:G4" si="0">(D3/C3-1)*100</f>
        <v>24.2279384511233</v>
      </c>
      <c r="E4" s="30">
        <f t="shared" si="0"/>
        <v>11.337463643935685</v>
      </c>
      <c r="F4" s="30">
        <f t="shared" si="0"/>
        <v>28.802545719872128</v>
      </c>
      <c r="G4" s="30">
        <f t="shared" si="0"/>
        <v>4.8206276755627719</v>
      </c>
      <c r="H4" s="30">
        <f>(H3/G3-1)*100</f>
        <v>-4.4976741727471126</v>
      </c>
      <c r="I4" s="31">
        <f>(I3/H3-1)*100</f>
        <v>56.033719896865634</v>
      </c>
      <c r="J4" s="22">
        <f>((I3/D3)^(1/5)-1)*100</f>
        <v>17.503008805594654</v>
      </c>
      <c r="W4" s="12" t="s">
        <v>40</v>
      </c>
      <c r="X4" s="17"/>
      <c r="Y4" s="17"/>
      <c r="Z4" s="17"/>
      <c r="AA4" s="17"/>
      <c r="AB4" s="18" t="e">
        <f t="shared" ref="AB4:AG4" si="1">+AB3/X3-1</f>
        <v>#DIV/0!</v>
      </c>
      <c r="AC4" s="18" t="e">
        <f t="shared" si="1"/>
        <v>#DIV/0!</v>
      </c>
      <c r="AD4" s="18" t="e">
        <f t="shared" si="1"/>
        <v>#DIV/0!</v>
      </c>
      <c r="AE4" s="18" t="e">
        <f t="shared" si="1"/>
        <v>#DIV/0!</v>
      </c>
      <c r="AF4" s="18" t="e">
        <f t="shared" si="1"/>
        <v>#DIV/0!</v>
      </c>
      <c r="AG4" s="18" t="e">
        <f t="shared" si="1"/>
        <v>#DIV/0!</v>
      </c>
      <c r="AH4" s="18" t="e">
        <f>+AH3/AD3-1</f>
        <v>#DIV/0!</v>
      </c>
      <c r="AI4" s="18">
        <f>+AI3/AE3-1</f>
        <v>-8.8041645263279844E-2</v>
      </c>
      <c r="AJ4" s="18">
        <f t="shared" ref="AJ4:AK4" si="2">+AJ3/AF3-1</f>
        <v>-7.0563411704010703E-2</v>
      </c>
      <c r="AK4" s="18">
        <f t="shared" si="2"/>
        <v>0.13354998308368193</v>
      </c>
      <c r="AL4" s="46"/>
    </row>
    <row r="5" spans="2:39" ht="18" thickTop="1" thickBot="1" x14ac:dyDescent="0.4">
      <c r="B5" s="32" t="s">
        <v>13</v>
      </c>
      <c r="C5" s="29">
        <v>2994.8620000000001</v>
      </c>
      <c r="D5" s="26">
        <v>3075.7150000000001</v>
      </c>
      <c r="E5" s="26">
        <v>2911.1990000000001</v>
      </c>
      <c r="F5" s="26">
        <v>3686.058</v>
      </c>
      <c r="G5" s="26">
        <v>4229.0420000000004</v>
      </c>
      <c r="H5" s="26">
        <v>3789.9589999999998</v>
      </c>
      <c r="I5" s="27">
        <v>4577.6409999999996</v>
      </c>
      <c r="J5" s="21"/>
      <c r="M5" s="1" t="s">
        <v>14</v>
      </c>
      <c r="N5" s="3">
        <f>202.575/415.481776</f>
        <v>0.48756651122045841</v>
      </c>
      <c r="W5" s="12" t="s">
        <v>41</v>
      </c>
      <c r="Y5" s="18" t="e">
        <f t="shared" ref="Y5:AK5" si="3">+Y3/X3-1</f>
        <v>#DIV/0!</v>
      </c>
      <c r="Z5" s="18" t="e">
        <f t="shared" si="3"/>
        <v>#DIV/0!</v>
      </c>
      <c r="AA5" s="18" t="e">
        <f t="shared" si="3"/>
        <v>#DIV/0!</v>
      </c>
      <c r="AB5" s="18" t="e">
        <f t="shared" si="3"/>
        <v>#DIV/0!</v>
      </c>
      <c r="AC5" s="18" t="e">
        <f t="shared" si="3"/>
        <v>#DIV/0!</v>
      </c>
      <c r="AD5" s="18" t="e">
        <f t="shared" si="3"/>
        <v>#DIV/0!</v>
      </c>
      <c r="AE5" s="18" t="e">
        <f t="shared" si="3"/>
        <v>#DIV/0!</v>
      </c>
      <c r="AF5" s="18">
        <f t="shared" si="3"/>
        <v>0.10852802185114929</v>
      </c>
      <c r="AG5" s="18">
        <f t="shared" si="3"/>
        <v>0.26432073912389709</v>
      </c>
      <c r="AH5" s="18">
        <f t="shared" si="3"/>
        <v>-1</v>
      </c>
      <c r="AI5" s="18" t="e">
        <f t="shared" si="3"/>
        <v>#DIV/0!</v>
      </c>
      <c r="AJ5" s="18">
        <f t="shared" si="3"/>
        <v>0.12977363199581715</v>
      </c>
      <c r="AK5" s="18">
        <f t="shared" si="3"/>
        <v>0.5419779794485915</v>
      </c>
    </row>
    <row r="6" spans="2:39" ht="18" thickTop="1" thickBot="1" x14ac:dyDescent="0.4">
      <c r="B6" s="28" t="s">
        <v>15</v>
      </c>
      <c r="C6" s="30">
        <f t="shared" ref="C6:G6" si="4">C5/C$3*100</f>
        <v>16.806015248219449</v>
      </c>
      <c r="D6" s="30">
        <f t="shared" si="4"/>
        <v>13.893598690122404</v>
      </c>
      <c r="E6" s="30">
        <f t="shared" si="4"/>
        <v>11.811341585803795</v>
      </c>
      <c r="F6" s="30">
        <f t="shared" si="4"/>
        <v>11.610877791228742</v>
      </c>
      <c r="G6" s="30">
        <f t="shared" si="4"/>
        <v>12.708612323769675</v>
      </c>
      <c r="H6" s="30">
        <f>H5/H$3*100</f>
        <v>11.925502749550374</v>
      </c>
      <c r="I6" s="31">
        <f>I5/I$3*100</f>
        <v>9.2313550118734451</v>
      </c>
      <c r="J6" s="23">
        <f>AVERAGE(D6:I6)</f>
        <v>11.863548025391404</v>
      </c>
      <c r="M6" s="1" t="s">
        <v>16</v>
      </c>
      <c r="N6" s="3">
        <f>261.001/415.481776</f>
        <v>0.62818880412218114</v>
      </c>
    </row>
    <row r="7" spans="2:39" ht="18" thickTop="1" thickBot="1" x14ac:dyDescent="0.4">
      <c r="B7" s="32" t="s">
        <v>17</v>
      </c>
      <c r="C7" s="26">
        <v>2167.6080000000002</v>
      </c>
      <c r="D7" s="26">
        <v>1992.405</v>
      </c>
      <c r="E7" s="26">
        <v>1810.8420000000001</v>
      </c>
      <c r="F7" s="26">
        <v>2344.6489999999999</v>
      </c>
      <c r="G7" s="26">
        <v>2728.431</v>
      </c>
      <c r="H7" s="26">
        <v>2441.4009999999998</v>
      </c>
      <c r="I7" s="27">
        <v>2573.1030000000001</v>
      </c>
      <c r="J7" s="24"/>
      <c r="M7" s="1" t="s">
        <v>18</v>
      </c>
      <c r="N7" s="3">
        <f>'[1]LT Portfolio'!P294</f>
        <v>0</v>
      </c>
      <c r="W7" s="12" t="s">
        <v>61</v>
      </c>
      <c r="X7" s="13"/>
      <c r="Y7" s="13">
        <f t="shared" ref="Y7:AJ7" si="5">+Y3/Y45</f>
        <v>0</v>
      </c>
      <c r="Z7" s="13">
        <f t="shared" si="5"/>
        <v>0</v>
      </c>
      <c r="AA7" s="13">
        <f t="shared" si="5"/>
        <v>0</v>
      </c>
      <c r="AB7" s="13">
        <f t="shared" si="5"/>
        <v>0</v>
      </c>
      <c r="AC7" s="13">
        <f t="shared" si="5"/>
        <v>0</v>
      </c>
      <c r="AD7" s="13">
        <f t="shared" si="5"/>
        <v>0</v>
      </c>
      <c r="AE7" s="13">
        <f t="shared" si="5"/>
        <v>23765.448894020068</v>
      </c>
      <c r="AF7" s="13">
        <f t="shared" si="5"/>
        <v>26017.835706373702</v>
      </c>
      <c r="AG7" s="13">
        <f t="shared" si="5"/>
        <v>32635.977772209808</v>
      </c>
      <c r="AH7" s="13">
        <f t="shared" si="5"/>
        <v>0</v>
      </c>
      <c r="AI7" s="13">
        <f t="shared" si="5"/>
        <v>24947.909160565232</v>
      </c>
      <c r="AJ7" s="13">
        <f t="shared" si="5"/>
        <v>26953.737633632216</v>
      </c>
      <c r="AK7" s="13">
        <f t="shared" ref="AK7" si="6">+AK3/AK45</f>
        <v>41149.441864035303</v>
      </c>
    </row>
    <row r="8" spans="2:39" ht="18" thickTop="1" thickBot="1" x14ac:dyDescent="0.4">
      <c r="B8" s="28" t="s">
        <v>19</v>
      </c>
      <c r="C8" s="30">
        <f t="shared" ref="C8:I8" si="7">C7/C$3*100</f>
        <v>12.16378353999699</v>
      </c>
      <c r="D8" s="30">
        <f t="shared" si="7"/>
        <v>9.0000781926132056</v>
      </c>
      <c r="E8" s="30">
        <f t="shared" si="7"/>
        <v>7.3469637149229978</v>
      </c>
      <c r="F8" s="30">
        <f t="shared" si="7"/>
        <v>7.3855140104487429</v>
      </c>
      <c r="G8" s="30">
        <f t="shared" si="7"/>
        <v>8.1991552297553945</v>
      </c>
      <c r="H8" s="30">
        <f t="shared" si="7"/>
        <v>7.6821238272643662</v>
      </c>
      <c r="I8" s="31">
        <f t="shared" si="7"/>
        <v>5.1889668226749546</v>
      </c>
      <c r="J8" s="23">
        <f>AVERAGE(D8:I8)</f>
        <v>7.4671336329466103</v>
      </c>
      <c r="M8" s="1" t="s">
        <v>20</v>
      </c>
      <c r="N8" s="3">
        <f>'[1]LT Portfolio'!Q294</f>
        <v>0</v>
      </c>
      <c r="W8" s="12" t="s">
        <v>40</v>
      </c>
      <c r="AB8" s="18" t="e">
        <f t="shared" ref="AB8:AG8" si="8">+AB7/X7-1</f>
        <v>#DIV/0!</v>
      </c>
      <c r="AC8" s="18" t="e">
        <f t="shared" si="8"/>
        <v>#DIV/0!</v>
      </c>
      <c r="AD8" s="18" t="e">
        <f t="shared" si="8"/>
        <v>#DIV/0!</v>
      </c>
      <c r="AE8" s="18" t="e">
        <f t="shared" si="8"/>
        <v>#DIV/0!</v>
      </c>
      <c r="AF8" s="18" t="e">
        <f t="shared" si="8"/>
        <v>#DIV/0!</v>
      </c>
      <c r="AG8" s="18" t="e">
        <f t="shared" si="8"/>
        <v>#DIV/0!</v>
      </c>
      <c r="AH8" s="18" t="e">
        <f>+AH7/AD7-1</f>
        <v>#DIV/0!</v>
      </c>
      <c r="AI8" s="18">
        <f>+AI7/AE7-1</f>
        <v>4.9755435793291447E-2</v>
      </c>
      <c r="AJ8" s="18">
        <f t="shared" ref="AJ8:AK8" si="9">+AJ7/AF7-1</f>
        <v>3.5971551893120735E-2</v>
      </c>
      <c r="AK8" s="18">
        <f t="shared" si="9"/>
        <v>0.26086131542456448</v>
      </c>
    </row>
    <row r="9" spans="2:39" ht="18" thickTop="1" thickBot="1" x14ac:dyDescent="0.4">
      <c r="B9" s="32" t="s">
        <v>21</v>
      </c>
      <c r="C9" s="26">
        <v>2228.9470000000001</v>
      </c>
      <c r="D9" s="26">
        <v>2011.37</v>
      </c>
      <c r="E9" s="26">
        <v>1817.7159999999999</v>
      </c>
      <c r="F9" s="26">
        <v>2257.0619999999999</v>
      </c>
      <c r="G9" s="26">
        <v>2811.9639999999999</v>
      </c>
      <c r="H9" s="26">
        <v>2599.3359999999998</v>
      </c>
      <c r="I9" s="27">
        <v>2863.72</v>
      </c>
      <c r="J9" s="21"/>
      <c r="M9" s="1" t="s">
        <v>22</v>
      </c>
      <c r="N9" s="3">
        <f>'[1]LT Portfolio'!R294</f>
        <v>0</v>
      </c>
      <c r="O9" s="4">
        <f>N9/N5-1</f>
        <v>-1</v>
      </c>
      <c r="W9" s="12" t="s">
        <v>41</v>
      </c>
      <c r="Y9" s="18" t="e">
        <f t="shared" ref="Y9:AK9" si="10">+Y7/X7-1</f>
        <v>#DIV/0!</v>
      </c>
      <c r="Z9" s="18" t="e">
        <f t="shared" si="10"/>
        <v>#DIV/0!</v>
      </c>
      <c r="AA9" s="18" t="e">
        <f t="shared" si="10"/>
        <v>#DIV/0!</v>
      </c>
      <c r="AB9" s="18" t="e">
        <f t="shared" si="10"/>
        <v>#DIV/0!</v>
      </c>
      <c r="AC9" s="18" t="e">
        <f t="shared" si="10"/>
        <v>#DIV/0!</v>
      </c>
      <c r="AD9" s="18" t="e">
        <f t="shared" si="10"/>
        <v>#DIV/0!</v>
      </c>
      <c r="AE9" s="18" t="e">
        <f t="shared" si="10"/>
        <v>#DIV/0!</v>
      </c>
      <c r="AF9" s="18">
        <f t="shared" si="10"/>
        <v>9.4775689800683072E-2</v>
      </c>
      <c r="AG9" s="18">
        <f t="shared" si="10"/>
        <v>0.25436943105205434</v>
      </c>
      <c r="AH9" s="18">
        <f t="shared" si="10"/>
        <v>-1</v>
      </c>
      <c r="AI9" s="18" t="e">
        <f t="shared" si="10"/>
        <v>#DIV/0!</v>
      </c>
      <c r="AJ9" s="18">
        <f t="shared" si="10"/>
        <v>8.0400664446765191E-2</v>
      </c>
      <c r="AK9" s="18">
        <f t="shared" si="10"/>
        <v>0.52666922945373007</v>
      </c>
    </row>
    <row r="10" spans="2:39" ht="18" thickTop="1" thickBot="1" x14ac:dyDescent="0.4">
      <c r="B10" s="32" t="s">
        <v>23</v>
      </c>
      <c r="C10" s="29">
        <v>2170.6669999999999</v>
      </c>
      <c r="D10" s="26">
        <v>1959.175</v>
      </c>
      <c r="E10" s="26">
        <v>1596.114</v>
      </c>
      <c r="F10" s="26">
        <v>1858.7170000000001</v>
      </c>
      <c r="G10" s="26">
        <v>2383.7840000000001</v>
      </c>
      <c r="H10" s="26">
        <v>2139.5970000000002</v>
      </c>
      <c r="I10" s="27">
        <v>2531.25</v>
      </c>
      <c r="J10" s="22">
        <f>((I10/D10)^(1/5)-1)*100</f>
        <v>5.2573330805531393</v>
      </c>
      <c r="M10" s="1" t="s">
        <v>24</v>
      </c>
      <c r="N10" s="3">
        <f>'[1]LT Portfolio'!S294</f>
        <v>0</v>
      </c>
      <c r="O10" s="4">
        <f>N10/N6-1</f>
        <v>-1</v>
      </c>
    </row>
    <row r="11" spans="2:39" ht="18" thickTop="1" thickBot="1" x14ac:dyDescent="0.4">
      <c r="B11" s="28" t="s">
        <v>25</v>
      </c>
      <c r="C11" s="30">
        <f t="shared" ref="C11:G11" si="11">C10/C$3*100</f>
        <v>12.180949473066461</v>
      </c>
      <c r="D11" s="30">
        <f t="shared" si="11"/>
        <v>8.849971864662546</v>
      </c>
      <c r="E11" s="30">
        <f t="shared" si="11"/>
        <v>6.4757674291189433</v>
      </c>
      <c r="F11" s="30">
        <f t="shared" si="11"/>
        <v>5.8548552235150151</v>
      </c>
      <c r="G11" s="30">
        <f t="shared" si="11"/>
        <v>7.1634631955901531</v>
      </c>
      <c r="H11" s="30">
        <f>H10/H$3*100</f>
        <v>6.7324659465787713</v>
      </c>
      <c r="I11" s="31">
        <f>I10/I$3*100</f>
        <v>5.1045652933038346</v>
      </c>
      <c r="J11" s="23">
        <f>AVERAGE(D11:I11)</f>
        <v>6.6968481587948778</v>
      </c>
      <c r="M11" s="1" t="s">
        <v>26</v>
      </c>
      <c r="N11" s="3">
        <f>'[1]LT Portfolio'!T294</f>
        <v>0</v>
      </c>
      <c r="O11" s="4" t="e">
        <f>N11/N7-1</f>
        <v>#DIV/0!</v>
      </c>
      <c r="W11" s="12" t="s">
        <v>42</v>
      </c>
      <c r="X11" s="13"/>
      <c r="Y11" s="13"/>
      <c r="Z11" s="13"/>
      <c r="AA11" s="13"/>
      <c r="AB11" s="13"/>
      <c r="AC11" s="13"/>
      <c r="AD11" s="13"/>
      <c r="AE11" s="13"/>
      <c r="AF11" s="13"/>
      <c r="AG11" s="13"/>
      <c r="AH11" s="13"/>
      <c r="AI11" s="13"/>
      <c r="AJ11" s="13"/>
      <c r="AK11" s="13"/>
    </row>
    <row r="12" spans="2:39" ht="18" thickTop="1" thickBot="1" x14ac:dyDescent="0.4">
      <c r="B12" s="28" t="s">
        <v>27</v>
      </c>
      <c r="C12" s="29"/>
      <c r="D12" s="30">
        <f t="shared" ref="D12:I12" si="12">(D10/C10-1)*100</f>
        <v>-9.7431803219931936</v>
      </c>
      <c r="E12" s="30">
        <f t="shared" si="12"/>
        <v>-18.531320581367151</v>
      </c>
      <c r="F12" s="30">
        <f t="shared" si="12"/>
        <v>16.452646866075995</v>
      </c>
      <c r="G12" s="30">
        <f t="shared" si="12"/>
        <v>28.248894264161795</v>
      </c>
      <c r="H12" s="30">
        <f t="shared" si="12"/>
        <v>-10.243671406469712</v>
      </c>
      <c r="I12" s="31">
        <f t="shared" si="12"/>
        <v>18.304989210584964</v>
      </c>
      <c r="J12" s="23">
        <f>AVERAGE(D12:I12)</f>
        <v>4.0813930051654497</v>
      </c>
      <c r="S12" t="s">
        <v>20</v>
      </c>
      <c r="T12" t="s">
        <v>22</v>
      </c>
      <c r="W12" s="12" t="s">
        <v>43</v>
      </c>
      <c r="X12" s="19" t="e">
        <f t="shared" ref="X12:AJ12" si="13">+X11/X3</f>
        <v>#DIV/0!</v>
      </c>
      <c r="Y12" s="19" t="e">
        <f t="shared" si="13"/>
        <v>#DIV/0!</v>
      </c>
      <c r="Z12" s="19" t="e">
        <f t="shared" si="13"/>
        <v>#DIV/0!</v>
      </c>
      <c r="AA12" s="19" t="e">
        <f t="shared" si="13"/>
        <v>#DIV/0!</v>
      </c>
      <c r="AB12" s="19" t="e">
        <f t="shared" si="13"/>
        <v>#DIV/0!</v>
      </c>
      <c r="AC12" s="19" t="e">
        <f t="shared" si="13"/>
        <v>#DIV/0!</v>
      </c>
      <c r="AD12" s="19" t="e">
        <f t="shared" si="13"/>
        <v>#DIV/0!</v>
      </c>
      <c r="AE12" s="19">
        <f t="shared" si="13"/>
        <v>0</v>
      </c>
      <c r="AF12" s="19">
        <f t="shared" si="13"/>
        <v>0</v>
      </c>
      <c r="AG12" s="19">
        <f t="shared" si="13"/>
        <v>0</v>
      </c>
      <c r="AH12" s="19" t="e">
        <f t="shared" si="13"/>
        <v>#DIV/0!</v>
      </c>
      <c r="AI12" s="19">
        <f t="shared" si="13"/>
        <v>0</v>
      </c>
      <c r="AJ12" s="19">
        <f t="shared" si="13"/>
        <v>0</v>
      </c>
      <c r="AK12" s="19">
        <f t="shared" ref="AK12" si="14">+AK11/AK3</f>
        <v>0</v>
      </c>
    </row>
    <row r="13" spans="2:39" s="6" customFormat="1" ht="18" thickTop="1" thickBot="1" x14ac:dyDescent="0.3">
      <c r="B13" s="187"/>
      <c r="C13" s="188"/>
      <c r="D13" s="188"/>
      <c r="E13" s="188"/>
      <c r="F13" s="188"/>
      <c r="G13" s="188"/>
      <c r="H13" s="188"/>
      <c r="I13" s="41"/>
      <c r="J13" s="5"/>
      <c r="M13" s="1" t="s">
        <v>28</v>
      </c>
      <c r="N13" s="3">
        <f>SUM(N8:N11)</f>
        <v>0</v>
      </c>
      <c r="O13"/>
      <c r="P13"/>
      <c r="Q13" s="7">
        <f>N13*J21</f>
        <v>0</v>
      </c>
      <c r="R13"/>
      <c r="S13" s="7">
        <v>19.109573515092499</v>
      </c>
      <c r="T13" s="7">
        <v>18.873652854412345</v>
      </c>
      <c r="W13" s="12"/>
      <c r="X13" s="12"/>
      <c r="Y13" s="12"/>
      <c r="Z13" s="12"/>
      <c r="AA13" s="12"/>
      <c r="AB13" s="12"/>
      <c r="AC13" s="12"/>
      <c r="AD13" s="12"/>
      <c r="AE13" s="12"/>
      <c r="AF13" s="12"/>
      <c r="AG13" s="12"/>
      <c r="AH13" s="12"/>
      <c r="AI13" s="12"/>
      <c r="AJ13" s="12"/>
      <c r="AK13" s="12"/>
      <c r="AL13" s="12"/>
      <c r="AM13" s="12"/>
    </row>
    <row r="14" spans="2:39" ht="18" thickTop="1" thickBot="1" x14ac:dyDescent="0.4">
      <c r="B14" s="32" t="s">
        <v>29</v>
      </c>
      <c r="C14" s="33">
        <v>3.24</v>
      </c>
      <c r="D14" s="34">
        <v>2.81</v>
      </c>
      <c r="E14" s="34">
        <v>2.2799999999999998</v>
      </c>
      <c r="F14" s="34">
        <v>2.65</v>
      </c>
      <c r="G14" s="34">
        <v>3.4</v>
      </c>
      <c r="H14" s="34">
        <v>3.04</v>
      </c>
      <c r="I14" s="35">
        <v>3.54</v>
      </c>
      <c r="J14" s="23">
        <f>AVERAGE(D14:I14)</f>
        <v>2.9533333333333331</v>
      </c>
      <c r="M14" s="1" t="s">
        <v>11</v>
      </c>
      <c r="N14" s="2" t="e">
        <f>N2/N13</f>
        <v>#VALUE!</v>
      </c>
      <c r="Q14" s="8" t="e">
        <f>Q13/N2-1</f>
        <v>#VALUE!</v>
      </c>
      <c r="S14" s="8" t="e">
        <f>S13/N2-1</f>
        <v>#VALUE!</v>
      </c>
      <c r="T14" s="8" t="e">
        <f>T13/N2-1</f>
        <v>#VALUE!</v>
      </c>
      <c r="W14" s="12" t="s">
        <v>17</v>
      </c>
      <c r="X14" s="13"/>
      <c r="Y14" s="13"/>
      <c r="Z14" s="13"/>
      <c r="AA14" s="10"/>
      <c r="AB14" s="13"/>
      <c r="AC14" s="13"/>
      <c r="AD14" s="13"/>
      <c r="AE14" s="13">
        <v>356405</v>
      </c>
      <c r="AF14" s="13">
        <v>184683</v>
      </c>
      <c r="AG14" s="13">
        <v>1941701</v>
      </c>
      <c r="AH14" s="13"/>
      <c r="AI14" s="13">
        <v>-589417</v>
      </c>
      <c r="AJ14" s="13">
        <v>-6208</v>
      </c>
      <c r="AK14" s="13">
        <v>3142357</v>
      </c>
    </row>
    <row r="15" spans="2:39" ht="18" thickTop="1" thickBot="1" x14ac:dyDescent="0.4">
      <c r="B15" s="32" t="s">
        <v>30</v>
      </c>
      <c r="C15" s="34">
        <f>1+0.6</f>
        <v>1.6</v>
      </c>
      <c r="D15" s="34">
        <f>1+1.25</f>
        <v>2.25</v>
      </c>
      <c r="E15" s="34">
        <f>0.9+0.7</f>
        <v>1.6</v>
      </c>
      <c r="F15" s="34">
        <f>1.1+0.85</f>
        <v>1.9500000000000002</v>
      </c>
      <c r="G15" s="34">
        <v>1.3</v>
      </c>
      <c r="H15" s="34">
        <f>1.65+1.15</f>
        <v>2.8</v>
      </c>
      <c r="I15" s="35">
        <f>1.5+0.85</f>
        <v>2.35</v>
      </c>
      <c r="J15" s="24"/>
      <c r="R15" s="6"/>
      <c r="S15" s="6"/>
      <c r="W15" s="12" t="s">
        <v>55</v>
      </c>
      <c r="X15" s="19" t="e">
        <f t="shared" ref="X15:AJ15" si="15">+X14/X3</f>
        <v>#DIV/0!</v>
      </c>
      <c r="Y15" s="19" t="e">
        <f t="shared" si="15"/>
        <v>#DIV/0!</v>
      </c>
      <c r="Z15" s="19" t="e">
        <f t="shared" si="15"/>
        <v>#DIV/0!</v>
      </c>
      <c r="AA15" s="19" t="e">
        <f t="shared" si="15"/>
        <v>#DIV/0!</v>
      </c>
      <c r="AB15" s="19" t="e">
        <f t="shared" si="15"/>
        <v>#DIV/0!</v>
      </c>
      <c r="AC15" s="19" t="e">
        <f t="shared" si="15"/>
        <v>#DIV/0!</v>
      </c>
      <c r="AD15" s="19" t="e">
        <f t="shared" si="15"/>
        <v>#DIV/0!</v>
      </c>
      <c r="AE15" s="19">
        <f t="shared" si="15"/>
        <v>4.1169007841985308E-2</v>
      </c>
      <c r="AF15" s="19">
        <f t="shared" si="15"/>
        <v>1.9244509990403953E-2</v>
      </c>
      <c r="AG15" s="19">
        <f t="shared" si="15"/>
        <v>0.16003133536713768</v>
      </c>
      <c r="AH15" s="19" t="e">
        <f t="shared" si="15"/>
        <v>#DIV/0!</v>
      </c>
      <c r="AI15" s="19">
        <f t="shared" si="15"/>
        <v>-7.4657641129777935E-2</v>
      </c>
      <c r="AJ15" s="19">
        <f t="shared" si="15"/>
        <v>-6.9600423163397531E-4</v>
      </c>
      <c r="AK15" s="19">
        <f t="shared" ref="AK15" si="16">+AK14/AK3</f>
        <v>0.22847438836422415</v>
      </c>
    </row>
    <row r="16" spans="2:39" ht="18" thickTop="1" thickBot="1" x14ac:dyDescent="0.4">
      <c r="B16" s="32" t="s">
        <v>8</v>
      </c>
      <c r="C16" s="34">
        <v>31.7</v>
      </c>
      <c r="D16" s="34">
        <v>37</v>
      </c>
      <c r="E16" s="34">
        <v>31.9</v>
      </c>
      <c r="F16" s="34">
        <v>30.4</v>
      </c>
      <c r="G16" s="34">
        <v>23.3</v>
      </c>
      <c r="H16" s="34">
        <v>40</v>
      </c>
      <c r="I16" s="35">
        <v>39.799999999999997</v>
      </c>
      <c r="J16" s="22">
        <f>((I16/D16)^(1/5)-1)*100</f>
        <v>1.4696750556643323</v>
      </c>
    </row>
    <row r="17" spans="2:37" ht="18" thickTop="1" thickBot="1" x14ac:dyDescent="0.4">
      <c r="B17" s="32" t="s">
        <v>31</v>
      </c>
      <c r="C17" s="34">
        <v>14.6</v>
      </c>
      <c r="D17" s="34">
        <v>16</v>
      </c>
      <c r="E17" s="34">
        <v>16.7</v>
      </c>
      <c r="F17" s="34">
        <v>19.8</v>
      </c>
      <c r="G17" s="34">
        <v>22.3</v>
      </c>
      <c r="H17" s="34">
        <v>25</v>
      </c>
      <c r="I17" s="35">
        <v>39.4</v>
      </c>
      <c r="J17" s="22">
        <f>((I17/D17)^(1/6)-1)*100</f>
        <v>16.206219645289856</v>
      </c>
      <c r="W17" s="12" t="s">
        <v>44</v>
      </c>
      <c r="X17" s="13"/>
      <c r="Y17" s="13"/>
      <c r="Z17" s="13"/>
      <c r="AA17" s="13"/>
      <c r="AB17" s="13"/>
      <c r="AC17" s="13"/>
      <c r="AD17" s="13"/>
      <c r="AE17" s="13">
        <f>-1136300+104991</f>
        <v>-1031309</v>
      </c>
      <c r="AF17" s="13">
        <f>147786-1399588</f>
        <v>-1251802</v>
      </c>
      <c r="AG17" s="13">
        <f>-1638962+151399</f>
        <v>-1487563</v>
      </c>
      <c r="AH17" s="13"/>
      <c r="AI17" s="13">
        <f>-1454055+115616</f>
        <v>-1338439</v>
      </c>
      <c r="AJ17" s="13">
        <f>102547-1445867</f>
        <v>-1343320</v>
      </c>
      <c r="AK17" s="13">
        <f>-1460966+89604</f>
        <v>-1371362</v>
      </c>
    </row>
    <row r="18" spans="2:37" ht="18" thickTop="1" thickBot="1" x14ac:dyDescent="0.4">
      <c r="B18" s="32" t="s">
        <v>32</v>
      </c>
      <c r="C18" s="36">
        <f t="shared" ref="C18:G18" si="17">C14/AVERAGE(B17:C17)*100</f>
        <v>22.19178082191781</v>
      </c>
      <c r="D18" s="36">
        <f t="shared" si="17"/>
        <v>18.366013071895424</v>
      </c>
      <c r="E18" s="36">
        <f t="shared" si="17"/>
        <v>13.944954128440365</v>
      </c>
      <c r="F18" s="36">
        <f t="shared" si="17"/>
        <v>14.520547945205479</v>
      </c>
      <c r="G18" s="36">
        <f t="shared" si="17"/>
        <v>16.152019002375294</v>
      </c>
      <c r="H18" s="36">
        <f>H14/AVERAGE(G17:H17)*100</f>
        <v>12.854122621564482</v>
      </c>
      <c r="I18" s="37">
        <f>I14/AVERAGE(H17:I17)*100</f>
        <v>10.993788819875776</v>
      </c>
      <c r="J18" s="23">
        <f>AVERAGE(D18:I18)</f>
        <v>14.471907598226137</v>
      </c>
      <c r="M18" s="9" t="s">
        <v>33</v>
      </c>
      <c r="N18" s="6"/>
      <c r="O18" s="6"/>
      <c r="P18" s="6"/>
      <c r="Q18" s="6"/>
      <c r="W18" s="12" t="s">
        <v>45</v>
      </c>
      <c r="X18" s="15" t="e">
        <f t="shared" ref="X18:AJ18" si="18">+X17/X14</f>
        <v>#DIV/0!</v>
      </c>
      <c r="Y18" s="15" t="e">
        <f t="shared" si="18"/>
        <v>#DIV/0!</v>
      </c>
      <c r="Z18" s="15" t="e">
        <f t="shared" si="18"/>
        <v>#DIV/0!</v>
      </c>
      <c r="AA18" s="15" t="e">
        <f t="shared" si="18"/>
        <v>#DIV/0!</v>
      </c>
      <c r="AB18" s="15" t="e">
        <f t="shared" si="18"/>
        <v>#DIV/0!</v>
      </c>
      <c r="AC18" s="15" t="e">
        <f t="shared" si="18"/>
        <v>#DIV/0!</v>
      </c>
      <c r="AD18" s="15" t="e">
        <f t="shared" si="18"/>
        <v>#DIV/0!</v>
      </c>
      <c r="AE18" s="15">
        <f t="shared" si="18"/>
        <v>-2.8936434674036557</v>
      </c>
      <c r="AF18" s="15">
        <f t="shared" si="18"/>
        <v>-6.7781116832626713</v>
      </c>
      <c r="AG18" s="15">
        <f t="shared" si="18"/>
        <v>-0.76611332022798562</v>
      </c>
      <c r="AH18" s="15" t="e">
        <f t="shared" si="18"/>
        <v>#DIV/0!</v>
      </c>
      <c r="AI18" s="15">
        <f t="shared" si="18"/>
        <v>2.2707845209758117</v>
      </c>
      <c r="AJ18" s="15">
        <f t="shared" si="18"/>
        <v>216.38530927835052</v>
      </c>
      <c r="AK18" s="15">
        <f t="shared" ref="AK18" si="19">+AK17/AK14</f>
        <v>-0.43641190354883291</v>
      </c>
    </row>
    <row r="19" spans="2:37" ht="18" thickTop="1" thickBot="1" x14ac:dyDescent="0.4">
      <c r="B19" s="32" t="s">
        <v>34</v>
      </c>
      <c r="C19" s="30">
        <f t="shared" ref="C19:G19" si="20">C15/C16*100</f>
        <v>5.0473186119873823</v>
      </c>
      <c r="D19" s="30">
        <f t="shared" si="20"/>
        <v>6.0810810810810816</v>
      </c>
      <c r="E19" s="30">
        <f t="shared" si="20"/>
        <v>5.015673981191223</v>
      </c>
      <c r="F19" s="30">
        <f t="shared" si="20"/>
        <v>6.4144736842105265</v>
      </c>
      <c r="G19" s="30">
        <f t="shared" si="20"/>
        <v>5.5793991416309012</v>
      </c>
      <c r="H19" s="30">
        <f>H15/H16*100</f>
        <v>6.9999999999999991</v>
      </c>
      <c r="I19" s="31">
        <f>I15/I16*100</f>
        <v>5.9045226130653274</v>
      </c>
      <c r="J19" s="23">
        <f>AVERAGE(D19:I19)</f>
        <v>5.99919175019651</v>
      </c>
    </row>
    <row r="20" spans="2:37" ht="18" thickTop="1" thickBot="1" x14ac:dyDescent="0.4">
      <c r="B20" s="32" t="s">
        <v>35</v>
      </c>
      <c r="C20" s="30">
        <f t="shared" ref="C20:G20" si="21">C15/C14*100</f>
        <v>49.382716049382715</v>
      </c>
      <c r="D20" s="30">
        <f t="shared" si="21"/>
        <v>80.071174377224196</v>
      </c>
      <c r="E20" s="30">
        <f t="shared" si="21"/>
        <v>70.175438596491233</v>
      </c>
      <c r="F20" s="30">
        <f t="shared" si="21"/>
        <v>73.584905660377359</v>
      </c>
      <c r="G20" s="30">
        <f t="shared" si="21"/>
        <v>38.235294117647065</v>
      </c>
      <c r="H20" s="30">
        <f>H15/H14*100</f>
        <v>92.10526315789474</v>
      </c>
      <c r="I20" s="31">
        <f>I15/I14*100</f>
        <v>66.384180790960457</v>
      </c>
      <c r="J20" s="23">
        <f>AVERAGE(D20:I20)</f>
        <v>70.092709450099179</v>
      </c>
      <c r="M20" t="s">
        <v>36</v>
      </c>
      <c r="N20" s="4">
        <f>N13/H14-1</f>
        <v>-1</v>
      </c>
      <c r="W20" s="12" t="s">
        <v>21</v>
      </c>
      <c r="X20" s="13"/>
      <c r="Y20" s="13"/>
      <c r="Z20" s="13"/>
      <c r="AA20" s="13"/>
      <c r="AB20" s="13"/>
      <c r="AC20" s="13"/>
      <c r="AD20" s="13"/>
      <c r="AE20" s="13">
        <v>-679306</v>
      </c>
      <c r="AF20" s="13">
        <v>-1168746</v>
      </c>
      <c r="AG20" s="13">
        <v>349529</v>
      </c>
      <c r="AH20" s="13"/>
      <c r="AI20" s="13">
        <v>-1971250</v>
      </c>
      <c r="AJ20" s="13">
        <v>-1322295</v>
      </c>
      <c r="AK20" s="13">
        <v>1747050</v>
      </c>
    </row>
    <row r="21" spans="2:37" ht="18" thickTop="1" thickBot="1" x14ac:dyDescent="0.4">
      <c r="B21" s="32" t="s">
        <v>11</v>
      </c>
      <c r="C21" s="38">
        <f t="shared" ref="C21:G21" si="22">C16/C14</f>
        <v>9.7839506172839492</v>
      </c>
      <c r="D21" s="38">
        <f t="shared" si="22"/>
        <v>13.167259786476867</v>
      </c>
      <c r="E21" s="38">
        <f t="shared" si="22"/>
        <v>13.991228070175438</v>
      </c>
      <c r="F21" s="38">
        <f t="shared" si="22"/>
        <v>11.471698113207546</v>
      </c>
      <c r="G21" s="38">
        <f t="shared" si="22"/>
        <v>6.8529411764705888</v>
      </c>
      <c r="H21" s="38">
        <f>H16/H14</f>
        <v>13.157894736842104</v>
      </c>
      <c r="I21" s="39">
        <f>I16/I14</f>
        <v>11.242937853107344</v>
      </c>
      <c r="J21" s="23">
        <f>AVERAGE(D21:I21)</f>
        <v>11.647326622713315</v>
      </c>
      <c r="W21" s="12" t="s">
        <v>46</v>
      </c>
      <c r="X21" s="19" t="e">
        <f t="shared" ref="X21:AJ21" si="23">+X20/X3</f>
        <v>#DIV/0!</v>
      </c>
      <c r="Y21" s="19" t="e">
        <f t="shared" si="23"/>
        <v>#DIV/0!</v>
      </c>
      <c r="Z21" s="19" t="e">
        <f t="shared" si="23"/>
        <v>#DIV/0!</v>
      </c>
      <c r="AA21" s="19" t="e">
        <f t="shared" si="23"/>
        <v>#DIV/0!</v>
      </c>
      <c r="AB21" s="19" t="e">
        <f t="shared" si="23"/>
        <v>#DIV/0!</v>
      </c>
      <c r="AC21" s="19" t="e">
        <f t="shared" si="23"/>
        <v>#DIV/0!</v>
      </c>
      <c r="AD21" s="19" t="e">
        <f t="shared" si="23"/>
        <v>#DIV/0!</v>
      </c>
      <c r="AE21" s="19">
        <f t="shared" si="23"/>
        <v>-7.84679060089159E-2</v>
      </c>
      <c r="AF21" s="19">
        <f t="shared" si="23"/>
        <v>-0.12178675932947081</v>
      </c>
      <c r="AG21" s="19">
        <f t="shared" si="23"/>
        <v>2.8807521147457958E-2</v>
      </c>
      <c r="AH21" s="19" t="e">
        <f t="shared" si="23"/>
        <v>#DIV/0!</v>
      </c>
      <c r="AI21" s="19">
        <f t="shared" si="23"/>
        <v>-0.24968549444124408</v>
      </c>
      <c r="AJ21" s="19">
        <f t="shared" si="23"/>
        <v>-0.14824789231128341</v>
      </c>
      <c r="AK21" s="19">
        <f t="shared" ref="AK21" si="24">+AK20/AK3</f>
        <v>0.12702445336151105</v>
      </c>
    </row>
    <row r="22" spans="2:37" ht="18" thickTop="1" thickBot="1" x14ac:dyDescent="0.4">
      <c r="B22" s="32" t="s">
        <v>37</v>
      </c>
      <c r="C22" s="38">
        <f t="shared" ref="C22:G22" si="25">C16/C17</f>
        <v>2.1712328767123288</v>
      </c>
      <c r="D22" s="38">
        <f t="shared" si="25"/>
        <v>2.3125</v>
      </c>
      <c r="E22" s="38">
        <f t="shared" si="25"/>
        <v>1.9101796407185629</v>
      </c>
      <c r="F22" s="38">
        <f t="shared" si="25"/>
        <v>1.5353535353535352</v>
      </c>
      <c r="G22" s="38">
        <f t="shared" si="25"/>
        <v>1.0448430493273542</v>
      </c>
      <c r="H22" s="38">
        <f>H16/H17</f>
        <v>1.6</v>
      </c>
      <c r="I22" s="39">
        <f>I16/I17</f>
        <v>1.0101522842639594</v>
      </c>
      <c r="J22" s="23">
        <f>AVERAGE(D22:I22)</f>
        <v>1.5688380849439021</v>
      </c>
    </row>
    <row r="23" spans="2:37" ht="15.75" thickTop="1" x14ac:dyDescent="0.25">
      <c r="W23" s="12" t="s">
        <v>47</v>
      </c>
      <c r="X23" s="13"/>
      <c r="Y23" s="13"/>
      <c r="Z23" s="13"/>
      <c r="AA23" s="13"/>
      <c r="AB23" s="13"/>
      <c r="AC23" s="13"/>
      <c r="AD23" s="13"/>
      <c r="AE23" s="13">
        <v>-196253</v>
      </c>
      <c r="AF23" s="13">
        <v>-316349</v>
      </c>
      <c r="AG23" s="13">
        <v>-573511</v>
      </c>
      <c r="AH23" s="13"/>
      <c r="AI23" s="13">
        <v>-203013</v>
      </c>
      <c r="AJ23" s="13">
        <v>-323332</v>
      </c>
      <c r="AK23" s="13">
        <v>-231119</v>
      </c>
    </row>
    <row r="24" spans="2:37" x14ac:dyDescent="0.25">
      <c r="G24" s="10">
        <v>701.95658000000003</v>
      </c>
      <c r="H24" s="10">
        <v>709.32254499999999</v>
      </c>
      <c r="I24" s="10">
        <v>716.73997499999996</v>
      </c>
      <c r="W24" s="12" t="s">
        <v>48</v>
      </c>
      <c r="X24" s="14" t="e">
        <f t="shared" ref="X24:AJ24" si="26">+X23/X20</f>
        <v>#DIV/0!</v>
      </c>
      <c r="Y24" s="14" t="e">
        <f t="shared" si="26"/>
        <v>#DIV/0!</v>
      </c>
      <c r="Z24" s="14" t="e">
        <f t="shared" si="26"/>
        <v>#DIV/0!</v>
      </c>
      <c r="AA24" s="14" t="e">
        <f t="shared" si="26"/>
        <v>#DIV/0!</v>
      </c>
      <c r="AB24" s="14" t="e">
        <f t="shared" si="26"/>
        <v>#DIV/0!</v>
      </c>
      <c r="AC24" s="14" t="e">
        <f t="shared" si="26"/>
        <v>#DIV/0!</v>
      </c>
      <c r="AD24" s="14" t="e">
        <f t="shared" si="26"/>
        <v>#DIV/0!</v>
      </c>
      <c r="AE24" s="14">
        <f t="shared" si="26"/>
        <v>0.28890220313084236</v>
      </c>
      <c r="AF24" s="14">
        <f t="shared" si="26"/>
        <v>0.27067386754692635</v>
      </c>
      <c r="AG24" s="14">
        <f t="shared" si="26"/>
        <v>-1.6408109198378389</v>
      </c>
      <c r="AH24" s="14" t="e">
        <f t="shared" si="26"/>
        <v>#DIV/0!</v>
      </c>
      <c r="AI24" s="14">
        <f t="shared" si="26"/>
        <v>0.10298693722257451</v>
      </c>
      <c r="AJ24" s="14">
        <f t="shared" si="26"/>
        <v>0.24452334766447728</v>
      </c>
      <c r="AK24" s="14">
        <f t="shared" ref="AK24" si="27">+AK23/AK20</f>
        <v>-0.13229100483672476</v>
      </c>
    </row>
    <row r="25" spans="2:37" x14ac:dyDescent="0.25">
      <c r="G25">
        <f>+G10/G24</f>
        <v>3.3959137472577008</v>
      </c>
      <c r="H25">
        <f>+H10/H24</f>
        <v>3.0163950308388974</v>
      </c>
      <c r="I25">
        <f>+I10/I24</f>
        <v>3.5316154927733732</v>
      </c>
      <c r="M25" s="10"/>
    </row>
    <row r="26" spans="2:37" x14ac:dyDescent="0.25">
      <c r="M26" s="10"/>
      <c r="W26" s="12" t="s">
        <v>74</v>
      </c>
      <c r="Y26" s="13"/>
      <c r="Z26" s="13"/>
      <c r="AA26" s="13"/>
      <c r="AB26" s="13"/>
      <c r="AC26" s="13"/>
      <c r="AD26" s="13"/>
      <c r="AE26" s="13">
        <v>-414712</v>
      </c>
      <c r="AF26" s="13">
        <v>-462906</v>
      </c>
      <c r="AG26" s="13">
        <v>34678</v>
      </c>
      <c r="AH26" s="13"/>
      <c r="AI26" s="13">
        <v>-766268</v>
      </c>
      <c r="AJ26" s="13">
        <v>-623970</v>
      </c>
      <c r="AK26" s="13">
        <v>685655</v>
      </c>
    </row>
    <row r="29" spans="2:37" x14ac:dyDescent="0.25">
      <c r="M29" s="10"/>
      <c r="W29" s="12" t="s">
        <v>49</v>
      </c>
      <c r="X29" s="13">
        <f t="shared" ref="X29:AH29" si="28">+X20+X23-X26</f>
        <v>0</v>
      </c>
      <c r="Y29" s="13">
        <f t="shared" si="28"/>
        <v>0</v>
      </c>
      <c r="Z29" s="13">
        <f t="shared" si="28"/>
        <v>0</v>
      </c>
      <c r="AA29" s="13">
        <f t="shared" si="28"/>
        <v>0</v>
      </c>
      <c r="AB29" s="13">
        <f t="shared" si="28"/>
        <v>0</v>
      </c>
      <c r="AC29" s="13">
        <f t="shared" si="28"/>
        <v>0</v>
      </c>
      <c r="AD29" s="13">
        <f t="shared" si="28"/>
        <v>0</v>
      </c>
      <c r="AE29" s="13">
        <f t="shared" si="28"/>
        <v>-460847</v>
      </c>
      <c r="AF29" s="13">
        <f t="shared" si="28"/>
        <v>-1022189</v>
      </c>
      <c r="AG29" s="13">
        <f t="shared" si="28"/>
        <v>-258660</v>
      </c>
      <c r="AH29" s="13">
        <f t="shared" si="28"/>
        <v>0</v>
      </c>
      <c r="AI29" s="13">
        <f>+AI20+AI23-AI26</f>
        <v>-1407995</v>
      </c>
      <c r="AJ29" s="13">
        <f t="shared" ref="AJ29:AK29" si="29">+AJ20+AJ23-AJ26</f>
        <v>-1021657</v>
      </c>
      <c r="AK29" s="13">
        <f t="shared" si="29"/>
        <v>830276</v>
      </c>
    </row>
    <row r="30" spans="2:37" x14ac:dyDescent="0.25">
      <c r="M30" s="10"/>
      <c r="W30" s="12" t="s">
        <v>25</v>
      </c>
      <c r="X30" s="19" t="e">
        <f t="shared" ref="X30:AJ30" si="30">+X29/X3</f>
        <v>#DIV/0!</v>
      </c>
      <c r="Y30" s="19" t="e">
        <f t="shared" si="30"/>
        <v>#DIV/0!</v>
      </c>
      <c r="Z30" s="19" t="e">
        <f t="shared" si="30"/>
        <v>#DIV/0!</v>
      </c>
      <c r="AA30" s="19" t="e">
        <f t="shared" si="30"/>
        <v>#DIV/0!</v>
      </c>
      <c r="AB30" s="19" t="e">
        <f t="shared" si="30"/>
        <v>#DIV/0!</v>
      </c>
      <c r="AC30" s="19" t="e">
        <f t="shared" si="30"/>
        <v>#DIV/0!</v>
      </c>
      <c r="AD30" s="19" t="e">
        <f t="shared" si="30"/>
        <v>#DIV/0!</v>
      </c>
      <c r="AE30" s="19">
        <f t="shared" si="30"/>
        <v>-5.3233298514205475E-2</v>
      </c>
      <c r="AF30" s="19">
        <f t="shared" si="30"/>
        <v>-0.10651509030382345</v>
      </c>
      <c r="AG30" s="19">
        <f t="shared" si="30"/>
        <v>-2.1318269499816824E-2</v>
      </c>
      <c r="AH30" s="19" t="e">
        <f t="shared" si="30"/>
        <v>#DIV/0!</v>
      </c>
      <c r="AI30" s="19">
        <f t="shared" si="30"/>
        <v>-0.17834162472837004</v>
      </c>
      <c r="AJ30" s="19">
        <f t="shared" si="30"/>
        <v>-0.11454213841470237</v>
      </c>
      <c r="AK30" s="19">
        <f t="shared" ref="AK30" si="31">+AK29/AK3</f>
        <v>6.036767982552415E-2</v>
      </c>
    </row>
    <row r="32" spans="2:37" x14ac:dyDescent="0.25">
      <c r="W32" s="12" t="s">
        <v>29</v>
      </c>
      <c r="X32" s="16">
        <f t="shared" ref="X32:AJ32" si="32">+X29/X47</f>
        <v>0</v>
      </c>
      <c r="Y32" s="16">
        <f t="shared" si="32"/>
        <v>0</v>
      </c>
      <c r="Z32" s="16">
        <f t="shared" si="32"/>
        <v>0</v>
      </c>
      <c r="AA32" s="16">
        <f t="shared" si="32"/>
        <v>0</v>
      </c>
      <c r="AB32" s="16">
        <f t="shared" si="32"/>
        <v>0</v>
      </c>
      <c r="AC32" s="16">
        <f t="shared" si="32"/>
        <v>0</v>
      </c>
      <c r="AD32" s="16">
        <f t="shared" si="32"/>
        <v>0</v>
      </c>
      <c r="AE32" s="16">
        <f t="shared" si="32"/>
        <v>-1.3703856382769146</v>
      </c>
      <c r="AF32" s="16">
        <f t="shared" si="32"/>
        <v>-3.0396056070770583</v>
      </c>
      <c r="AG32" s="16">
        <f t="shared" si="32"/>
        <v>-0.76915754946154957</v>
      </c>
      <c r="AH32" s="16">
        <f t="shared" si="32"/>
        <v>0</v>
      </c>
      <c r="AI32" s="16">
        <f t="shared" si="32"/>
        <v>-4.1868475367436577</v>
      </c>
      <c r="AJ32" s="16">
        <f t="shared" si="32"/>
        <v>-3.0380236391797664</v>
      </c>
      <c r="AK32" s="16">
        <f t="shared" ref="AK32" si="33">+AK29/AK47</f>
        <v>2.4689285298721777</v>
      </c>
    </row>
    <row r="33" spans="23:40" x14ac:dyDescent="0.25">
      <c r="W33" s="12" t="s">
        <v>40</v>
      </c>
      <c r="AA33" s="17"/>
      <c r="AB33" s="18" t="e">
        <f t="shared" ref="AB33:AG33" si="34">+AB32/X32-1</f>
        <v>#DIV/0!</v>
      </c>
      <c r="AC33" s="18" t="e">
        <f t="shared" si="34"/>
        <v>#DIV/0!</v>
      </c>
      <c r="AD33" s="18" t="e">
        <f t="shared" si="34"/>
        <v>#DIV/0!</v>
      </c>
      <c r="AE33" s="18" t="e">
        <f t="shared" si="34"/>
        <v>#DIV/0!</v>
      </c>
      <c r="AF33" s="18" t="e">
        <f t="shared" si="34"/>
        <v>#DIV/0!</v>
      </c>
      <c r="AG33" s="18" t="e">
        <f t="shared" si="34"/>
        <v>#DIV/0!</v>
      </c>
      <c r="AH33" s="18" t="e">
        <f>+AH32/AD32-1</f>
        <v>#DIV/0!</v>
      </c>
      <c r="AI33" s="18">
        <f>+AI32/AE32-1</f>
        <v>2.0552330816952264</v>
      </c>
      <c r="AJ33" s="18">
        <f t="shared" ref="AJ33:AK33" si="35">+AJ32/AF32-1</f>
        <v>-5.2045169728887064E-4</v>
      </c>
      <c r="AK33" s="18">
        <f t="shared" si="35"/>
        <v>-4.2099126266140878</v>
      </c>
    </row>
    <row r="34" spans="23:40" x14ac:dyDescent="0.25">
      <c r="W34" s="12" t="s">
        <v>41</v>
      </c>
      <c r="Y34" s="18" t="e">
        <f t="shared" ref="Y34:AD34" si="36">+Y32/X32-1</f>
        <v>#DIV/0!</v>
      </c>
      <c r="Z34" s="18" t="e">
        <f t="shared" si="36"/>
        <v>#DIV/0!</v>
      </c>
      <c r="AA34" s="18" t="e">
        <f t="shared" si="36"/>
        <v>#DIV/0!</v>
      </c>
      <c r="AB34" s="18" t="e">
        <f t="shared" si="36"/>
        <v>#DIV/0!</v>
      </c>
      <c r="AC34" s="18" t="e">
        <f t="shared" si="36"/>
        <v>#DIV/0!</v>
      </c>
      <c r="AD34" s="18" t="e">
        <f t="shared" si="36"/>
        <v>#DIV/0!</v>
      </c>
      <c r="AE34" s="18" t="e">
        <f t="shared" ref="AE34:AK34" si="37">+AE32/AD32-1</f>
        <v>#DIV/0!</v>
      </c>
      <c r="AF34" s="18">
        <f t="shared" si="37"/>
        <v>1.218065865677763</v>
      </c>
      <c r="AG34" s="18">
        <f t="shared" si="37"/>
        <v>-0.74695481950989495</v>
      </c>
      <c r="AH34" s="18">
        <f t="shared" si="37"/>
        <v>-1</v>
      </c>
      <c r="AI34" s="18" t="e">
        <f t="shared" si="37"/>
        <v>#DIV/0!</v>
      </c>
      <c r="AJ34" s="18">
        <f t="shared" si="37"/>
        <v>-0.27438875848280708</v>
      </c>
      <c r="AK34" s="18">
        <f t="shared" si="37"/>
        <v>-1.8126758784993398</v>
      </c>
    </row>
    <row r="35" spans="23:40" x14ac:dyDescent="0.25">
      <c r="Y35" s="18"/>
      <c r="Z35" s="18"/>
      <c r="AA35" s="18"/>
      <c r="AB35" s="18"/>
      <c r="AC35" s="18"/>
      <c r="AD35" s="18"/>
      <c r="AE35" s="18"/>
      <c r="AF35" s="18"/>
      <c r="AG35" s="18"/>
      <c r="AH35" s="18"/>
      <c r="AI35" s="18"/>
      <c r="AJ35" s="18"/>
      <c r="AK35" s="18"/>
    </row>
    <row r="36" spans="23:40" x14ac:dyDescent="0.25">
      <c r="W36" s="12" t="s">
        <v>88</v>
      </c>
      <c r="X36" s="18"/>
      <c r="Y36" s="18"/>
      <c r="Z36" s="18" t="e">
        <f t="shared" ref="Z36:AJ36" si="38">+Z29*4/Z41</f>
        <v>#DIV/0!</v>
      </c>
      <c r="AA36" s="18" t="e">
        <f t="shared" si="38"/>
        <v>#DIV/0!</v>
      </c>
      <c r="AB36" s="18" t="e">
        <f t="shared" si="38"/>
        <v>#DIV/0!</v>
      </c>
      <c r="AC36" s="18" t="e">
        <f t="shared" si="38"/>
        <v>#DIV/0!</v>
      </c>
      <c r="AD36" s="18" t="e">
        <f t="shared" si="38"/>
        <v>#DIV/0!</v>
      </c>
      <c r="AE36" s="18">
        <f t="shared" si="38"/>
        <v>-8.3029720815813529E-2</v>
      </c>
      <c r="AF36" s="18">
        <f t="shared" si="38"/>
        <v>-0.18878801022554242</v>
      </c>
      <c r="AG36" s="18">
        <f t="shared" si="38"/>
        <v>-4.9642480959082906E-2</v>
      </c>
      <c r="AH36" s="18">
        <f t="shared" si="38"/>
        <v>0</v>
      </c>
      <c r="AI36" s="18">
        <f t="shared" si="38"/>
        <v>-0.29760768963508316</v>
      </c>
      <c r="AJ36" s="18">
        <f t="shared" si="38"/>
        <v>-0.21828829518896237</v>
      </c>
      <c r="AK36" s="18">
        <f t="shared" ref="AK36" si="39">+AK29*4/AK41</f>
        <v>0.17149044385097953</v>
      </c>
      <c r="AM36" s="14">
        <f>+AVERAGE(AE36:AK36)</f>
        <v>-9.5123678996214989E-2</v>
      </c>
      <c r="AN36" t="s">
        <v>88</v>
      </c>
    </row>
    <row r="37" spans="23:40" x14ac:dyDescent="0.25">
      <c r="AM37" s="56">
        <f>AVERAGE(AE36:AK36)*AK49</f>
        <v>-5.4779394038828038</v>
      </c>
      <c r="AN37" t="s">
        <v>183</v>
      </c>
    </row>
    <row r="38" spans="23:40" x14ac:dyDescent="0.25">
      <c r="W38" s="12" t="s">
        <v>52</v>
      </c>
      <c r="X38" s="13"/>
      <c r="Y38" s="13"/>
      <c r="Z38" s="13"/>
      <c r="AA38" s="13"/>
      <c r="AB38" s="13"/>
      <c r="AC38" s="13"/>
      <c r="AD38" s="13"/>
      <c r="AE38" s="13">
        <f>44030594+16193412+1375651+115888+7012658+1504918+7535499</f>
        <v>77768620</v>
      </c>
      <c r="AF38" s="13">
        <f>43323417+15939893+1121320+131939+5820051+1540020+9700647</f>
        <v>77577287</v>
      </c>
      <c r="AG38" s="13">
        <f>41871864+15604783+1481719+157008+6701180+1568848+8956202</f>
        <v>76341604</v>
      </c>
      <c r="AH38" s="13">
        <f>36588535+13588054+1313017+204269+6114421+1422456+7946332</f>
        <v>67177084</v>
      </c>
      <c r="AI38" s="13">
        <f>36588535+12485037+1785001+231032+5294839+1362395+7805711</f>
        <v>65552550</v>
      </c>
      <c r="AJ38" s="13">
        <f>33016204+12708430+2365190+55569+5713085+1446643+9190582</f>
        <v>64495703</v>
      </c>
      <c r="AK38" s="13">
        <f>31454770+12349256+2247829+1002808+6589092+1468673+7601592</f>
        <v>62714020</v>
      </c>
      <c r="AM38" s="56">
        <f>60/AM37</f>
        <v>-10.953023678478729</v>
      </c>
      <c r="AN38" t="s">
        <v>11</v>
      </c>
    </row>
    <row r="39" spans="23:40" x14ac:dyDescent="0.25">
      <c r="W39" s="12" t="s">
        <v>53</v>
      </c>
      <c r="X39" s="13"/>
      <c r="Y39" s="13"/>
      <c r="Z39" s="13"/>
      <c r="AA39" s="13"/>
      <c r="AB39" s="13"/>
      <c r="AC39" s="13"/>
      <c r="AD39" s="13"/>
      <c r="AE39" s="13">
        <f>7031351+3834463</f>
        <v>10865814</v>
      </c>
      <c r="AF39" s="13">
        <f>4897591+5421350</f>
        <v>10318941</v>
      </c>
      <c r="AG39" s="13">
        <f>5770176+5537008</f>
        <v>11307184</v>
      </c>
      <c r="AH39" s="13">
        <f>4552709+5262311</f>
        <v>9815020</v>
      </c>
      <c r="AI39" s="13">
        <f>2613857+4346219</f>
        <v>6960076</v>
      </c>
      <c r="AJ39" s="13">
        <f>2381938+3532496</f>
        <v>5914434</v>
      </c>
      <c r="AK39" s="13">
        <f>3007107+3643355</f>
        <v>6650462</v>
      </c>
    </row>
    <row r="40" spans="23:40" x14ac:dyDescent="0.25">
      <c r="W40" s="12" t="s">
        <v>50</v>
      </c>
      <c r="X40" s="13">
        <f t="shared" ref="X40:AJ40" si="40">+X38-X39</f>
        <v>0</v>
      </c>
      <c r="Y40" s="13">
        <f t="shared" si="40"/>
        <v>0</v>
      </c>
      <c r="Z40" s="13">
        <f t="shared" si="40"/>
        <v>0</v>
      </c>
      <c r="AA40" s="13">
        <f t="shared" si="40"/>
        <v>0</v>
      </c>
      <c r="AB40" s="13">
        <f t="shared" si="40"/>
        <v>0</v>
      </c>
      <c r="AC40" s="13">
        <f t="shared" si="40"/>
        <v>0</v>
      </c>
      <c r="AD40" s="13">
        <f t="shared" si="40"/>
        <v>0</v>
      </c>
      <c r="AE40" s="13">
        <f t="shared" si="40"/>
        <v>66902806</v>
      </c>
      <c r="AF40" s="13">
        <f t="shared" si="40"/>
        <v>67258346</v>
      </c>
      <c r="AG40" s="13">
        <f t="shared" si="40"/>
        <v>65034420</v>
      </c>
      <c r="AH40" s="13">
        <f t="shared" si="40"/>
        <v>57362064</v>
      </c>
      <c r="AI40" s="13">
        <f t="shared" si="40"/>
        <v>58592474</v>
      </c>
      <c r="AJ40" s="13">
        <f t="shared" si="40"/>
        <v>58581269</v>
      </c>
      <c r="AK40" s="13">
        <f t="shared" ref="AK40" si="41">+AK38-AK39</f>
        <v>56063558</v>
      </c>
    </row>
    <row r="41" spans="23:40" x14ac:dyDescent="0.25">
      <c r="W41" s="12" t="s">
        <v>54</v>
      </c>
      <c r="X41" s="13"/>
      <c r="Y41" s="13"/>
      <c r="Z41" s="13"/>
      <c r="AA41" s="13"/>
      <c r="AB41" s="13"/>
      <c r="AC41" s="13"/>
      <c r="AD41" s="13"/>
      <c r="AE41" s="13">
        <v>22201544</v>
      </c>
      <c r="AF41" s="13">
        <v>21657922</v>
      </c>
      <c r="AG41" s="13">
        <v>20841827</v>
      </c>
      <c r="AH41" s="13">
        <v>21041256</v>
      </c>
      <c r="AI41" s="13">
        <v>18924175</v>
      </c>
      <c r="AJ41" s="13">
        <v>18721242</v>
      </c>
      <c r="AK41" s="13">
        <v>19366117</v>
      </c>
    </row>
    <row r="43" spans="23:40" x14ac:dyDescent="0.25">
      <c r="W43" s="12" t="s">
        <v>51</v>
      </c>
      <c r="X43" s="14" t="e">
        <f t="shared" ref="X43:AJ43" si="42">+X38/X41</f>
        <v>#DIV/0!</v>
      </c>
      <c r="Y43" s="14" t="e">
        <f t="shared" si="42"/>
        <v>#DIV/0!</v>
      </c>
      <c r="Z43" s="14" t="e">
        <f t="shared" si="42"/>
        <v>#DIV/0!</v>
      </c>
      <c r="AA43" s="14" t="e">
        <f t="shared" si="42"/>
        <v>#DIV/0!</v>
      </c>
      <c r="AB43" s="14" t="e">
        <f t="shared" si="42"/>
        <v>#DIV/0!</v>
      </c>
      <c r="AC43" s="14" t="e">
        <f t="shared" si="42"/>
        <v>#DIV/0!</v>
      </c>
      <c r="AD43" s="14" t="e">
        <f t="shared" si="42"/>
        <v>#DIV/0!</v>
      </c>
      <c r="AE43" s="14">
        <f t="shared" si="42"/>
        <v>3.5028473695342992</v>
      </c>
      <c r="AF43" s="14">
        <f t="shared" si="42"/>
        <v>3.5819358385352023</v>
      </c>
      <c r="AG43" s="14">
        <f t="shared" si="42"/>
        <v>3.6629036408372451</v>
      </c>
      <c r="AH43" s="14">
        <f t="shared" si="42"/>
        <v>3.1926365992600441</v>
      </c>
      <c r="AI43" s="14">
        <f t="shared" si="42"/>
        <v>3.4639581382015332</v>
      </c>
      <c r="AJ43" s="14">
        <f t="shared" si="42"/>
        <v>3.4450547137844807</v>
      </c>
      <c r="AK43" s="14">
        <f t="shared" ref="AK43" si="43">+AK38/AK41</f>
        <v>3.2383373497123866</v>
      </c>
    </row>
    <row r="45" spans="23:40" x14ac:dyDescent="0.25">
      <c r="W45" s="12" t="s">
        <v>63</v>
      </c>
      <c r="X45" s="16">
        <f>+EXPO!X45</f>
        <v>187.87664531682452</v>
      </c>
      <c r="Y45" s="16">
        <f>+EXPO!Y45</f>
        <v>187.90335511406354</v>
      </c>
      <c r="Z45" s="16">
        <f>+EXPO!Z45</f>
        <v>197.89852109390694</v>
      </c>
      <c r="AA45" s="16">
        <f>+EXPO!AA45</f>
        <v>201.8866687497617</v>
      </c>
      <c r="AB45" s="16">
        <f>+EXPO!AB45</f>
        <v>202.93332696356742</v>
      </c>
      <c r="AC45" s="16">
        <f>+EXPO!AC45</f>
        <v>203.00000683784583</v>
      </c>
      <c r="AD45" s="16">
        <f>+EXPO!AD45</f>
        <v>233.47823381556913</v>
      </c>
      <c r="AE45" s="16">
        <f>+EXPO!AE45</f>
        <v>364.27332126591261</v>
      </c>
      <c r="AF45" s="16">
        <f>+EXPO!AF45</f>
        <v>368.84924281572984</v>
      </c>
      <c r="AG45" s="16">
        <f>+EXPO!AG45</f>
        <v>371.77544011969854</v>
      </c>
      <c r="AH45" s="16">
        <f>+EXPO!AH45</f>
        <v>357.68530427957404</v>
      </c>
      <c r="AI45" s="16">
        <f>+EXPO!AI45</f>
        <v>316.45665972198566</v>
      </c>
      <c r="AJ45" s="16">
        <f>+EXPO!AJ45</f>
        <v>330.91833575134615</v>
      </c>
      <c r="AK45" s="16">
        <f>+EXPO!AK45</f>
        <v>334.23663546748418</v>
      </c>
      <c r="AL45" s="46">
        <f>+AJ45/AF45-1</f>
        <v>-0.10283580027120531</v>
      </c>
    </row>
    <row r="47" spans="23:40" x14ac:dyDescent="0.25">
      <c r="W47" s="12" t="s">
        <v>56</v>
      </c>
      <c r="X47" s="13">
        <f t="shared" ref="X47:AH47" si="44">Y47</f>
        <v>336290.01</v>
      </c>
      <c r="Y47" s="13">
        <f t="shared" si="44"/>
        <v>336290.01</v>
      </c>
      <c r="Z47" s="13">
        <f t="shared" si="44"/>
        <v>336290.01</v>
      </c>
      <c r="AA47" s="13">
        <f t="shared" si="44"/>
        <v>336290.01</v>
      </c>
      <c r="AB47" s="13">
        <f t="shared" si="44"/>
        <v>336290.01</v>
      </c>
      <c r="AC47" s="13">
        <f t="shared" si="44"/>
        <v>336290.01</v>
      </c>
      <c r="AD47" s="13">
        <f t="shared" si="44"/>
        <v>336290.01</v>
      </c>
      <c r="AE47" s="13">
        <f t="shared" si="44"/>
        <v>336290.01</v>
      </c>
      <c r="AF47" s="13">
        <f t="shared" si="44"/>
        <v>336290.01</v>
      </c>
      <c r="AG47" s="13">
        <f t="shared" si="44"/>
        <v>336290.01</v>
      </c>
      <c r="AH47" s="13">
        <f t="shared" si="44"/>
        <v>336290.01</v>
      </c>
      <c r="AI47" s="13">
        <f>AJ47</f>
        <v>336290.01</v>
      </c>
      <c r="AJ47" s="13">
        <v>336290.01</v>
      </c>
      <c r="AK47" s="13">
        <v>336290.01</v>
      </c>
    </row>
    <row r="49" spans="23:37" x14ac:dyDescent="0.25">
      <c r="W49" s="12" t="s">
        <v>57</v>
      </c>
      <c r="X49" s="16"/>
      <c r="Y49" s="16">
        <f t="shared" ref="Y49:AJ49" si="45">+Y41/Y47</f>
        <v>0</v>
      </c>
      <c r="Z49" s="16">
        <f t="shared" si="45"/>
        <v>0</v>
      </c>
      <c r="AA49" s="16">
        <f t="shared" si="45"/>
        <v>0</v>
      </c>
      <c r="AB49" s="16">
        <f t="shared" si="45"/>
        <v>0</v>
      </c>
      <c r="AC49" s="16">
        <f t="shared" si="45"/>
        <v>0</v>
      </c>
      <c r="AD49" s="16">
        <f t="shared" si="45"/>
        <v>0</v>
      </c>
      <c r="AE49" s="16">
        <f t="shared" si="45"/>
        <v>66.019041124653086</v>
      </c>
      <c r="AF49" s="16">
        <f t="shared" si="45"/>
        <v>64.402513770777787</v>
      </c>
      <c r="AG49" s="16">
        <f t="shared" si="45"/>
        <v>61.975754200964815</v>
      </c>
      <c r="AH49" s="16">
        <f t="shared" si="45"/>
        <v>62.568781035154743</v>
      </c>
      <c r="AI49" s="16">
        <f t="shared" si="45"/>
        <v>56.273378444991572</v>
      </c>
      <c r="AJ49" s="16">
        <f t="shared" si="45"/>
        <v>55.669932032771356</v>
      </c>
      <c r="AK49" s="16">
        <f t="shared" ref="AK49" si="46">+AK41/AK47</f>
        <v>57.587547724061146</v>
      </c>
    </row>
    <row r="51" spans="23:37" x14ac:dyDescent="0.25">
      <c r="W51" s="12" t="s">
        <v>67</v>
      </c>
      <c r="X51" s="13"/>
      <c r="Y51" s="13">
        <f>+Y55-X55</f>
        <v>0</v>
      </c>
      <c r="Z51" s="13">
        <f>+Z55-Y55</f>
        <v>0</v>
      </c>
      <c r="AA51" s="13">
        <f>+AA55</f>
        <v>0</v>
      </c>
      <c r="AB51" s="13">
        <f t="shared" ref="AB51:AD52" si="47">+AB55-AA55</f>
        <v>0</v>
      </c>
      <c r="AC51" s="13">
        <f t="shared" si="47"/>
        <v>0</v>
      </c>
      <c r="AD51" s="13">
        <f t="shared" si="47"/>
        <v>0</v>
      </c>
      <c r="AE51" s="13">
        <f>+AE55</f>
        <v>867225</v>
      </c>
      <c r="AF51" s="13">
        <f t="shared" ref="AF51:AK52" si="48">+AF55-AE55</f>
        <v>72508</v>
      </c>
      <c r="AG51" s="13">
        <f t="shared" si="48"/>
        <v>4542667</v>
      </c>
      <c r="AH51" s="13">
        <f t="shared" si="48"/>
        <v>-5482400</v>
      </c>
      <c r="AI51" s="13">
        <f>+AI55</f>
        <v>45904</v>
      </c>
      <c r="AJ51" s="13">
        <f t="shared" si="48"/>
        <v>-182884</v>
      </c>
      <c r="AK51" s="13">
        <f t="shared" si="48"/>
        <v>4449175</v>
      </c>
    </row>
    <row r="52" spans="23:37" x14ac:dyDescent="0.25">
      <c r="W52" s="12" t="s">
        <v>60</v>
      </c>
      <c r="Y52" s="13">
        <f>+Y56-X56</f>
        <v>0</v>
      </c>
      <c r="Z52" s="13">
        <f>+Z56-Y56</f>
        <v>0</v>
      </c>
      <c r="AA52" s="13">
        <f>+AA56</f>
        <v>0</v>
      </c>
      <c r="AB52" s="13">
        <f t="shared" si="47"/>
        <v>0</v>
      </c>
      <c r="AC52" s="13">
        <f t="shared" si="47"/>
        <v>0</v>
      </c>
      <c r="AD52" s="13">
        <f t="shared" si="47"/>
        <v>0</v>
      </c>
      <c r="AE52" s="13">
        <f>+AE56</f>
        <v>-428518</v>
      </c>
      <c r="AF52" s="13">
        <f t="shared" si="48"/>
        <v>-442461</v>
      </c>
      <c r="AG52" s="13">
        <f t="shared" si="48"/>
        <v>-536464</v>
      </c>
      <c r="AH52" s="13">
        <f t="shared" si="48"/>
        <v>1407443</v>
      </c>
      <c r="AI52" s="13">
        <f>+AI56</f>
        <v>-418376</v>
      </c>
      <c r="AJ52" s="13">
        <f t="shared" si="48"/>
        <v>-552200</v>
      </c>
      <c r="AK52" s="13">
        <f t="shared" si="48"/>
        <v>-408398</v>
      </c>
    </row>
    <row r="53" spans="23:37" x14ac:dyDescent="0.25">
      <c r="W53" s="12" t="s">
        <v>68</v>
      </c>
      <c r="Y53" s="13">
        <f t="shared" ref="Y53:AJ53" si="49">+Y51+Y52</f>
        <v>0</v>
      </c>
      <c r="Z53" s="13">
        <f t="shared" si="49"/>
        <v>0</v>
      </c>
      <c r="AA53" s="13">
        <f t="shared" si="49"/>
        <v>0</v>
      </c>
      <c r="AB53" s="13">
        <f t="shared" si="49"/>
        <v>0</v>
      </c>
      <c r="AC53" s="13">
        <f t="shared" si="49"/>
        <v>0</v>
      </c>
      <c r="AD53" s="13">
        <f t="shared" si="49"/>
        <v>0</v>
      </c>
      <c r="AE53" s="13">
        <f t="shared" si="49"/>
        <v>438707</v>
      </c>
      <c r="AF53" s="13">
        <f t="shared" si="49"/>
        <v>-369953</v>
      </c>
      <c r="AG53" s="13">
        <f t="shared" si="49"/>
        <v>4006203</v>
      </c>
      <c r="AH53" s="13">
        <f t="shared" si="49"/>
        <v>-4074957</v>
      </c>
      <c r="AI53" s="13">
        <f t="shared" si="49"/>
        <v>-372472</v>
      </c>
      <c r="AJ53" s="13">
        <f t="shared" si="49"/>
        <v>-735084</v>
      </c>
      <c r="AK53" s="13">
        <f t="shared" ref="AK53" si="50">+AK51+AK52</f>
        <v>4040777</v>
      </c>
    </row>
    <row r="55" spans="23:37" x14ac:dyDescent="0.25">
      <c r="W55" s="12" t="s">
        <v>67</v>
      </c>
      <c r="X55" s="13"/>
      <c r="Y55" s="13"/>
      <c r="Z55" s="13"/>
      <c r="AA55" s="13"/>
      <c r="AB55" s="13"/>
      <c r="AC55" s="10"/>
      <c r="AD55" s="13"/>
      <c r="AE55" s="13">
        <v>867225</v>
      </c>
      <c r="AF55" s="13">
        <v>939733</v>
      </c>
      <c r="AG55" s="13">
        <v>5482400</v>
      </c>
      <c r="AH55" s="13"/>
      <c r="AI55" s="13">
        <v>45904</v>
      </c>
      <c r="AJ55" s="13">
        <v>-136980</v>
      </c>
      <c r="AK55" s="13">
        <v>4312195</v>
      </c>
    </row>
    <row r="56" spans="23:37" x14ac:dyDescent="0.25">
      <c r="W56" s="12" t="s">
        <v>60</v>
      </c>
      <c r="X56" s="13"/>
      <c r="Y56" s="13"/>
      <c r="Z56" s="13"/>
      <c r="AA56" s="13"/>
      <c r="AB56" s="13"/>
      <c r="AC56" s="13"/>
      <c r="AD56" s="13"/>
      <c r="AE56" s="13">
        <v>-428518</v>
      </c>
      <c r="AF56" s="13">
        <v>-870979</v>
      </c>
      <c r="AG56" s="13">
        <v>-1407443</v>
      </c>
      <c r="AH56" s="13"/>
      <c r="AI56" s="13">
        <v>-418376</v>
      </c>
      <c r="AJ56" s="13">
        <v>-970576</v>
      </c>
      <c r="AK56" s="13">
        <v>-1378974</v>
      </c>
    </row>
    <row r="57" spans="23:37" x14ac:dyDescent="0.25">
      <c r="W57" s="12" t="s">
        <v>68</v>
      </c>
      <c r="X57" s="13">
        <f t="shared" ref="X57:AJ57" si="51">+X55+X56</f>
        <v>0</v>
      </c>
      <c r="Y57" s="13">
        <f t="shared" si="51"/>
        <v>0</v>
      </c>
      <c r="Z57" s="13">
        <f t="shared" si="51"/>
        <v>0</v>
      </c>
      <c r="AA57" s="13">
        <f t="shared" si="51"/>
        <v>0</v>
      </c>
      <c r="AB57" s="13">
        <f t="shared" si="51"/>
        <v>0</v>
      </c>
      <c r="AC57" s="13">
        <f t="shared" si="51"/>
        <v>0</v>
      </c>
      <c r="AD57" s="13">
        <f t="shared" si="51"/>
        <v>0</v>
      </c>
      <c r="AE57" s="13">
        <f t="shared" si="51"/>
        <v>438707</v>
      </c>
      <c r="AF57" s="13">
        <f t="shared" si="51"/>
        <v>68754</v>
      </c>
      <c r="AG57" s="13">
        <f t="shared" si="51"/>
        <v>4074957</v>
      </c>
      <c r="AH57" s="13">
        <f t="shared" si="51"/>
        <v>0</v>
      </c>
      <c r="AI57" s="13">
        <f t="shared" si="51"/>
        <v>-372472</v>
      </c>
      <c r="AJ57" s="13">
        <f t="shared" si="51"/>
        <v>-1107556</v>
      </c>
      <c r="AK57" s="13">
        <f t="shared" ref="AK57" si="52">+AK55+AK56</f>
        <v>2933221</v>
      </c>
    </row>
    <row r="59" spans="23:37" x14ac:dyDescent="0.25">
      <c r="W59" s="47" t="s">
        <v>76</v>
      </c>
    </row>
    <row r="60" spans="23:37" x14ac:dyDescent="0.25">
      <c r="W60" s="47" t="s">
        <v>384</v>
      </c>
      <c r="AC60" s="13"/>
      <c r="AG60" s="13"/>
      <c r="AK60" s="13"/>
    </row>
    <row r="61" spans="23:37" x14ac:dyDescent="0.25">
      <c r="W61" s="12" t="s">
        <v>78</v>
      </c>
      <c r="Z61" s="13"/>
      <c r="AA61" s="13"/>
      <c r="AB61" s="13"/>
      <c r="AC61" s="13"/>
      <c r="AD61" s="13"/>
      <c r="AE61" s="13"/>
      <c r="AF61" s="13"/>
      <c r="AG61" s="13"/>
      <c r="AH61" s="13"/>
      <c r="AI61" s="13">
        <v>1453326</v>
      </c>
      <c r="AJ61" s="13">
        <f>3271001-AI61</f>
        <v>1817675</v>
      </c>
      <c r="AK61" s="13">
        <f>6251339-AJ61-AI61</f>
        <v>2980338</v>
      </c>
    </row>
    <row r="62" spans="23:37" x14ac:dyDescent="0.25">
      <c r="W62" s="12" t="s">
        <v>40</v>
      </c>
      <c r="X62" s="17"/>
      <c r="Y62" s="17"/>
      <c r="Z62" s="17"/>
      <c r="AA62" s="17"/>
      <c r="AB62" s="18"/>
      <c r="AC62" s="18"/>
      <c r="AD62" s="18" t="e">
        <f t="shared" ref="AD62:AK62" si="53">+AD61/Z61-1</f>
        <v>#DIV/0!</v>
      </c>
      <c r="AE62" s="18" t="e">
        <f t="shared" si="53"/>
        <v>#DIV/0!</v>
      </c>
      <c r="AF62" s="18" t="e">
        <f t="shared" si="53"/>
        <v>#DIV/0!</v>
      </c>
      <c r="AG62" s="18" t="e">
        <f t="shared" si="53"/>
        <v>#DIV/0!</v>
      </c>
      <c r="AH62" s="18" t="e">
        <f t="shared" si="53"/>
        <v>#DIV/0!</v>
      </c>
      <c r="AI62" s="18" t="e">
        <f t="shared" si="53"/>
        <v>#DIV/0!</v>
      </c>
      <c r="AJ62" s="18" t="e">
        <f t="shared" si="53"/>
        <v>#DIV/0!</v>
      </c>
      <c r="AK62" s="18" t="e">
        <f t="shared" si="53"/>
        <v>#DIV/0!</v>
      </c>
    </row>
    <row r="63" spans="23:37" x14ac:dyDescent="0.25">
      <c r="W63" s="12" t="s">
        <v>41</v>
      </c>
      <c r="Y63" s="18"/>
      <c r="Z63" s="18"/>
      <c r="AA63" s="18" t="e">
        <f t="shared" ref="AA63:AK63" si="54">+AA61/Z61-1</f>
        <v>#DIV/0!</v>
      </c>
      <c r="AB63" s="18" t="e">
        <f t="shared" si="54"/>
        <v>#DIV/0!</v>
      </c>
      <c r="AC63" s="18" t="e">
        <f t="shared" si="54"/>
        <v>#DIV/0!</v>
      </c>
      <c r="AD63" s="18" t="e">
        <f t="shared" si="54"/>
        <v>#DIV/0!</v>
      </c>
      <c r="AE63" s="18" t="e">
        <f t="shared" si="54"/>
        <v>#DIV/0!</v>
      </c>
      <c r="AF63" s="18" t="e">
        <f t="shared" si="54"/>
        <v>#DIV/0!</v>
      </c>
      <c r="AG63" s="18" t="e">
        <f t="shared" si="54"/>
        <v>#DIV/0!</v>
      </c>
      <c r="AH63" s="18" t="e">
        <f t="shared" si="54"/>
        <v>#DIV/0!</v>
      </c>
      <c r="AI63" s="18" t="e">
        <f t="shared" si="54"/>
        <v>#DIV/0!</v>
      </c>
      <c r="AJ63" s="18">
        <f t="shared" si="54"/>
        <v>0.25070011821160576</v>
      </c>
      <c r="AK63" s="18">
        <f t="shared" si="54"/>
        <v>0.63964295047244413</v>
      </c>
    </row>
    <row r="64" spans="23:37" x14ac:dyDescent="0.25">
      <c r="W64" s="12" t="s">
        <v>21</v>
      </c>
      <c r="Z64" s="13"/>
      <c r="AA64" s="13"/>
      <c r="AB64" s="13"/>
      <c r="AC64" s="13"/>
      <c r="AD64" s="13"/>
      <c r="AE64" s="13"/>
      <c r="AF64" s="13"/>
      <c r="AG64" s="13"/>
      <c r="AH64" s="13"/>
      <c r="AI64" s="13">
        <v>-901860</v>
      </c>
      <c r="AJ64" s="13">
        <f>-1438245-AI64</f>
        <v>-536385</v>
      </c>
      <c r="AK64" s="13">
        <f>-1623561-AJ64-AI64</f>
        <v>-185316</v>
      </c>
    </row>
    <row r="65" spans="23:37" x14ac:dyDescent="0.25">
      <c r="W65" s="12" t="s">
        <v>82</v>
      </c>
      <c r="X65" s="19"/>
      <c r="Y65" s="19"/>
      <c r="Z65" s="19" t="e">
        <f t="shared" ref="Z65:AF65" si="55">+Z64/Z61</f>
        <v>#DIV/0!</v>
      </c>
      <c r="AA65" s="19" t="e">
        <f t="shared" si="55"/>
        <v>#DIV/0!</v>
      </c>
      <c r="AB65" s="19" t="e">
        <f t="shared" si="55"/>
        <v>#DIV/0!</v>
      </c>
      <c r="AC65" s="19" t="e">
        <f t="shared" si="55"/>
        <v>#DIV/0!</v>
      </c>
      <c r="AD65" s="19" t="e">
        <f t="shared" si="55"/>
        <v>#DIV/0!</v>
      </c>
      <c r="AE65" s="19" t="e">
        <f t="shared" si="55"/>
        <v>#DIV/0!</v>
      </c>
      <c r="AF65" s="19" t="e">
        <f t="shared" si="55"/>
        <v>#DIV/0!</v>
      </c>
      <c r="AG65" s="19" t="e">
        <f>+AG64/AG61</f>
        <v>#DIV/0!</v>
      </c>
      <c r="AH65" s="19" t="e">
        <f t="shared" ref="AH65:AJ65" si="56">+AH64/AH61</f>
        <v>#DIV/0!</v>
      </c>
      <c r="AI65" s="19">
        <f t="shared" si="56"/>
        <v>-0.62054900277019742</v>
      </c>
      <c r="AJ65" s="19">
        <f t="shared" si="56"/>
        <v>-0.29509400745457798</v>
      </c>
      <c r="AK65" s="19">
        <f>+AK64/AK61</f>
        <v>-6.2179524604256298E-2</v>
      </c>
    </row>
    <row r="67" spans="23:37" x14ac:dyDescent="0.25">
      <c r="W67" s="47" t="s">
        <v>387</v>
      </c>
      <c r="AC67" s="13"/>
      <c r="AG67" s="13"/>
      <c r="AK67" s="13"/>
    </row>
    <row r="68" spans="23:37" x14ac:dyDescent="0.25">
      <c r="W68" s="12" t="s">
        <v>78</v>
      </c>
      <c r="Z68" s="13"/>
      <c r="AA68" s="13"/>
      <c r="AB68" s="13"/>
      <c r="AC68" s="13"/>
      <c r="AD68" s="13"/>
      <c r="AE68" s="13">
        <v>7923302</v>
      </c>
      <c r="AF68" s="13">
        <f>16967150-AE68</f>
        <v>9043848</v>
      </c>
      <c r="AG68" s="13">
        <f>27977814-AF68-AE68</f>
        <v>11010664</v>
      </c>
      <c r="AH68" s="13"/>
      <c r="AI68" s="13">
        <v>6653710</v>
      </c>
      <c r="AJ68" s="13">
        <f>14004512-AI68</f>
        <v>7350802</v>
      </c>
      <c r="AK68" s="13">
        <f>24777825-AJ68-AI68</f>
        <v>10773313</v>
      </c>
    </row>
    <row r="69" spans="23:37" x14ac:dyDescent="0.25">
      <c r="W69" s="12" t="s">
        <v>40</v>
      </c>
      <c r="X69" s="17"/>
      <c r="Y69" s="17"/>
      <c r="Z69" s="17"/>
      <c r="AA69" s="17"/>
      <c r="AB69" s="18"/>
      <c r="AC69" s="18"/>
      <c r="AD69" s="18" t="e">
        <f t="shared" ref="AD69" si="57">+AD68/Z68-1</f>
        <v>#DIV/0!</v>
      </c>
      <c r="AE69" s="18" t="e">
        <f t="shared" ref="AE69" si="58">+AE68/AA68-1</f>
        <v>#DIV/0!</v>
      </c>
      <c r="AF69" s="18" t="e">
        <f t="shared" ref="AF69" si="59">+AF68/AB68-1</f>
        <v>#DIV/0!</v>
      </c>
      <c r="AG69" s="18" t="e">
        <f t="shared" ref="AG69" si="60">+AG68/AC68-1</f>
        <v>#DIV/0!</v>
      </c>
      <c r="AH69" s="18" t="e">
        <f t="shared" ref="AH69" si="61">+AH68/AD68-1</f>
        <v>#DIV/0!</v>
      </c>
      <c r="AI69" s="18">
        <f t="shared" ref="AI69" si="62">+AI68/AE68-1</f>
        <v>-0.16023521506563809</v>
      </c>
      <c r="AJ69" s="18">
        <f t="shared" ref="AJ69:AK69" si="63">+AJ68/AF68-1</f>
        <v>-0.18720416353746772</v>
      </c>
      <c r="AK69" s="18">
        <f t="shared" si="63"/>
        <v>-2.1556465622781684E-2</v>
      </c>
    </row>
    <row r="70" spans="23:37" x14ac:dyDescent="0.25">
      <c r="W70" s="12" t="s">
        <v>41</v>
      </c>
      <c r="Y70" s="18"/>
      <c r="Z70" s="18"/>
      <c r="AA70" s="18" t="e">
        <f t="shared" ref="AA70" si="64">+AA68/Z68-1</f>
        <v>#DIV/0!</v>
      </c>
      <c r="AB70" s="18" t="e">
        <f t="shared" ref="AB70" si="65">+AB68/AA68-1</f>
        <v>#DIV/0!</v>
      </c>
      <c r="AC70" s="18" t="e">
        <f t="shared" ref="AC70" si="66">+AC68/AB68-1</f>
        <v>#DIV/0!</v>
      </c>
      <c r="AD70" s="18" t="e">
        <f t="shared" ref="AD70" si="67">+AD68/AC68-1</f>
        <v>#DIV/0!</v>
      </c>
      <c r="AE70" s="18" t="e">
        <f t="shared" ref="AE70" si="68">+AE68/AD68-1</f>
        <v>#DIV/0!</v>
      </c>
      <c r="AF70" s="18">
        <f t="shared" ref="AF70" si="69">+AF68/AE68-1</f>
        <v>0.14142411837892843</v>
      </c>
      <c r="AG70" s="18">
        <f t="shared" ref="AG70" si="70">+AG68/AF68-1</f>
        <v>0.217475570133421</v>
      </c>
      <c r="AH70" s="18">
        <f t="shared" ref="AH70" si="71">+AH68/AG68-1</f>
        <v>-1</v>
      </c>
      <c r="AI70" s="18" t="e">
        <f t="shared" ref="AI70" si="72">+AI68/AH68-1</f>
        <v>#DIV/0!</v>
      </c>
      <c r="AJ70" s="18">
        <f t="shared" ref="AJ70:AK70" si="73">+AJ68/AI68-1</f>
        <v>0.10476741547196977</v>
      </c>
      <c r="AK70" s="18">
        <f t="shared" si="73"/>
        <v>0.4655969511898157</v>
      </c>
    </row>
    <row r="71" spans="23:37" x14ac:dyDescent="0.25">
      <c r="W71" s="12" t="s">
        <v>21</v>
      </c>
      <c r="Z71" s="13"/>
      <c r="AA71" s="13"/>
      <c r="AB71" s="13"/>
      <c r="AC71" s="13"/>
      <c r="AD71" s="13"/>
      <c r="AE71" s="13">
        <v>-462852</v>
      </c>
      <c r="AF71" s="13">
        <f>-903848-AE71</f>
        <v>-440996</v>
      </c>
      <c r="AG71" s="13">
        <f>603868-AF71-AE71</f>
        <v>1507716</v>
      </c>
      <c r="AH71" s="13"/>
      <c r="AI71" s="13">
        <v>-1069390</v>
      </c>
      <c r="AJ71" s="13">
        <f>-1855300-AI71</f>
        <v>-785910</v>
      </c>
      <c r="AK71" s="13">
        <f>77066-AJ71-AI71</f>
        <v>1932366</v>
      </c>
    </row>
    <row r="72" spans="23:37" x14ac:dyDescent="0.25">
      <c r="W72" s="12" t="s">
        <v>82</v>
      </c>
      <c r="X72" s="19"/>
      <c r="Y72" s="19"/>
      <c r="Z72" s="19" t="e">
        <f t="shared" ref="Z72:AF72" si="74">+Z71/Z68</f>
        <v>#DIV/0!</v>
      </c>
      <c r="AA72" s="19" t="e">
        <f t="shared" si="74"/>
        <v>#DIV/0!</v>
      </c>
      <c r="AB72" s="19" t="e">
        <f t="shared" si="74"/>
        <v>#DIV/0!</v>
      </c>
      <c r="AC72" s="19" t="e">
        <f t="shared" si="74"/>
        <v>#DIV/0!</v>
      </c>
      <c r="AD72" s="19" t="e">
        <f t="shared" si="74"/>
        <v>#DIV/0!</v>
      </c>
      <c r="AE72" s="19">
        <f t="shared" si="74"/>
        <v>-5.8416554108375526E-2</v>
      </c>
      <c r="AF72" s="19">
        <f t="shared" si="74"/>
        <v>-4.8761987154140582E-2</v>
      </c>
      <c r="AG72" s="19">
        <f>+AG71/AG68</f>
        <v>0.13693234122846723</v>
      </c>
      <c r="AH72" s="19" t="e">
        <f t="shared" ref="AH72:AJ72" si="75">+AH71/AH68</f>
        <v>#DIV/0!</v>
      </c>
      <c r="AI72" s="19">
        <f t="shared" si="75"/>
        <v>-0.16072086099334057</v>
      </c>
      <c r="AJ72" s="19">
        <f t="shared" si="75"/>
        <v>-0.10691486452770732</v>
      </c>
      <c r="AK72" s="19">
        <f>+AK71/AK68</f>
        <v>0.17936599447170987</v>
      </c>
    </row>
  </sheetData>
  <mergeCells count="1">
    <mergeCell ref="B13:H13"/>
  </mergeCells>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69B52-96BE-4C74-B070-112942585F55}">
  <sheetPr>
    <tabColor rgb="FF92D050"/>
  </sheetPr>
  <dimension ref="A1:AW77"/>
  <sheetViews>
    <sheetView topLeftCell="W1" zoomScale="85" zoomScaleNormal="85" workbookViewId="0">
      <selection activeCell="AJ28" sqref="AJ28"/>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6" width="12" style="12" customWidth="1"/>
    <col min="37" max="38" width="8.85546875" style="12"/>
    <col min="39" max="39" width="14.28515625" style="50" bestFit="1" customWidth="1"/>
    <col min="40" max="16384" width="8.85546875" style="50"/>
  </cols>
  <sheetData>
    <row r="1" spans="1:49" ht="15.75" thickBot="1" x14ac:dyDescent="0.3">
      <c r="W1" s="20" t="s">
        <v>194</v>
      </c>
      <c r="X1" s="59">
        <v>7.3</v>
      </c>
    </row>
    <row r="2" spans="1:49"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620</v>
      </c>
      <c r="X2" s="11" t="s">
        <v>14</v>
      </c>
      <c r="Y2" s="11" t="s">
        <v>16</v>
      </c>
      <c r="Z2" s="11" t="s">
        <v>18</v>
      </c>
      <c r="AA2" s="11" t="s">
        <v>20</v>
      </c>
      <c r="AB2" s="11" t="s">
        <v>22</v>
      </c>
      <c r="AC2" s="11" t="s">
        <v>24</v>
      </c>
      <c r="AD2" s="11" t="s">
        <v>26</v>
      </c>
      <c r="AE2" s="11" t="s">
        <v>39</v>
      </c>
      <c r="AF2" s="11" t="s">
        <v>38</v>
      </c>
      <c r="AG2" s="11" t="s">
        <v>71</v>
      </c>
      <c r="AH2" s="11" t="s">
        <v>83</v>
      </c>
      <c r="AI2" s="11" t="s">
        <v>84</v>
      </c>
      <c r="AJ2" s="11" t="s">
        <v>365</v>
      </c>
      <c r="AM2" s="71" t="str">
        <f>+W2</f>
        <v>AGPL</v>
      </c>
      <c r="AN2" s="189" t="s">
        <v>190</v>
      </c>
      <c r="AO2" s="190"/>
      <c r="AP2" s="190"/>
      <c r="AQ2" s="190"/>
      <c r="AR2" s="191"/>
      <c r="AS2" s="192" t="s">
        <v>191</v>
      </c>
      <c r="AT2" s="192"/>
      <c r="AU2" s="192"/>
      <c r="AV2" s="192"/>
      <c r="AW2" s="192"/>
    </row>
    <row r="3" spans="1:49" ht="18" thickTop="1" thickBot="1" x14ac:dyDescent="0.4">
      <c r="B3" s="25" t="s">
        <v>10</v>
      </c>
      <c r="C3" s="26">
        <v>17820.179</v>
      </c>
      <c r="D3" s="26"/>
      <c r="E3" s="26"/>
      <c r="F3" s="26"/>
      <c r="G3" s="26"/>
      <c r="H3" s="26"/>
      <c r="I3" s="27"/>
      <c r="J3" s="21"/>
      <c r="M3" s="1" t="s">
        <v>11</v>
      </c>
      <c r="N3" s="2">
        <f>'[1]LT Portfolio'!W294</f>
        <v>0</v>
      </c>
      <c r="W3" s="12" t="s">
        <v>62</v>
      </c>
      <c r="X3" s="13"/>
      <c r="Y3" s="13"/>
      <c r="Z3" s="13"/>
      <c r="AA3" s="13"/>
      <c r="AB3" s="13"/>
      <c r="AC3" s="13"/>
      <c r="AD3" s="13"/>
      <c r="AE3" s="13">
        <v>2256033</v>
      </c>
      <c r="AF3" s="13">
        <v>2139396</v>
      </c>
      <c r="AG3" s="13"/>
      <c r="AH3" s="13"/>
      <c r="AI3" s="13">
        <v>2093664</v>
      </c>
      <c r="AJ3" s="13">
        <v>1785756</v>
      </c>
      <c r="AM3" s="69"/>
      <c r="AN3" s="66" t="s">
        <v>78</v>
      </c>
      <c r="AO3" s="67" t="s">
        <v>17</v>
      </c>
      <c r="AP3" s="67" t="s">
        <v>184</v>
      </c>
      <c r="AQ3" s="67" t="s">
        <v>29</v>
      </c>
      <c r="AR3" s="68" t="s">
        <v>30</v>
      </c>
      <c r="AS3" s="66" t="s">
        <v>78</v>
      </c>
      <c r="AT3" s="67" t="s">
        <v>17</v>
      </c>
      <c r="AU3" s="67" t="s">
        <v>184</v>
      </c>
      <c r="AV3" s="67" t="s">
        <v>29</v>
      </c>
      <c r="AW3" s="68" t="s">
        <v>30</v>
      </c>
    </row>
    <row r="4" spans="1:49"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J4" si="1">+AB3/X3-1</f>
        <v>#DIV/0!</v>
      </c>
      <c r="AC4" s="18" t="e">
        <f t="shared" si="1"/>
        <v>#DIV/0!</v>
      </c>
      <c r="AD4" s="18" t="e">
        <f t="shared" si="1"/>
        <v>#DIV/0!</v>
      </c>
      <c r="AE4" s="18" t="e">
        <f t="shared" si="1"/>
        <v>#DIV/0!</v>
      </c>
      <c r="AF4" s="18" t="e">
        <f t="shared" si="1"/>
        <v>#DIV/0!</v>
      </c>
      <c r="AG4" s="18" t="e">
        <f t="shared" si="1"/>
        <v>#DIV/0!</v>
      </c>
      <c r="AH4" s="18" t="e">
        <f t="shared" si="1"/>
        <v>#DIV/0!</v>
      </c>
      <c r="AI4" s="18">
        <f t="shared" si="1"/>
        <v>-7.197102170048042E-2</v>
      </c>
      <c r="AJ4" s="18">
        <f t="shared" si="1"/>
        <v>-0.16529899093015032</v>
      </c>
      <c r="AK4" s="46"/>
      <c r="AM4" s="69" t="s">
        <v>185</v>
      </c>
      <c r="AN4" s="60"/>
      <c r="AO4" s="61"/>
      <c r="AP4" s="61"/>
      <c r="AQ4" s="74"/>
      <c r="AR4" s="64"/>
      <c r="AS4" s="60"/>
      <c r="AT4" s="61"/>
      <c r="AU4" s="61"/>
      <c r="AV4" s="58"/>
      <c r="AW4" s="64"/>
    </row>
    <row r="5" spans="1:49"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J5" si="2">+Y3/X3-1</f>
        <v>#DIV/0!</v>
      </c>
      <c r="Z5" s="18" t="e">
        <f t="shared" si="2"/>
        <v>#DIV/0!</v>
      </c>
      <c r="AA5" s="18" t="e">
        <f t="shared" si="2"/>
        <v>#DIV/0!</v>
      </c>
      <c r="AB5" s="18" t="e">
        <f t="shared" si="2"/>
        <v>#DIV/0!</v>
      </c>
      <c r="AC5" s="18" t="e">
        <f t="shared" si="2"/>
        <v>#DIV/0!</v>
      </c>
      <c r="AD5" s="18" t="e">
        <f t="shared" si="2"/>
        <v>#DIV/0!</v>
      </c>
      <c r="AE5" s="18" t="e">
        <f t="shared" si="2"/>
        <v>#DIV/0!</v>
      </c>
      <c r="AF5" s="18">
        <f t="shared" si="2"/>
        <v>-5.1700041621731585E-2</v>
      </c>
      <c r="AG5" s="18">
        <f t="shared" si="2"/>
        <v>-1</v>
      </c>
      <c r="AH5" s="18" t="e">
        <f t="shared" si="2"/>
        <v>#DIV/0!</v>
      </c>
      <c r="AI5" s="18" t="e">
        <f t="shared" si="2"/>
        <v>#DIV/0!</v>
      </c>
      <c r="AJ5" s="18">
        <f t="shared" si="2"/>
        <v>-0.14706657801824929</v>
      </c>
      <c r="AM5" s="69" t="s">
        <v>186</v>
      </c>
      <c r="AN5" s="60"/>
      <c r="AO5" s="61"/>
      <c r="AP5" s="61"/>
      <c r="AQ5" s="58"/>
      <c r="AR5" s="64"/>
      <c r="AS5" s="60"/>
      <c r="AT5" s="61"/>
      <c r="AU5" s="61"/>
      <c r="AV5" s="58"/>
      <c r="AW5" s="64"/>
    </row>
    <row r="6" spans="1:49"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M6" s="69" t="s">
        <v>187</v>
      </c>
      <c r="AN6" s="60"/>
      <c r="AO6" s="61"/>
      <c r="AP6" s="61"/>
      <c r="AQ6" s="58"/>
      <c r="AR6" s="64"/>
      <c r="AS6" s="60"/>
      <c r="AT6" s="61"/>
      <c r="AU6" s="61"/>
      <c r="AV6" s="58"/>
      <c r="AW6" s="64"/>
    </row>
    <row r="7" spans="1:49"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M7" s="69" t="s">
        <v>188</v>
      </c>
      <c r="AN7" s="60"/>
      <c r="AO7" s="61"/>
      <c r="AP7" s="61"/>
      <c r="AQ7" s="74"/>
      <c r="AR7" s="64"/>
      <c r="AS7" s="60"/>
      <c r="AT7" s="61"/>
      <c r="AU7" s="61"/>
      <c r="AV7" s="58"/>
      <c r="AW7" s="64"/>
    </row>
    <row r="8" spans="1:49"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J8" si="5">+AB7/X7-1</f>
        <v>#DIV/0!</v>
      </c>
      <c r="AC8" s="18" t="e">
        <f t="shared" si="5"/>
        <v>#DIV/0!</v>
      </c>
      <c r="AD8" s="18" t="e">
        <f t="shared" si="5"/>
        <v>#DIV/0!</v>
      </c>
      <c r="AE8" s="18" t="e">
        <f t="shared" si="5"/>
        <v>#DIV/0!</v>
      </c>
      <c r="AF8" s="18" t="e">
        <f t="shared" si="5"/>
        <v>#DIV/0!</v>
      </c>
      <c r="AG8" s="18" t="e">
        <f t="shared" si="5"/>
        <v>#DIV/0!</v>
      </c>
      <c r="AH8" s="18" t="e">
        <f t="shared" si="5"/>
        <v>#DIV/0!</v>
      </c>
      <c r="AI8" s="18" t="e">
        <f t="shared" si="5"/>
        <v>#DIV/0!</v>
      </c>
      <c r="AJ8" s="18" t="e">
        <f t="shared" si="5"/>
        <v>#DIV/0!</v>
      </c>
      <c r="AM8" s="69" t="s">
        <v>189</v>
      </c>
      <c r="AN8" s="60"/>
      <c r="AO8" s="61"/>
      <c r="AP8" s="61"/>
      <c r="AQ8" s="74"/>
      <c r="AR8" s="64"/>
      <c r="AS8" s="60"/>
      <c r="AT8" s="61"/>
      <c r="AU8" s="61"/>
      <c r="AV8" s="58"/>
      <c r="AW8" s="64"/>
    </row>
    <row r="9" spans="1:49"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J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8" t="e">
        <f t="shared" si="6"/>
        <v>#DIV/0!</v>
      </c>
      <c r="AJ9" s="18" t="e">
        <f t="shared" si="6"/>
        <v>#DIV/0!</v>
      </c>
      <c r="AM9" s="69" t="s">
        <v>195</v>
      </c>
      <c r="AN9" s="60"/>
      <c r="AO9" s="61"/>
      <c r="AP9" s="61"/>
      <c r="AQ9" s="74"/>
      <c r="AR9" s="64"/>
      <c r="AS9" s="60"/>
      <c r="AT9" s="61"/>
      <c r="AU9" s="61"/>
      <c r="AV9" s="58"/>
      <c r="AW9" s="64"/>
    </row>
    <row r="10" spans="1:49"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M10" s="69" t="s">
        <v>196</v>
      </c>
      <c r="AN10" s="60"/>
      <c r="AO10" s="61"/>
      <c r="AP10" s="61"/>
      <c r="AQ10" s="58"/>
      <c r="AR10" s="64"/>
      <c r="AS10" s="60"/>
      <c r="AT10" s="61"/>
      <c r="AU10" s="61"/>
      <c r="AV10" s="58"/>
      <c r="AW10" s="64"/>
    </row>
    <row r="11" spans="1:49" ht="18" thickTop="1" thickBot="1" x14ac:dyDescent="0.4">
      <c r="B11" s="28" t="s">
        <v>25</v>
      </c>
      <c r="C11" s="30">
        <f t="shared" ref="C11:G11" si="7">C10/C$3*100</f>
        <v>12.180949473066461</v>
      </c>
      <c r="D11" s="30" t="e">
        <f t="shared" si="7"/>
        <v>#DIV/0!</v>
      </c>
      <c r="E11" s="30" t="e">
        <f t="shared" si="7"/>
        <v>#DIV/0!</v>
      </c>
      <c r="F11" s="30" t="e">
        <f t="shared" si="7"/>
        <v>#DIV/0!</v>
      </c>
      <c r="G11" s="30" t="e">
        <f t="shared" si="7"/>
        <v>#DIV/0!</v>
      </c>
      <c r="H11" s="30" t="e">
        <f>H10/H$3*100</f>
        <v>#DIV/0!</v>
      </c>
      <c r="I11" s="31" t="e">
        <f>I10/I$3*100</f>
        <v>#DIV/0!</v>
      </c>
      <c r="J11" s="23" t="e">
        <f>AVERAGE(D11:I11)</f>
        <v>#DIV/0!</v>
      </c>
      <c r="M11" s="1" t="s">
        <v>26</v>
      </c>
      <c r="N11" s="3">
        <f>'[1]LT Portfolio'!T294</f>
        <v>0</v>
      </c>
      <c r="O11" s="4" t="e">
        <f>N11/N7-1</f>
        <v>#DIV/0!</v>
      </c>
      <c r="W11" s="12" t="s">
        <v>42</v>
      </c>
      <c r="X11" s="13"/>
      <c r="Y11" s="13"/>
      <c r="Z11" s="13"/>
      <c r="AA11" s="13"/>
      <c r="AB11" s="13"/>
      <c r="AC11" s="13"/>
      <c r="AD11" s="13"/>
      <c r="AE11" s="13">
        <v>754120</v>
      </c>
      <c r="AF11" s="13">
        <v>670068</v>
      </c>
      <c r="AG11" s="13"/>
      <c r="AH11" s="13"/>
      <c r="AI11" s="13">
        <v>255867</v>
      </c>
      <c r="AJ11" s="13">
        <v>208115</v>
      </c>
      <c r="AM11" s="70" t="s">
        <v>192</v>
      </c>
      <c r="AN11" s="62" t="e">
        <f>+AVERAGE(AN4:AN10)</f>
        <v>#DIV/0!</v>
      </c>
      <c r="AO11" s="63" t="e">
        <f t="shared" ref="AO11:AW11" si="8">+AVERAGE(AO4:AO10)</f>
        <v>#DIV/0!</v>
      </c>
      <c r="AP11" s="63" t="e">
        <f t="shared" si="8"/>
        <v>#DIV/0!</v>
      </c>
      <c r="AQ11" s="72" t="e">
        <f t="shared" si="8"/>
        <v>#DIV/0!</v>
      </c>
      <c r="AR11" s="65" t="e">
        <f t="shared" si="8"/>
        <v>#DIV/0!</v>
      </c>
      <c r="AS11" s="62" t="e">
        <f t="shared" si="8"/>
        <v>#DIV/0!</v>
      </c>
      <c r="AT11" s="63" t="e">
        <f t="shared" si="8"/>
        <v>#DIV/0!</v>
      </c>
      <c r="AU11" s="63" t="e">
        <f t="shared" si="8"/>
        <v>#DIV/0!</v>
      </c>
      <c r="AV11" s="72" t="e">
        <f t="shared" si="8"/>
        <v>#DIV/0!</v>
      </c>
      <c r="AW11" s="65" t="e">
        <f t="shared" si="8"/>
        <v>#DIV/0!</v>
      </c>
    </row>
    <row r="12" spans="1:49" ht="18" thickTop="1" thickBot="1" x14ac:dyDescent="0.4">
      <c r="B12" s="28" t="s">
        <v>27</v>
      </c>
      <c r="C12" s="29"/>
      <c r="D12" s="30">
        <f t="shared" ref="D12:I12" si="9">(D10/C10-1)*100</f>
        <v>-100</v>
      </c>
      <c r="E12" s="30" t="e">
        <f t="shared" si="9"/>
        <v>#DIV/0!</v>
      </c>
      <c r="F12" s="30" t="e">
        <f t="shared" si="9"/>
        <v>#DIV/0!</v>
      </c>
      <c r="G12" s="30" t="e">
        <f t="shared" si="9"/>
        <v>#DIV/0!</v>
      </c>
      <c r="H12" s="30" t="e">
        <f t="shared" si="9"/>
        <v>#DIV/0!</v>
      </c>
      <c r="I12" s="31" t="e">
        <f t="shared" si="9"/>
        <v>#DIV/0!</v>
      </c>
      <c r="J12" s="23" t="e">
        <f>AVERAGE(D12:I12)</f>
        <v>#DIV/0!</v>
      </c>
      <c r="S12" t="s">
        <v>20</v>
      </c>
      <c r="T12" t="s">
        <v>22</v>
      </c>
      <c r="W12" s="12" t="s">
        <v>43</v>
      </c>
      <c r="X12" s="19" t="e">
        <f t="shared" ref="X12:AJ12" si="10">+X11/X3</f>
        <v>#DIV/0!</v>
      </c>
      <c r="Y12" s="19" t="e">
        <f t="shared" si="10"/>
        <v>#DIV/0!</v>
      </c>
      <c r="Z12" s="19" t="e">
        <f t="shared" si="10"/>
        <v>#DIV/0!</v>
      </c>
      <c r="AA12" s="19" t="e">
        <f t="shared" si="10"/>
        <v>#DIV/0!</v>
      </c>
      <c r="AB12" s="19" t="e">
        <f t="shared" si="10"/>
        <v>#DIV/0!</v>
      </c>
      <c r="AC12" s="19" t="e">
        <f t="shared" si="10"/>
        <v>#DIV/0!</v>
      </c>
      <c r="AD12" s="19" t="e">
        <f t="shared" si="10"/>
        <v>#DIV/0!</v>
      </c>
      <c r="AE12" s="19">
        <f t="shared" si="10"/>
        <v>0.33426816008453775</v>
      </c>
      <c r="AF12" s="19">
        <f t="shared" si="10"/>
        <v>0.31320428756527541</v>
      </c>
      <c r="AG12" s="19" t="e">
        <f t="shared" si="10"/>
        <v>#DIV/0!</v>
      </c>
      <c r="AH12" s="19" t="e">
        <f t="shared" si="10"/>
        <v>#DIV/0!</v>
      </c>
      <c r="AI12" s="19">
        <f t="shared" si="10"/>
        <v>0.12221015406483562</v>
      </c>
      <c r="AJ12" s="19">
        <f t="shared" si="10"/>
        <v>0.11654167758641158</v>
      </c>
      <c r="AM12" s="12"/>
      <c r="AN12" s="12"/>
      <c r="AO12" s="12"/>
      <c r="AP12" s="12"/>
      <c r="AQ12" s="12"/>
      <c r="AR12" s="12"/>
      <c r="AS12" s="12"/>
      <c r="AT12" s="12"/>
      <c r="AU12" s="12"/>
      <c r="AV12" s="12"/>
      <c r="AW12" s="12"/>
    </row>
    <row r="13" spans="1:49"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t="s">
        <v>193</v>
      </c>
      <c r="AN13" s="12"/>
      <c r="AO13" s="12"/>
      <c r="AP13" s="12"/>
      <c r="AQ13" s="58" t="e">
        <f>+$X$1/AQ11</f>
        <v>#DIV/0!</v>
      </c>
      <c r="AR13" s="75" t="e">
        <f>+AR11/$X$1</f>
        <v>#DIV/0!</v>
      </c>
      <c r="AS13" s="12"/>
      <c r="AT13" s="12"/>
      <c r="AU13" s="12"/>
      <c r="AV13" s="58" t="e">
        <f>+$X$1/AV11</f>
        <v>#DIV/0!</v>
      </c>
      <c r="AW13" s="75" t="e">
        <f>+AW11/$X$1</f>
        <v>#DIV/0!</v>
      </c>
    </row>
    <row r="14" spans="1:49"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c r="Y14" s="13"/>
      <c r="Z14" s="13"/>
      <c r="AA14" s="13"/>
      <c r="AB14" s="13"/>
      <c r="AC14" s="13"/>
      <c r="AD14" s="13"/>
      <c r="AE14" s="13">
        <f>+AE20-AE17</f>
        <v>718275</v>
      </c>
      <c r="AF14" s="13">
        <f>+AF20-AF17</f>
        <v>648286</v>
      </c>
      <c r="AG14" s="13"/>
      <c r="AH14" s="13"/>
      <c r="AI14" s="13">
        <f>+AI20-AI17</f>
        <v>186346</v>
      </c>
      <c r="AJ14" s="13">
        <f>+AJ20-AJ17</f>
        <v>166192</v>
      </c>
    </row>
    <row r="15" spans="1:49" ht="18" thickTop="1" thickBot="1" x14ac:dyDescent="0.4">
      <c r="B15" s="32" t="s">
        <v>30</v>
      </c>
      <c r="C15" s="34">
        <f>1+0.6</f>
        <v>1.6</v>
      </c>
      <c r="D15" s="34"/>
      <c r="E15" s="34"/>
      <c r="F15" s="34"/>
      <c r="G15" s="34"/>
      <c r="H15" s="34"/>
      <c r="I15" s="35"/>
      <c r="J15" s="24"/>
      <c r="R15" s="6"/>
      <c r="S15" s="6"/>
      <c r="W15" s="12" t="s">
        <v>55</v>
      </c>
      <c r="X15" s="19" t="e">
        <f t="shared" ref="X15:AJ15" si="11">+X14/X3</f>
        <v>#DIV/0!</v>
      </c>
      <c r="Y15" s="19" t="e">
        <f t="shared" si="11"/>
        <v>#DIV/0!</v>
      </c>
      <c r="Z15" s="19" t="e">
        <f t="shared" si="11"/>
        <v>#DIV/0!</v>
      </c>
      <c r="AA15" s="19" t="e">
        <f t="shared" si="11"/>
        <v>#DIV/0!</v>
      </c>
      <c r="AB15" s="19" t="e">
        <f t="shared" si="11"/>
        <v>#DIV/0!</v>
      </c>
      <c r="AC15" s="19" t="e">
        <f t="shared" si="11"/>
        <v>#DIV/0!</v>
      </c>
      <c r="AD15" s="19" t="e">
        <f t="shared" si="11"/>
        <v>#DIV/0!</v>
      </c>
      <c r="AE15" s="19">
        <f t="shared" si="11"/>
        <v>0.31837965136148272</v>
      </c>
      <c r="AF15" s="19">
        <f t="shared" si="11"/>
        <v>0.30302290926971914</v>
      </c>
      <c r="AG15" s="19" t="e">
        <f t="shared" si="11"/>
        <v>#DIV/0!</v>
      </c>
      <c r="AH15" s="19" t="e">
        <f t="shared" si="11"/>
        <v>#DIV/0!</v>
      </c>
      <c r="AI15" s="19">
        <f t="shared" si="11"/>
        <v>8.9004730462958717E-2</v>
      </c>
      <c r="AJ15" s="19">
        <f t="shared" si="11"/>
        <v>9.3065345993517595E-2</v>
      </c>
    </row>
    <row r="16" spans="1:49" ht="18" thickTop="1" thickBot="1" x14ac:dyDescent="0.4">
      <c r="B16" s="32" t="s">
        <v>8</v>
      </c>
      <c r="C16" s="34">
        <v>31.7</v>
      </c>
      <c r="D16" s="34"/>
      <c r="E16" s="34"/>
      <c r="F16" s="34"/>
      <c r="G16" s="34"/>
      <c r="H16" s="34"/>
      <c r="I16" s="35"/>
      <c r="J16" s="22" t="e">
        <f>((I16/D16)^(1/5)-1)*100</f>
        <v>#DIV/0!</v>
      </c>
    </row>
    <row r="17" spans="2:36" ht="18" thickTop="1" thickBot="1" x14ac:dyDescent="0.4">
      <c r="B17" s="32" t="s">
        <v>31</v>
      </c>
      <c r="C17" s="34">
        <v>14.6</v>
      </c>
      <c r="D17" s="34"/>
      <c r="E17" s="34"/>
      <c r="F17" s="34"/>
      <c r="G17" s="34"/>
      <c r="H17" s="34"/>
      <c r="I17" s="35"/>
      <c r="J17" s="22" t="e">
        <f>((I17/D17)^(1/6)-1)*100</f>
        <v>#DIV/0!</v>
      </c>
      <c r="W17" s="12" t="s">
        <v>44</v>
      </c>
      <c r="X17" s="13"/>
      <c r="Y17" s="13"/>
      <c r="Z17" s="13"/>
      <c r="AA17" s="13"/>
      <c r="AB17" s="13"/>
      <c r="AC17" s="13"/>
      <c r="AD17" s="13"/>
      <c r="AE17" s="13">
        <v>-51345</v>
      </c>
      <c r="AF17" s="13">
        <v>-34576</v>
      </c>
      <c r="AG17" s="13"/>
      <c r="AH17" s="13"/>
      <c r="AI17" s="13">
        <v>-81764</v>
      </c>
      <c r="AJ17" s="13">
        <v>-46483</v>
      </c>
    </row>
    <row r="18" spans="2:36" ht="18" thickTop="1" thickBot="1" x14ac:dyDescent="0.4">
      <c r="B18" s="32" t="s">
        <v>32</v>
      </c>
      <c r="C18" s="36">
        <f t="shared" ref="C18:G18" si="12">C14/AVERAGE(B17:C17)*100</f>
        <v>22.19178082191781</v>
      </c>
      <c r="D18" s="36">
        <f t="shared" si="12"/>
        <v>0</v>
      </c>
      <c r="E18" s="36" t="e">
        <f t="shared" si="12"/>
        <v>#DIV/0!</v>
      </c>
      <c r="F18" s="36" t="e">
        <f t="shared" si="12"/>
        <v>#DIV/0!</v>
      </c>
      <c r="G18" s="36" t="e">
        <f t="shared" si="12"/>
        <v>#DIV/0!</v>
      </c>
      <c r="H18" s="36" t="e">
        <f>H14/AVERAGE(G17:H17)*100</f>
        <v>#DIV/0!</v>
      </c>
      <c r="I18" s="37" t="e">
        <f>I14/AVERAGE(H17:I17)*100</f>
        <v>#DIV/0!</v>
      </c>
      <c r="J18" s="23" t="e">
        <f>AVERAGE(D18:I18)</f>
        <v>#DIV/0!</v>
      </c>
      <c r="M18" s="9" t="s">
        <v>33</v>
      </c>
      <c r="N18" s="6"/>
      <c r="O18" s="6"/>
      <c r="P18" s="6"/>
      <c r="Q18" s="6"/>
      <c r="W18" s="12" t="s">
        <v>45</v>
      </c>
      <c r="X18" s="15" t="e">
        <f t="shared" ref="X18:AJ18" si="13">+X17/X14</f>
        <v>#DIV/0!</v>
      </c>
      <c r="Y18" s="15" t="e">
        <f t="shared" si="13"/>
        <v>#DIV/0!</v>
      </c>
      <c r="Z18" s="15" t="e">
        <f t="shared" si="13"/>
        <v>#DIV/0!</v>
      </c>
      <c r="AA18" s="15" t="e">
        <f t="shared" si="13"/>
        <v>#DIV/0!</v>
      </c>
      <c r="AB18" s="15" t="e">
        <f t="shared" si="13"/>
        <v>#DIV/0!</v>
      </c>
      <c r="AC18" s="15" t="e">
        <f t="shared" si="13"/>
        <v>#DIV/0!</v>
      </c>
      <c r="AD18" s="15" t="e">
        <f t="shared" si="13"/>
        <v>#DIV/0!</v>
      </c>
      <c r="AE18" s="15">
        <f t="shared" si="13"/>
        <v>-7.1483763182625046E-2</v>
      </c>
      <c r="AF18" s="15">
        <f t="shared" si="13"/>
        <v>-5.3334485088371492E-2</v>
      </c>
      <c r="AG18" s="15" t="e">
        <f t="shared" si="13"/>
        <v>#DIV/0!</v>
      </c>
      <c r="AH18" s="15" t="e">
        <f t="shared" si="13"/>
        <v>#DIV/0!</v>
      </c>
      <c r="AI18" s="15">
        <f t="shared" si="13"/>
        <v>-0.43877518165133678</v>
      </c>
      <c r="AJ18" s="15">
        <f t="shared" si="13"/>
        <v>-0.27969457013574661</v>
      </c>
    </row>
    <row r="19" spans="2:36" ht="18" thickTop="1" thickBot="1" x14ac:dyDescent="0.4">
      <c r="B19" s="32" t="s">
        <v>34</v>
      </c>
      <c r="C19" s="30">
        <f t="shared" ref="C19:G19" si="14">C15/C16*100</f>
        <v>5.0473186119873823</v>
      </c>
      <c r="D19" s="30" t="e">
        <f t="shared" si="14"/>
        <v>#DIV/0!</v>
      </c>
      <c r="E19" s="30" t="e">
        <f t="shared" si="14"/>
        <v>#DIV/0!</v>
      </c>
      <c r="F19" s="30" t="e">
        <f t="shared" si="14"/>
        <v>#DIV/0!</v>
      </c>
      <c r="G19" s="30" t="e">
        <f t="shared" si="14"/>
        <v>#DIV/0!</v>
      </c>
      <c r="H19" s="30" t="e">
        <f>H15/H16*100</f>
        <v>#DIV/0!</v>
      </c>
      <c r="I19" s="31" t="e">
        <f>I15/I16*100</f>
        <v>#DIV/0!</v>
      </c>
      <c r="J19" s="23" t="e">
        <f>AVERAGE(D19:I19)</f>
        <v>#DIV/0!</v>
      </c>
    </row>
    <row r="20" spans="2:36" ht="18" thickTop="1" thickBot="1" x14ac:dyDescent="0.4">
      <c r="B20" s="32" t="s">
        <v>35</v>
      </c>
      <c r="C20" s="30">
        <f t="shared" ref="C20:G20" si="15">C15/C14*100</f>
        <v>49.382716049382715</v>
      </c>
      <c r="D20" s="30" t="e">
        <f t="shared" si="15"/>
        <v>#DIV/0!</v>
      </c>
      <c r="E20" s="30" t="e">
        <f t="shared" si="15"/>
        <v>#DIV/0!</v>
      </c>
      <c r="F20" s="30" t="e">
        <f t="shared" si="15"/>
        <v>#DIV/0!</v>
      </c>
      <c r="G20" s="30" t="e">
        <f t="shared" si="15"/>
        <v>#DIV/0!</v>
      </c>
      <c r="H20" s="30" t="e">
        <f>H15/H14*100</f>
        <v>#DIV/0!</v>
      </c>
      <c r="I20" s="31" t="e">
        <f>I15/I14*100</f>
        <v>#DIV/0!</v>
      </c>
      <c r="J20" s="23" t="e">
        <f>AVERAGE(D20:I20)</f>
        <v>#DIV/0!</v>
      </c>
      <c r="M20" t="s">
        <v>36</v>
      </c>
      <c r="N20" s="4" t="e">
        <f>N13/H14-1</f>
        <v>#DIV/0!</v>
      </c>
      <c r="W20" s="12" t="s">
        <v>21</v>
      </c>
      <c r="X20" s="13"/>
      <c r="Y20" s="13"/>
      <c r="Z20" s="13"/>
      <c r="AA20" s="13"/>
      <c r="AB20" s="13"/>
      <c r="AC20" s="13"/>
      <c r="AD20" s="13"/>
      <c r="AE20" s="13">
        <v>666930</v>
      </c>
      <c r="AF20" s="13">
        <v>613710</v>
      </c>
      <c r="AG20" s="13"/>
      <c r="AH20" s="13"/>
      <c r="AI20" s="13">
        <v>104582</v>
      </c>
      <c r="AJ20" s="13">
        <v>119709</v>
      </c>
    </row>
    <row r="21" spans="2:36" ht="18" thickTop="1" thickBot="1" x14ac:dyDescent="0.4">
      <c r="B21" s="32" t="s">
        <v>11</v>
      </c>
      <c r="C21" s="38">
        <f t="shared" ref="C21:G21" si="16">C16/C14</f>
        <v>9.7839506172839492</v>
      </c>
      <c r="D21" s="38" t="e">
        <f t="shared" si="16"/>
        <v>#DIV/0!</v>
      </c>
      <c r="E21" s="38" t="e">
        <f t="shared" si="16"/>
        <v>#DIV/0!</v>
      </c>
      <c r="F21" s="38" t="e">
        <f t="shared" si="16"/>
        <v>#DIV/0!</v>
      </c>
      <c r="G21" s="38" t="e">
        <f t="shared" si="16"/>
        <v>#DIV/0!</v>
      </c>
      <c r="H21" s="38" t="e">
        <f>H16/H14</f>
        <v>#DIV/0!</v>
      </c>
      <c r="I21" s="39" t="e">
        <f>I16/I14</f>
        <v>#DIV/0!</v>
      </c>
      <c r="J21" s="23" t="e">
        <f>AVERAGE(D21:I21)</f>
        <v>#DIV/0!</v>
      </c>
      <c r="W21" s="12" t="s">
        <v>46</v>
      </c>
      <c r="X21" s="19" t="e">
        <f t="shared" ref="X21:AJ21" si="17">+X20/X3</f>
        <v>#DIV/0!</v>
      </c>
      <c r="Y21" s="19" t="e">
        <f t="shared" si="17"/>
        <v>#DIV/0!</v>
      </c>
      <c r="Z21" s="19" t="e">
        <f t="shared" si="17"/>
        <v>#DIV/0!</v>
      </c>
      <c r="AA21" s="19" t="e">
        <f t="shared" si="17"/>
        <v>#DIV/0!</v>
      </c>
      <c r="AB21" s="19" t="e">
        <f t="shared" si="17"/>
        <v>#DIV/0!</v>
      </c>
      <c r="AC21" s="19" t="e">
        <f t="shared" si="17"/>
        <v>#DIV/0!</v>
      </c>
      <c r="AD21" s="19" t="e">
        <f t="shared" si="17"/>
        <v>#DIV/0!</v>
      </c>
      <c r="AE21" s="19">
        <f t="shared" si="17"/>
        <v>0.29562067576139178</v>
      </c>
      <c r="AF21" s="19">
        <f t="shared" si="17"/>
        <v>0.28686133843383832</v>
      </c>
      <c r="AG21" s="19" t="e">
        <f t="shared" si="17"/>
        <v>#DIV/0!</v>
      </c>
      <c r="AH21" s="19" t="e">
        <f t="shared" si="17"/>
        <v>#DIV/0!</v>
      </c>
      <c r="AI21" s="19">
        <f t="shared" si="17"/>
        <v>4.9951663686245741E-2</v>
      </c>
      <c r="AJ21" s="19">
        <f t="shared" si="17"/>
        <v>6.7035474051326163E-2</v>
      </c>
    </row>
    <row r="22" spans="2:36" ht="18" thickTop="1" thickBot="1" x14ac:dyDescent="0.4">
      <c r="B22" s="32" t="s">
        <v>37</v>
      </c>
      <c r="C22" s="38">
        <f t="shared" ref="C22:G22" si="18">C16/C17</f>
        <v>2.1712328767123288</v>
      </c>
      <c r="D22" s="38" t="e">
        <f t="shared" si="18"/>
        <v>#DIV/0!</v>
      </c>
      <c r="E22" s="38" t="e">
        <f t="shared" si="18"/>
        <v>#DIV/0!</v>
      </c>
      <c r="F22" s="38" t="e">
        <f t="shared" si="18"/>
        <v>#DIV/0!</v>
      </c>
      <c r="G22" s="38" t="e">
        <f t="shared" si="18"/>
        <v>#DIV/0!</v>
      </c>
      <c r="H22" s="38" t="e">
        <f>H16/H17</f>
        <v>#DIV/0!</v>
      </c>
      <c r="I22" s="39" t="e">
        <f>I16/I17</f>
        <v>#DIV/0!</v>
      </c>
      <c r="J22" s="23" t="e">
        <f>AVERAGE(D22:I22)</f>
        <v>#DIV/0!</v>
      </c>
    </row>
    <row r="23" spans="2:36" ht="15.75" thickTop="1" x14ac:dyDescent="0.25">
      <c r="W23" s="12" t="s">
        <v>47</v>
      </c>
      <c r="X23" s="13"/>
      <c r="Y23" s="13"/>
      <c r="Z23" s="13"/>
      <c r="AA23" s="13"/>
      <c r="AB23" s="13"/>
      <c r="AC23" s="13"/>
      <c r="AD23" s="13"/>
      <c r="AE23" s="13">
        <v>0</v>
      </c>
      <c r="AF23" s="13">
        <v>-210</v>
      </c>
      <c r="AG23" s="13"/>
      <c r="AH23" s="13"/>
      <c r="AI23" s="13">
        <v>0</v>
      </c>
      <c r="AJ23" s="13">
        <v>0</v>
      </c>
    </row>
    <row r="24" spans="2:36" x14ac:dyDescent="0.25">
      <c r="G24" s="10">
        <v>701.95658000000003</v>
      </c>
      <c r="H24" s="10">
        <v>709.32254499999999</v>
      </c>
      <c r="I24" s="10">
        <v>716.73997499999996</v>
      </c>
      <c r="W24" s="12" t="s">
        <v>48</v>
      </c>
      <c r="X24" s="14" t="e">
        <f t="shared" ref="X24:AJ24" si="19">+X23/X20</f>
        <v>#DIV/0!</v>
      </c>
      <c r="Y24" s="14" t="e">
        <f t="shared" si="19"/>
        <v>#DIV/0!</v>
      </c>
      <c r="Z24" s="14" t="e">
        <f t="shared" si="19"/>
        <v>#DIV/0!</v>
      </c>
      <c r="AA24" s="14" t="e">
        <f t="shared" si="19"/>
        <v>#DIV/0!</v>
      </c>
      <c r="AB24" s="14" t="e">
        <f t="shared" si="19"/>
        <v>#DIV/0!</v>
      </c>
      <c r="AC24" s="14" t="e">
        <f t="shared" si="19"/>
        <v>#DIV/0!</v>
      </c>
      <c r="AD24" s="14" t="e">
        <f t="shared" si="19"/>
        <v>#DIV/0!</v>
      </c>
      <c r="AE24" s="14">
        <f t="shared" si="19"/>
        <v>0</v>
      </c>
      <c r="AF24" s="14">
        <f t="shared" si="19"/>
        <v>-3.4218116048296426E-4</v>
      </c>
      <c r="AG24" s="14" t="e">
        <f t="shared" si="19"/>
        <v>#DIV/0!</v>
      </c>
      <c r="AH24" s="14" t="e">
        <f t="shared" si="19"/>
        <v>#DIV/0!</v>
      </c>
      <c r="AI24" s="14">
        <f t="shared" si="19"/>
        <v>0</v>
      </c>
      <c r="AJ24" s="14">
        <f t="shared" si="19"/>
        <v>0</v>
      </c>
    </row>
    <row r="25" spans="2:36" x14ac:dyDescent="0.25">
      <c r="G25">
        <f>+G10/G24</f>
        <v>0</v>
      </c>
      <c r="H25">
        <f>+H10/H24</f>
        <v>0</v>
      </c>
      <c r="I25">
        <f>+I10/I24</f>
        <v>0</v>
      </c>
      <c r="M25" s="10"/>
    </row>
    <row r="26" spans="2:36" x14ac:dyDescent="0.25">
      <c r="M26" s="10"/>
      <c r="W26" s="12" t="s">
        <v>74</v>
      </c>
      <c r="AC26" s="13"/>
      <c r="AD26" s="13"/>
      <c r="AE26" s="13">
        <v>0</v>
      </c>
      <c r="AF26" s="13">
        <v>0</v>
      </c>
      <c r="AG26" s="13"/>
      <c r="AH26" s="13"/>
      <c r="AI26" s="13">
        <v>0</v>
      </c>
      <c r="AJ26" s="13">
        <v>0</v>
      </c>
    </row>
    <row r="28" spans="2:36" x14ac:dyDescent="0.25">
      <c r="W28" s="12" t="s">
        <v>49</v>
      </c>
      <c r="X28" s="13">
        <f t="shared" ref="X28:AF28" si="20">+X20+X23-X26</f>
        <v>0</v>
      </c>
      <c r="Y28" s="13">
        <f t="shared" si="20"/>
        <v>0</v>
      </c>
      <c r="Z28" s="13">
        <f t="shared" si="20"/>
        <v>0</v>
      </c>
      <c r="AA28" s="13">
        <f t="shared" si="20"/>
        <v>0</v>
      </c>
      <c r="AB28" s="13">
        <f t="shared" si="20"/>
        <v>0</v>
      </c>
      <c r="AC28" s="13">
        <f t="shared" si="20"/>
        <v>0</v>
      </c>
      <c r="AD28" s="13">
        <f t="shared" si="20"/>
        <v>0</v>
      </c>
      <c r="AE28" s="13">
        <f t="shared" si="20"/>
        <v>666930</v>
      </c>
      <c r="AF28" s="13">
        <f t="shared" si="20"/>
        <v>613500</v>
      </c>
      <c r="AG28" s="13">
        <f>+AG20+AG23-AG26</f>
        <v>0</v>
      </c>
      <c r="AH28" s="13">
        <f t="shared" ref="AH28:AJ28" si="21">+AH20+AH23-AH26</f>
        <v>0</v>
      </c>
      <c r="AI28" s="13">
        <f t="shared" si="21"/>
        <v>104582</v>
      </c>
      <c r="AJ28" s="13">
        <f t="shared" si="21"/>
        <v>119709</v>
      </c>
    </row>
    <row r="29" spans="2:36" x14ac:dyDescent="0.25">
      <c r="M29" s="10"/>
      <c r="W29" s="12" t="s">
        <v>25</v>
      </c>
      <c r="X29" s="19" t="e">
        <f t="shared" ref="X29:AJ29" si="22">+X28/X3</f>
        <v>#DIV/0!</v>
      </c>
      <c r="Y29" s="19" t="e">
        <f t="shared" si="22"/>
        <v>#DIV/0!</v>
      </c>
      <c r="Z29" s="19" t="e">
        <f t="shared" si="22"/>
        <v>#DIV/0!</v>
      </c>
      <c r="AA29" s="19" t="e">
        <f t="shared" si="22"/>
        <v>#DIV/0!</v>
      </c>
      <c r="AB29" s="19" t="e">
        <f t="shared" si="22"/>
        <v>#DIV/0!</v>
      </c>
      <c r="AC29" s="19" t="e">
        <f t="shared" si="22"/>
        <v>#DIV/0!</v>
      </c>
      <c r="AD29" s="19" t="e">
        <f t="shared" si="22"/>
        <v>#DIV/0!</v>
      </c>
      <c r="AE29" s="19">
        <f t="shared" si="22"/>
        <v>0.29562067576139178</v>
      </c>
      <c r="AF29" s="19">
        <f t="shared" si="22"/>
        <v>0.28676317988815536</v>
      </c>
      <c r="AG29" s="19" t="e">
        <f t="shared" si="22"/>
        <v>#DIV/0!</v>
      </c>
      <c r="AH29" s="19" t="e">
        <f t="shared" si="22"/>
        <v>#DIV/0!</v>
      </c>
      <c r="AI29" s="19">
        <f t="shared" si="22"/>
        <v>4.9951663686245741E-2</v>
      </c>
      <c r="AJ29" s="19">
        <f t="shared" si="22"/>
        <v>6.7035474051326163E-2</v>
      </c>
    </row>
    <row r="30" spans="2:36" x14ac:dyDescent="0.25">
      <c r="M30" s="10"/>
    </row>
    <row r="31" spans="2:36" x14ac:dyDescent="0.25">
      <c r="W31" s="12" t="s">
        <v>29</v>
      </c>
      <c r="X31" s="16" t="e">
        <f t="shared" ref="X31:AJ31" si="23">+X28/X47</f>
        <v>#DIV/0!</v>
      </c>
      <c r="Y31" s="16" t="e">
        <f t="shared" si="23"/>
        <v>#DIV/0!</v>
      </c>
      <c r="Z31" s="16" t="e">
        <f t="shared" si="23"/>
        <v>#DIV/0!</v>
      </c>
      <c r="AA31" s="16" t="e">
        <f t="shared" si="23"/>
        <v>#DIV/0!</v>
      </c>
      <c r="AB31" s="16" t="e">
        <f t="shared" si="23"/>
        <v>#DIV/0!</v>
      </c>
      <c r="AC31" s="16" t="e">
        <f t="shared" si="23"/>
        <v>#DIV/0!</v>
      </c>
      <c r="AD31" s="16" t="e">
        <f t="shared" si="23"/>
        <v>#DIV/0!</v>
      </c>
      <c r="AE31" s="16">
        <f t="shared" si="23"/>
        <v>1.33386</v>
      </c>
      <c r="AF31" s="16">
        <f t="shared" si="23"/>
        <v>1.2270000000000001</v>
      </c>
      <c r="AG31" s="16">
        <f t="shared" si="23"/>
        <v>0</v>
      </c>
      <c r="AH31" s="16">
        <f t="shared" si="23"/>
        <v>0</v>
      </c>
      <c r="AI31" s="16">
        <f t="shared" si="23"/>
        <v>0.20916399999999999</v>
      </c>
      <c r="AJ31" s="16">
        <f t="shared" si="23"/>
        <v>0.23941799999999999</v>
      </c>
    </row>
    <row r="32" spans="2:36" x14ac:dyDescent="0.25">
      <c r="W32" s="12" t="s">
        <v>40</v>
      </c>
      <c r="AA32" s="17"/>
      <c r="AB32" s="18" t="e">
        <f t="shared" ref="AB32:AJ32" si="24">+AB31/X31-1</f>
        <v>#DIV/0!</v>
      </c>
      <c r="AC32" s="18" t="e">
        <f t="shared" si="24"/>
        <v>#DIV/0!</v>
      </c>
      <c r="AD32" s="18" t="e">
        <f t="shared" si="24"/>
        <v>#DIV/0!</v>
      </c>
      <c r="AE32" s="18" t="e">
        <f t="shared" si="24"/>
        <v>#DIV/0!</v>
      </c>
      <c r="AF32" s="18" t="e">
        <f t="shared" si="24"/>
        <v>#DIV/0!</v>
      </c>
      <c r="AG32" s="18" t="e">
        <f t="shared" si="24"/>
        <v>#DIV/0!</v>
      </c>
      <c r="AH32" s="18" t="e">
        <f t="shared" si="24"/>
        <v>#DIV/0!</v>
      </c>
      <c r="AI32" s="18">
        <f t="shared" si="24"/>
        <v>-0.84318894036855441</v>
      </c>
      <c r="AJ32" s="18">
        <f t="shared" si="24"/>
        <v>-0.80487530562347187</v>
      </c>
    </row>
    <row r="33" spans="23:38" x14ac:dyDescent="0.25">
      <c r="W33" s="12" t="s">
        <v>41</v>
      </c>
      <c r="Y33" s="18" t="e">
        <f t="shared" ref="Y33:AD33" si="25">+Y31/X31-1</f>
        <v>#DIV/0!</v>
      </c>
      <c r="Z33" s="18" t="e">
        <f t="shared" si="25"/>
        <v>#DIV/0!</v>
      </c>
      <c r="AA33" s="18" t="e">
        <f t="shared" si="25"/>
        <v>#DIV/0!</v>
      </c>
      <c r="AB33" s="18" t="e">
        <f t="shared" si="25"/>
        <v>#DIV/0!</v>
      </c>
      <c r="AC33" s="18" t="e">
        <f t="shared" si="25"/>
        <v>#DIV/0!</v>
      </c>
      <c r="AD33" s="18" t="e">
        <f t="shared" si="25"/>
        <v>#DIV/0!</v>
      </c>
      <c r="AE33" s="18" t="e">
        <f>+AE31/AD31-1</f>
        <v>#DIV/0!</v>
      </c>
      <c r="AF33" s="18">
        <f>+AF31/AE31-1</f>
        <v>-8.0113355224686211E-2</v>
      </c>
      <c r="AG33" s="18">
        <f>+AG31/AF31-1</f>
        <v>-1</v>
      </c>
      <c r="AH33" s="18" t="e">
        <f t="shared" ref="AH33" si="26">+AH31/AG31-1</f>
        <v>#DIV/0!</v>
      </c>
      <c r="AI33" s="18" t="e">
        <f>+AI31/AH31-1</f>
        <v>#DIV/0!</v>
      </c>
      <c r="AJ33" s="18">
        <f>+AJ31/AI31-1</f>
        <v>0.14464248149777204</v>
      </c>
    </row>
    <row r="34" spans="23:38" x14ac:dyDescent="0.25">
      <c r="Y34" s="18"/>
      <c r="Z34" s="18"/>
      <c r="AA34" s="18"/>
      <c r="AB34" s="18"/>
      <c r="AC34" s="18"/>
      <c r="AD34" s="18"/>
      <c r="AE34" s="18"/>
      <c r="AF34" s="18"/>
      <c r="AG34" s="18"/>
      <c r="AH34" s="18"/>
      <c r="AI34" s="18"/>
      <c r="AJ34" s="18"/>
    </row>
    <row r="35" spans="23:38" x14ac:dyDescent="0.25">
      <c r="W35" s="12" t="s">
        <v>88</v>
      </c>
      <c r="X35" s="18" t="e">
        <f>+X28*4/X39</f>
        <v>#DIV/0!</v>
      </c>
      <c r="Y35" s="18" t="e">
        <f>+Y28*4/Y39</f>
        <v>#DIV/0!</v>
      </c>
      <c r="Z35" s="18" t="e">
        <f t="shared" ref="Z35:AJ35" si="27">+Z28*4/Z40</f>
        <v>#DIV/0!</v>
      </c>
      <c r="AA35" s="18" t="e">
        <f t="shared" si="27"/>
        <v>#DIV/0!</v>
      </c>
      <c r="AB35" s="18" t="e">
        <f t="shared" si="27"/>
        <v>#DIV/0!</v>
      </c>
      <c r="AC35" s="18" t="e">
        <f t="shared" si="27"/>
        <v>#DIV/0!</v>
      </c>
      <c r="AD35" s="18" t="e">
        <f t="shared" si="27"/>
        <v>#DIV/0!</v>
      </c>
      <c r="AE35" s="18" t="e">
        <f t="shared" si="27"/>
        <v>#DIV/0!</v>
      </c>
      <c r="AF35" s="18" t="e">
        <f t="shared" si="27"/>
        <v>#DIV/0!</v>
      </c>
      <c r="AG35" s="18" t="e">
        <f t="shared" si="27"/>
        <v>#DIV/0!</v>
      </c>
      <c r="AH35" s="18">
        <f t="shared" si="27"/>
        <v>0</v>
      </c>
      <c r="AI35" s="18">
        <f t="shared" si="27"/>
        <v>0.1236435732995048</v>
      </c>
      <c r="AJ35" s="18">
        <f t="shared" si="27"/>
        <v>0.11264587814834262</v>
      </c>
    </row>
    <row r="37" spans="23:38" x14ac:dyDescent="0.25">
      <c r="W37" s="12" t="s">
        <v>52</v>
      </c>
      <c r="X37" s="13"/>
      <c r="Y37" s="13"/>
      <c r="Z37" s="13"/>
      <c r="AA37" s="13"/>
      <c r="AB37" s="13"/>
      <c r="AC37" s="13"/>
      <c r="AD37" s="13"/>
      <c r="AE37" s="13"/>
      <c r="AF37" s="13"/>
      <c r="AG37" s="13"/>
      <c r="AH37" s="13">
        <f>588880+124+538109+2+31639+225764</f>
        <v>1384518</v>
      </c>
      <c r="AI37" s="13">
        <f>522384+126+426127+2+30096+227330</f>
        <v>1206065</v>
      </c>
      <c r="AJ37" s="13">
        <f>416870+124+507384+2+25257+221913</f>
        <v>1171550</v>
      </c>
      <c r="AL37" s="12">
        <f>0.23*AI49</f>
        <v>1.5563354800000002</v>
      </c>
    </row>
    <row r="38" spans="23:38" x14ac:dyDescent="0.25">
      <c r="W38" s="12" t="s">
        <v>53</v>
      </c>
      <c r="X38" s="13"/>
      <c r="Y38" s="13"/>
      <c r="Z38" s="13"/>
      <c r="AA38" s="13"/>
      <c r="AB38" s="13"/>
      <c r="AC38" s="13"/>
      <c r="AD38" s="13"/>
      <c r="AE38" s="13"/>
      <c r="AF38" s="13"/>
      <c r="AG38" s="13"/>
      <c r="AH38" s="13">
        <f>48571+35962</f>
        <v>84533</v>
      </c>
      <c r="AI38" s="13">
        <f>38885+71873</f>
        <v>110758</v>
      </c>
      <c r="AJ38" s="13">
        <f>52176+720841</f>
        <v>773017</v>
      </c>
      <c r="AL38" s="12">
        <f>350/AL37</f>
        <v>224.88724603258416</v>
      </c>
    </row>
    <row r="39" spans="23:38" x14ac:dyDescent="0.25">
      <c r="W39" s="12" t="s">
        <v>50</v>
      </c>
      <c r="X39" s="13">
        <f t="shared" ref="X39:AJ39" si="28">+X37-X38</f>
        <v>0</v>
      </c>
      <c r="Y39" s="13">
        <f t="shared" si="28"/>
        <v>0</v>
      </c>
      <c r="Z39" s="13">
        <f t="shared" si="28"/>
        <v>0</v>
      </c>
      <c r="AA39" s="13">
        <f t="shared" si="28"/>
        <v>0</v>
      </c>
      <c r="AB39" s="13">
        <f t="shared" si="28"/>
        <v>0</v>
      </c>
      <c r="AC39" s="13">
        <f t="shared" si="28"/>
        <v>0</v>
      </c>
      <c r="AD39" s="13">
        <f t="shared" si="28"/>
        <v>0</v>
      </c>
      <c r="AE39" s="13">
        <f t="shared" si="28"/>
        <v>0</v>
      </c>
      <c r="AF39" s="13">
        <f t="shared" si="28"/>
        <v>0</v>
      </c>
      <c r="AG39" s="13">
        <f t="shared" si="28"/>
        <v>0</v>
      </c>
      <c r="AH39" s="13">
        <f t="shared" si="28"/>
        <v>1299985</v>
      </c>
      <c r="AI39" s="13">
        <f t="shared" si="28"/>
        <v>1095307</v>
      </c>
      <c r="AJ39" s="13">
        <f t="shared" si="28"/>
        <v>398533</v>
      </c>
    </row>
    <row r="40" spans="23:38" x14ac:dyDescent="0.25">
      <c r="W40" s="12" t="s">
        <v>54</v>
      </c>
      <c r="X40" s="13"/>
      <c r="Y40" s="13"/>
      <c r="Z40" s="13"/>
      <c r="AA40" s="13"/>
      <c r="AB40" s="13"/>
      <c r="AC40" s="13"/>
      <c r="AD40" s="13"/>
      <c r="AE40" s="13"/>
      <c r="AF40" s="13"/>
      <c r="AG40" s="13"/>
      <c r="AH40" s="13">
        <v>3278886</v>
      </c>
      <c r="AI40" s="13">
        <v>3383338</v>
      </c>
      <c r="AJ40" s="13">
        <v>4250808</v>
      </c>
    </row>
    <row r="41" spans="23:38" x14ac:dyDescent="0.25">
      <c r="W41" s="12" t="s">
        <v>75</v>
      </c>
      <c r="X41" s="13"/>
      <c r="Y41" s="13"/>
      <c r="Z41" s="13"/>
      <c r="AA41" s="13"/>
      <c r="AB41" s="13"/>
      <c r="AC41" s="13"/>
      <c r="AD41" s="13"/>
      <c r="AE41" s="13"/>
      <c r="AF41" s="13"/>
      <c r="AG41" s="13"/>
      <c r="AH41" s="13">
        <v>1151748</v>
      </c>
      <c r="AI41" s="13">
        <v>1063723</v>
      </c>
      <c r="AJ41" s="13">
        <v>948169</v>
      </c>
    </row>
    <row r="43" spans="23:38" x14ac:dyDescent="0.25">
      <c r="W43" s="12" t="s">
        <v>51</v>
      </c>
      <c r="X43" s="14"/>
      <c r="Y43" s="14"/>
      <c r="Z43" s="14" t="e">
        <f t="shared" ref="Z43:AJ43" si="29">+Z37/Z40</f>
        <v>#DIV/0!</v>
      </c>
      <c r="AA43" s="14"/>
      <c r="AB43" s="14" t="e">
        <f t="shared" si="29"/>
        <v>#DIV/0!</v>
      </c>
      <c r="AC43" s="14" t="e">
        <f t="shared" si="29"/>
        <v>#DIV/0!</v>
      </c>
      <c r="AD43" s="14" t="e">
        <f t="shared" si="29"/>
        <v>#DIV/0!</v>
      </c>
      <c r="AE43" s="14" t="e">
        <f t="shared" si="29"/>
        <v>#DIV/0!</v>
      </c>
      <c r="AF43" s="14" t="e">
        <f t="shared" si="29"/>
        <v>#DIV/0!</v>
      </c>
      <c r="AG43" s="14" t="e">
        <f t="shared" si="29"/>
        <v>#DIV/0!</v>
      </c>
      <c r="AH43" s="14">
        <f t="shared" si="29"/>
        <v>0.422252557728448</v>
      </c>
      <c r="AI43" s="14">
        <f t="shared" si="29"/>
        <v>0.35647192210769363</v>
      </c>
      <c r="AJ43" s="14">
        <f t="shared" si="29"/>
        <v>0.27560642588420836</v>
      </c>
    </row>
    <row r="45" spans="23:38" x14ac:dyDescent="0.25">
      <c r="W45" s="12" t="s">
        <v>63</v>
      </c>
      <c r="X45" s="16" t="e">
        <f t="shared" ref="X45:AJ45" si="30">+(X3*1000)/X7</f>
        <v>#DIV/0!</v>
      </c>
      <c r="Y45" s="16" t="e">
        <f t="shared" si="30"/>
        <v>#DIV/0!</v>
      </c>
      <c r="Z45" s="16" t="e">
        <f t="shared" si="30"/>
        <v>#DIV/0!</v>
      </c>
      <c r="AA45" s="16" t="e">
        <f t="shared" si="30"/>
        <v>#DIV/0!</v>
      </c>
      <c r="AB45" s="16" t="e">
        <f t="shared" si="30"/>
        <v>#DIV/0!</v>
      </c>
      <c r="AC45" s="16" t="e">
        <f t="shared" si="30"/>
        <v>#DIV/0!</v>
      </c>
      <c r="AD45" s="16" t="e">
        <f t="shared" si="30"/>
        <v>#DIV/0!</v>
      </c>
      <c r="AE45" s="16" t="e">
        <f t="shared" si="30"/>
        <v>#DIV/0!</v>
      </c>
      <c r="AF45" s="16" t="e">
        <f t="shared" si="30"/>
        <v>#DIV/0!</v>
      </c>
      <c r="AG45" s="16" t="e">
        <f t="shared" si="30"/>
        <v>#DIV/0!</v>
      </c>
      <c r="AH45" s="16" t="e">
        <f t="shared" si="30"/>
        <v>#DIV/0!</v>
      </c>
      <c r="AI45" s="16" t="e">
        <f t="shared" si="30"/>
        <v>#DIV/0!</v>
      </c>
      <c r="AJ45" s="16" t="e">
        <f t="shared" si="30"/>
        <v>#DIV/0!</v>
      </c>
    </row>
    <row r="47" spans="23:38" x14ac:dyDescent="0.25">
      <c r="W47" s="12" t="s">
        <v>56</v>
      </c>
      <c r="X47" s="13"/>
      <c r="Y47" s="13"/>
      <c r="Z47" s="13"/>
      <c r="AA47" s="13"/>
      <c r="AB47" s="13"/>
      <c r="AC47" s="13"/>
      <c r="AD47" s="13"/>
      <c r="AE47" s="13">
        <f t="shared" ref="AE47:AH47" si="31">AF47</f>
        <v>500000</v>
      </c>
      <c r="AF47" s="13">
        <f t="shared" si="31"/>
        <v>500000</v>
      </c>
      <c r="AG47" s="13">
        <f t="shared" si="31"/>
        <v>500000</v>
      </c>
      <c r="AH47" s="13">
        <f t="shared" si="31"/>
        <v>500000</v>
      </c>
      <c r="AI47" s="13">
        <f>AJ47</f>
        <v>500000</v>
      </c>
      <c r="AJ47" s="13">
        <v>500000</v>
      </c>
    </row>
    <row r="49" spans="23:36" x14ac:dyDescent="0.25">
      <c r="W49" s="12" t="s">
        <v>57</v>
      </c>
      <c r="X49" s="16" t="e">
        <f t="shared" ref="X49:AJ49" si="32">+X40/X47</f>
        <v>#DIV/0!</v>
      </c>
      <c r="Y49" s="16" t="e">
        <f t="shared" si="32"/>
        <v>#DIV/0!</v>
      </c>
      <c r="Z49" s="16" t="e">
        <f t="shared" si="32"/>
        <v>#DIV/0!</v>
      </c>
      <c r="AA49" s="16" t="e">
        <f t="shared" si="32"/>
        <v>#DIV/0!</v>
      </c>
      <c r="AB49" s="16" t="e">
        <f t="shared" si="32"/>
        <v>#DIV/0!</v>
      </c>
      <c r="AC49" s="16" t="e">
        <f t="shared" si="32"/>
        <v>#DIV/0!</v>
      </c>
      <c r="AD49" s="16" t="e">
        <f t="shared" si="32"/>
        <v>#DIV/0!</v>
      </c>
      <c r="AE49" s="16">
        <f t="shared" si="32"/>
        <v>0</v>
      </c>
      <c r="AF49" s="16">
        <f t="shared" si="32"/>
        <v>0</v>
      </c>
      <c r="AG49" s="16">
        <f t="shared" si="32"/>
        <v>0</v>
      </c>
      <c r="AH49" s="16">
        <f t="shared" si="32"/>
        <v>6.5577719999999999</v>
      </c>
      <c r="AI49" s="16">
        <f t="shared" si="32"/>
        <v>6.7666760000000004</v>
      </c>
      <c r="AJ49" s="16">
        <f t="shared" si="32"/>
        <v>8.5016160000000003</v>
      </c>
    </row>
    <row r="51" spans="23:36" x14ac:dyDescent="0.25">
      <c r="W51" s="12" t="s">
        <v>67</v>
      </c>
      <c r="X51" s="13"/>
      <c r="Y51" s="13">
        <f>+Y55-X55</f>
        <v>0</v>
      </c>
      <c r="Z51" s="13">
        <f>+Z55-Y55</f>
        <v>0</v>
      </c>
      <c r="AA51" s="13">
        <f>+AA55</f>
        <v>0</v>
      </c>
      <c r="AB51" s="13">
        <f t="shared" ref="AB51:AD52" si="33">+AB55-AA55</f>
        <v>0</v>
      </c>
      <c r="AC51" s="13">
        <f t="shared" si="33"/>
        <v>0</v>
      </c>
      <c r="AD51" s="13">
        <f t="shared" si="33"/>
        <v>0</v>
      </c>
      <c r="AE51" s="13">
        <f>+AE55</f>
        <v>0</v>
      </c>
      <c r="AF51" s="13">
        <f>+AF55-AE55</f>
        <v>0</v>
      </c>
      <c r="AG51" s="13">
        <f>+AG55-AF55</f>
        <v>0</v>
      </c>
      <c r="AH51" s="13">
        <f t="shared" ref="AH51:AH52" si="34">+AH55-AG55</f>
        <v>0</v>
      </c>
      <c r="AI51" s="13">
        <f>+AI55</f>
        <v>280941</v>
      </c>
      <c r="AJ51" s="13">
        <f>+AJ55-AI55</f>
        <v>-563</v>
      </c>
    </row>
    <row r="52" spans="23:36" x14ac:dyDescent="0.25">
      <c r="W52" s="12" t="s">
        <v>60</v>
      </c>
      <c r="Y52" s="13">
        <f>+Y56-X56</f>
        <v>0</v>
      </c>
      <c r="Z52" s="13">
        <f>+Z56-Y56</f>
        <v>0</v>
      </c>
      <c r="AA52" s="13">
        <f>+AA56</f>
        <v>0</v>
      </c>
      <c r="AB52" s="13">
        <f t="shared" si="33"/>
        <v>0</v>
      </c>
      <c r="AC52" s="13">
        <f t="shared" si="33"/>
        <v>0</v>
      </c>
      <c r="AD52" s="13">
        <f t="shared" si="33"/>
        <v>0</v>
      </c>
      <c r="AE52" s="13">
        <f>+AE56</f>
        <v>0</v>
      </c>
      <c r="AF52" s="13">
        <f>+AF56-AE56</f>
        <v>0</v>
      </c>
      <c r="AG52" s="13">
        <f>+AG56-AF56</f>
        <v>0</v>
      </c>
      <c r="AH52" s="13">
        <f t="shared" si="34"/>
        <v>0</v>
      </c>
      <c r="AI52" s="13">
        <f>+AI56</f>
        <v>-82449</v>
      </c>
      <c r="AJ52" s="13">
        <f>+AJ56-AI56</f>
        <v>-54890</v>
      </c>
    </row>
    <row r="53" spans="23:36" x14ac:dyDescent="0.25">
      <c r="W53" s="12" t="s">
        <v>68</v>
      </c>
      <c r="Y53" s="13">
        <f t="shared" ref="Y53:AJ53" si="35">+Y51+Y52</f>
        <v>0</v>
      </c>
      <c r="Z53" s="13">
        <f t="shared" si="35"/>
        <v>0</v>
      </c>
      <c r="AA53" s="13">
        <f t="shared" si="35"/>
        <v>0</v>
      </c>
      <c r="AB53" s="13">
        <f t="shared" si="35"/>
        <v>0</v>
      </c>
      <c r="AC53" s="13">
        <f t="shared" si="35"/>
        <v>0</v>
      </c>
      <c r="AD53" s="13">
        <f t="shared" si="35"/>
        <v>0</v>
      </c>
      <c r="AE53" s="13">
        <f t="shared" si="35"/>
        <v>0</v>
      </c>
      <c r="AF53" s="13">
        <f t="shared" si="35"/>
        <v>0</v>
      </c>
      <c r="AG53" s="13">
        <f t="shared" si="35"/>
        <v>0</v>
      </c>
      <c r="AH53" s="13">
        <f t="shared" si="35"/>
        <v>0</v>
      </c>
      <c r="AI53" s="13">
        <f t="shared" si="35"/>
        <v>198492</v>
      </c>
      <c r="AJ53" s="13">
        <f t="shared" si="35"/>
        <v>-55453</v>
      </c>
    </row>
    <row r="55" spans="23:36" x14ac:dyDescent="0.25">
      <c r="W55" s="12" t="s">
        <v>67</v>
      </c>
      <c r="X55" s="13"/>
      <c r="Y55" s="13"/>
      <c r="Z55" s="13"/>
      <c r="AA55" s="13"/>
      <c r="AB55" s="13"/>
      <c r="AC55" s="13"/>
      <c r="AD55" s="13"/>
      <c r="AE55" s="13"/>
      <c r="AF55" s="13"/>
      <c r="AG55" s="13"/>
      <c r="AH55" s="13"/>
      <c r="AI55" s="13">
        <v>280941</v>
      </c>
      <c r="AJ55" s="13">
        <v>280378</v>
      </c>
    </row>
    <row r="56" spans="23:36" x14ac:dyDescent="0.25">
      <c r="W56" s="12" t="s">
        <v>60</v>
      </c>
      <c r="X56" s="13"/>
      <c r="Y56" s="13"/>
      <c r="Z56" s="13"/>
      <c r="AA56" s="13"/>
      <c r="AB56" s="13"/>
      <c r="AC56" s="13"/>
      <c r="AD56" s="13"/>
      <c r="AE56" s="13"/>
      <c r="AF56" s="10"/>
      <c r="AG56" s="13"/>
      <c r="AH56" s="13"/>
      <c r="AI56" s="13">
        <f>-75489-5976-984</f>
        <v>-82449</v>
      </c>
      <c r="AJ56" s="10">
        <f>-120398-14439-2502</f>
        <v>-137339</v>
      </c>
    </row>
    <row r="57" spans="23:36" x14ac:dyDescent="0.25">
      <c r="W57" s="12" t="s">
        <v>68</v>
      </c>
      <c r="X57" s="13">
        <f t="shared" ref="X57:AF57" si="36">+X55+X56</f>
        <v>0</v>
      </c>
      <c r="Y57" s="13">
        <f t="shared" si="36"/>
        <v>0</v>
      </c>
      <c r="Z57" s="13">
        <f t="shared" si="36"/>
        <v>0</v>
      </c>
      <c r="AA57" s="13">
        <f t="shared" si="36"/>
        <v>0</v>
      </c>
      <c r="AB57" s="13">
        <f t="shared" si="36"/>
        <v>0</v>
      </c>
      <c r="AC57" s="13">
        <f t="shared" si="36"/>
        <v>0</v>
      </c>
      <c r="AD57" s="13">
        <f t="shared" si="36"/>
        <v>0</v>
      </c>
      <c r="AE57" s="13">
        <f t="shared" si="36"/>
        <v>0</v>
      </c>
      <c r="AF57" s="13">
        <f t="shared" si="36"/>
        <v>0</v>
      </c>
      <c r="AG57" s="13">
        <f>+AG55+AG56</f>
        <v>0</v>
      </c>
      <c r="AH57" s="13">
        <f t="shared" ref="AH57:AJ57" si="37">+AH55+AH56</f>
        <v>0</v>
      </c>
      <c r="AI57" s="13">
        <f t="shared" si="37"/>
        <v>198492</v>
      </c>
      <c r="AJ57" s="13">
        <f t="shared" si="37"/>
        <v>143039</v>
      </c>
    </row>
    <row r="59" spans="23:36" x14ac:dyDescent="0.25">
      <c r="W59" s="47" t="s">
        <v>76</v>
      </c>
    </row>
    <row r="60" spans="23:36" x14ac:dyDescent="0.25">
      <c r="W60" s="47" t="s">
        <v>954</v>
      </c>
      <c r="X60" s="99"/>
      <c r="AC60" s="13"/>
      <c r="AF60" s="12" t="s">
        <v>949</v>
      </c>
      <c r="AG60" s="13"/>
    </row>
    <row r="61" spans="23:36" x14ac:dyDescent="0.25">
      <c r="W61" s="12" t="s">
        <v>78</v>
      </c>
      <c r="X61" s="13"/>
      <c r="Y61" s="13"/>
      <c r="Z61" s="13"/>
      <c r="AA61" s="13"/>
      <c r="AB61" s="13"/>
      <c r="AC61" s="13"/>
      <c r="AD61" s="13"/>
      <c r="AE61" s="13"/>
      <c r="AF61" s="13">
        <v>4395429</v>
      </c>
      <c r="AG61" s="13"/>
      <c r="AH61" s="13"/>
      <c r="AI61" s="13">
        <v>2085681</v>
      </c>
      <c r="AJ61" s="13">
        <f>3857684-AI61</f>
        <v>1772003</v>
      </c>
    </row>
    <row r="62" spans="23:36" x14ac:dyDescent="0.25">
      <c r="W62" s="12" t="s">
        <v>40</v>
      </c>
      <c r="X62" s="17"/>
      <c r="Y62" s="17"/>
      <c r="Z62" s="17"/>
      <c r="AA62" s="17"/>
      <c r="AB62" s="18"/>
      <c r="AC62" s="18" t="e">
        <f t="shared" ref="AC62:AI62" si="38">+AC61/Y61-1</f>
        <v>#DIV/0!</v>
      </c>
      <c r="AD62" s="18" t="e">
        <f t="shared" si="38"/>
        <v>#DIV/0!</v>
      </c>
      <c r="AE62" s="18" t="e">
        <f t="shared" si="38"/>
        <v>#DIV/0!</v>
      </c>
      <c r="AF62" s="18" t="e">
        <f t="shared" si="38"/>
        <v>#DIV/0!</v>
      </c>
      <c r="AG62" s="18" t="e">
        <f t="shared" si="38"/>
        <v>#DIV/0!</v>
      </c>
      <c r="AH62" s="18" t="e">
        <f t="shared" si="38"/>
        <v>#DIV/0!</v>
      </c>
      <c r="AI62" s="18" t="e">
        <f t="shared" si="38"/>
        <v>#DIV/0!</v>
      </c>
      <c r="AJ62" s="18"/>
    </row>
    <row r="63" spans="23:36" x14ac:dyDescent="0.25">
      <c r="W63" s="12" t="s">
        <v>41</v>
      </c>
      <c r="Y63" s="18"/>
      <c r="Z63" s="18" t="e">
        <f t="shared" ref="Z63:AJ63" si="39">+Z61/Y61-1</f>
        <v>#DIV/0!</v>
      </c>
      <c r="AA63" s="18" t="e">
        <f t="shared" si="39"/>
        <v>#DIV/0!</v>
      </c>
      <c r="AB63" s="18" t="e">
        <f t="shared" si="39"/>
        <v>#DIV/0!</v>
      </c>
      <c r="AC63" s="18" t="e">
        <f t="shared" si="39"/>
        <v>#DIV/0!</v>
      </c>
      <c r="AD63" s="18" t="e">
        <f t="shared" si="39"/>
        <v>#DIV/0!</v>
      </c>
      <c r="AE63" s="18" t="e">
        <f t="shared" si="39"/>
        <v>#DIV/0!</v>
      </c>
      <c r="AF63" s="18" t="e">
        <f t="shared" si="39"/>
        <v>#DIV/0!</v>
      </c>
      <c r="AG63" s="18">
        <f t="shared" si="39"/>
        <v>-1</v>
      </c>
      <c r="AH63" s="18" t="e">
        <f t="shared" si="39"/>
        <v>#DIV/0!</v>
      </c>
      <c r="AI63" s="18" t="e">
        <f t="shared" si="39"/>
        <v>#DIV/0!</v>
      </c>
      <c r="AJ63" s="18">
        <f t="shared" si="39"/>
        <v>-0.1503959617985684</v>
      </c>
    </row>
    <row r="64" spans="23:36" x14ac:dyDescent="0.25">
      <c r="W64" s="12" t="s">
        <v>42</v>
      </c>
      <c r="X64" s="13"/>
      <c r="Y64" s="13"/>
      <c r="Z64" s="13"/>
      <c r="AA64" s="13"/>
      <c r="AB64" s="13"/>
      <c r="AC64" s="13"/>
      <c r="AD64" s="13"/>
      <c r="AE64" s="13"/>
      <c r="AF64" s="13">
        <v>1424188</v>
      </c>
      <c r="AG64" s="13"/>
      <c r="AH64" s="13"/>
      <c r="AI64" s="13">
        <v>252827</v>
      </c>
      <c r="AJ64" s="13">
        <f>451939-AI64</f>
        <v>199112</v>
      </c>
    </row>
    <row r="65" spans="23:36" x14ac:dyDescent="0.25">
      <c r="W65" s="12" t="s">
        <v>82</v>
      </c>
      <c r="X65" s="19" t="e">
        <f t="shared" ref="X65:AF65" si="40">+X64/X61</f>
        <v>#DIV/0!</v>
      </c>
      <c r="Y65" s="19" t="e">
        <f t="shared" si="40"/>
        <v>#DIV/0!</v>
      </c>
      <c r="Z65" s="19" t="e">
        <f t="shared" si="40"/>
        <v>#DIV/0!</v>
      </c>
      <c r="AA65" s="19" t="e">
        <f t="shared" si="40"/>
        <v>#DIV/0!</v>
      </c>
      <c r="AB65" s="19" t="e">
        <f t="shared" si="40"/>
        <v>#DIV/0!</v>
      </c>
      <c r="AC65" s="19" t="e">
        <f t="shared" si="40"/>
        <v>#DIV/0!</v>
      </c>
      <c r="AD65" s="19" t="e">
        <f t="shared" si="40"/>
        <v>#DIV/0!</v>
      </c>
      <c r="AE65" s="19" t="e">
        <f t="shared" si="40"/>
        <v>#DIV/0!</v>
      </c>
      <c r="AF65" s="19">
        <f t="shared" si="40"/>
        <v>0.32401569903643079</v>
      </c>
      <c r="AG65" s="19" t="e">
        <f>+AG64/AG61</f>
        <v>#DIV/0!</v>
      </c>
      <c r="AH65" s="19" t="e">
        <f t="shared" ref="AH65:AJ65" si="41">+AH64/AH61</f>
        <v>#DIV/0!</v>
      </c>
      <c r="AI65" s="19">
        <f t="shared" si="41"/>
        <v>0.12122035920162287</v>
      </c>
      <c r="AJ65" s="19">
        <f t="shared" si="41"/>
        <v>0.11236549825254247</v>
      </c>
    </row>
    <row r="66" spans="23:36" x14ac:dyDescent="0.25">
      <c r="W66" s="12" t="s">
        <v>354</v>
      </c>
      <c r="X66" s="13"/>
      <c r="Y66" s="13"/>
      <c r="Z66" s="13"/>
      <c r="AA66" s="13"/>
      <c r="AB66" s="13"/>
      <c r="AC66" s="13"/>
      <c r="AD66" s="13"/>
      <c r="AE66" s="13"/>
      <c r="AF66" s="10">
        <v>1280640</v>
      </c>
      <c r="AG66" s="13"/>
      <c r="AH66" s="13"/>
      <c r="AI66" s="13">
        <v>109030</v>
      </c>
      <c r="AJ66" s="13">
        <f>228171-AI66</f>
        <v>119141</v>
      </c>
    </row>
    <row r="67" spans="23:36" x14ac:dyDescent="0.25">
      <c r="W67" s="12" t="s">
        <v>82</v>
      </c>
      <c r="X67" s="19" t="e">
        <f t="shared" ref="X67:AF67" si="42">+X66/X61</f>
        <v>#DIV/0!</v>
      </c>
      <c r="Y67" s="19" t="e">
        <f t="shared" si="42"/>
        <v>#DIV/0!</v>
      </c>
      <c r="Z67" s="19" t="e">
        <f t="shared" si="42"/>
        <v>#DIV/0!</v>
      </c>
      <c r="AA67" s="19" t="e">
        <f t="shared" si="42"/>
        <v>#DIV/0!</v>
      </c>
      <c r="AB67" s="19" t="e">
        <f t="shared" si="42"/>
        <v>#DIV/0!</v>
      </c>
      <c r="AC67" s="19" t="e">
        <f t="shared" si="42"/>
        <v>#DIV/0!</v>
      </c>
      <c r="AD67" s="19" t="e">
        <f t="shared" si="42"/>
        <v>#DIV/0!</v>
      </c>
      <c r="AE67" s="19" t="e">
        <f t="shared" si="42"/>
        <v>#DIV/0!</v>
      </c>
      <c r="AF67" s="19">
        <f t="shared" si="42"/>
        <v>0.29135722588170576</v>
      </c>
      <c r="AG67" s="19" t="e">
        <f>+AG66/AG61</f>
        <v>#DIV/0!</v>
      </c>
      <c r="AH67" s="19" t="e">
        <f t="shared" ref="AH67:AJ67" si="43">+AH66/AH61</f>
        <v>#DIV/0!</v>
      </c>
      <c r="AI67" s="19">
        <f t="shared" si="43"/>
        <v>5.2275491793807395E-2</v>
      </c>
      <c r="AJ67" s="19">
        <f t="shared" si="43"/>
        <v>6.7235213484401549E-2</v>
      </c>
    </row>
    <row r="70" spans="23:36" x14ac:dyDescent="0.25">
      <c r="W70" s="47" t="s">
        <v>955</v>
      </c>
      <c r="X70" s="99" t="s">
        <v>949</v>
      </c>
      <c r="AC70" s="13"/>
      <c r="AG70" s="13"/>
    </row>
    <row r="71" spans="23:36" x14ac:dyDescent="0.25">
      <c r="W71" s="12" t="s">
        <v>78</v>
      </c>
      <c r="X71" s="13"/>
      <c r="Y71" s="13"/>
      <c r="Z71" s="13"/>
      <c r="AA71" s="13"/>
      <c r="AB71" s="13"/>
      <c r="AC71" s="13"/>
      <c r="AD71" s="13"/>
      <c r="AE71" s="13"/>
      <c r="AF71" s="13">
        <v>0</v>
      </c>
      <c r="AG71" s="13"/>
      <c r="AH71" s="13"/>
      <c r="AI71" s="13">
        <v>7983</v>
      </c>
      <c r="AJ71" s="13">
        <f>21736-AI71</f>
        <v>13753</v>
      </c>
    </row>
    <row r="72" spans="23:36" x14ac:dyDescent="0.25">
      <c r="W72" s="12" t="s">
        <v>40</v>
      </c>
      <c r="X72" s="17"/>
      <c r="Y72" s="17"/>
      <c r="Z72" s="17"/>
      <c r="AA72" s="17"/>
      <c r="AB72" s="18"/>
      <c r="AC72" s="18" t="e">
        <f t="shared" ref="AC72:AI72" si="44">+AC71/Y71-1</f>
        <v>#DIV/0!</v>
      </c>
      <c r="AD72" s="18" t="e">
        <f t="shared" si="44"/>
        <v>#DIV/0!</v>
      </c>
      <c r="AE72" s="18" t="e">
        <f t="shared" si="44"/>
        <v>#DIV/0!</v>
      </c>
      <c r="AF72" s="18" t="e">
        <f t="shared" si="44"/>
        <v>#DIV/0!</v>
      </c>
      <c r="AG72" s="18" t="e">
        <f t="shared" si="44"/>
        <v>#DIV/0!</v>
      </c>
      <c r="AH72" s="18" t="e">
        <f t="shared" si="44"/>
        <v>#DIV/0!</v>
      </c>
      <c r="AI72" s="18" t="e">
        <f t="shared" si="44"/>
        <v>#DIV/0!</v>
      </c>
      <c r="AJ72" s="18"/>
    </row>
    <row r="73" spans="23:36" x14ac:dyDescent="0.25">
      <c r="W73" s="12" t="s">
        <v>41</v>
      </c>
      <c r="Y73" s="18"/>
      <c r="Z73" s="18" t="e">
        <f t="shared" ref="Z73:AJ73" si="45">+Z71/Y71-1</f>
        <v>#DIV/0!</v>
      </c>
      <c r="AA73" s="18" t="e">
        <f t="shared" si="45"/>
        <v>#DIV/0!</v>
      </c>
      <c r="AB73" s="18" t="e">
        <f t="shared" si="45"/>
        <v>#DIV/0!</v>
      </c>
      <c r="AC73" s="18" t="e">
        <f t="shared" si="45"/>
        <v>#DIV/0!</v>
      </c>
      <c r="AD73" s="18" t="e">
        <f t="shared" si="45"/>
        <v>#DIV/0!</v>
      </c>
      <c r="AE73" s="18" t="e">
        <f t="shared" si="45"/>
        <v>#DIV/0!</v>
      </c>
      <c r="AF73" s="18" t="e">
        <f t="shared" si="45"/>
        <v>#DIV/0!</v>
      </c>
      <c r="AG73" s="18" t="e">
        <f t="shared" si="45"/>
        <v>#DIV/0!</v>
      </c>
      <c r="AH73" s="18" t="e">
        <f t="shared" si="45"/>
        <v>#DIV/0!</v>
      </c>
      <c r="AI73" s="18" t="e">
        <f t="shared" si="45"/>
        <v>#DIV/0!</v>
      </c>
      <c r="AJ73" s="18">
        <f t="shared" si="45"/>
        <v>0.72278592008017029</v>
      </c>
    </row>
    <row r="74" spans="23:36" x14ac:dyDescent="0.25">
      <c r="W74" s="12" t="s">
        <v>42</v>
      </c>
      <c r="X74" s="13"/>
      <c r="Y74" s="13"/>
      <c r="Z74" s="13"/>
      <c r="AA74" s="10"/>
      <c r="AB74" s="13"/>
      <c r="AC74" s="13"/>
      <c r="AD74" s="13"/>
      <c r="AE74" s="13"/>
      <c r="AF74" s="13">
        <v>0</v>
      </c>
      <c r="AG74" s="13"/>
      <c r="AH74" s="13"/>
      <c r="AI74" s="13">
        <v>3040</v>
      </c>
      <c r="AJ74" s="13">
        <f>12043-AI74</f>
        <v>9003</v>
      </c>
    </row>
    <row r="75" spans="23:36" x14ac:dyDescent="0.25">
      <c r="W75" s="12" t="s">
        <v>82</v>
      </c>
      <c r="X75" s="19" t="e">
        <f t="shared" ref="X75:AF75" si="46">+X74/X71</f>
        <v>#DIV/0!</v>
      </c>
      <c r="Y75" s="19" t="e">
        <f t="shared" si="46"/>
        <v>#DIV/0!</v>
      </c>
      <c r="Z75" s="19" t="e">
        <f t="shared" si="46"/>
        <v>#DIV/0!</v>
      </c>
      <c r="AA75" s="19" t="e">
        <f t="shared" si="46"/>
        <v>#DIV/0!</v>
      </c>
      <c r="AB75" s="19" t="e">
        <f t="shared" si="46"/>
        <v>#DIV/0!</v>
      </c>
      <c r="AC75" s="19" t="e">
        <f t="shared" si="46"/>
        <v>#DIV/0!</v>
      </c>
      <c r="AD75" s="19" t="e">
        <f t="shared" si="46"/>
        <v>#DIV/0!</v>
      </c>
      <c r="AE75" s="19" t="e">
        <f t="shared" si="46"/>
        <v>#DIV/0!</v>
      </c>
      <c r="AF75" s="19" t="e">
        <f t="shared" si="46"/>
        <v>#DIV/0!</v>
      </c>
      <c r="AG75" s="19" t="e">
        <f>+AG74/AG71</f>
        <v>#DIV/0!</v>
      </c>
      <c r="AH75" s="19" t="e">
        <f t="shared" ref="AH75:AJ75" si="47">+AH74/AH71</f>
        <v>#DIV/0!</v>
      </c>
      <c r="AI75" s="19">
        <f t="shared" si="47"/>
        <v>0.38080921959163222</v>
      </c>
      <c r="AJ75" s="19">
        <f t="shared" si="47"/>
        <v>0.65462081000508976</v>
      </c>
    </row>
    <row r="76" spans="23:36" x14ac:dyDescent="0.25">
      <c r="W76" s="12" t="s">
        <v>354</v>
      </c>
      <c r="X76" s="13"/>
      <c r="Y76" s="13"/>
      <c r="Z76" s="13"/>
      <c r="AA76" s="13"/>
      <c r="AB76" s="13"/>
      <c r="AC76" s="13"/>
      <c r="AD76" s="13"/>
      <c r="AE76" s="13"/>
      <c r="AF76" s="13">
        <v>0</v>
      </c>
      <c r="AG76" s="13"/>
      <c r="AH76" s="13"/>
      <c r="AI76" s="13">
        <v>-4448</v>
      </c>
      <c r="AJ76" s="13">
        <f>-3880-AI76</f>
        <v>568</v>
      </c>
    </row>
    <row r="77" spans="23:36" x14ac:dyDescent="0.25">
      <c r="W77" s="12" t="s">
        <v>82</v>
      </c>
      <c r="X77" s="19" t="e">
        <f t="shared" ref="X77:AF77" si="48">+X76/X71</f>
        <v>#DIV/0!</v>
      </c>
      <c r="Y77" s="19" t="e">
        <f t="shared" si="48"/>
        <v>#DIV/0!</v>
      </c>
      <c r="Z77" s="19" t="e">
        <f t="shared" si="48"/>
        <v>#DIV/0!</v>
      </c>
      <c r="AA77" s="19" t="e">
        <f t="shared" si="48"/>
        <v>#DIV/0!</v>
      </c>
      <c r="AB77" s="19" t="e">
        <f t="shared" si="48"/>
        <v>#DIV/0!</v>
      </c>
      <c r="AC77" s="19" t="e">
        <f t="shared" si="48"/>
        <v>#DIV/0!</v>
      </c>
      <c r="AD77" s="19" t="e">
        <f t="shared" si="48"/>
        <v>#DIV/0!</v>
      </c>
      <c r="AE77" s="19" t="e">
        <f t="shared" si="48"/>
        <v>#DIV/0!</v>
      </c>
      <c r="AF77" s="19" t="e">
        <f t="shared" si="48"/>
        <v>#DIV/0!</v>
      </c>
      <c r="AG77" s="19" t="e">
        <f>+AG76/AG71</f>
        <v>#DIV/0!</v>
      </c>
      <c r="AH77" s="19" t="e">
        <f t="shared" ref="AH77:AJ77" si="49">+AH76/AH71</f>
        <v>#DIV/0!</v>
      </c>
      <c r="AI77" s="19">
        <f t="shared" si="49"/>
        <v>-0.55718401603407242</v>
      </c>
      <c r="AJ77" s="19">
        <f t="shared" si="49"/>
        <v>4.1300079982549261E-2</v>
      </c>
    </row>
  </sheetData>
  <mergeCells count="3">
    <mergeCell ref="AN2:AR2"/>
    <mergeCell ref="AS2:AW2"/>
    <mergeCell ref="B13:H13"/>
  </mergeCells>
  <pageMargins left="0.7" right="0.7" top="0.75" bottom="0.75" header="0.3" footer="0.3"/>
  <pageSetup paperSize="9"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729F-01AF-408F-A162-FB97C3BDB800}">
  <sheetPr>
    <tabColor rgb="FF92D050"/>
  </sheetPr>
  <dimension ref="A1:AY77"/>
  <sheetViews>
    <sheetView topLeftCell="W1" zoomScale="85" zoomScaleNormal="85" workbookViewId="0">
      <selection activeCell="AH3" sqref="AH3:AK3"/>
    </sheetView>
  </sheetViews>
  <sheetFormatPr defaultColWidth="8.85546875" defaultRowHeight="15" x14ac:dyDescent="0.25"/>
  <cols>
    <col min="1" max="1" width="9.140625" customWidth="1"/>
    <col min="2" max="2" width="28.28515625" customWidth="1"/>
    <col min="3" max="3" width="8.7109375" hidden="1" customWidth="1"/>
    <col min="4" max="7" width="9.140625"/>
    <col min="8" max="9" width="9.42578125" bestFit="1" customWidth="1"/>
    <col min="10" max="10" width="14.28515625" customWidth="1"/>
    <col min="11" max="12" width="9.140625"/>
    <col min="13" max="13" width="19.85546875" customWidth="1"/>
    <col min="14" max="22" width="9.140625"/>
    <col min="23" max="23" width="34.7109375" style="12" customWidth="1"/>
    <col min="24" max="38" width="12" style="12" customWidth="1"/>
    <col min="39" max="40" width="8.85546875" style="12"/>
    <col min="41" max="41" width="14.28515625" style="50" bestFit="1" customWidth="1"/>
    <col min="42" max="16384" width="8.85546875" style="50"/>
  </cols>
  <sheetData>
    <row r="1" spans="1:51" ht="15.75" thickBot="1" x14ac:dyDescent="0.3">
      <c r="W1" s="20" t="s">
        <v>194</v>
      </c>
      <c r="X1" s="59">
        <f>+'Valuation Sheet'!C34</f>
        <v>85.5</v>
      </c>
    </row>
    <row r="2" spans="1:51" ht="17.25" thickBot="1" x14ac:dyDescent="0.3">
      <c r="B2" s="40" t="s">
        <v>66</v>
      </c>
      <c r="C2" s="42" t="s">
        <v>0</v>
      </c>
      <c r="D2" s="42" t="s">
        <v>1</v>
      </c>
      <c r="E2" s="42" t="s">
        <v>2</v>
      </c>
      <c r="F2" s="42" t="s">
        <v>3</v>
      </c>
      <c r="G2" s="42" t="s">
        <v>4</v>
      </c>
      <c r="H2" s="42" t="s">
        <v>5</v>
      </c>
      <c r="I2" s="42" t="s">
        <v>6</v>
      </c>
      <c r="J2" s="43" t="s">
        <v>7</v>
      </c>
      <c r="M2" s="1" t="s">
        <v>8</v>
      </c>
      <c r="N2" t="str">
        <f>'[1]LT Portfolio'!I294</f>
        <v>SELL</v>
      </c>
      <c r="P2" s="1" t="s">
        <v>9</v>
      </c>
      <c r="Q2" s="2" t="e">
        <f>J14*J21</f>
        <v>#DIV/0!</v>
      </c>
      <c r="W2" s="20" t="s">
        <v>510</v>
      </c>
      <c r="X2" s="11" t="s">
        <v>14</v>
      </c>
      <c r="Y2" s="11" t="s">
        <v>16</v>
      </c>
      <c r="Z2" s="11" t="s">
        <v>18</v>
      </c>
      <c r="AA2" s="11" t="s">
        <v>20</v>
      </c>
      <c r="AB2" s="11" t="s">
        <v>22</v>
      </c>
      <c r="AC2" s="11" t="s">
        <v>24</v>
      </c>
      <c r="AD2" s="11" t="s">
        <v>26</v>
      </c>
      <c r="AE2" s="11" t="s">
        <v>39</v>
      </c>
      <c r="AF2" s="11" t="s">
        <v>38</v>
      </c>
      <c r="AG2" s="11" t="s">
        <v>71</v>
      </c>
      <c r="AH2" s="11" t="s">
        <v>83</v>
      </c>
      <c r="AI2" s="11" t="s">
        <v>84</v>
      </c>
      <c r="AJ2" s="11" t="s">
        <v>365</v>
      </c>
      <c r="AK2" s="11" t="s">
        <v>948</v>
      </c>
      <c r="AL2" s="11" t="s">
        <v>1018</v>
      </c>
      <c r="AO2" s="71" t="str">
        <f>+W2</f>
        <v>WATA</v>
      </c>
      <c r="AP2" s="189" t="s">
        <v>190</v>
      </c>
      <c r="AQ2" s="190"/>
      <c r="AR2" s="190"/>
      <c r="AS2" s="190"/>
      <c r="AT2" s="191"/>
      <c r="AU2" s="192" t="s">
        <v>191</v>
      </c>
      <c r="AV2" s="192"/>
      <c r="AW2" s="192"/>
      <c r="AX2" s="192"/>
      <c r="AY2" s="192"/>
    </row>
    <row r="3" spans="1:51" ht="18" thickTop="1" thickBot="1" x14ac:dyDescent="0.4">
      <c r="B3" s="25" t="s">
        <v>10</v>
      </c>
      <c r="C3" s="26">
        <v>17820.179</v>
      </c>
      <c r="D3" s="26"/>
      <c r="E3" s="26"/>
      <c r="F3" s="26"/>
      <c r="G3" s="26"/>
      <c r="H3" s="26"/>
      <c r="I3" s="27"/>
      <c r="J3" s="21"/>
      <c r="M3" s="1" t="s">
        <v>11</v>
      </c>
      <c r="N3" s="2">
        <f>'[1]LT Portfolio'!W294</f>
        <v>0</v>
      </c>
      <c r="W3" s="12" t="s">
        <v>62</v>
      </c>
      <c r="X3" s="13"/>
      <c r="Y3" s="13"/>
      <c r="Z3" s="13"/>
      <c r="AA3" s="13"/>
      <c r="AB3" s="13"/>
      <c r="AC3" s="13"/>
      <c r="AD3" s="13">
        <v>1441196</v>
      </c>
      <c r="AE3" s="13">
        <v>1851890</v>
      </c>
      <c r="AF3" s="13">
        <v>2726848</v>
      </c>
      <c r="AG3" s="13">
        <v>2070424</v>
      </c>
      <c r="AH3" s="13">
        <v>2118879</v>
      </c>
      <c r="AI3" s="13">
        <v>2357367</v>
      </c>
      <c r="AJ3" s="13">
        <v>2240798</v>
      </c>
      <c r="AK3" s="13">
        <v>1885171</v>
      </c>
      <c r="AL3" s="13">
        <v>1837567</v>
      </c>
      <c r="AO3" s="69"/>
      <c r="AP3" s="66" t="s">
        <v>78</v>
      </c>
      <c r="AQ3" s="67" t="s">
        <v>17</v>
      </c>
      <c r="AR3" s="67" t="s">
        <v>184</v>
      </c>
      <c r="AS3" s="67" t="s">
        <v>29</v>
      </c>
      <c r="AT3" s="68" t="s">
        <v>30</v>
      </c>
      <c r="AU3" s="66" t="s">
        <v>78</v>
      </c>
      <c r="AV3" s="67" t="s">
        <v>17</v>
      </c>
      <c r="AW3" s="67" t="s">
        <v>184</v>
      </c>
      <c r="AX3" s="67" t="s">
        <v>29</v>
      </c>
      <c r="AY3" s="68" t="s">
        <v>30</v>
      </c>
    </row>
    <row r="4" spans="1:51" ht="18" thickTop="1" thickBot="1" x14ac:dyDescent="0.4">
      <c r="B4" s="28" t="s">
        <v>12</v>
      </c>
      <c r="C4" s="29"/>
      <c r="D4" s="30">
        <f t="shared" ref="D4:G4" si="0">(D3/C3-1)*100</f>
        <v>-100</v>
      </c>
      <c r="E4" s="30" t="e">
        <f t="shared" si="0"/>
        <v>#DIV/0!</v>
      </c>
      <c r="F4" s="30" t="e">
        <f t="shared" si="0"/>
        <v>#DIV/0!</v>
      </c>
      <c r="G4" s="30" t="e">
        <f t="shared" si="0"/>
        <v>#DIV/0!</v>
      </c>
      <c r="H4" s="30" t="e">
        <f>(H3/G3-1)*100</f>
        <v>#DIV/0!</v>
      </c>
      <c r="I4" s="31" t="e">
        <f>(I3/H3-1)*100</f>
        <v>#DIV/0!</v>
      </c>
      <c r="J4" s="22" t="e">
        <f>((I3/D3)^(1/5)-1)*100</f>
        <v>#DIV/0!</v>
      </c>
      <c r="W4" s="12" t="s">
        <v>40</v>
      </c>
      <c r="X4" s="17"/>
      <c r="Y4" s="17"/>
      <c r="Z4" s="17"/>
      <c r="AA4" s="17"/>
      <c r="AB4" s="18" t="e">
        <f t="shared" ref="AB4:AL4" si="1">+AB3/X3-1</f>
        <v>#DIV/0!</v>
      </c>
      <c r="AC4" s="18" t="e">
        <f t="shared" si="1"/>
        <v>#DIV/0!</v>
      </c>
      <c r="AD4" s="18" t="e">
        <f t="shared" si="1"/>
        <v>#DIV/0!</v>
      </c>
      <c r="AE4" s="18" t="e">
        <f t="shared" si="1"/>
        <v>#DIV/0!</v>
      </c>
      <c r="AF4" s="18" t="e">
        <f t="shared" si="1"/>
        <v>#DIV/0!</v>
      </c>
      <c r="AG4" s="18" t="e">
        <f t="shared" si="1"/>
        <v>#DIV/0!</v>
      </c>
      <c r="AH4" s="18">
        <f t="shared" si="1"/>
        <v>0.47022264841145822</v>
      </c>
      <c r="AI4" s="18">
        <f t="shared" si="1"/>
        <v>0.2729519571896819</v>
      </c>
      <c r="AJ4" s="18">
        <f t="shared" si="1"/>
        <v>-0.17824609219142395</v>
      </c>
      <c r="AK4" s="18">
        <f t="shared" si="1"/>
        <v>-8.9475875472849964E-2</v>
      </c>
      <c r="AL4" s="18">
        <f t="shared" si="1"/>
        <v>-0.13276454200546606</v>
      </c>
      <c r="AM4" s="46"/>
      <c r="AO4" s="69" t="s">
        <v>185</v>
      </c>
      <c r="AP4" s="60">
        <v>55979</v>
      </c>
      <c r="AQ4" s="61"/>
      <c r="AR4" s="61">
        <v>5174</v>
      </c>
      <c r="AS4" s="74">
        <v>10.5</v>
      </c>
      <c r="AT4" s="64">
        <v>2</v>
      </c>
      <c r="AU4" s="60">
        <v>62230</v>
      </c>
      <c r="AV4" s="61"/>
      <c r="AW4" s="61">
        <v>6412</v>
      </c>
      <c r="AX4" s="58">
        <v>13</v>
      </c>
      <c r="AY4" s="64">
        <v>3.1</v>
      </c>
    </row>
    <row r="5" spans="1:51" ht="18" thickTop="1" thickBot="1" x14ac:dyDescent="0.4">
      <c r="B5" s="32" t="s">
        <v>13</v>
      </c>
      <c r="C5" s="29">
        <v>2994.8620000000001</v>
      </c>
      <c r="D5" s="26"/>
      <c r="E5" s="26"/>
      <c r="F5" s="26"/>
      <c r="G5" s="26"/>
      <c r="H5" s="26"/>
      <c r="I5" s="27"/>
      <c r="J5" s="21"/>
      <c r="M5" s="1" t="s">
        <v>14</v>
      </c>
      <c r="N5" s="3">
        <f>202.575/415.481776</f>
        <v>0.48756651122045841</v>
      </c>
      <c r="W5" s="12" t="s">
        <v>41</v>
      </c>
      <c r="Y5" s="18" t="e">
        <f t="shared" ref="Y5:AL5" si="2">+Y3/X3-1</f>
        <v>#DIV/0!</v>
      </c>
      <c r="Z5" s="18" t="e">
        <f t="shared" si="2"/>
        <v>#DIV/0!</v>
      </c>
      <c r="AA5" s="18" t="e">
        <f t="shared" si="2"/>
        <v>#DIV/0!</v>
      </c>
      <c r="AB5" s="18" t="e">
        <f t="shared" si="2"/>
        <v>#DIV/0!</v>
      </c>
      <c r="AC5" s="18" t="e">
        <f t="shared" si="2"/>
        <v>#DIV/0!</v>
      </c>
      <c r="AD5" s="18" t="e">
        <f t="shared" si="2"/>
        <v>#DIV/0!</v>
      </c>
      <c r="AE5" s="18">
        <f t="shared" si="2"/>
        <v>0.28496748533856597</v>
      </c>
      <c r="AF5" s="18">
        <f t="shared" si="2"/>
        <v>0.47246758716770443</v>
      </c>
      <c r="AG5" s="18">
        <f t="shared" si="2"/>
        <v>-0.24072628910742366</v>
      </c>
      <c r="AH5" s="18">
        <f t="shared" si="2"/>
        <v>2.3403418816628774E-2</v>
      </c>
      <c r="AI5" s="18">
        <f t="shared" si="2"/>
        <v>0.11255385512811245</v>
      </c>
      <c r="AJ5" s="18">
        <f t="shared" si="2"/>
        <v>-4.944881301893167E-2</v>
      </c>
      <c r="AK5" s="18">
        <f t="shared" si="2"/>
        <v>-0.15870551473180539</v>
      </c>
      <c r="AL5" s="18">
        <f t="shared" si="2"/>
        <v>-2.5251820657118063E-2</v>
      </c>
      <c r="AO5" s="69" t="s">
        <v>186</v>
      </c>
      <c r="AP5" s="60"/>
      <c r="AQ5" s="61"/>
      <c r="AR5" s="61"/>
      <c r="AS5" s="58"/>
      <c r="AT5" s="64"/>
      <c r="AU5" s="60"/>
      <c r="AV5" s="61"/>
      <c r="AW5" s="61"/>
      <c r="AX5" s="58"/>
      <c r="AY5" s="64"/>
    </row>
    <row r="6" spans="1:51" ht="18" thickTop="1" thickBot="1" x14ac:dyDescent="0.4">
      <c r="B6" s="28" t="s">
        <v>15</v>
      </c>
      <c r="C6" s="30">
        <f t="shared" ref="C6:G6" si="3">C5/C$3*100</f>
        <v>16.806015248219449</v>
      </c>
      <c r="D6" s="30" t="e">
        <f t="shared" si="3"/>
        <v>#DIV/0!</v>
      </c>
      <c r="E6" s="30" t="e">
        <f t="shared" si="3"/>
        <v>#DIV/0!</v>
      </c>
      <c r="F6" s="30" t="e">
        <f t="shared" si="3"/>
        <v>#DIV/0!</v>
      </c>
      <c r="G6" s="30" t="e">
        <f t="shared" si="3"/>
        <v>#DIV/0!</v>
      </c>
      <c r="H6" s="30" t="e">
        <f>H5/H$3*100</f>
        <v>#DIV/0!</v>
      </c>
      <c r="I6" s="31" t="e">
        <f>I5/I$3*100</f>
        <v>#DIV/0!</v>
      </c>
      <c r="J6" s="23" t="e">
        <f>AVERAGE(D6:I6)</f>
        <v>#DIV/0!</v>
      </c>
      <c r="M6" s="1" t="s">
        <v>16</v>
      </c>
      <c r="N6" s="3">
        <f>261.001/415.481776</f>
        <v>0.62818880412218114</v>
      </c>
      <c r="AO6" s="69" t="s">
        <v>187</v>
      </c>
      <c r="AP6" s="60"/>
      <c r="AQ6" s="61"/>
      <c r="AR6" s="61"/>
      <c r="AS6" s="58"/>
      <c r="AT6" s="64"/>
      <c r="AU6" s="60"/>
      <c r="AV6" s="61"/>
      <c r="AW6" s="61"/>
      <c r="AX6" s="58"/>
      <c r="AY6" s="64"/>
    </row>
    <row r="7" spans="1:51" ht="18" thickTop="1" thickBot="1" x14ac:dyDescent="0.4">
      <c r="B7" s="32" t="s">
        <v>17</v>
      </c>
      <c r="C7" s="26">
        <v>2167.6080000000002</v>
      </c>
      <c r="D7" s="26"/>
      <c r="E7" s="26"/>
      <c r="F7" s="26"/>
      <c r="G7" s="26"/>
      <c r="H7" s="26"/>
      <c r="I7" s="27"/>
      <c r="J7" s="24"/>
      <c r="M7" s="1" t="s">
        <v>18</v>
      </c>
      <c r="N7" s="3">
        <f>'[1]LT Portfolio'!P294</f>
        <v>0</v>
      </c>
      <c r="W7" s="12" t="s">
        <v>61</v>
      </c>
      <c r="X7" s="13"/>
      <c r="Y7" s="13"/>
      <c r="Z7" s="13"/>
      <c r="AA7" s="13"/>
      <c r="AB7" s="13"/>
      <c r="AC7" s="13"/>
      <c r="AD7" s="13"/>
      <c r="AE7" s="13"/>
      <c r="AF7" s="13"/>
      <c r="AG7" s="13"/>
      <c r="AH7" s="13"/>
      <c r="AI7" s="13"/>
      <c r="AJ7" s="13"/>
      <c r="AK7" s="13"/>
      <c r="AL7" s="13"/>
      <c r="AO7" s="69" t="s">
        <v>188</v>
      </c>
      <c r="AP7" s="60"/>
      <c r="AQ7" s="61"/>
      <c r="AR7" s="61"/>
      <c r="AS7" s="74"/>
      <c r="AT7" s="64"/>
      <c r="AU7" s="60"/>
      <c r="AV7" s="61"/>
      <c r="AW7" s="61"/>
      <c r="AX7" s="58"/>
      <c r="AY7" s="64"/>
    </row>
    <row r="8" spans="1:51" ht="18" thickTop="1" thickBot="1" x14ac:dyDescent="0.4">
      <c r="B8" s="28" t="s">
        <v>19</v>
      </c>
      <c r="C8" s="30">
        <f t="shared" ref="C8:I8" si="4">C7/C$3*100</f>
        <v>12.16378353999699</v>
      </c>
      <c r="D8" s="30" t="e">
        <f t="shared" si="4"/>
        <v>#DIV/0!</v>
      </c>
      <c r="E8" s="30" t="e">
        <f t="shared" si="4"/>
        <v>#DIV/0!</v>
      </c>
      <c r="F8" s="30" t="e">
        <f t="shared" si="4"/>
        <v>#DIV/0!</v>
      </c>
      <c r="G8" s="30" t="e">
        <f t="shared" si="4"/>
        <v>#DIV/0!</v>
      </c>
      <c r="H8" s="30" t="e">
        <f t="shared" si="4"/>
        <v>#DIV/0!</v>
      </c>
      <c r="I8" s="31" t="e">
        <f t="shared" si="4"/>
        <v>#DIV/0!</v>
      </c>
      <c r="J8" s="23" t="e">
        <f>AVERAGE(D8:I8)</f>
        <v>#DIV/0!</v>
      </c>
      <c r="M8" s="1" t="s">
        <v>20</v>
      </c>
      <c r="N8" s="3">
        <f>'[1]LT Portfolio'!Q294</f>
        <v>0</v>
      </c>
      <c r="W8" s="12" t="s">
        <v>40</v>
      </c>
      <c r="AB8" s="18" t="e">
        <f t="shared" ref="AB8:AL8" si="5">+AB7/X7-1</f>
        <v>#DIV/0!</v>
      </c>
      <c r="AC8" s="18" t="e">
        <f t="shared" si="5"/>
        <v>#DIV/0!</v>
      </c>
      <c r="AD8" s="18" t="e">
        <f t="shared" si="5"/>
        <v>#DIV/0!</v>
      </c>
      <c r="AE8" s="18" t="e">
        <f t="shared" si="5"/>
        <v>#DIV/0!</v>
      </c>
      <c r="AF8" s="18" t="e">
        <f t="shared" si="5"/>
        <v>#DIV/0!</v>
      </c>
      <c r="AG8" s="18" t="e">
        <f t="shared" si="5"/>
        <v>#DIV/0!</v>
      </c>
      <c r="AH8" s="18" t="e">
        <f t="shared" si="5"/>
        <v>#DIV/0!</v>
      </c>
      <c r="AI8" s="18" t="e">
        <f t="shared" si="5"/>
        <v>#DIV/0!</v>
      </c>
      <c r="AJ8" s="18" t="e">
        <f t="shared" si="5"/>
        <v>#DIV/0!</v>
      </c>
      <c r="AK8" s="18" t="e">
        <f t="shared" si="5"/>
        <v>#DIV/0!</v>
      </c>
      <c r="AL8" s="18" t="e">
        <f t="shared" si="5"/>
        <v>#DIV/0!</v>
      </c>
      <c r="AO8" s="69" t="s">
        <v>197</v>
      </c>
      <c r="AP8" s="60"/>
      <c r="AQ8" s="61"/>
      <c r="AR8" s="61"/>
      <c r="AS8" s="58"/>
      <c r="AT8" s="64"/>
      <c r="AU8" s="60"/>
      <c r="AV8" s="61"/>
      <c r="AW8" s="61"/>
      <c r="AX8" s="58"/>
      <c r="AY8" s="64"/>
    </row>
    <row r="9" spans="1:51" ht="18" thickTop="1" thickBot="1" x14ac:dyDescent="0.4">
      <c r="B9" s="32" t="s">
        <v>21</v>
      </c>
      <c r="C9" s="26">
        <v>2228.9470000000001</v>
      </c>
      <c r="D9" s="26"/>
      <c r="E9" s="26"/>
      <c r="F9" s="26"/>
      <c r="G9" s="26"/>
      <c r="H9" s="26"/>
      <c r="I9" s="27"/>
      <c r="J9" s="21"/>
      <c r="M9" s="1" t="s">
        <v>22</v>
      </c>
      <c r="N9" s="3">
        <f>'[1]LT Portfolio'!R294</f>
        <v>0</v>
      </c>
      <c r="O9" s="4">
        <f>N9/N5-1</f>
        <v>-1</v>
      </c>
      <c r="W9" s="12" t="s">
        <v>41</v>
      </c>
      <c r="Y9" s="18" t="e">
        <f t="shared" ref="Y9:AL9" si="6">+Y7/X7-1</f>
        <v>#DIV/0!</v>
      </c>
      <c r="Z9" s="18" t="e">
        <f t="shared" si="6"/>
        <v>#DIV/0!</v>
      </c>
      <c r="AA9" s="18" t="e">
        <f t="shared" si="6"/>
        <v>#DIV/0!</v>
      </c>
      <c r="AB9" s="18" t="e">
        <f t="shared" si="6"/>
        <v>#DIV/0!</v>
      </c>
      <c r="AC9" s="18" t="e">
        <f t="shared" si="6"/>
        <v>#DIV/0!</v>
      </c>
      <c r="AD9" s="18" t="e">
        <f t="shared" si="6"/>
        <v>#DIV/0!</v>
      </c>
      <c r="AE9" s="18" t="e">
        <f t="shared" si="6"/>
        <v>#DIV/0!</v>
      </c>
      <c r="AF9" s="18" t="e">
        <f t="shared" si="6"/>
        <v>#DIV/0!</v>
      </c>
      <c r="AG9" s="18" t="e">
        <f t="shared" si="6"/>
        <v>#DIV/0!</v>
      </c>
      <c r="AH9" s="18" t="e">
        <f t="shared" si="6"/>
        <v>#DIV/0!</v>
      </c>
      <c r="AI9" s="18" t="e">
        <f t="shared" si="6"/>
        <v>#DIV/0!</v>
      </c>
      <c r="AJ9" s="18" t="e">
        <f t="shared" si="6"/>
        <v>#DIV/0!</v>
      </c>
      <c r="AK9" s="18" t="e">
        <f t="shared" si="6"/>
        <v>#DIV/0!</v>
      </c>
      <c r="AL9" s="18" t="e">
        <f t="shared" si="6"/>
        <v>#DIV/0!</v>
      </c>
      <c r="AO9" s="69" t="s">
        <v>195</v>
      </c>
      <c r="AP9" s="60"/>
      <c r="AQ9" s="61"/>
      <c r="AR9" s="61"/>
      <c r="AS9" s="74"/>
      <c r="AT9" s="64"/>
      <c r="AU9" s="60"/>
      <c r="AV9" s="61"/>
      <c r="AW9" s="61"/>
      <c r="AX9" s="58"/>
      <c r="AY9" s="64"/>
    </row>
    <row r="10" spans="1:51" ht="18" thickTop="1" thickBot="1" x14ac:dyDescent="0.4">
      <c r="B10" s="32" t="s">
        <v>23</v>
      </c>
      <c r="C10" s="29">
        <v>2170.6669999999999</v>
      </c>
      <c r="D10" s="26"/>
      <c r="E10" s="26"/>
      <c r="F10" s="26"/>
      <c r="G10" s="26"/>
      <c r="H10" s="26"/>
      <c r="I10" s="27"/>
      <c r="J10" s="22" t="e">
        <f>((I10/D10)^(1/5)-1)*100</f>
        <v>#DIV/0!</v>
      </c>
      <c r="M10" s="1" t="s">
        <v>24</v>
      </c>
      <c r="N10" s="3">
        <f>'[1]LT Portfolio'!S294</f>
        <v>0</v>
      </c>
      <c r="O10" s="4">
        <f>N10/N6-1</f>
        <v>-1</v>
      </c>
      <c r="AO10" s="69" t="s">
        <v>196</v>
      </c>
      <c r="AP10" s="60"/>
      <c r="AQ10" s="61"/>
      <c r="AR10" s="61"/>
      <c r="AS10" s="58"/>
      <c r="AT10" s="64"/>
      <c r="AU10" s="60"/>
      <c r="AV10" s="61"/>
      <c r="AW10" s="61"/>
      <c r="AX10" s="58"/>
      <c r="AY10" s="64"/>
    </row>
    <row r="11" spans="1:51" ht="18" thickTop="1" thickBot="1" x14ac:dyDescent="0.4">
      <c r="B11" s="28" t="s">
        <v>25</v>
      </c>
      <c r="C11" s="30">
        <f t="shared" ref="C11:G11" si="7">C10/C$3*100</f>
        <v>12.180949473066461</v>
      </c>
      <c r="D11" s="30" t="e">
        <f t="shared" si="7"/>
        <v>#DIV/0!</v>
      </c>
      <c r="E11" s="30" t="e">
        <f t="shared" si="7"/>
        <v>#DIV/0!</v>
      </c>
      <c r="F11" s="30" t="e">
        <f t="shared" si="7"/>
        <v>#DIV/0!</v>
      </c>
      <c r="G11" s="30" t="e">
        <f t="shared" si="7"/>
        <v>#DIV/0!</v>
      </c>
      <c r="H11" s="30" t="e">
        <f>H10/H$3*100</f>
        <v>#DIV/0!</v>
      </c>
      <c r="I11" s="31" t="e">
        <f>I10/I$3*100</f>
        <v>#DIV/0!</v>
      </c>
      <c r="J11" s="23" t="e">
        <f>AVERAGE(D11:I11)</f>
        <v>#DIV/0!</v>
      </c>
      <c r="M11" s="1" t="s">
        <v>26</v>
      </c>
      <c r="N11" s="3">
        <f>'[1]LT Portfolio'!T294</f>
        <v>0</v>
      </c>
      <c r="O11" s="4" t="e">
        <f>N11/N7-1</f>
        <v>#DIV/0!</v>
      </c>
      <c r="W11" s="12" t="s">
        <v>42</v>
      </c>
      <c r="X11" s="13"/>
      <c r="Y11" s="13"/>
      <c r="Z11" s="13"/>
      <c r="AA11" s="13"/>
      <c r="AB11" s="13"/>
      <c r="AC11" s="13"/>
      <c r="AD11" s="13">
        <v>602150</v>
      </c>
      <c r="AE11" s="13">
        <v>825364</v>
      </c>
      <c r="AF11" s="13">
        <v>1335901</v>
      </c>
      <c r="AG11" s="13">
        <v>840799</v>
      </c>
      <c r="AH11" s="13">
        <v>536021</v>
      </c>
      <c r="AI11" s="13">
        <v>989834</v>
      </c>
      <c r="AJ11" s="13">
        <v>1019106</v>
      </c>
      <c r="AK11" s="13">
        <v>733658</v>
      </c>
      <c r="AL11" s="13">
        <v>411993</v>
      </c>
      <c r="AO11" s="70" t="s">
        <v>192</v>
      </c>
      <c r="AP11" s="62">
        <f>+AVERAGE(AP4:AP10)</f>
        <v>55979</v>
      </c>
      <c r="AQ11" s="63" t="e">
        <f t="shared" ref="AQ11:AY11" si="8">+AVERAGE(AQ4:AQ10)</f>
        <v>#DIV/0!</v>
      </c>
      <c r="AR11" s="63">
        <f t="shared" si="8"/>
        <v>5174</v>
      </c>
      <c r="AS11" s="72">
        <f t="shared" si="8"/>
        <v>10.5</v>
      </c>
      <c r="AT11" s="65">
        <f t="shared" si="8"/>
        <v>2</v>
      </c>
      <c r="AU11" s="62">
        <f t="shared" si="8"/>
        <v>62230</v>
      </c>
      <c r="AV11" s="63" t="e">
        <f t="shared" si="8"/>
        <v>#DIV/0!</v>
      </c>
      <c r="AW11" s="63">
        <f t="shared" si="8"/>
        <v>6412</v>
      </c>
      <c r="AX11" s="72">
        <f t="shared" si="8"/>
        <v>13</v>
      </c>
      <c r="AY11" s="65">
        <f t="shared" si="8"/>
        <v>3.1</v>
      </c>
    </row>
    <row r="12" spans="1:51" ht="18" thickTop="1" thickBot="1" x14ac:dyDescent="0.4">
      <c r="B12" s="28" t="s">
        <v>27</v>
      </c>
      <c r="C12" s="29"/>
      <c r="D12" s="30">
        <f t="shared" ref="D12:I12" si="9">(D10/C10-1)*100</f>
        <v>-100</v>
      </c>
      <c r="E12" s="30" t="e">
        <f t="shared" si="9"/>
        <v>#DIV/0!</v>
      </c>
      <c r="F12" s="30" t="e">
        <f t="shared" si="9"/>
        <v>#DIV/0!</v>
      </c>
      <c r="G12" s="30" t="e">
        <f t="shared" si="9"/>
        <v>#DIV/0!</v>
      </c>
      <c r="H12" s="30" t="e">
        <f t="shared" si="9"/>
        <v>#DIV/0!</v>
      </c>
      <c r="I12" s="31" t="e">
        <f t="shared" si="9"/>
        <v>#DIV/0!</v>
      </c>
      <c r="J12" s="23" t="e">
        <f>AVERAGE(D12:I12)</f>
        <v>#DIV/0!</v>
      </c>
      <c r="S12" t="s">
        <v>20</v>
      </c>
      <c r="T12" t="s">
        <v>22</v>
      </c>
      <c r="W12" s="12" t="s">
        <v>43</v>
      </c>
      <c r="X12" s="19" t="e">
        <f t="shared" ref="X12:AK12" si="10">+X11/X3</f>
        <v>#DIV/0!</v>
      </c>
      <c r="Y12" s="19" t="e">
        <f t="shared" si="10"/>
        <v>#DIV/0!</v>
      </c>
      <c r="Z12" s="19" t="e">
        <f t="shared" si="10"/>
        <v>#DIV/0!</v>
      </c>
      <c r="AA12" s="19" t="e">
        <f t="shared" si="10"/>
        <v>#DIV/0!</v>
      </c>
      <c r="AB12" s="19" t="e">
        <f t="shared" si="10"/>
        <v>#DIV/0!</v>
      </c>
      <c r="AC12" s="19" t="e">
        <f t="shared" si="10"/>
        <v>#DIV/0!</v>
      </c>
      <c r="AD12" s="19">
        <f t="shared" si="10"/>
        <v>0.41781270555843897</v>
      </c>
      <c r="AE12" s="19">
        <f t="shared" si="10"/>
        <v>0.44568737883999587</v>
      </c>
      <c r="AF12" s="19">
        <f t="shared" si="10"/>
        <v>0.48990666146407869</v>
      </c>
      <c r="AG12" s="19">
        <f t="shared" si="10"/>
        <v>0.40609990997013173</v>
      </c>
      <c r="AH12" s="19">
        <f t="shared" si="10"/>
        <v>0.25297386023458629</v>
      </c>
      <c r="AI12" s="19">
        <f t="shared" si="10"/>
        <v>0.41988964806922302</v>
      </c>
      <c r="AJ12" s="19">
        <f t="shared" si="10"/>
        <v>0.45479601463407232</v>
      </c>
      <c r="AK12" s="19">
        <f t="shared" si="10"/>
        <v>0.3891731837589269</v>
      </c>
      <c r="AL12" s="19">
        <f t="shared" ref="AL12" si="11">+AL11/AL3</f>
        <v>0.2242057024315304</v>
      </c>
      <c r="AO12" s="12"/>
      <c r="AP12" s="12"/>
      <c r="AQ12" s="12"/>
      <c r="AR12" s="12"/>
      <c r="AS12" s="12"/>
      <c r="AT12" s="99" t="s">
        <v>34</v>
      </c>
      <c r="AU12" s="12"/>
      <c r="AV12" s="12"/>
      <c r="AW12" s="12"/>
      <c r="AX12" s="12"/>
      <c r="AY12" s="99" t="s">
        <v>34</v>
      </c>
    </row>
    <row r="13" spans="1:51" s="73" customFormat="1" ht="18" thickTop="1" thickBot="1" x14ac:dyDescent="0.3">
      <c r="A13" s="6"/>
      <c r="B13" s="187"/>
      <c r="C13" s="188"/>
      <c r="D13" s="188"/>
      <c r="E13" s="188"/>
      <c r="F13" s="188"/>
      <c r="G13" s="188"/>
      <c r="H13" s="188"/>
      <c r="I13" s="41"/>
      <c r="J13" s="5"/>
      <c r="K13" s="6"/>
      <c r="L13" s="6"/>
      <c r="M13" s="1" t="s">
        <v>28</v>
      </c>
      <c r="N13" s="3">
        <f>SUM(N8:N11)</f>
        <v>0</v>
      </c>
      <c r="O13"/>
      <c r="P13"/>
      <c r="Q13" s="7" t="e">
        <f>N13*J21</f>
        <v>#DIV/0!</v>
      </c>
      <c r="R13"/>
      <c r="S13" s="7">
        <v>19.109573515092499</v>
      </c>
      <c r="T13" s="7">
        <v>18.873652854412345</v>
      </c>
      <c r="U13" s="6"/>
      <c r="V13" s="6"/>
      <c r="W13" s="12"/>
      <c r="X13" s="12"/>
      <c r="Y13" s="12"/>
      <c r="Z13" s="12"/>
      <c r="AA13" s="12"/>
      <c r="AB13" s="12"/>
      <c r="AC13" s="12"/>
      <c r="AD13" s="12"/>
      <c r="AE13" s="12"/>
      <c r="AF13" s="12"/>
      <c r="AG13" s="12"/>
      <c r="AH13" s="12"/>
      <c r="AI13" s="12"/>
      <c r="AJ13" s="12"/>
      <c r="AK13" s="12"/>
      <c r="AL13" s="12"/>
      <c r="AM13" s="12"/>
      <c r="AN13" s="12"/>
      <c r="AO13" s="12" t="s">
        <v>193</v>
      </c>
      <c r="AP13" s="12"/>
      <c r="AQ13" s="12"/>
      <c r="AR13" s="12"/>
      <c r="AS13" s="58">
        <f>+$X$1/AS11</f>
        <v>8.1428571428571423</v>
      </c>
      <c r="AT13" s="75">
        <f>+AT11/$X$1</f>
        <v>2.3391812865497075E-2</v>
      </c>
      <c r="AU13" s="12"/>
      <c r="AV13" s="12"/>
      <c r="AW13" s="12"/>
      <c r="AX13" s="58">
        <f>+$X$1/AX11</f>
        <v>6.5769230769230766</v>
      </c>
      <c r="AY13" s="75">
        <f>+AY11/$X$1</f>
        <v>3.6257309941520467E-2</v>
      </c>
    </row>
    <row r="14" spans="1:51" ht="18" thickTop="1" thickBot="1" x14ac:dyDescent="0.4">
      <c r="B14" s="32" t="s">
        <v>29</v>
      </c>
      <c r="C14" s="33">
        <v>3.24</v>
      </c>
      <c r="D14" s="34"/>
      <c r="E14" s="34"/>
      <c r="F14" s="34"/>
      <c r="G14" s="34"/>
      <c r="H14" s="34"/>
      <c r="I14" s="35"/>
      <c r="J14" s="23" t="e">
        <f>AVERAGE(D14:I14)</f>
        <v>#DIV/0!</v>
      </c>
      <c r="M14" s="1" t="s">
        <v>11</v>
      </c>
      <c r="N14" s="2" t="e">
        <f>N2/N13</f>
        <v>#VALUE!</v>
      </c>
      <c r="Q14" s="8" t="e">
        <f>Q13/N2-1</f>
        <v>#DIV/0!</v>
      </c>
      <c r="S14" s="8" t="e">
        <f>S13/N2-1</f>
        <v>#VALUE!</v>
      </c>
      <c r="T14" s="8" t="e">
        <f>T13/N2-1</f>
        <v>#VALUE!</v>
      </c>
      <c r="W14" s="12" t="s">
        <v>17</v>
      </c>
      <c r="X14" s="13"/>
      <c r="Y14" s="13"/>
      <c r="Z14" s="13"/>
      <c r="AA14" s="13"/>
      <c r="AB14" s="13"/>
      <c r="AC14" s="13"/>
      <c r="AD14" s="13">
        <v>522612</v>
      </c>
      <c r="AE14" s="13">
        <v>756601</v>
      </c>
      <c r="AF14" s="13">
        <v>1246147</v>
      </c>
      <c r="AG14" s="10">
        <v>694157</v>
      </c>
      <c r="AH14" s="13">
        <v>233840</v>
      </c>
      <c r="AI14" s="13">
        <v>809312</v>
      </c>
      <c r="AJ14" s="13">
        <v>906563</v>
      </c>
      <c r="AK14" s="13">
        <v>607717</v>
      </c>
      <c r="AL14" s="13">
        <v>337122</v>
      </c>
    </row>
    <row r="15" spans="1:51" ht="18" thickTop="1" thickBot="1" x14ac:dyDescent="0.4">
      <c r="B15" s="32" t="s">
        <v>30</v>
      </c>
      <c r="C15" s="34">
        <f>1+0.6</f>
        <v>1.6</v>
      </c>
      <c r="D15" s="34"/>
      <c r="E15" s="34"/>
      <c r="F15" s="34"/>
      <c r="G15" s="34"/>
      <c r="H15" s="34"/>
      <c r="I15" s="35"/>
      <c r="J15" s="24"/>
      <c r="R15" s="6"/>
      <c r="S15" s="6"/>
      <c r="W15" s="12" t="s">
        <v>55</v>
      </c>
      <c r="X15" s="19" t="e">
        <f t="shared" ref="X15:AK15" si="12">+X14/X3</f>
        <v>#DIV/0!</v>
      </c>
      <c r="Y15" s="19" t="e">
        <f t="shared" si="12"/>
        <v>#DIV/0!</v>
      </c>
      <c r="Z15" s="19" t="e">
        <f t="shared" si="12"/>
        <v>#DIV/0!</v>
      </c>
      <c r="AA15" s="19" t="e">
        <f t="shared" si="12"/>
        <v>#DIV/0!</v>
      </c>
      <c r="AB15" s="19" t="e">
        <f t="shared" si="12"/>
        <v>#DIV/0!</v>
      </c>
      <c r="AC15" s="19" t="e">
        <f t="shared" si="12"/>
        <v>#DIV/0!</v>
      </c>
      <c r="AD15" s="19">
        <f t="shared" si="12"/>
        <v>0.3626238207710818</v>
      </c>
      <c r="AE15" s="19">
        <f t="shared" si="12"/>
        <v>0.40855612374385086</v>
      </c>
      <c r="AF15" s="19">
        <f t="shared" si="12"/>
        <v>0.45699173551294386</v>
      </c>
      <c r="AG15" s="19">
        <f t="shared" si="12"/>
        <v>0.33527287164368264</v>
      </c>
      <c r="AH15" s="19">
        <f t="shared" si="12"/>
        <v>0.11036024237344369</v>
      </c>
      <c r="AI15" s="19">
        <f t="shared" si="12"/>
        <v>0.3433118390136114</v>
      </c>
      <c r="AJ15" s="19">
        <f t="shared" si="12"/>
        <v>0.40457149640440593</v>
      </c>
      <c r="AK15" s="19">
        <f t="shared" si="12"/>
        <v>0.32236704256536941</v>
      </c>
      <c r="AL15" s="19">
        <f t="shared" ref="AL15" si="13">+AL14/AL3</f>
        <v>0.18346106563733458</v>
      </c>
    </row>
    <row r="16" spans="1:51" ht="18" thickTop="1" thickBot="1" x14ac:dyDescent="0.4">
      <c r="B16" s="32" t="s">
        <v>8</v>
      </c>
      <c r="C16" s="34">
        <v>31.7</v>
      </c>
      <c r="D16" s="34"/>
      <c r="E16" s="34"/>
      <c r="F16" s="34"/>
      <c r="G16" s="34"/>
      <c r="H16" s="34"/>
      <c r="I16" s="35"/>
      <c r="J16" s="22" t="e">
        <f>((I16/D16)^(1/5)-1)*100</f>
        <v>#DIV/0!</v>
      </c>
    </row>
    <row r="17" spans="2:38" ht="18" thickTop="1" thickBot="1" x14ac:dyDescent="0.4">
      <c r="B17" s="32" t="s">
        <v>31</v>
      </c>
      <c r="C17" s="34">
        <v>14.6</v>
      </c>
      <c r="D17" s="34"/>
      <c r="E17" s="34"/>
      <c r="F17" s="34"/>
      <c r="G17" s="34"/>
      <c r="H17" s="34"/>
      <c r="I17" s="35"/>
      <c r="J17" s="22" t="e">
        <f>((I17/D17)^(1/6)-1)*100</f>
        <v>#DIV/0!</v>
      </c>
      <c r="W17" s="12" t="s">
        <v>44</v>
      </c>
      <c r="X17" s="13"/>
      <c r="Y17" s="13"/>
      <c r="Z17" s="13"/>
      <c r="AA17" s="13"/>
      <c r="AB17" s="13"/>
      <c r="AC17" s="13"/>
      <c r="AD17" s="13">
        <v>503</v>
      </c>
      <c r="AE17" s="13">
        <v>9049</v>
      </c>
      <c r="AF17" s="13">
        <v>7485</v>
      </c>
      <c r="AG17" s="13">
        <v>5077</v>
      </c>
      <c r="AH17" s="13">
        <v>1132</v>
      </c>
      <c r="AI17" s="13">
        <v>24506</v>
      </c>
      <c r="AJ17" s="13">
        <v>19797</v>
      </c>
      <c r="AK17" s="13">
        <v>20280</v>
      </c>
      <c r="AL17" s="13">
        <v>40549</v>
      </c>
    </row>
    <row r="18" spans="2:38" ht="18" thickTop="1" thickBot="1" x14ac:dyDescent="0.4">
      <c r="B18" s="32" t="s">
        <v>32</v>
      </c>
      <c r="C18" s="36">
        <f t="shared" ref="C18:G18" si="14">C14/AVERAGE(B17:C17)*100</f>
        <v>22.19178082191781</v>
      </c>
      <c r="D18" s="36">
        <f t="shared" si="14"/>
        <v>0</v>
      </c>
      <c r="E18" s="36" t="e">
        <f t="shared" si="14"/>
        <v>#DIV/0!</v>
      </c>
      <c r="F18" s="36" t="e">
        <f t="shared" si="14"/>
        <v>#DIV/0!</v>
      </c>
      <c r="G18" s="36" t="e">
        <f t="shared" si="14"/>
        <v>#DIV/0!</v>
      </c>
      <c r="H18" s="36" t="e">
        <f>H14/AVERAGE(G17:H17)*100</f>
        <v>#DIV/0!</v>
      </c>
      <c r="I18" s="37" t="e">
        <f>I14/AVERAGE(H17:I17)*100</f>
        <v>#DIV/0!</v>
      </c>
      <c r="J18" s="23" t="e">
        <f>AVERAGE(D18:I18)</f>
        <v>#DIV/0!</v>
      </c>
      <c r="M18" s="9" t="s">
        <v>33</v>
      </c>
      <c r="N18" s="6"/>
      <c r="O18" s="6"/>
      <c r="P18" s="6"/>
      <c r="Q18" s="6"/>
      <c r="W18" s="12" t="s">
        <v>45</v>
      </c>
      <c r="X18" s="15" t="e">
        <f t="shared" ref="X18:AK18" si="15">+X17/X14</f>
        <v>#DIV/0!</v>
      </c>
      <c r="Y18" s="15" t="e">
        <f t="shared" si="15"/>
        <v>#DIV/0!</v>
      </c>
      <c r="Z18" s="15" t="e">
        <f t="shared" si="15"/>
        <v>#DIV/0!</v>
      </c>
      <c r="AA18" s="15" t="e">
        <f t="shared" si="15"/>
        <v>#DIV/0!</v>
      </c>
      <c r="AB18" s="15" t="e">
        <f t="shared" si="15"/>
        <v>#DIV/0!</v>
      </c>
      <c r="AC18" s="15" t="e">
        <f t="shared" si="15"/>
        <v>#DIV/0!</v>
      </c>
      <c r="AD18" s="15">
        <f t="shared" si="15"/>
        <v>9.6247311581058219E-4</v>
      </c>
      <c r="AE18" s="15">
        <f t="shared" si="15"/>
        <v>1.1960068781299522E-2</v>
      </c>
      <c r="AF18" s="15">
        <f t="shared" si="15"/>
        <v>6.0065144802338728E-3</v>
      </c>
      <c r="AG18" s="15">
        <f t="shared" si="15"/>
        <v>7.3139073725396412E-3</v>
      </c>
      <c r="AH18" s="15">
        <f t="shared" si="15"/>
        <v>4.8409168662333218E-3</v>
      </c>
      <c r="AI18" s="15">
        <f t="shared" si="15"/>
        <v>3.0280040330552371E-2</v>
      </c>
      <c r="AJ18" s="15">
        <f t="shared" si="15"/>
        <v>2.1837423323034361E-2</v>
      </c>
      <c r="AK18" s="15">
        <f t="shared" si="15"/>
        <v>3.3370795946139405E-2</v>
      </c>
      <c r="AL18" s="15">
        <f t="shared" ref="AL18" si="16">+AL17/AL14</f>
        <v>0.12027989867169749</v>
      </c>
    </row>
    <row r="19" spans="2:38" ht="18" thickTop="1" thickBot="1" x14ac:dyDescent="0.4">
      <c r="B19" s="32" t="s">
        <v>34</v>
      </c>
      <c r="C19" s="30">
        <f t="shared" ref="C19:G19" si="17">C15/C16*100</f>
        <v>5.0473186119873823</v>
      </c>
      <c r="D19" s="30" t="e">
        <f t="shared" si="17"/>
        <v>#DIV/0!</v>
      </c>
      <c r="E19" s="30" t="e">
        <f t="shared" si="17"/>
        <v>#DIV/0!</v>
      </c>
      <c r="F19" s="30" t="e">
        <f t="shared" si="17"/>
        <v>#DIV/0!</v>
      </c>
      <c r="G19" s="30" t="e">
        <f t="shared" si="17"/>
        <v>#DIV/0!</v>
      </c>
      <c r="H19" s="30" t="e">
        <f>H15/H16*100</f>
        <v>#DIV/0!</v>
      </c>
      <c r="I19" s="31" t="e">
        <f>I15/I16*100</f>
        <v>#DIV/0!</v>
      </c>
      <c r="J19" s="23" t="e">
        <f>AVERAGE(D19:I19)</f>
        <v>#DIV/0!</v>
      </c>
    </row>
    <row r="20" spans="2:38" ht="18" thickTop="1" thickBot="1" x14ac:dyDescent="0.4">
      <c r="B20" s="32" t="s">
        <v>35</v>
      </c>
      <c r="C20" s="30">
        <f t="shared" ref="C20:G20" si="18">C15/C14*100</f>
        <v>49.382716049382715</v>
      </c>
      <c r="D20" s="30" t="e">
        <f t="shared" si="18"/>
        <v>#DIV/0!</v>
      </c>
      <c r="E20" s="30" t="e">
        <f t="shared" si="18"/>
        <v>#DIV/0!</v>
      </c>
      <c r="F20" s="30" t="e">
        <f t="shared" si="18"/>
        <v>#DIV/0!</v>
      </c>
      <c r="G20" s="30" t="e">
        <f t="shared" si="18"/>
        <v>#DIV/0!</v>
      </c>
      <c r="H20" s="30" t="e">
        <f>H15/H14*100</f>
        <v>#DIV/0!</v>
      </c>
      <c r="I20" s="31" t="e">
        <f>I15/I14*100</f>
        <v>#DIV/0!</v>
      </c>
      <c r="J20" s="23" t="e">
        <f>AVERAGE(D20:I20)</f>
        <v>#DIV/0!</v>
      </c>
      <c r="M20" t="s">
        <v>36</v>
      </c>
      <c r="N20" s="4" t="e">
        <f>N13/H14-1</f>
        <v>#DIV/0!</v>
      </c>
      <c r="W20" s="12" t="s">
        <v>21</v>
      </c>
      <c r="X20" s="13"/>
      <c r="Y20" s="13"/>
      <c r="Z20" s="13"/>
      <c r="AA20" s="13"/>
      <c r="AB20" s="13"/>
      <c r="AC20" s="13"/>
      <c r="AD20" s="13">
        <v>523115</v>
      </c>
      <c r="AE20" s="13">
        <f>+AE14+AE17</f>
        <v>765650</v>
      </c>
      <c r="AF20" s="13">
        <f>+AF14+AF17</f>
        <v>1253632</v>
      </c>
      <c r="AG20" s="13">
        <f>+AG14+AG17</f>
        <v>699234</v>
      </c>
      <c r="AH20" s="13">
        <v>234972</v>
      </c>
      <c r="AI20" s="13">
        <f>+AI14+AI17</f>
        <v>833818</v>
      </c>
      <c r="AJ20" s="13">
        <f>+AJ14+AJ17</f>
        <v>926360</v>
      </c>
      <c r="AK20" s="13">
        <f>+AK14+AK17</f>
        <v>627997</v>
      </c>
      <c r="AL20" s="13">
        <v>377671</v>
      </c>
    </row>
    <row r="21" spans="2:38" ht="18" thickTop="1" thickBot="1" x14ac:dyDescent="0.4">
      <c r="B21" s="32" t="s">
        <v>11</v>
      </c>
      <c r="C21" s="38">
        <f t="shared" ref="C21:G21" si="19">C16/C14</f>
        <v>9.7839506172839492</v>
      </c>
      <c r="D21" s="38" t="e">
        <f t="shared" si="19"/>
        <v>#DIV/0!</v>
      </c>
      <c r="E21" s="38" t="e">
        <f t="shared" si="19"/>
        <v>#DIV/0!</v>
      </c>
      <c r="F21" s="38" t="e">
        <f t="shared" si="19"/>
        <v>#DIV/0!</v>
      </c>
      <c r="G21" s="38" t="e">
        <f t="shared" si="19"/>
        <v>#DIV/0!</v>
      </c>
      <c r="H21" s="38" t="e">
        <f>H16/H14</f>
        <v>#DIV/0!</v>
      </c>
      <c r="I21" s="39" t="e">
        <f>I16/I14</f>
        <v>#DIV/0!</v>
      </c>
      <c r="J21" s="23" t="e">
        <f>AVERAGE(D21:I21)</f>
        <v>#DIV/0!</v>
      </c>
      <c r="W21" s="12" t="s">
        <v>46</v>
      </c>
      <c r="X21" s="19" t="e">
        <f t="shared" ref="X21:AK21" si="20">+X20/X3</f>
        <v>#DIV/0!</v>
      </c>
      <c r="Y21" s="19" t="e">
        <f t="shared" si="20"/>
        <v>#DIV/0!</v>
      </c>
      <c r="Z21" s="19" t="e">
        <f t="shared" si="20"/>
        <v>#DIV/0!</v>
      </c>
      <c r="AA21" s="19" t="e">
        <f t="shared" si="20"/>
        <v>#DIV/0!</v>
      </c>
      <c r="AB21" s="19" t="e">
        <f t="shared" si="20"/>
        <v>#DIV/0!</v>
      </c>
      <c r="AC21" s="19" t="e">
        <f t="shared" si="20"/>
        <v>#DIV/0!</v>
      </c>
      <c r="AD21" s="19">
        <f t="shared" si="20"/>
        <v>0.3629728364497265</v>
      </c>
      <c r="AE21" s="19">
        <f t="shared" si="20"/>
        <v>0.41344248308484843</v>
      </c>
      <c r="AF21" s="19">
        <f t="shared" si="20"/>
        <v>0.4597366629896496</v>
      </c>
      <c r="AG21" s="19">
        <f t="shared" si="20"/>
        <v>0.33772502637140989</v>
      </c>
      <c r="AH21" s="19">
        <f t="shared" si="20"/>
        <v>0.11089448713211089</v>
      </c>
      <c r="AI21" s="19">
        <f t="shared" si="20"/>
        <v>0.35370733534489962</v>
      </c>
      <c r="AJ21" s="19">
        <f t="shared" si="20"/>
        <v>0.41340629543582241</v>
      </c>
      <c r="AK21" s="19">
        <f t="shared" si="20"/>
        <v>0.33312468736257878</v>
      </c>
      <c r="AL21" s="19">
        <f t="shared" ref="AL21" si="21">+AL20/AL3</f>
        <v>0.20552774402239482</v>
      </c>
    </row>
    <row r="22" spans="2:38" ht="18" thickTop="1" thickBot="1" x14ac:dyDescent="0.4">
      <c r="B22" s="32" t="s">
        <v>37</v>
      </c>
      <c r="C22" s="38">
        <f t="shared" ref="C22:G22" si="22">C16/C17</f>
        <v>2.1712328767123288</v>
      </c>
      <c r="D22" s="38" t="e">
        <f t="shared" si="22"/>
        <v>#DIV/0!</v>
      </c>
      <c r="E22" s="38" t="e">
        <f t="shared" si="22"/>
        <v>#DIV/0!</v>
      </c>
      <c r="F22" s="38" t="e">
        <f t="shared" si="22"/>
        <v>#DIV/0!</v>
      </c>
      <c r="G22" s="38" t="e">
        <f t="shared" si="22"/>
        <v>#DIV/0!</v>
      </c>
      <c r="H22" s="38" t="e">
        <f>H16/H17</f>
        <v>#DIV/0!</v>
      </c>
      <c r="I22" s="39" t="e">
        <f>I16/I17</f>
        <v>#DIV/0!</v>
      </c>
      <c r="J22" s="23" t="e">
        <f>AVERAGE(D22:I22)</f>
        <v>#DIV/0!</v>
      </c>
    </row>
    <row r="23" spans="2:38" ht="15.75" thickTop="1" x14ac:dyDescent="0.25">
      <c r="W23" s="12" t="s">
        <v>47</v>
      </c>
      <c r="X23" s="13"/>
      <c r="Y23" s="13"/>
      <c r="Z23" s="13"/>
      <c r="AA23" s="13"/>
      <c r="AB23" s="13"/>
      <c r="AC23" s="13"/>
      <c r="AD23" s="13">
        <v>264497</v>
      </c>
      <c r="AE23" s="13">
        <v>-31935</v>
      </c>
      <c r="AF23" s="13">
        <v>-53659</v>
      </c>
      <c r="AG23" s="13">
        <v>-38412</v>
      </c>
      <c r="AH23" s="13">
        <v>-497692</v>
      </c>
      <c r="AI23" s="13">
        <v>-82949</v>
      </c>
      <c r="AJ23" s="13">
        <v>-48004</v>
      </c>
      <c r="AK23" s="13">
        <v>-53926</v>
      </c>
      <c r="AL23" s="13">
        <v>-236231</v>
      </c>
    </row>
    <row r="24" spans="2:38" x14ac:dyDescent="0.25">
      <c r="G24" s="10">
        <v>701.95658000000003</v>
      </c>
      <c r="H24" s="10">
        <v>709.32254499999999</v>
      </c>
      <c r="I24" s="10">
        <v>716.73997499999996</v>
      </c>
      <c r="W24" s="12" t="s">
        <v>48</v>
      </c>
      <c r="X24" s="14" t="e">
        <f t="shared" ref="X24:AK24" si="23">+X23/X20</f>
        <v>#DIV/0!</v>
      </c>
      <c r="Y24" s="14" t="e">
        <f t="shared" si="23"/>
        <v>#DIV/0!</v>
      </c>
      <c r="Z24" s="14" t="e">
        <f t="shared" si="23"/>
        <v>#DIV/0!</v>
      </c>
      <c r="AA24" s="14" t="e">
        <f t="shared" si="23"/>
        <v>#DIV/0!</v>
      </c>
      <c r="AB24" s="14" t="e">
        <f t="shared" si="23"/>
        <v>#DIV/0!</v>
      </c>
      <c r="AC24" s="14" t="e">
        <f t="shared" si="23"/>
        <v>#DIV/0!</v>
      </c>
      <c r="AD24" s="14">
        <f t="shared" si="23"/>
        <v>0.50561922330653875</v>
      </c>
      <c r="AE24" s="14">
        <f t="shared" si="23"/>
        <v>-4.1709658460131915E-2</v>
      </c>
      <c r="AF24" s="14">
        <f t="shared" si="23"/>
        <v>-4.2802832091076166E-2</v>
      </c>
      <c r="AG24" s="14">
        <f t="shared" si="23"/>
        <v>-5.4934399643037951E-2</v>
      </c>
      <c r="AH24" s="14">
        <f t="shared" si="23"/>
        <v>-2.1180906661219208</v>
      </c>
      <c r="AI24" s="14">
        <f t="shared" si="23"/>
        <v>-9.9480941884200147E-2</v>
      </c>
      <c r="AJ24" s="14">
        <f t="shared" si="23"/>
        <v>-5.1820026771449541E-2</v>
      </c>
      <c r="AK24" s="14">
        <f t="shared" si="23"/>
        <v>-8.5869836957819856E-2</v>
      </c>
      <c r="AL24" s="14">
        <f t="shared" ref="AL24" si="24">+AL23/AL20</f>
        <v>-0.62549414702214357</v>
      </c>
    </row>
    <row r="25" spans="2:38" x14ac:dyDescent="0.25">
      <c r="G25">
        <f>+G10/G24</f>
        <v>0</v>
      </c>
      <c r="H25">
        <f>+H10/H24</f>
        <v>0</v>
      </c>
      <c r="I25">
        <f>+I10/I24</f>
        <v>0</v>
      </c>
      <c r="M25" s="10"/>
    </row>
    <row r="26" spans="2:38" x14ac:dyDescent="0.25">
      <c r="M26" s="10"/>
      <c r="W26" s="12" t="s">
        <v>74</v>
      </c>
      <c r="Z26" s="13"/>
      <c r="AA26" s="13"/>
      <c r="AB26" s="13"/>
      <c r="AC26" s="13"/>
      <c r="AD26" s="13">
        <v>-1136</v>
      </c>
      <c r="AE26" s="13">
        <v>-4416</v>
      </c>
      <c r="AF26" s="13">
        <v>-189</v>
      </c>
      <c r="AG26" s="13">
        <v>-2219</v>
      </c>
      <c r="AH26" s="13">
        <v>-25678</v>
      </c>
      <c r="AI26" s="13">
        <v>-4400</v>
      </c>
      <c r="AJ26" s="13">
        <v>-1224</v>
      </c>
      <c r="AK26" s="13">
        <v>5881</v>
      </c>
      <c r="AL26" s="13">
        <v>-14291</v>
      </c>
    </row>
    <row r="28" spans="2:38" x14ac:dyDescent="0.25">
      <c r="W28" s="12" t="s">
        <v>49</v>
      </c>
      <c r="X28" s="13">
        <f t="shared" ref="X28:AF28" si="25">+X20+X23-X26</f>
        <v>0</v>
      </c>
      <c r="Y28" s="13">
        <f t="shared" si="25"/>
        <v>0</v>
      </c>
      <c r="Z28" s="13">
        <f t="shared" si="25"/>
        <v>0</v>
      </c>
      <c r="AA28" s="13">
        <f t="shared" si="25"/>
        <v>0</v>
      </c>
      <c r="AB28" s="13">
        <f t="shared" si="25"/>
        <v>0</v>
      </c>
      <c r="AC28" s="13">
        <f t="shared" si="25"/>
        <v>0</v>
      </c>
      <c r="AD28" s="13">
        <f t="shared" si="25"/>
        <v>788748</v>
      </c>
      <c r="AE28" s="13">
        <f t="shared" si="25"/>
        <v>738131</v>
      </c>
      <c r="AF28" s="13">
        <f t="shared" si="25"/>
        <v>1200162</v>
      </c>
      <c r="AG28" s="13">
        <f>+AG20+AG23-AG26</f>
        <v>663041</v>
      </c>
      <c r="AH28" s="13">
        <f t="shared" ref="AH28:AJ28" si="26">+AH20+AH23-AH26</f>
        <v>-237042</v>
      </c>
      <c r="AI28" s="13">
        <f t="shared" si="26"/>
        <v>755269</v>
      </c>
      <c r="AJ28" s="13">
        <f t="shared" si="26"/>
        <v>879580</v>
      </c>
      <c r="AK28" s="13">
        <f>+AK20+AK23-AK26</f>
        <v>568190</v>
      </c>
      <c r="AL28" s="13">
        <f t="shared" ref="AL28" si="27">+AL20+AL23-AL26</f>
        <v>155731</v>
      </c>
    </row>
    <row r="29" spans="2:38" x14ac:dyDescent="0.25">
      <c r="M29" s="10"/>
      <c r="W29" s="12" t="s">
        <v>25</v>
      </c>
      <c r="X29" s="19" t="e">
        <f t="shared" ref="X29:AK29" si="28">+X28/X3</f>
        <v>#DIV/0!</v>
      </c>
      <c r="Y29" s="19" t="e">
        <f t="shared" si="28"/>
        <v>#DIV/0!</v>
      </c>
      <c r="Z29" s="19" t="e">
        <f t="shared" si="28"/>
        <v>#DIV/0!</v>
      </c>
      <c r="AA29" s="19" t="e">
        <f t="shared" si="28"/>
        <v>#DIV/0!</v>
      </c>
      <c r="AB29" s="19" t="e">
        <f t="shared" si="28"/>
        <v>#DIV/0!</v>
      </c>
      <c r="AC29" s="19" t="e">
        <f t="shared" si="28"/>
        <v>#DIV/0!</v>
      </c>
      <c r="AD29" s="19">
        <f t="shared" si="28"/>
        <v>0.54728711431338972</v>
      </c>
      <c r="AE29" s="19">
        <f t="shared" si="28"/>
        <v>0.39858252919989851</v>
      </c>
      <c r="AF29" s="19">
        <f t="shared" si="28"/>
        <v>0.44012794259159294</v>
      </c>
      <c r="AG29" s="19">
        <f t="shared" si="28"/>
        <v>0.32024406594977645</v>
      </c>
      <c r="AH29" s="19">
        <f t="shared" si="28"/>
        <v>-0.11187141880211188</v>
      </c>
      <c r="AI29" s="19">
        <f t="shared" si="28"/>
        <v>0.32038668565395206</v>
      </c>
      <c r="AJ29" s="19">
        <f t="shared" si="28"/>
        <v>0.39252980411442712</v>
      </c>
      <c r="AK29" s="19">
        <f t="shared" si="28"/>
        <v>0.30139971387211029</v>
      </c>
      <c r="AL29" s="19">
        <f t="shared" ref="AL29" si="29">+AL28/AL3</f>
        <v>8.4748474477393199E-2</v>
      </c>
    </row>
    <row r="30" spans="2:38" x14ac:dyDescent="0.25">
      <c r="M30" s="10"/>
    </row>
    <row r="31" spans="2:38" x14ac:dyDescent="0.25">
      <c r="W31" s="12" t="s">
        <v>29</v>
      </c>
      <c r="X31" s="16">
        <f t="shared" ref="X31:AK31" si="30">+X28/X47</f>
        <v>0</v>
      </c>
      <c r="Y31" s="16">
        <f t="shared" si="30"/>
        <v>0</v>
      </c>
      <c r="Z31" s="16">
        <f t="shared" si="30"/>
        <v>0</v>
      </c>
      <c r="AA31" s="16">
        <f t="shared" si="30"/>
        <v>0</v>
      </c>
      <c r="AB31" s="16">
        <f t="shared" si="30"/>
        <v>0</v>
      </c>
      <c r="AC31" s="16">
        <f t="shared" si="30"/>
        <v>0</v>
      </c>
      <c r="AD31" s="16">
        <f t="shared" si="30"/>
        <v>3.8795597829849178</v>
      </c>
      <c r="AE31" s="16">
        <f t="shared" si="30"/>
        <v>3.6305934749431255</v>
      </c>
      <c r="AF31" s="16">
        <f t="shared" si="30"/>
        <v>5.9031531341654677</v>
      </c>
      <c r="AG31" s="16">
        <f t="shared" si="30"/>
        <v>3.2612535284654958</v>
      </c>
      <c r="AH31" s="16">
        <f t="shared" si="30"/>
        <v>-1.1659219548934652</v>
      </c>
      <c r="AI31" s="16">
        <f t="shared" si="30"/>
        <v>3.7148889603970288</v>
      </c>
      <c r="AJ31" s="16">
        <f t="shared" si="30"/>
        <v>4.326328807068764</v>
      </c>
      <c r="AK31" s="16">
        <f t="shared" si="30"/>
        <v>2.7947165293531016</v>
      </c>
      <c r="AL31" s="16">
        <f t="shared" ref="AL31" si="31">+AL28/AL47</f>
        <v>0.76598320954731325</v>
      </c>
    </row>
    <row r="32" spans="2:38" x14ac:dyDescent="0.25">
      <c r="W32" s="12" t="s">
        <v>40</v>
      </c>
      <c r="AA32" s="17"/>
      <c r="AB32" s="18" t="e">
        <f t="shared" ref="AB32:AL32" si="32">+AB31/X31-1</f>
        <v>#DIV/0!</v>
      </c>
      <c r="AC32" s="18" t="e">
        <f t="shared" si="32"/>
        <v>#DIV/0!</v>
      </c>
      <c r="AD32" s="18" t="e">
        <f t="shared" si="32"/>
        <v>#DIV/0!</v>
      </c>
      <c r="AE32" s="18" t="e">
        <f t="shared" si="32"/>
        <v>#DIV/0!</v>
      </c>
      <c r="AF32" s="18" t="e">
        <f t="shared" si="32"/>
        <v>#DIV/0!</v>
      </c>
      <c r="AG32" s="18" t="e">
        <f t="shared" si="32"/>
        <v>#DIV/0!</v>
      </c>
      <c r="AH32" s="18">
        <f t="shared" si="32"/>
        <v>-1.3005294466673767</v>
      </c>
      <c r="AI32" s="18">
        <f t="shared" si="32"/>
        <v>2.3218100852016699E-2</v>
      </c>
      <c r="AJ32" s="18">
        <f t="shared" si="32"/>
        <v>-0.26711560605984863</v>
      </c>
      <c r="AK32" s="18">
        <f t="shared" si="32"/>
        <v>-0.14305450190863023</v>
      </c>
      <c r="AL32" s="18">
        <f t="shared" si="32"/>
        <v>-1.6569764008066081</v>
      </c>
    </row>
    <row r="33" spans="23:41" x14ac:dyDescent="0.25">
      <c r="W33" s="12" t="s">
        <v>41</v>
      </c>
      <c r="Y33" s="18" t="e">
        <f t="shared" ref="Y33:AD33" si="33">+Y31/X31-1</f>
        <v>#DIV/0!</v>
      </c>
      <c r="Z33" s="18" t="e">
        <f t="shared" si="33"/>
        <v>#DIV/0!</v>
      </c>
      <c r="AA33" s="18" t="e">
        <f t="shared" si="33"/>
        <v>#DIV/0!</v>
      </c>
      <c r="AB33" s="18" t="e">
        <f t="shared" si="33"/>
        <v>#DIV/0!</v>
      </c>
      <c r="AC33" s="18" t="e">
        <f t="shared" si="33"/>
        <v>#DIV/0!</v>
      </c>
      <c r="AD33" s="18" t="e">
        <f t="shared" si="33"/>
        <v>#DIV/0!</v>
      </c>
      <c r="AE33" s="18">
        <f>+AE31/AD31-1</f>
        <v>-6.4173855274434977E-2</v>
      </c>
      <c r="AF33" s="18">
        <f>+AF31/AE31-1</f>
        <v>0.62594715572168069</v>
      </c>
      <c r="AG33" s="18">
        <f>+AG31/AF31-1</f>
        <v>-0.44754041537725731</v>
      </c>
      <c r="AH33" s="18">
        <f t="shared" ref="AH33" si="34">+AH31/AG31-1</f>
        <v>-1.3575073034699212</v>
      </c>
      <c r="AI33" s="18">
        <f>+AI31/AH31-1</f>
        <v>-4.1862243821769978</v>
      </c>
      <c r="AJ33" s="18">
        <f>+AJ31/AI31-1</f>
        <v>0.16459168852422112</v>
      </c>
      <c r="AK33" s="18">
        <f>+AK31/AJ31-1</f>
        <v>-0.35402123740876323</v>
      </c>
      <c r="AL33" s="18">
        <f t="shared" ref="AL33" si="35">+AL31/AK31-1</f>
        <v>-0.72591738678963025</v>
      </c>
    </row>
    <row r="34" spans="23:41" x14ac:dyDescent="0.25">
      <c r="Y34" s="18"/>
      <c r="Z34" s="18"/>
      <c r="AA34" s="18"/>
      <c r="AB34" s="18"/>
      <c r="AC34" s="18"/>
      <c r="AD34" s="18"/>
      <c r="AE34" s="18"/>
      <c r="AF34" s="18"/>
      <c r="AG34" s="18"/>
      <c r="AH34" s="18"/>
      <c r="AI34" s="18"/>
      <c r="AJ34" s="18"/>
      <c r="AK34" s="18"/>
      <c r="AL34" s="18"/>
    </row>
    <row r="35" spans="23:41" x14ac:dyDescent="0.25">
      <c r="W35" s="12" t="s">
        <v>88</v>
      </c>
      <c r="X35" s="18" t="e">
        <f>+X28*4/X39</f>
        <v>#DIV/0!</v>
      </c>
      <c r="Y35" s="18" t="e">
        <f>+Y28*4/Y39</f>
        <v>#DIV/0!</v>
      </c>
      <c r="Z35" s="18" t="e">
        <f t="shared" ref="Z35:AK35" si="36">+Z28*4/Z40</f>
        <v>#DIV/0!</v>
      </c>
      <c r="AA35" s="18" t="e">
        <f t="shared" si="36"/>
        <v>#DIV/0!</v>
      </c>
      <c r="AB35" s="18" t="e">
        <f t="shared" si="36"/>
        <v>#DIV/0!</v>
      </c>
      <c r="AC35" s="18" t="e">
        <f t="shared" si="36"/>
        <v>#DIV/0!</v>
      </c>
      <c r="AD35" s="18">
        <f t="shared" si="36"/>
        <v>0.4600599843914594</v>
      </c>
      <c r="AE35" s="18">
        <f t="shared" si="36"/>
        <v>0.49460603211755327</v>
      </c>
      <c r="AF35" s="18">
        <f t="shared" si="36"/>
        <v>0.67096604671250049</v>
      </c>
      <c r="AG35" s="18">
        <f t="shared" si="36"/>
        <v>0.40196368031071145</v>
      </c>
      <c r="AH35" s="18">
        <f t="shared" si="36"/>
        <v>-0.15097771801308402</v>
      </c>
      <c r="AI35" s="18">
        <f t="shared" si="36"/>
        <v>0.48553032286391717</v>
      </c>
      <c r="AJ35" s="18">
        <f t="shared" si="36"/>
        <v>0.49541250041010737</v>
      </c>
      <c r="AK35" s="18">
        <f t="shared" si="36"/>
        <v>0.37606560415122314</v>
      </c>
      <c r="AL35" s="18">
        <f t="shared" ref="AL35" si="37">+AL28*4/AL40</f>
        <v>0.10065490223326025</v>
      </c>
      <c r="AN35" s="14">
        <f>+AVERAGE(AD35:AL35)</f>
        <v>0.3704757061308499</v>
      </c>
      <c r="AO35" s="50" t="s">
        <v>88</v>
      </c>
    </row>
    <row r="36" spans="23:41" x14ac:dyDescent="0.25">
      <c r="AN36" s="56">
        <f>AVERAGE(AD35:AL35)*AL49</f>
        <v>11.277271713355038</v>
      </c>
      <c r="AO36" s="50" t="s">
        <v>183</v>
      </c>
    </row>
    <row r="37" spans="23:41" x14ac:dyDescent="0.25">
      <c r="W37" s="12" t="s">
        <v>52</v>
      </c>
      <c r="X37" s="13"/>
      <c r="Y37" s="13"/>
      <c r="Z37" s="13"/>
      <c r="AA37" s="13"/>
      <c r="AB37" s="13"/>
      <c r="AC37" s="13"/>
      <c r="AD37" s="13">
        <f>227505+254050+145070+2363+31259</f>
        <v>660247</v>
      </c>
      <c r="AE37" s="13"/>
      <c r="AF37" s="13"/>
      <c r="AG37" s="13"/>
      <c r="AH37" s="13">
        <f>1231+272394+1277+1637+59446</f>
        <v>335985</v>
      </c>
      <c r="AI37" s="13">
        <f>64871+407029+34610+3170+685</f>
        <v>510365</v>
      </c>
      <c r="AJ37" s="13">
        <f>56291+406688+34610+3170+5618</f>
        <v>506377</v>
      </c>
      <c r="AK37" s="13">
        <f>47695+409575+89510+3170+40429</f>
        <v>590379</v>
      </c>
      <c r="AL37" s="13">
        <f>39090+401592+89511+3170+9669+80640</f>
        <v>623672</v>
      </c>
      <c r="AN37" s="56">
        <f>+X1/AN36</f>
        <v>7.5816209960381782</v>
      </c>
      <c r="AO37" s="50" t="s">
        <v>11</v>
      </c>
    </row>
    <row r="38" spans="23:41" x14ac:dyDescent="0.25">
      <c r="W38" s="12" t="s">
        <v>53</v>
      </c>
      <c r="X38" s="13"/>
      <c r="Y38" s="13"/>
      <c r="Z38" s="13"/>
      <c r="AA38" s="13"/>
      <c r="AB38" s="13"/>
      <c r="AC38" s="13"/>
      <c r="AD38" s="13">
        <f>1427013+514914</f>
        <v>1941927</v>
      </c>
      <c r="AE38" s="13"/>
      <c r="AF38" s="13"/>
      <c r="AG38" s="13"/>
      <c r="AH38" s="13">
        <f>856990+4870</f>
        <v>861860</v>
      </c>
      <c r="AI38" s="13">
        <f>1963505+5348</f>
        <v>1968853</v>
      </c>
      <c r="AJ38" s="13">
        <f>1432805+436189</f>
        <v>1868994</v>
      </c>
      <c r="AK38" s="13">
        <f>831962+253736</f>
        <v>1085698</v>
      </c>
      <c r="AL38" s="13">
        <f>797421+924030</f>
        <v>1721451</v>
      </c>
    </row>
    <row r="39" spans="23:41" x14ac:dyDescent="0.25">
      <c r="W39" s="12" t="s">
        <v>50</v>
      </c>
      <c r="X39" s="13">
        <f t="shared" ref="X39:AK39" si="38">+X37-X38</f>
        <v>0</v>
      </c>
      <c r="Y39" s="13">
        <f t="shared" si="38"/>
        <v>0</v>
      </c>
      <c r="Z39" s="13">
        <f t="shared" si="38"/>
        <v>0</v>
      </c>
      <c r="AA39" s="13">
        <f t="shared" si="38"/>
        <v>0</v>
      </c>
      <c r="AB39" s="13">
        <f t="shared" si="38"/>
        <v>0</v>
      </c>
      <c r="AC39" s="13">
        <f t="shared" si="38"/>
        <v>0</v>
      </c>
      <c r="AD39" s="13">
        <f t="shared" si="38"/>
        <v>-1281680</v>
      </c>
      <c r="AE39" s="13">
        <f t="shared" si="38"/>
        <v>0</v>
      </c>
      <c r="AF39" s="13">
        <f t="shared" si="38"/>
        <v>0</v>
      </c>
      <c r="AG39" s="13">
        <f t="shared" si="38"/>
        <v>0</v>
      </c>
      <c r="AH39" s="13">
        <f t="shared" si="38"/>
        <v>-525875</v>
      </c>
      <c r="AI39" s="13">
        <f t="shared" si="38"/>
        <v>-1458488</v>
      </c>
      <c r="AJ39" s="13">
        <f t="shared" si="38"/>
        <v>-1362617</v>
      </c>
      <c r="AK39" s="13">
        <f t="shared" si="38"/>
        <v>-495319</v>
      </c>
      <c r="AL39" s="13">
        <f t="shared" ref="AL39" si="39">+AL37-AL38</f>
        <v>-1097779</v>
      </c>
    </row>
    <row r="40" spans="23:41" x14ac:dyDescent="0.25">
      <c r="W40" s="12" t="s">
        <v>54</v>
      </c>
      <c r="X40" s="13"/>
      <c r="Y40" s="13"/>
      <c r="Z40" s="13"/>
      <c r="AA40" s="13"/>
      <c r="AB40" s="13"/>
      <c r="AC40" s="13"/>
      <c r="AD40" s="13">
        <v>6857784</v>
      </c>
      <c r="AE40" s="13">
        <v>5969446</v>
      </c>
      <c r="AF40" s="13">
        <v>7154830</v>
      </c>
      <c r="AG40" s="13">
        <v>6598019</v>
      </c>
      <c r="AH40" s="13">
        <v>6280185</v>
      </c>
      <c r="AI40" s="13">
        <v>6222219</v>
      </c>
      <c r="AJ40" s="13">
        <v>7101799</v>
      </c>
      <c r="AK40" s="13">
        <v>6043520</v>
      </c>
      <c r="AL40" s="13">
        <v>6188710</v>
      </c>
    </row>
    <row r="41" spans="23:41" x14ac:dyDescent="0.25">
      <c r="W41" s="12" t="s">
        <v>75</v>
      </c>
      <c r="X41" s="13"/>
      <c r="Y41" s="13"/>
      <c r="Z41" s="13"/>
      <c r="AA41" s="13"/>
      <c r="AB41" s="13"/>
      <c r="AC41" s="13"/>
      <c r="AD41" s="10">
        <v>245923</v>
      </c>
      <c r="AE41" s="13"/>
      <c r="AF41" s="13"/>
      <c r="AG41" s="13"/>
      <c r="AH41" s="13">
        <v>874627</v>
      </c>
      <c r="AI41" s="13">
        <v>747285</v>
      </c>
      <c r="AJ41" s="13">
        <v>670325</v>
      </c>
      <c r="AK41" s="13">
        <v>735961</v>
      </c>
      <c r="AL41" s="13">
        <v>559813</v>
      </c>
    </row>
    <row r="43" spans="23:41" x14ac:dyDescent="0.25">
      <c r="W43" s="12" t="s">
        <v>51</v>
      </c>
      <c r="X43" s="14" t="e">
        <f t="shared" ref="X43:AK43" si="40">+X37/X40</f>
        <v>#DIV/0!</v>
      </c>
      <c r="Y43" s="14" t="e">
        <f t="shared" si="40"/>
        <v>#DIV/0!</v>
      </c>
      <c r="Z43" s="14" t="e">
        <f t="shared" si="40"/>
        <v>#DIV/0!</v>
      </c>
      <c r="AA43" s="14" t="e">
        <f t="shared" si="40"/>
        <v>#DIV/0!</v>
      </c>
      <c r="AB43" s="14" t="e">
        <f t="shared" si="40"/>
        <v>#DIV/0!</v>
      </c>
      <c r="AC43" s="14" t="e">
        <f t="shared" si="40"/>
        <v>#DIV/0!</v>
      </c>
      <c r="AD43" s="14">
        <f t="shared" si="40"/>
        <v>9.6277018932063183E-2</v>
      </c>
      <c r="AE43" s="14">
        <f t="shared" si="40"/>
        <v>0</v>
      </c>
      <c r="AF43" s="14">
        <f t="shared" si="40"/>
        <v>0</v>
      </c>
      <c r="AG43" s="14">
        <f t="shared" si="40"/>
        <v>0</v>
      </c>
      <c r="AH43" s="14">
        <f t="shared" si="40"/>
        <v>5.349922016628491E-2</v>
      </c>
      <c r="AI43" s="14">
        <f t="shared" si="40"/>
        <v>8.2022988904762117E-2</v>
      </c>
      <c r="AJ43" s="14">
        <f t="shared" si="40"/>
        <v>7.130263754296623E-2</v>
      </c>
      <c r="AK43" s="14">
        <f t="shared" si="40"/>
        <v>9.7687936831515415E-2</v>
      </c>
      <c r="AL43" s="14">
        <f t="shared" ref="AL43" si="41">+AL37/AL40</f>
        <v>0.10077576748627744</v>
      </c>
    </row>
    <row r="45" spans="23:41" x14ac:dyDescent="0.25">
      <c r="W45" s="12" t="s">
        <v>63</v>
      </c>
      <c r="X45" s="16" t="e">
        <f t="shared" ref="X45:AK45" si="42">+(X3*1000)/X7</f>
        <v>#DIV/0!</v>
      </c>
      <c r="Y45" s="16" t="e">
        <f t="shared" si="42"/>
        <v>#DIV/0!</v>
      </c>
      <c r="Z45" s="16" t="e">
        <f t="shared" si="42"/>
        <v>#DIV/0!</v>
      </c>
      <c r="AA45" s="16" t="e">
        <f t="shared" si="42"/>
        <v>#DIV/0!</v>
      </c>
      <c r="AB45" s="16" t="e">
        <f t="shared" si="42"/>
        <v>#DIV/0!</v>
      </c>
      <c r="AC45" s="16" t="e">
        <f t="shared" si="42"/>
        <v>#DIV/0!</v>
      </c>
      <c r="AD45" s="16" t="e">
        <f t="shared" si="42"/>
        <v>#DIV/0!</v>
      </c>
      <c r="AE45" s="16" t="e">
        <f t="shared" si="42"/>
        <v>#DIV/0!</v>
      </c>
      <c r="AF45" s="16" t="e">
        <f t="shared" si="42"/>
        <v>#DIV/0!</v>
      </c>
      <c r="AG45" s="16" t="e">
        <f t="shared" si="42"/>
        <v>#DIV/0!</v>
      </c>
      <c r="AH45" s="16" t="e">
        <f t="shared" si="42"/>
        <v>#DIV/0!</v>
      </c>
      <c r="AI45" s="16" t="e">
        <f t="shared" si="42"/>
        <v>#DIV/0!</v>
      </c>
      <c r="AJ45" s="16" t="e">
        <f t="shared" si="42"/>
        <v>#DIV/0!</v>
      </c>
      <c r="AK45" s="16" t="e">
        <f t="shared" si="42"/>
        <v>#DIV/0!</v>
      </c>
      <c r="AL45" s="16" t="e">
        <f t="shared" ref="AL45" si="43">+(AL3*1000)/AL7</f>
        <v>#DIV/0!</v>
      </c>
    </row>
    <row r="47" spans="23:41" x14ac:dyDescent="0.25">
      <c r="W47" s="12" t="s">
        <v>56</v>
      </c>
      <c r="X47" s="13">
        <f t="shared" ref="X47:AI47" si="44">Y47</f>
        <v>203308.63399999999</v>
      </c>
      <c r="Y47" s="13">
        <f t="shared" si="44"/>
        <v>203308.63399999999</v>
      </c>
      <c r="Z47" s="13">
        <f t="shared" si="44"/>
        <v>203308.63399999999</v>
      </c>
      <c r="AA47" s="13">
        <f t="shared" si="44"/>
        <v>203308.63399999999</v>
      </c>
      <c r="AB47" s="13">
        <f t="shared" si="44"/>
        <v>203308.63399999999</v>
      </c>
      <c r="AC47" s="13">
        <f t="shared" si="44"/>
        <v>203308.63399999999</v>
      </c>
      <c r="AD47" s="13">
        <f t="shared" si="44"/>
        <v>203308.63399999999</v>
      </c>
      <c r="AE47" s="13">
        <f t="shared" si="44"/>
        <v>203308.63399999999</v>
      </c>
      <c r="AF47" s="13">
        <f t="shared" si="44"/>
        <v>203308.63399999999</v>
      </c>
      <c r="AG47" s="13">
        <f t="shared" si="44"/>
        <v>203308.63399999999</v>
      </c>
      <c r="AH47" s="13">
        <f t="shared" si="44"/>
        <v>203308.63399999999</v>
      </c>
      <c r="AI47" s="13">
        <f t="shared" si="44"/>
        <v>203308.63399999999</v>
      </c>
      <c r="AJ47" s="13">
        <f>AK47</f>
        <v>203308.63399999999</v>
      </c>
      <c r="AK47" s="13">
        <v>203308.63399999999</v>
      </c>
      <c r="AL47" s="13">
        <v>203308.63399999999</v>
      </c>
    </row>
    <row r="49" spans="23:38" x14ac:dyDescent="0.25">
      <c r="W49" s="12" t="s">
        <v>57</v>
      </c>
      <c r="X49" s="16">
        <f t="shared" ref="X49:AK49" si="45">+X40/X47</f>
        <v>0</v>
      </c>
      <c r="Y49" s="16">
        <f t="shared" si="45"/>
        <v>0</v>
      </c>
      <c r="Z49" s="16">
        <f t="shared" si="45"/>
        <v>0</v>
      </c>
      <c r="AA49" s="16">
        <f t="shared" si="45"/>
        <v>0</v>
      </c>
      <c r="AB49" s="16">
        <f t="shared" si="45"/>
        <v>0</v>
      </c>
      <c r="AC49" s="16">
        <f t="shared" si="45"/>
        <v>0</v>
      </c>
      <c r="AD49" s="16">
        <f t="shared" si="45"/>
        <v>33.730903922162007</v>
      </c>
      <c r="AE49" s="16">
        <f t="shared" si="45"/>
        <v>29.361497751246514</v>
      </c>
      <c r="AF49" s="16">
        <f t="shared" si="45"/>
        <v>35.191963367379664</v>
      </c>
      <c r="AG49" s="16">
        <f t="shared" si="45"/>
        <v>32.453215931793629</v>
      </c>
      <c r="AH49" s="16">
        <f t="shared" si="45"/>
        <v>30.889908000660711</v>
      </c>
      <c r="AI49" s="16">
        <f t="shared" si="45"/>
        <v>30.604794678813299</v>
      </c>
      <c r="AJ49" s="16">
        <f t="shared" si="45"/>
        <v>34.931123485882061</v>
      </c>
      <c r="AK49" s="16">
        <f t="shared" si="45"/>
        <v>29.725840369376542</v>
      </c>
      <c r="AL49" s="16">
        <f t="shared" ref="AL49" si="46">+AL40/AL47</f>
        <v>30.439976297317507</v>
      </c>
    </row>
    <row r="51" spans="23:38" x14ac:dyDescent="0.25">
      <c r="W51" s="12" t="s">
        <v>67</v>
      </c>
      <c r="X51" s="13"/>
      <c r="Y51" s="13">
        <f>+Y55-X55</f>
        <v>0</v>
      </c>
      <c r="Z51" s="13">
        <f>+Z55-Y55</f>
        <v>0</v>
      </c>
      <c r="AA51" s="13">
        <f>+AA55</f>
        <v>0</v>
      </c>
      <c r="AB51" s="13">
        <f t="shared" ref="AB51:AD52" si="47">+AB55-AA55</f>
        <v>0</v>
      </c>
      <c r="AC51" s="13">
        <f t="shared" si="47"/>
        <v>0</v>
      </c>
      <c r="AD51" s="13">
        <f t="shared" si="47"/>
        <v>3810629</v>
      </c>
      <c r="AE51" s="13">
        <f>+AE55</f>
        <v>245210</v>
      </c>
      <c r="AF51" s="13">
        <f>+AF55-AE55</f>
        <v>1365663</v>
      </c>
      <c r="AG51" s="13">
        <f>+AG55-AF55</f>
        <v>703724</v>
      </c>
      <c r="AH51" s="13">
        <f t="shared" ref="AH51:AH52" si="48">+AH55-AG55</f>
        <v>429832</v>
      </c>
      <c r="AI51" s="13">
        <f>+AI55</f>
        <v>1165261</v>
      </c>
      <c r="AJ51" s="13">
        <f>+AJ55-AI55</f>
        <v>820572</v>
      </c>
      <c r="AK51" s="13">
        <f>+AK55-AJ55</f>
        <v>978551</v>
      </c>
      <c r="AL51" s="13">
        <f t="shared" ref="AL51:AL52" si="49">+AL55-AK55</f>
        <v>821127</v>
      </c>
    </row>
    <row r="52" spans="23:38" x14ac:dyDescent="0.25">
      <c r="W52" s="12" t="s">
        <v>60</v>
      </c>
      <c r="Y52" s="13">
        <f>+Y56-X56</f>
        <v>0</v>
      </c>
      <c r="Z52" s="13">
        <f>+Z56-Y56</f>
        <v>0</v>
      </c>
      <c r="AA52" s="13">
        <f>+AA56</f>
        <v>0</v>
      </c>
      <c r="AB52" s="13">
        <f t="shared" si="47"/>
        <v>0</v>
      </c>
      <c r="AC52" s="13">
        <f t="shared" si="47"/>
        <v>0</v>
      </c>
      <c r="AD52" s="13">
        <f t="shared" si="47"/>
        <v>-595143</v>
      </c>
      <c r="AE52" s="13">
        <f>+AE56</f>
        <v>-257401</v>
      </c>
      <c r="AF52" s="13">
        <f>+AF56-AE56</f>
        <v>-53621</v>
      </c>
      <c r="AG52" s="13">
        <f>+AG56-AF56</f>
        <v>-63661</v>
      </c>
      <c r="AH52" s="13">
        <f t="shared" si="48"/>
        <v>-43374</v>
      </c>
      <c r="AI52" s="13">
        <f>+AI56</f>
        <v>-46052</v>
      </c>
      <c r="AJ52" s="13">
        <f>+AJ56-AI56</f>
        <v>-43673</v>
      </c>
      <c r="AK52" s="13">
        <f>+AK56-AJ56</f>
        <v>-137389</v>
      </c>
      <c r="AL52" s="13">
        <f t="shared" si="49"/>
        <v>-98468</v>
      </c>
    </row>
    <row r="53" spans="23:38" x14ac:dyDescent="0.25">
      <c r="W53" s="12" t="s">
        <v>68</v>
      </c>
      <c r="Y53" s="13">
        <f t="shared" ref="Y53:AK53" si="50">+Y51+Y52</f>
        <v>0</v>
      </c>
      <c r="Z53" s="13">
        <f t="shared" si="50"/>
        <v>0</v>
      </c>
      <c r="AA53" s="13">
        <f t="shared" si="50"/>
        <v>0</v>
      </c>
      <c r="AB53" s="13">
        <f t="shared" si="50"/>
        <v>0</v>
      </c>
      <c r="AC53" s="13">
        <f t="shared" si="50"/>
        <v>0</v>
      </c>
      <c r="AD53" s="13">
        <f t="shared" si="50"/>
        <v>3215486</v>
      </c>
      <c r="AE53" s="13">
        <f t="shared" si="50"/>
        <v>-12191</v>
      </c>
      <c r="AF53" s="13">
        <f t="shared" si="50"/>
        <v>1312042</v>
      </c>
      <c r="AG53" s="13">
        <f t="shared" si="50"/>
        <v>640063</v>
      </c>
      <c r="AH53" s="13">
        <f t="shared" si="50"/>
        <v>386458</v>
      </c>
      <c r="AI53" s="13">
        <f t="shared" si="50"/>
        <v>1119209</v>
      </c>
      <c r="AJ53" s="13">
        <f t="shared" si="50"/>
        <v>776899</v>
      </c>
      <c r="AK53" s="13">
        <f t="shared" si="50"/>
        <v>841162</v>
      </c>
      <c r="AL53" s="13">
        <f t="shared" ref="AL53" si="51">+AL51+AL52</f>
        <v>722659</v>
      </c>
    </row>
    <row r="55" spans="23:38" x14ac:dyDescent="0.25">
      <c r="W55" s="12" t="s">
        <v>67</v>
      </c>
      <c r="X55" s="13"/>
      <c r="Y55" s="13"/>
      <c r="Z55" s="13"/>
      <c r="AA55" s="13"/>
      <c r="AB55" s="13"/>
      <c r="AC55" s="13"/>
      <c r="AD55" s="13">
        <v>3810629</v>
      </c>
      <c r="AE55" s="13">
        <v>245210</v>
      </c>
      <c r="AF55" s="13">
        <v>1610873</v>
      </c>
      <c r="AG55" s="13">
        <v>2314597</v>
      </c>
      <c r="AH55" s="13">
        <v>2744429</v>
      </c>
      <c r="AI55" s="13">
        <v>1165261</v>
      </c>
      <c r="AJ55" s="13">
        <v>1985833</v>
      </c>
      <c r="AK55" s="13">
        <v>2964384</v>
      </c>
      <c r="AL55" s="13">
        <v>3785511</v>
      </c>
    </row>
    <row r="56" spans="23:38" x14ac:dyDescent="0.25">
      <c r="W56" s="12" t="s">
        <v>60</v>
      </c>
      <c r="X56" s="13"/>
      <c r="Y56" s="13"/>
      <c r="Z56" s="13"/>
      <c r="AA56" s="13"/>
      <c r="AB56" s="13"/>
      <c r="AC56" s="13"/>
      <c r="AD56" s="13">
        <f>-425325-169818</f>
        <v>-595143</v>
      </c>
      <c r="AE56" s="13">
        <f>-223080-34321</f>
        <v>-257401</v>
      </c>
      <c r="AF56" s="13">
        <f>-274220-36802</f>
        <v>-311022</v>
      </c>
      <c r="AG56" s="13">
        <f>-307055-67628</f>
        <v>-374683</v>
      </c>
      <c r="AH56" s="13">
        <f>-354005-64052</f>
        <v>-418057</v>
      </c>
      <c r="AI56" s="13">
        <f>-35709-10343</f>
        <v>-46052</v>
      </c>
      <c r="AJ56" s="13">
        <f>-67611-22114</f>
        <v>-89725</v>
      </c>
      <c r="AK56" s="13">
        <f>-191737-35377</f>
        <v>-227114</v>
      </c>
      <c r="AL56" s="13">
        <f>-289562-36020</f>
        <v>-325582</v>
      </c>
    </row>
    <row r="57" spans="23:38" x14ac:dyDescent="0.25">
      <c r="W57" s="12" t="s">
        <v>68</v>
      </c>
      <c r="X57" s="13">
        <f t="shared" ref="X57:AF57" si="52">+X55+X56</f>
        <v>0</v>
      </c>
      <c r="Y57" s="13">
        <f t="shared" si="52"/>
        <v>0</v>
      </c>
      <c r="Z57" s="13">
        <f t="shared" si="52"/>
        <v>0</v>
      </c>
      <c r="AA57" s="13">
        <f t="shared" si="52"/>
        <v>0</v>
      </c>
      <c r="AB57" s="13">
        <f t="shared" si="52"/>
        <v>0</v>
      </c>
      <c r="AC57" s="13">
        <f t="shared" si="52"/>
        <v>0</v>
      </c>
      <c r="AD57" s="13">
        <f t="shared" si="52"/>
        <v>3215486</v>
      </c>
      <c r="AE57" s="13">
        <f t="shared" si="52"/>
        <v>-12191</v>
      </c>
      <c r="AF57" s="13">
        <f t="shared" si="52"/>
        <v>1299851</v>
      </c>
      <c r="AG57" s="13">
        <f>+AG55+AG56</f>
        <v>1939914</v>
      </c>
      <c r="AH57" s="13">
        <f t="shared" ref="AH57:AJ57" si="53">+AH55+AH56</f>
        <v>2326372</v>
      </c>
      <c r="AI57" s="13">
        <f t="shared" si="53"/>
        <v>1119209</v>
      </c>
      <c r="AJ57" s="13">
        <f t="shared" si="53"/>
        <v>1896108</v>
      </c>
      <c r="AK57" s="13">
        <f>+AK55+AK56</f>
        <v>2737270</v>
      </c>
      <c r="AL57" s="13">
        <f t="shared" ref="AL57" si="54">+AL55+AL56</f>
        <v>3459929</v>
      </c>
    </row>
    <row r="59" spans="23:38" x14ac:dyDescent="0.25">
      <c r="W59" s="47" t="s">
        <v>76</v>
      </c>
    </row>
    <row r="60" spans="23:38" x14ac:dyDescent="0.25">
      <c r="W60" s="47" t="s">
        <v>400</v>
      </c>
      <c r="AC60" s="13"/>
      <c r="AG60" s="13"/>
      <c r="AK60" s="13"/>
    </row>
    <row r="61" spans="23:38" x14ac:dyDescent="0.25">
      <c r="W61" s="12" t="s">
        <v>78</v>
      </c>
      <c r="Z61" s="13"/>
      <c r="AA61" s="13"/>
      <c r="AB61" s="13"/>
      <c r="AC61" s="13"/>
      <c r="AD61" s="13">
        <v>1258541</v>
      </c>
      <c r="AE61" s="13">
        <v>1629801</v>
      </c>
      <c r="AF61" s="13">
        <v>2410778</v>
      </c>
      <c r="AG61" s="13">
        <v>1724038</v>
      </c>
      <c r="AH61" s="13">
        <v>1809199</v>
      </c>
      <c r="AI61" s="13">
        <v>2016895</v>
      </c>
      <c r="AJ61" s="13">
        <v>1892704</v>
      </c>
      <c r="AK61" s="13">
        <v>1485418</v>
      </c>
      <c r="AL61" s="13">
        <v>1472128</v>
      </c>
    </row>
    <row r="62" spans="23:38" x14ac:dyDescent="0.25">
      <c r="W62" s="12" t="s">
        <v>40</v>
      </c>
      <c r="X62" s="17"/>
      <c r="Y62" s="17"/>
      <c r="Z62" s="17"/>
      <c r="AA62" s="17"/>
      <c r="AB62" s="18"/>
      <c r="AC62" s="18"/>
      <c r="AD62" s="18" t="e">
        <f t="shared" ref="AD62:AL62" si="55">+AD61/Z61-1</f>
        <v>#DIV/0!</v>
      </c>
      <c r="AE62" s="18" t="e">
        <f t="shared" si="55"/>
        <v>#DIV/0!</v>
      </c>
      <c r="AF62" s="18" t="e">
        <f t="shared" si="55"/>
        <v>#DIV/0!</v>
      </c>
      <c r="AG62" s="18" t="e">
        <f t="shared" si="55"/>
        <v>#DIV/0!</v>
      </c>
      <c r="AH62" s="18">
        <f t="shared" si="55"/>
        <v>0.43753679856278027</v>
      </c>
      <c r="AI62" s="18">
        <f t="shared" si="55"/>
        <v>0.23750997821206399</v>
      </c>
      <c r="AJ62" s="18">
        <f t="shared" si="55"/>
        <v>-0.21489909066699631</v>
      </c>
      <c r="AK62" s="18">
        <f t="shared" si="55"/>
        <v>-0.13840762210577728</v>
      </c>
      <c r="AL62" s="18">
        <f t="shared" si="55"/>
        <v>-0.18630952150647884</v>
      </c>
    </row>
    <row r="63" spans="23:38" x14ac:dyDescent="0.25">
      <c r="W63" s="12" t="s">
        <v>41</v>
      </c>
      <c r="Y63" s="18"/>
      <c r="Z63" s="18"/>
      <c r="AA63" s="18" t="e">
        <f t="shared" ref="AA63:AL63" si="56">+AA61/Z61-1</f>
        <v>#DIV/0!</v>
      </c>
      <c r="AB63" s="18" t="e">
        <f t="shared" si="56"/>
        <v>#DIV/0!</v>
      </c>
      <c r="AC63" s="18" t="e">
        <f t="shared" si="56"/>
        <v>#DIV/0!</v>
      </c>
      <c r="AD63" s="18" t="e">
        <f t="shared" si="56"/>
        <v>#DIV/0!</v>
      </c>
      <c r="AE63" s="18">
        <f t="shared" si="56"/>
        <v>0.29499237609263429</v>
      </c>
      <c r="AF63" s="18">
        <f t="shared" si="56"/>
        <v>0.47918549565253676</v>
      </c>
      <c r="AG63" s="18">
        <f t="shared" si="56"/>
        <v>-0.28486239711827466</v>
      </c>
      <c r="AH63" s="18">
        <f t="shared" si="56"/>
        <v>4.9396243006244678E-2</v>
      </c>
      <c r="AI63" s="18">
        <f t="shared" si="56"/>
        <v>0.11479997501656802</v>
      </c>
      <c r="AJ63" s="18">
        <f t="shared" si="56"/>
        <v>-6.157534229595496E-2</v>
      </c>
      <c r="AK63" s="18">
        <f t="shared" si="56"/>
        <v>-0.2151873721405988</v>
      </c>
      <c r="AL63" s="18">
        <f t="shared" si="56"/>
        <v>-8.9469765412832913E-3</v>
      </c>
    </row>
    <row r="64" spans="23:38" x14ac:dyDescent="0.25">
      <c r="W64" s="12" t="s">
        <v>79</v>
      </c>
      <c r="Z64" s="13"/>
      <c r="AA64" s="13"/>
      <c r="AB64" s="13"/>
      <c r="AC64" s="13"/>
      <c r="AD64" s="13">
        <v>522701</v>
      </c>
      <c r="AE64" s="13">
        <v>773123</v>
      </c>
      <c r="AF64" s="13">
        <v>1243963</v>
      </c>
      <c r="AG64" s="13">
        <v>719149</v>
      </c>
      <c r="AH64" s="13">
        <v>603983</v>
      </c>
      <c r="AI64" s="13">
        <v>960251</v>
      </c>
      <c r="AJ64" s="13">
        <v>893048</v>
      </c>
      <c r="AK64" s="13">
        <v>530572</v>
      </c>
      <c r="AL64" s="13">
        <v>349989</v>
      </c>
    </row>
    <row r="65" spans="23:38" x14ac:dyDescent="0.25">
      <c r="W65" s="12" t="s">
        <v>82</v>
      </c>
      <c r="X65" s="19"/>
      <c r="Y65" s="19"/>
      <c r="Z65" s="19" t="e">
        <f t="shared" ref="Z65:AF65" si="57">+Z64/Z61</f>
        <v>#DIV/0!</v>
      </c>
      <c r="AA65" s="19" t="e">
        <f t="shared" si="57"/>
        <v>#DIV/0!</v>
      </c>
      <c r="AB65" s="19" t="e">
        <f t="shared" si="57"/>
        <v>#DIV/0!</v>
      </c>
      <c r="AC65" s="19" t="e">
        <f t="shared" si="57"/>
        <v>#DIV/0!</v>
      </c>
      <c r="AD65" s="19">
        <f t="shared" si="57"/>
        <v>0.41532298113450417</v>
      </c>
      <c r="AE65" s="19">
        <f t="shared" si="57"/>
        <v>0.47436650241348483</v>
      </c>
      <c r="AF65" s="19">
        <f t="shared" si="57"/>
        <v>0.51600064377557786</v>
      </c>
      <c r="AG65" s="19">
        <f>+AG64/AG61</f>
        <v>0.41713059688939569</v>
      </c>
      <c r="AH65" s="19">
        <f t="shared" ref="AH65:AJ65" si="58">+AH64/AH61</f>
        <v>0.33384000322794782</v>
      </c>
      <c r="AI65" s="19">
        <f t="shared" si="58"/>
        <v>0.47610361471469759</v>
      </c>
      <c r="AJ65" s="19">
        <f t="shared" si="58"/>
        <v>0.47183711768982367</v>
      </c>
      <c r="AK65" s="19">
        <f>+AK64/AK61</f>
        <v>0.35718700056145813</v>
      </c>
      <c r="AL65" s="19">
        <f t="shared" ref="AL65" si="59">+AL64/AL61</f>
        <v>0.23774359294843928</v>
      </c>
    </row>
    <row r="66" spans="23:38" x14ac:dyDescent="0.25">
      <c r="W66" s="12" t="s">
        <v>354</v>
      </c>
      <c r="Z66" s="13"/>
      <c r="AA66" s="13"/>
      <c r="AB66" s="13"/>
      <c r="AC66" s="13"/>
      <c r="AD66" s="13">
        <v>803228</v>
      </c>
      <c r="AE66" s="13">
        <v>765888</v>
      </c>
      <c r="AF66" s="13">
        <v>1215128</v>
      </c>
      <c r="AG66" s="13">
        <v>712084</v>
      </c>
      <c r="AH66" s="13">
        <v>155779</v>
      </c>
      <c r="AI66" s="13">
        <v>923894</v>
      </c>
      <c r="AJ66" s="13">
        <v>883491</v>
      </c>
      <c r="AK66" s="13">
        <v>515526</v>
      </c>
      <c r="AL66" s="13">
        <v>331968</v>
      </c>
    </row>
    <row r="67" spans="23:38" x14ac:dyDescent="0.25">
      <c r="W67" s="12" t="s">
        <v>82</v>
      </c>
      <c r="Z67" s="19" t="e">
        <f t="shared" ref="Z67:AF67" si="60">+Z66/Z61</f>
        <v>#DIV/0!</v>
      </c>
      <c r="AA67" s="19" t="e">
        <f t="shared" si="60"/>
        <v>#DIV/0!</v>
      </c>
      <c r="AB67" s="19" t="e">
        <f t="shared" si="60"/>
        <v>#DIV/0!</v>
      </c>
      <c r="AC67" s="19" t="e">
        <f t="shared" si="60"/>
        <v>#DIV/0!</v>
      </c>
      <c r="AD67" s="19">
        <f t="shared" si="60"/>
        <v>0.63822155972669936</v>
      </c>
      <c r="AE67" s="19">
        <f t="shared" si="60"/>
        <v>0.46992731014399919</v>
      </c>
      <c r="AF67" s="19">
        <f t="shared" si="60"/>
        <v>0.50403977471173211</v>
      </c>
      <c r="AG67" s="19">
        <f>+AG66/AG61</f>
        <v>0.41303265937293726</v>
      </c>
      <c r="AH67" s="19">
        <f t="shared" ref="AH67:AJ67" si="61">+AH66/AH61</f>
        <v>8.6103850377984958E-2</v>
      </c>
      <c r="AI67" s="19">
        <f t="shared" si="61"/>
        <v>0.45807739123752106</v>
      </c>
      <c r="AJ67" s="19">
        <f t="shared" si="61"/>
        <v>0.46678772803354357</v>
      </c>
      <c r="AK67" s="19">
        <f>+AK66/AK61</f>
        <v>0.34705786519350107</v>
      </c>
      <c r="AL67" s="19">
        <f t="shared" ref="AL67" si="62">+AL66/AL61</f>
        <v>0.22550213024954352</v>
      </c>
    </row>
    <row r="70" spans="23:38" x14ac:dyDescent="0.25">
      <c r="W70" s="47" t="s">
        <v>1003</v>
      </c>
      <c r="AC70" s="13"/>
      <c r="AG70" s="13"/>
      <c r="AK70" s="13"/>
    </row>
    <row r="71" spans="23:38" x14ac:dyDescent="0.25">
      <c r="W71" s="12" t="s">
        <v>78</v>
      </c>
      <c r="Z71" s="13"/>
      <c r="AA71" s="13"/>
      <c r="AB71" s="13"/>
      <c r="AC71" s="13"/>
      <c r="AD71" s="13">
        <v>183019</v>
      </c>
      <c r="AE71" s="13">
        <v>222230</v>
      </c>
      <c r="AF71" s="13">
        <v>316290</v>
      </c>
      <c r="AG71" s="13">
        <v>346589</v>
      </c>
      <c r="AH71" s="13">
        <v>309680</v>
      </c>
      <c r="AI71" s="13">
        <v>340472</v>
      </c>
      <c r="AJ71" s="13">
        <v>348214</v>
      </c>
      <c r="AK71" s="13">
        <v>399804</v>
      </c>
      <c r="AL71" s="13">
        <v>365502</v>
      </c>
    </row>
    <row r="72" spans="23:38" x14ac:dyDescent="0.25">
      <c r="W72" s="12" t="s">
        <v>40</v>
      </c>
      <c r="X72" s="17"/>
      <c r="Y72" s="17"/>
      <c r="Z72" s="17"/>
      <c r="AA72" s="17"/>
      <c r="AB72" s="18"/>
      <c r="AC72" s="18"/>
      <c r="AD72" s="18" t="e">
        <f t="shared" ref="AD72:AL72" si="63">+AD71/Z71-1</f>
        <v>#DIV/0!</v>
      </c>
      <c r="AE72" s="18" t="e">
        <f t="shared" si="63"/>
        <v>#DIV/0!</v>
      </c>
      <c r="AF72" s="18" t="e">
        <f t="shared" si="63"/>
        <v>#DIV/0!</v>
      </c>
      <c r="AG72" s="18" t="e">
        <f t="shared" si="63"/>
        <v>#DIV/0!</v>
      </c>
      <c r="AH72" s="18">
        <f t="shared" si="63"/>
        <v>0.69206475830378267</v>
      </c>
      <c r="AI72" s="18">
        <f t="shared" si="63"/>
        <v>0.53207037753678632</v>
      </c>
      <c r="AJ72" s="18">
        <f t="shared" si="63"/>
        <v>0.10093268835562297</v>
      </c>
      <c r="AK72" s="18">
        <f t="shared" si="63"/>
        <v>0.15353920637989082</v>
      </c>
      <c r="AL72" s="18">
        <f t="shared" si="63"/>
        <v>0.18025703952467054</v>
      </c>
    </row>
    <row r="73" spans="23:38" x14ac:dyDescent="0.25">
      <c r="W73" s="12" t="s">
        <v>41</v>
      </c>
      <c r="Y73" s="18"/>
      <c r="Z73" s="18"/>
      <c r="AA73" s="18" t="e">
        <f t="shared" ref="AA73:AL73" si="64">+AA71/Z71-1</f>
        <v>#DIV/0!</v>
      </c>
      <c r="AB73" s="18" t="e">
        <f t="shared" si="64"/>
        <v>#DIV/0!</v>
      </c>
      <c r="AC73" s="18" t="e">
        <f t="shared" si="64"/>
        <v>#DIV/0!</v>
      </c>
      <c r="AD73" s="18" t="e">
        <f t="shared" si="64"/>
        <v>#DIV/0!</v>
      </c>
      <c r="AE73" s="18">
        <f t="shared" si="64"/>
        <v>0.21424551549292703</v>
      </c>
      <c r="AF73" s="18">
        <f t="shared" si="64"/>
        <v>0.42325518606848767</v>
      </c>
      <c r="AG73" s="18">
        <f t="shared" si="64"/>
        <v>9.5794998261089503E-2</v>
      </c>
      <c r="AH73" s="18">
        <f t="shared" si="64"/>
        <v>-0.10649212756319448</v>
      </c>
      <c r="AI73" s="18">
        <f t="shared" si="64"/>
        <v>9.9431671402738342E-2</v>
      </c>
      <c r="AJ73" s="18">
        <f t="shared" si="64"/>
        <v>2.2739021123616698E-2</v>
      </c>
      <c r="AK73" s="18">
        <f t="shared" si="64"/>
        <v>0.14815601899981057</v>
      </c>
      <c r="AL73" s="18">
        <f t="shared" si="64"/>
        <v>-8.5797040549869474E-2</v>
      </c>
    </row>
    <row r="74" spans="23:38" x14ac:dyDescent="0.25">
      <c r="W74" s="12" t="s">
        <v>79</v>
      </c>
      <c r="Z74" s="13"/>
      <c r="AA74" s="13"/>
      <c r="AB74" s="13"/>
      <c r="AC74" s="13"/>
      <c r="AD74" s="13">
        <v>-3428</v>
      </c>
      <c r="AE74" s="13">
        <v>-26477</v>
      </c>
      <c r="AF74" s="13">
        <v>7237</v>
      </c>
      <c r="AG74" s="13">
        <v>-572</v>
      </c>
      <c r="AH74" s="13">
        <v>-208044</v>
      </c>
      <c r="AI74" s="13">
        <v>-24305</v>
      </c>
      <c r="AJ74" s="13">
        <v>3722</v>
      </c>
      <c r="AK74" s="13">
        <v>74474</v>
      </c>
      <c r="AL74" s="13">
        <v>39495</v>
      </c>
    </row>
    <row r="75" spans="23:38" x14ac:dyDescent="0.25">
      <c r="W75" s="12" t="s">
        <v>82</v>
      </c>
      <c r="X75" s="19"/>
      <c r="Y75" s="19"/>
      <c r="Z75" s="19" t="e">
        <f t="shared" ref="Z75:AF75" si="65">+Z74/Z71</f>
        <v>#DIV/0!</v>
      </c>
      <c r="AA75" s="19" t="e">
        <f t="shared" si="65"/>
        <v>#DIV/0!</v>
      </c>
      <c r="AB75" s="19" t="e">
        <f t="shared" si="65"/>
        <v>#DIV/0!</v>
      </c>
      <c r="AC75" s="19" t="e">
        <f t="shared" si="65"/>
        <v>#DIV/0!</v>
      </c>
      <c r="AD75" s="19">
        <f t="shared" si="65"/>
        <v>-1.8730295761642233E-2</v>
      </c>
      <c r="AE75" s="19">
        <f t="shared" si="65"/>
        <v>-0.11914233001844936</v>
      </c>
      <c r="AF75" s="19">
        <f t="shared" si="65"/>
        <v>2.2880900439470105E-2</v>
      </c>
      <c r="AG75" s="19">
        <f>+AG74/AG71</f>
        <v>-1.6503697462989305E-3</v>
      </c>
      <c r="AH75" s="19">
        <f t="shared" ref="AH75:AJ75" si="66">+AH74/AH71</f>
        <v>-0.67180315164040305</v>
      </c>
      <c r="AI75" s="19">
        <f t="shared" si="66"/>
        <v>-7.138619328461665E-2</v>
      </c>
      <c r="AJ75" s="19">
        <f t="shared" si="66"/>
        <v>1.0688829283141976E-2</v>
      </c>
      <c r="AK75" s="19">
        <f>+AK74/AK71</f>
        <v>0.18627627537493371</v>
      </c>
      <c r="AL75" s="19">
        <f t="shared" ref="AL75" si="67">+AL74/AL71</f>
        <v>0.10805686425792471</v>
      </c>
    </row>
    <row r="76" spans="23:38" x14ac:dyDescent="0.25">
      <c r="W76" s="12" t="s">
        <v>354</v>
      </c>
      <c r="Z76" s="13"/>
      <c r="AA76" s="13"/>
      <c r="AB76" s="13"/>
      <c r="AC76" s="13"/>
      <c r="AD76" s="13">
        <v>-10254</v>
      </c>
      <c r="AE76" s="13">
        <v>-39737</v>
      </c>
      <c r="AF76" s="13">
        <v>-1729</v>
      </c>
      <c r="AG76" s="13">
        <v>-22013</v>
      </c>
      <c r="AH76" s="13">
        <v>-257379</v>
      </c>
      <c r="AI76" s="13">
        <v>-43657</v>
      </c>
      <c r="AJ76" s="13">
        <v>-12141</v>
      </c>
      <c r="AK76" s="13">
        <v>58345</v>
      </c>
      <c r="AL76" s="13">
        <v>-141790</v>
      </c>
    </row>
    <row r="77" spans="23:38" x14ac:dyDescent="0.25">
      <c r="W77" s="12" t="s">
        <v>82</v>
      </c>
      <c r="Z77" s="19" t="e">
        <f t="shared" ref="Z77:AF77" si="68">+Z76/Z71</f>
        <v>#DIV/0!</v>
      </c>
      <c r="AA77" s="19" t="e">
        <f t="shared" si="68"/>
        <v>#DIV/0!</v>
      </c>
      <c r="AB77" s="19" t="e">
        <f t="shared" si="68"/>
        <v>#DIV/0!</v>
      </c>
      <c r="AC77" s="19" t="e">
        <f t="shared" si="68"/>
        <v>#DIV/0!</v>
      </c>
      <c r="AD77" s="19">
        <f t="shared" si="68"/>
        <v>-5.6026969877444419E-2</v>
      </c>
      <c r="AE77" s="19">
        <f t="shared" si="68"/>
        <v>-0.17881024164154255</v>
      </c>
      <c r="AF77" s="19">
        <f t="shared" si="68"/>
        <v>-5.4665022605836413E-3</v>
      </c>
      <c r="AG77" s="19">
        <f>+AG76/AG71</f>
        <v>-6.351326787636076E-2</v>
      </c>
      <c r="AH77" s="19">
        <f t="shared" ref="AH77:AJ77" si="69">+AH76/AH71</f>
        <v>-0.83111276156032032</v>
      </c>
      <c r="AI77" s="19">
        <f t="shared" si="69"/>
        <v>-0.12822493479640029</v>
      </c>
      <c r="AJ77" s="19">
        <f t="shared" si="69"/>
        <v>-3.4866490146863709E-2</v>
      </c>
      <c r="AK77" s="19">
        <f>+AK76/AK71</f>
        <v>0.14593400766375525</v>
      </c>
      <c r="AL77" s="19">
        <f t="shared" ref="AL77" si="70">+AL76/AL71</f>
        <v>-0.38793221377721598</v>
      </c>
    </row>
  </sheetData>
  <mergeCells count="3">
    <mergeCell ref="AP2:AT2"/>
    <mergeCell ref="AU2:AY2"/>
    <mergeCell ref="B13:H13"/>
  </mergeCells>
  <pageMargins left="0.7" right="0.7"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92881-C5B2-4A98-91C8-56F6C9C56952}">
  <sheetPr>
    <tabColor rgb="FF92D050"/>
  </sheetPr>
  <dimension ref="B2:F23"/>
  <sheetViews>
    <sheetView workbookViewId="0">
      <selection activeCell="C17" sqref="C17"/>
    </sheetView>
  </sheetViews>
  <sheetFormatPr defaultColWidth="8.85546875" defaultRowHeight="15" x14ac:dyDescent="0.25"/>
  <cols>
    <col min="1" max="1" width="8.85546875" style="50"/>
    <col min="2" max="2" width="37.28515625" style="50" bestFit="1" customWidth="1"/>
    <col min="3" max="3" width="19.28515625" style="50" customWidth="1"/>
    <col min="4" max="4" width="13.5703125" style="50" bestFit="1" customWidth="1"/>
    <col min="5" max="5" width="8.85546875" style="50"/>
    <col min="6" max="6" width="13.5703125" style="50" bestFit="1" customWidth="1"/>
    <col min="7" max="16384" width="8.85546875" style="50"/>
  </cols>
  <sheetData>
    <row r="2" spans="2:6" x14ac:dyDescent="0.25">
      <c r="B2" s="137" t="s">
        <v>958</v>
      </c>
      <c r="C2" s="136"/>
    </row>
    <row r="3" spans="2:6" x14ac:dyDescent="0.25">
      <c r="B3" s="50" t="s">
        <v>957</v>
      </c>
      <c r="C3" s="50">
        <v>3.5</v>
      </c>
    </row>
    <row r="4" spans="2:6" x14ac:dyDescent="0.25">
      <c r="B4" s="50" t="s">
        <v>959</v>
      </c>
      <c r="C4" s="50">
        <v>302</v>
      </c>
    </row>
    <row r="5" spans="2:6" x14ac:dyDescent="0.25">
      <c r="B5" s="50" t="s">
        <v>964</v>
      </c>
      <c r="C5" s="51">
        <f>+C3*C4</f>
        <v>1057</v>
      </c>
    </row>
    <row r="6" spans="2:6" x14ac:dyDescent="0.25">
      <c r="B6" s="50" t="s">
        <v>960</v>
      </c>
      <c r="C6" s="50">
        <v>8</v>
      </c>
    </row>
    <row r="7" spans="2:6" x14ac:dyDescent="0.25">
      <c r="B7" s="138" t="s">
        <v>961</v>
      </c>
      <c r="C7" s="139">
        <f>+C5*C6</f>
        <v>8456</v>
      </c>
    </row>
    <row r="9" spans="2:6" x14ac:dyDescent="0.25">
      <c r="B9" s="50" t="s">
        <v>1079</v>
      </c>
      <c r="C9" s="50">
        <v>12.4</v>
      </c>
    </row>
    <row r="10" spans="2:6" x14ac:dyDescent="0.25">
      <c r="B10" s="50" t="s">
        <v>963</v>
      </c>
      <c r="C10" s="51">
        <v>276.69537600000001</v>
      </c>
    </row>
    <row r="11" spans="2:6" x14ac:dyDescent="0.25">
      <c r="B11" s="138" t="s">
        <v>962</v>
      </c>
      <c r="C11" s="139">
        <f>+C9*C10</f>
        <v>3431.0226624000002</v>
      </c>
    </row>
    <row r="13" spans="2:6" x14ac:dyDescent="0.25">
      <c r="B13" s="50" t="s">
        <v>965</v>
      </c>
      <c r="C13" s="51">
        <f>+F13/1000000</f>
        <v>1197.4445820000001</v>
      </c>
      <c r="F13" s="51">
        <f>344559328+852885254</f>
        <v>1197444582</v>
      </c>
    </row>
    <row r="14" spans="2:6" x14ac:dyDescent="0.25">
      <c r="B14" s="50" t="s">
        <v>966</v>
      </c>
      <c r="C14" s="51">
        <f>+F14/1000000</f>
        <v>80.976966000000004</v>
      </c>
      <c r="F14" s="51">
        <f>17039614+63937352</f>
        <v>80976966</v>
      </c>
    </row>
    <row r="15" spans="2:6" x14ac:dyDescent="0.25">
      <c r="B15" s="138" t="s">
        <v>967</v>
      </c>
      <c r="C15" s="139">
        <f>+C13-C14</f>
        <v>1116.4676160000001</v>
      </c>
    </row>
    <row r="16" spans="2:6" x14ac:dyDescent="0.25">
      <c r="C16" s="51"/>
    </row>
    <row r="17" spans="2:3" x14ac:dyDescent="0.25">
      <c r="B17" s="138" t="s">
        <v>968</v>
      </c>
      <c r="C17" s="139">
        <f>+C7+C15</f>
        <v>9572.4676159999999</v>
      </c>
    </row>
    <row r="19" spans="2:3" x14ac:dyDescent="0.25">
      <c r="B19" s="50" t="s">
        <v>963</v>
      </c>
      <c r="C19" s="53">
        <v>276.69537600000001</v>
      </c>
    </row>
    <row r="20" spans="2:3" x14ac:dyDescent="0.25">
      <c r="B20" s="50" t="s">
        <v>970</v>
      </c>
      <c r="C20" s="91">
        <f>+C17/C19</f>
        <v>34.595690590796139</v>
      </c>
    </row>
    <row r="22" spans="2:3" x14ac:dyDescent="0.25">
      <c r="B22" s="140" t="s">
        <v>969</v>
      </c>
      <c r="C22" s="141">
        <f>+C20/C9-1</f>
        <v>1.7899750476448499</v>
      </c>
    </row>
    <row r="23" spans="2:3" x14ac:dyDescent="0.25">
      <c r="B23" s="142" t="s">
        <v>971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4186E-ECC7-4520-818D-701F523DD77C}">
  <dimension ref="B1:T53"/>
  <sheetViews>
    <sheetView topLeftCell="B1" workbookViewId="0">
      <pane ySplit="1" topLeftCell="A11" activePane="bottomLeft" state="frozen"/>
      <selection pane="bottomLeft" activeCell="K109" sqref="K109"/>
    </sheetView>
  </sheetViews>
  <sheetFormatPr defaultColWidth="8.85546875" defaultRowHeight="15" x14ac:dyDescent="0.25"/>
  <cols>
    <col min="1" max="1" width="8.85546875" style="50"/>
    <col min="2" max="2" width="17.42578125" style="50" bestFit="1" customWidth="1"/>
    <col min="3" max="3" width="4.7109375" style="50" bestFit="1" customWidth="1"/>
    <col min="4" max="4" width="5.28515625" style="50" bestFit="1" customWidth="1"/>
    <col min="5" max="8" width="10.140625" style="50" bestFit="1" customWidth="1"/>
    <col min="9" max="12" width="11.140625" style="50" bestFit="1" customWidth="1"/>
    <col min="13" max="13" width="10.140625" style="50" bestFit="1" customWidth="1"/>
    <col min="14" max="16" width="11.140625" style="50" bestFit="1" customWidth="1"/>
    <col min="17" max="18" width="9.85546875" style="50" bestFit="1" customWidth="1"/>
    <col min="19" max="16384" width="8.85546875" style="50"/>
  </cols>
  <sheetData>
    <row r="1" spans="2:20" x14ac:dyDescent="0.25">
      <c r="E1" s="52">
        <v>44805</v>
      </c>
      <c r="F1" s="52">
        <v>44835</v>
      </c>
      <c r="G1" s="52">
        <v>44866</v>
      </c>
      <c r="H1" s="52">
        <v>44896</v>
      </c>
      <c r="I1" s="52">
        <v>44927</v>
      </c>
      <c r="J1" s="52">
        <v>44958</v>
      </c>
      <c r="K1" s="52">
        <v>44986</v>
      </c>
      <c r="L1" s="52">
        <v>45017</v>
      </c>
      <c r="M1" s="52">
        <v>45047</v>
      </c>
      <c r="N1" s="52">
        <v>45078</v>
      </c>
      <c r="O1" s="52">
        <v>45108</v>
      </c>
      <c r="P1" s="52">
        <v>45139</v>
      </c>
      <c r="Q1" s="52">
        <v>45170</v>
      </c>
      <c r="R1" s="52">
        <v>45200</v>
      </c>
      <c r="S1" s="52">
        <v>45231</v>
      </c>
      <c r="T1" s="52">
        <v>45261</v>
      </c>
    </row>
    <row r="2" spans="2:20" x14ac:dyDescent="0.25">
      <c r="C2" s="50" t="s">
        <v>128</v>
      </c>
      <c r="D2" s="50" t="s">
        <v>129</v>
      </c>
      <c r="E2" s="52"/>
      <c r="F2" s="52"/>
      <c r="G2" s="52"/>
      <c r="H2" s="52"/>
      <c r="I2" s="52"/>
      <c r="J2" s="52"/>
      <c r="K2" s="52"/>
      <c r="L2" s="52"/>
      <c r="M2" s="52"/>
      <c r="N2" s="52"/>
      <c r="O2" s="52"/>
      <c r="P2" s="52"/>
      <c r="Q2" s="52"/>
      <c r="R2" s="52"/>
      <c r="S2" s="52"/>
      <c r="T2" s="52"/>
    </row>
    <row r="3" spans="2:20" x14ac:dyDescent="0.25">
      <c r="B3" s="50" t="s">
        <v>130</v>
      </c>
    </row>
    <row r="4" spans="2:20" x14ac:dyDescent="0.25">
      <c r="B4" s="50" t="s">
        <v>131</v>
      </c>
      <c r="C4" s="50" t="s">
        <v>132</v>
      </c>
      <c r="D4" s="50" t="s">
        <v>133</v>
      </c>
      <c r="E4" s="50">
        <v>21.23</v>
      </c>
      <c r="F4" s="50">
        <v>18.989999999999998</v>
      </c>
      <c r="G4" s="50">
        <v>20.36</v>
      </c>
      <c r="H4" s="50">
        <v>19.71</v>
      </c>
      <c r="I4" s="50">
        <v>18.43</v>
      </c>
      <c r="J4" s="50">
        <v>18.760000000000002</v>
      </c>
      <c r="K4" s="50">
        <v>22.26</v>
      </c>
      <c r="L4" s="50">
        <v>25.11</v>
      </c>
      <c r="M4" s="50">
        <v>26.52</v>
      </c>
      <c r="N4" s="50">
        <v>23</v>
      </c>
      <c r="O4" s="50">
        <v>21.38</v>
      </c>
      <c r="P4" s="50">
        <v>18.3</v>
      </c>
      <c r="Q4" s="50">
        <v>18.7</v>
      </c>
      <c r="R4" s="50">
        <v>22.9</v>
      </c>
    </row>
    <row r="5" spans="2:20" x14ac:dyDescent="0.25">
      <c r="B5" s="50" t="s">
        <v>134</v>
      </c>
      <c r="C5" s="50" t="s">
        <v>132</v>
      </c>
      <c r="D5" s="50" t="s">
        <v>133</v>
      </c>
      <c r="E5" s="50">
        <v>5.56</v>
      </c>
      <c r="F5" s="50">
        <v>5.19</v>
      </c>
      <c r="G5" s="50">
        <v>4.99</v>
      </c>
      <c r="H5" s="50">
        <v>6.66</v>
      </c>
      <c r="I5" s="50">
        <v>6.5</v>
      </c>
      <c r="J5" s="50">
        <v>5.7</v>
      </c>
      <c r="K5" s="50">
        <v>6.5</v>
      </c>
      <c r="L5" s="50">
        <v>6.3</v>
      </c>
      <c r="M5" s="50">
        <v>6</v>
      </c>
      <c r="N5" s="50">
        <v>6.1</v>
      </c>
      <c r="O5" s="50">
        <v>6.2</v>
      </c>
      <c r="P5" s="50">
        <v>6</v>
      </c>
      <c r="Q5" s="50">
        <v>5.6</v>
      </c>
      <c r="R5" s="50">
        <v>3.7</v>
      </c>
    </row>
    <row r="6" spans="2:20" x14ac:dyDescent="0.25">
      <c r="B6" s="50" t="s">
        <v>135</v>
      </c>
      <c r="C6" s="50" t="s">
        <v>136</v>
      </c>
      <c r="D6" s="50" t="s">
        <v>133</v>
      </c>
      <c r="E6" s="50">
        <v>285.08</v>
      </c>
      <c r="F6" s="50">
        <v>280.27</v>
      </c>
      <c r="G6" s="50">
        <v>264.88</v>
      </c>
      <c r="H6" s="50">
        <v>271.31</v>
      </c>
      <c r="I6" s="50">
        <v>256.83999999999997</v>
      </c>
      <c r="J6" s="50">
        <v>259.10000000000002</v>
      </c>
      <c r="K6" s="50">
        <v>274.38</v>
      </c>
      <c r="L6" s="50">
        <v>255.17</v>
      </c>
      <c r="M6" s="50">
        <v>269.41000000000003</v>
      </c>
      <c r="N6" s="50">
        <v>257.14999999999998</v>
      </c>
      <c r="O6" s="50">
        <v>265</v>
      </c>
      <c r="P6" s="50">
        <v>275.89999999999998</v>
      </c>
      <c r="Q6" s="50">
        <v>285.10000000000002</v>
      </c>
      <c r="R6" s="50">
        <v>268.10000000000002</v>
      </c>
    </row>
    <row r="7" spans="2:20" x14ac:dyDescent="0.25">
      <c r="B7" s="50" t="s">
        <v>182</v>
      </c>
      <c r="E7" s="50">
        <v>34</v>
      </c>
      <c r="O7" s="50">
        <v>29.7</v>
      </c>
      <c r="P7" s="50">
        <v>35.700000000000003</v>
      </c>
      <c r="Q7" s="50">
        <v>34.4</v>
      </c>
      <c r="R7" s="50">
        <v>36.700000000000003</v>
      </c>
    </row>
    <row r="9" spans="2:20" x14ac:dyDescent="0.25">
      <c r="B9" s="50" t="s">
        <v>137</v>
      </c>
    </row>
    <row r="10" spans="2:20" x14ac:dyDescent="0.25">
      <c r="B10" s="50" t="s">
        <v>138</v>
      </c>
      <c r="D10" s="50" t="s">
        <v>139</v>
      </c>
      <c r="E10" s="50">
        <v>42.6</v>
      </c>
      <c r="F10" s="50">
        <v>38.4</v>
      </c>
      <c r="G10" s="50">
        <v>42.1</v>
      </c>
      <c r="H10" s="50">
        <v>44.8</v>
      </c>
      <c r="I10" s="50">
        <v>40.799999999999997</v>
      </c>
      <c r="J10" s="50">
        <v>42.3</v>
      </c>
      <c r="K10" s="50">
        <v>51.4</v>
      </c>
      <c r="L10" s="50">
        <v>34.700000000000003</v>
      </c>
      <c r="M10" s="50">
        <v>46.2</v>
      </c>
      <c r="N10" s="50">
        <v>47.3</v>
      </c>
      <c r="O10" s="50">
        <v>44.6</v>
      </c>
      <c r="P10" s="50">
        <v>49.3</v>
      </c>
      <c r="Q10" s="50">
        <v>45.7</v>
      </c>
      <c r="R10" s="50">
        <v>49.5</v>
      </c>
      <c r="S10" s="91">
        <v>57</v>
      </c>
    </row>
    <row r="11" spans="2:20" x14ac:dyDescent="0.25">
      <c r="B11" s="50" t="s">
        <v>140</v>
      </c>
      <c r="D11" s="50" t="s">
        <v>139</v>
      </c>
      <c r="E11" s="50">
        <v>51.2</v>
      </c>
      <c r="F11" s="50">
        <v>47.9</v>
      </c>
      <c r="G11" s="50">
        <v>49</v>
      </c>
      <c r="H11" s="50">
        <v>51.6</v>
      </c>
      <c r="I11" s="50">
        <v>50.2</v>
      </c>
      <c r="J11" s="50">
        <v>48.7</v>
      </c>
      <c r="K11" s="50">
        <v>55.1</v>
      </c>
      <c r="L11" s="50">
        <v>49.6</v>
      </c>
      <c r="M11" s="50">
        <v>53.5</v>
      </c>
      <c r="N11" s="50">
        <v>56.7</v>
      </c>
      <c r="O11" s="50">
        <v>59.5</v>
      </c>
      <c r="P11" s="50">
        <v>57.6</v>
      </c>
      <c r="Q11" s="50">
        <v>54.7</v>
      </c>
      <c r="R11" s="50">
        <v>56.2</v>
      </c>
      <c r="S11" s="50">
        <v>59.4</v>
      </c>
    </row>
    <row r="12" spans="2:20" x14ac:dyDescent="0.25">
      <c r="B12" s="50" t="s">
        <v>141</v>
      </c>
      <c r="D12" s="50" t="s">
        <v>139</v>
      </c>
      <c r="E12" s="50">
        <v>44.6</v>
      </c>
      <c r="F12" s="50">
        <v>32.9</v>
      </c>
      <c r="G12" s="50">
        <v>30.3</v>
      </c>
      <c r="H12" s="50">
        <v>32.9</v>
      </c>
      <c r="I12" s="50">
        <v>36.5</v>
      </c>
      <c r="J12" s="50">
        <v>37.799999999999997</v>
      </c>
      <c r="K12" s="50">
        <v>45.8</v>
      </c>
      <c r="L12" s="50">
        <v>26.4</v>
      </c>
      <c r="M12" s="50">
        <v>47.1</v>
      </c>
      <c r="N12" s="50">
        <v>44.4</v>
      </c>
      <c r="O12" s="50">
        <v>43.2</v>
      </c>
      <c r="P12" s="50">
        <v>47</v>
      </c>
      <c r="Q12" s="50">
        <v>44.3</v>
      </c>
      <c r="R12" s="50">
        <v>50</v>
      </c>
      <c r="S12" s="50">
        <v>44.3</v>
      </c>
    </row>
    <row r="13" spans="2:20" x14ac:dyDescent="0.25">
      <c r="B13" s="50" t="s">
        <v>142</v>
      </c>
      <c r="D13" s="50" t="s">
        <v>139</v>
      </c>
      <c r="E13" s="50">
        <v>90.9</v>
      </c>
      <c r="F13" s="50">
        <v>86.6</v>
      </c>
      <c r="G13" s="50">
        <v>81</v>
      </c>
      <c r="H13" s="50">
        <v>80.2</v>
      </c>
      <c r="I13" s="50">
        <v>87.4</v>
      </c>
      <c r="J13" s="50">
        <v>84.1</v>
      </c>
      <c r="K13" s="50">
        <v>90.9</v>
      </c>
      <c r="L13" s="50">
        <v>80.099999999999994</v>
      </c>
      <c r="M13" s="50">
        <v>88</v>
      </c>
      <c r="N13" s="50">
        <v>90.1</v>
      </c>
      <c r="O13" s="50">
        <v>91.7</v>
      </c>
      <c r="P13" s="50">
        <v>90.2</v>
      </c>
      <c r="Q13" s="50">
        <v>90.3</v>
      </c>
      <c r="R13" s="50">
        <v>89.2</v>
      </c>
    </row>
    <row r="15" spans="2:20" x14ac:dyDescent="0.25">
      <c r="B15" s="50" t="s">
        <v>143</v>
      </c>
    </row>
    <row r="16" spans="2:20" x14ac:dyDescent="0.25">
      <c r="B16" s="50" t="s">
        <v>388</v>
      </c>
      <c r="D16" s="50" t="s">
        <v>139</v>
      </c>
      <c r="E16" s="50">
        <v>59.1</v>
      </c>
      <c r="F16" s="50">
        <v>59</v>
      </c>
      <c r="G16" s="50">
        <v>59.1</v>
      </c>
      <c r="H16" s="50">
        <v>59.1</v>
      </c>
      <c r="I16" s="50">
        <v>58.7</v>
      </c>
      <c r="J16" s="50">
        <v>58</v>
      </c>
      <c r="K16" s="50">
        <v>57.8</v>
      </c>
      <c r="L16" s="50">
        <v>58.4</v>
      </c>
      <c r="M16" s="50">
        <v>58.3</v>
      </c>
      <c r="N16" s="50">
        <v>58.3</v>
      </c>
      <c r="O16" s="50">
        <v>58.7</v>
      </c>
      <c r="P16" s="50">
        <v>58.7</v>
      </c>
      <c r="Q16" s="50">
        <v>58.2</v>
      </c>
      <c r="R16" s="50">
        <v>58.2</v>
      </c>
      <c r="S16" s="50">
        <v>57.5</v>
      </c>
    </row>
    <row r="17" spans="2:20" x14ac:dyDescent="0.25">
      <c r="B17" s="50" t="s">
        <v>144</v>
      </c>
      <c r="D17" s="50" t="s">
        <v>139</v>
      </c>
      <c r="E17" s="50">
        <v>94.1</v>
      </c>
      <c r="F17" s="50">
        <v>94.5</v>
      </c>
      <c r="G17" s="50">
        <v>94.9</v>
      </c>
      <c r="H17" s="50">
        <v>94.7</v>
      </c>
      <c r="I17" s="50">
        <v>94.3</v>
      </c>
      <c r="J17" s="50">
        <v>93.8</v>
      </c>
      <c r="K17" s="50">
        <v>91.6</v>
      </c>
      <c r="L17" s="50">
        <v>92.9</v>
      </c>
      <c r="M17" s="50">
        <v>92.9</v>
      </c>
      <c r="N17" s="50">
        <v>92.9</v>
      </c>
      <c r="O17" s="50">
        <v>93.9</v>
      </c>
    </row>
    <row r="18" spans="2:20" x14ac:dyDescent="0.25">
      <c r="B18" s="50" t="s">
        <v>389</v>
      </c>
      <c r="D18" s="50" t="s">
        <v>139</v>
      </c>
      <c r="E18" s="50">
        <v>161</v>
      </c>
      <c r="F18" s="50">
        <v>165.3</v>
      </c>
      <c r="G18" s="50">
        <v>164.8</v>
      </c>
      <c r="H18" s="50">
        <v>165.6</v>
      </c>
      <c r="I18" s="50">
        <v>166.3</v>
      </c>
      <c r="J18" s="50">
        <v>167.3</v>
      </c>
      <c r="K18" s="50">
        <v>168</v>
      </c>
      <c r="L18" s="50">
        <v>169</v>
      </c>
      <c r="M18" s="50">
        <v>170.1</v>
      </c>
      <c r="N18" s="50">
        <v>170.5</v>
      </c>
      <c r="O18" s="50">
        <v>171</v>
      </c>
      <c r="P18" s="50">
        <v>171.6</v>
      </c>
      <c r="Q18" s="50">
        <v>172</v>
      </c>
      <c r="R18" s="50">
        <v>173.1</v>
      </c>
      <c r="S18" s="50">
        <v>175</v>
      </c>
    </row>
    <row r="19" spans="2:20" x14ac:dyDescent="0.25">
      <c r="B19" s="50" t="s">
        <v>390</v>
      </c>
      <c r="D19" s="50" t="s">
        <v>139</v>
      </c>
      <c r="E19" s="50">
        <v>78.7</v>
      </c>
      <c r="F19" s="50">
        <v>80.599999999999994</v>
      </c>
      <c r="P19" s="50">
        <v>83.2</v>
      </c>
      <c r="Q19" s="50">
        <v>82.7</v>
      </c>
      <c r="R19" s="50">
        <v>83.2</v>
      </c>
      <c r="S19" s="50">
        <v>83.2</v>
      </c>
    </row>
    <row r="21" spans="2:20" x14ac:dyDescent="0.25">
      <c r="B21" s="50" t="s">
        <v>172</v>
      </c>
    </row>
    <row r="22" spans="2:20" x14ac:dyDescent="0.25">
      <c r="B22" s="50" t="s">
        <v>173</v>
      </c>
      <c r="C22" s="50" t="s">
        <v>147</v>
      </c>
      <c r="D22" s="57" t="s">
        <v>176</v>
      </c>
      <c r="E22" s="50">
        <v>243</v>
      </c>
      <c r="N22" s="50">
        <v>224</v>
      </c>
      <c r="O22" s="50">
        <v>231</v>
      </c>
      <c r="P22" s="50">
        <v>356</v>
      </c>
      <c r="Q22" s="50">
        <v>219</v>
      </c>
      <c r="R22" s="50">
        <v>258</v>
      </c>
    </row>
    <row r="23" spans="2:20" x14ac:dyDescent="0.25">
      <c r="B23" s="50" t="s">
        <v>174</v>
      </c>
      <c r="C23" s="50" t="s">
        <v>147</v>
      </c>
      <c r="D23" s="57" t="s">
        <v>176</v>
      </c>
      <c r="E23" s="50">
        <v>88</v>
      </c>
      <c r="N23" s="50">
        <v>108</v>
      </c>
      <c r="O23" s="50">
        <v>71</v>
      </c>
      <c r="P23" s="50">
        <v>95</v>
      </c>
      <c r="Q23" s="50">
        <v>68</v>
      </c>
      <c r="R23" s="50">
        <v>55</v>
      </c>
    </row>
    <row r="24" spans="2:20" x14ac:dyDescent="0.25">
      <c r="B24" s="50" t="s">
        <v>175</v>
      </c>
      <c r="C24" s="50" t="s">
        <v>147</v>
      </c>
      <c r="D24" s="57" t="s">
        <v>176</v>
      </c>
      <c r="E24" s="50">
        <f>+SUM(E22:E23)</f>
        <v>331</v>
      </c>
      <c r="N24" s="50">
        <f>+SUM(N22:N23)</f>
        <v>332</v>
      </c>
      <c r="O24" s="50">
        <f>+SUM(O22:O23)</f>
        <v>302</v>
      </c>
      <c r="P24" s="50">
        <f>+SUM(P22:P23)</f>
        <v>451</v>
      </c>
      <c r="Q24" s="50">
        <f>+SUM(Q22:Q23)</f>
        <v>287</v>
      </c>
      <c r="R24" s="50">
        <f>+SUM(R22:R23)</f>
        <v>313</v>
      </c>
    </row>
    <row r="25" spans="2:20" x14ac:dyDescent="0.25">
      <c r="D25" s="57"/>
    </row>
    <row r="26" spans="2:20" x14ac:dyDescent="0.25">
      <c r="B26" s="50" t="s">
        <v>177</v>
      </c>
      <c r="D26" s="57"/>
    </row>
    <row r="27" spans="2:20" x14ac:dyDescent="0.25">
      <c r="B27" s="50" t="s">
        <v>180</v>
      </c>
      <c r="C27" s="50" t="s">
        <v>391</v>
      </c>
      <c r="D27" s="57" t="s">
        <v>392</v>
      </c>
      <c r="E27" s="53"/>
      <c r="F27" s="53"/>
      <c r="G27" s="53"/>
      <c r="H27" s="53"/>
      <c r="I27" s="53"/>
      <c r="J27" s="53"/>
      <c r="K27" s="53"/>
      <c r="L27" s="53"/>
      <c r="M27" s="53"/>
      <c r="N27" s="53"/>
      <c r="O27" s="53"/>
      <c r="P27" s="53">
        <v>12545179.66</v>
      </c>
      <c r="Q27" s="53">
        <v>12740334.5</v>
      </c>
      <c r="R27" s="53">
        <v>13052850.300000001</v>
      </c>
      <c r="S27" s="53"/>
      <c r="T27" s="53"/>
    </row>
    <row r="28" spans="2:20" x14ac:dyDescent="0.25">
      <c r="B28" s="50" t="s">
        <v>181</v>
      </c>
      <c r="C28" s="50" t="s">
        <v>391</v>
      </c>
      <c r="D28" s="57" t="s">
        <v>392</v>
      </c>
      <c r="E28" s="53"/>
      <c r="F28" s="53"/>
      <c r="G28" s="53"/>
      <c r="H28" s="53"/>
      <c r="I28" s="53"/>
      <c r="J28" s="53"/>
      <c r="K28" s="53"/>
      <c r="L28" s="53"/>
      <c r="M28" s="53"/>
      <c r="N28" s="53"/>
      <c r="O28" s="53"/>
      <c r="P28" s="53">
        <f>925133.95+323087.1</f>
        <v>1248221.0499999998</v>
      </c>
      <c r="Q28" s="53">
        <f>926344.7+312396</f>
        <v>1238740.7</v>
      </c>
      <c r="R28" s="53">
        <f>907767.8+312388.5</f>
        <v>1220156.3</v>
      </c>
      <c r="S28" s="53"/>
      <c r="T28" s="53"/>
    </row>
    <row r="29" spans="2:20" x14ac:dyDescent="0.25">
      <c r="B29" s="50" t="s">
        <v>178</v>
      </c>
      <c r="C29" s="50" t="s">
        <v>391</v>
      </c>
      <c r="D29" s="57" t="s">
        <v>392</v>
      </c>
      <c r="E29" s="53"/>
      <c r="F29" s="53"/>
      <c r="G29" s="53"/>
      <c r="H29" s="53"/>
      <c r="I29" s="53"/>
      <c r="J29" s="53"/>
      <c r="K29" s="53"/>
      <c r="L29" s="53"/>
      <c r="M29" s="53"/>
      <c r="N29" s="53"/>
      <c r="O29" s="53"/>
      <c r="P29" s="53">
        <f>+SUM(P27:P28)</f>
        <v>13793400.710000001</v>
      </c>
      <c r="Q29" s="53">
        <f>+SUM(Q27:Q28)</f>
        <v>13979075.199999999</v>
      </c>
      <c r="R29" s="53">
        <f>+SUM(R27:R28)</f>
        <v>14273006.600000001</v>
      </c>
      <c r="S29" s="53"/>
      <c r="T29" s="53"/>
    </row>
    <row r="30" spans="2:20" x14ac:dyDescent="0.25">
      <c r="B30" s="50" t="s">
        <v>179</v>
      </c>
      <c r="C30" s="50" t="s">
        <v>391</v>
      </c>
      <c r="D30" s="57" t="s">
        <v>392</v>
      </c>
      <c r="E30" s="53"/>
      <c r="F30" s="53"/>
      <c r="G30" s="53"/>
      <c r="H30" s="53">
        <v>143098.21</v>
      </c>
      <c r="I30" s="53"/>
      <c r="J30" s="53"/>
      <c r="K30" s="53"/>
      <c r="L30" s="53"/>
      <c r="M30" s="53"/>
      <c r="N30" s="53"/>
      <c r="O30" s="53">
        <v>143035.07999999999</v>
      </c>
      <c r="P30" s="53">
        <v>144470.32</v>
      </c>
      <c r="Q30" s="53">
        <v>144301.42000000001</v>
      </c>
      <c r="R30" s="53">
        <v>143991.82999999999</v>
      </c>
      <c r="S30" s="53"/>
      <c r="T30" s="53"/>
    </row>
    <row r="31" spans="2:20" x14ac:dyDescent="0.25">
      <c r="B31" s="50" t="s">
        <v>393</v>
      </c>
      <c r="C31" s="50" t="s">
        <v>391</v>
      </c>
      <c r="D31" s="57" t="s">
        <v>392</v>
      </c>
      <c r="E31" s="53"/>
      <c r="F31" s="53"/>
      <c r="G31" s="53"/>
      <c r="H31" s="53"/>
      <c r="I31" s="53"/>
      <c r="J31" s="53"/>
      <c r="K31" s="53"/>
      <c r="L31" s="53"/>
      <c r="M31" s="53"/>
      <c r="N31" s="53"/>
      <c r="O31" s="53"/>
      <c r="P31" s="53">
        <v>214404.49</v>
      </c>
      <c r="Q31" s="53">
        <v>205524.2</v>
      </c>
      <c r="R31" s="53">
        <v>202522.1</v>
      </c>
      <c r="S31" s="53"/>
      <c r="T31" s="53"/>
    </row>
    <row r="33" spans="2:20" x14ac:dyDescent="0.25">
      <c r="B33" s="50" t="s">
        <v>145</v>
      </c>
    </row>
    <row r="34" spans="2:20" x14ac:dyDescent="0.25">
      <c r="B34" s="50" t="s">
        <v>146</v>
      </c>
      <c r="D34" s="50" t="s">
        <v>147</v>
      </c>
      <c r="E34" s="53">
        <v>7728547</v>
      </c>
      <c r="F34" s="53">
        <v>7315376</v>
      </c>
      <c r="G34" s="53">
        <v>7454271</v>
      </c>
      <c r="H34" s="53">
        <v>7784273</v>
      </c>
      <c r="I34" s="53">
        <v>7275144</v>
      </c>
      <c r="J34" s="53">
        <v>6657135</v>
      </c>
      <c r="K34" s="53">
        <v>8617013</v>
      </c>
      <c r="L34" s="53">
        <v>8214731</v>
      </c>
      <c r="M34" s="53">
        <v>8924678</v>
      </c>
      <c r="N34" s="53">
        <v>9831765</v>
      </c>
      <c r="O34" s="53">
        <v>9130133</v>
      </c>
      <c r="P34" s="53">
        <v>11534692</v>
      </c>
      <c r="Q34" s="53">
        <v>8161762</v>
      </c>
      <c r="R34" s="53">
        <v>7539866</v>
      </c>
      <c r="S34" s="53">
        <v>7549996</v>
      </c>
      <c r="T34" s="53"/>
    </row>
    <row r="36" spans="2:20" x14ac:dyDescent="0.25">
      <c r="B36" s="50" t="s">
        <v>148</v>
      </c>
    </row>
    <row r="37" spans="2:20" x14ac:dyDescent="0.25">
      <c r="B37" s="50" t="s">
        <v>149</v>
      </c>
      <c r="D37" s="50" t="s">
        <v>150</v>
      </c>
      <c r="E37" s="53">
        <v>1199</v>
      </c>
      <c r="F37" s="53">
        <v>1170</v>
      </c>
      <c r="G37" s="53">
        <v>1161</v>
      </c>
      <c r="H37" s="53">
        <v>1136</v>
      </c>
      <c r="I37" s="53">
        <v>1127</v>
      </c>
      <c r="J37" s="54">
        <v>1057.5</v>
      </c>
      <c r="K37" s="54">
        <v>1211.98</v>
      </c>
      <c r="L37" s="54">
        <v>1120.58</v>
      </c>
      <c r="M37" s="54">
        <v>1245.83</v>
      </c>
      <c r="N37" s="54">
        <v>1215.8599999999999</v>
      </c>
      <c r="O37" s="54">
        <v>1314</v>
      </c>
      <c r="P37" s="54">
        <v>1309</v>
      </c>
      <c r="Q37" s="53">
        <v>1265</v>
      </c>
      <c r="R37" s="53">
        <v>1285</v>
      </c>
      <c r="S37" s="53"/>
      <c r="T37" s="53"/>
    </row>
    <row r="39" spans="2:20" x14ac:dyDescent="0.25">
      <c r="B39" s="50" t="s">
        <v>151</v>
      </c>
      <c r="C39" s="50" t="s">
        <v>147</v>
      </c>
      <c r="D39" s="57" t="s">
        <v>176</v>
      </c>
    </row>
    <row r="40" spans="2:20" x14ac:dyDescent="0.25">
      <c r="B40" s="50" t="s">
        <v>152</v>
      </c>
      <c r="E40" s="50">
        <v>85</v>
      </c>
      <c r="F40" s="50">
        <v>87</v>
      </c>
      <c r="G40" s="50">
        <v>94</v>
      </c>
      <c r="H40" s="50">
        <v>101</v>
      </c>
      <c r="I40" s="50">
        <v>98</v>
      </c>
      <c r="J40" s="50">
        <v>89</v>
      </c>
      <c r="K40" s="50">
        <v>99</v>
      </c>
      <c r="L40" s="50">
        <v>106</v>
      </c>
      <c r="M40" s="50">
        <v>103</v>
      </c>
      <c r="N40" s="50">
        <v>113</v>
      </c>
      <c r="O40" s="50">
        <v>110</v>
      </c>
      <c r="P40" s="50">
        <v>108</v>
      </c>
      <c r="Q40" s="50">
        <v>104</v>
      </c>
      <c r="R40" s="50">
        <v>104</v>
      </c>
    </row>
    <row r="41" spans="2:20" x14ac:dyDescent="0.25">
      <c r="B41" s="50" t="s">
        <v>153</v>
      </c>
      <c r="E41" s="50">
        <v>135</v>
      </c>
      <c r="F41" s="50">
        <v>121</v>
      </c>
      <c r="G41" s="50">
        <v>121</v>
      </c>
      <c r="H41" s="50">
        <v>118</v>
      </c>
      <c r="I41" s="50">
        <v>118</v>
      </c>
      <c r="J41" s="50">
        <v>115</v>
      </c>
      <c r="K41" s="50">
        <v>128</v>
      </c>
      <c r="L41" s="50">
        <v>125</v>
      </c>
      <c r="M41" s="50">
        <v>127</v>
      </c>
      <c r="N41" s="50">
        <v>140</v>
      </c>
      <c r="O41" s="50">
        <v>143</v>
      </c>
      <c r="P41" s="50">
        <v>174</v>
      </c>
      <c r="Q41" s="50">
        <v>132</v>
      </c>
      <c r="R41" s="50">
        <v>140</v>
      </c>
    </row>
    <row r="43" spans="2:20" x14ac:dyDescent="0.25">
      <c r="B43" s="50" t="s">
        <v>154</v>
      </c>
    </row>
    <row r="44" spans="2:20" x14ac:dyDescent="0.25">
      <c r="B44" s="50" t="s">
        <v>155</v>
      </c>
      <c r="D44" s="50" t="s">
        <v>156</v>
      </c>
      <c r="E44" s="76">
        <v>29802</v>
      </c>
      <c r="F44" s="76">
        <v>42026</v>
      </c>
      <c r="G44" s="76">
        <v>59759</v>
      </c>
      <c r="H44" s="76">
        <v>91961</v>
      </c>
      <c r="I44" s="76">
        <v>102545</v>
      </c>
      <c r="J44" s="76">
        <v>107639</v>
      </c>
      <c r="K44" s="76">
        <v>125495</v>
      </c>
      <c r="L44" s="76">
        <v>105498</v>
      </c>
      <c r="M44" s="76">
        <v>83309</v>
      </c>
      <c r="N44" s="76">
        <v>100388</v>
      </c>
      <c r="O44" s="76">
        <v>143039</v>
      </c>
      <c r="P44" s="76">
        <v>136405</v>
      </c>
      <c r="Q44" s="76">
        <v>111938</v>
      </c>
      <c r="R44" s="76">
        <v>109199</v>
      </c>
      <c r="S44" s="76">
        <v>151496</v>
      </c>
      <c r="T44" s="76">
        <v>210352</v>
      </c>
    </row>
    <row r="45" spans="2:20" x14ac:dyDescent="0.25">
      <c r="B45" s="50" t="s">
        <v>157</v>
      </c>
      <c r="C45" s="50" t="s">
        <v>158</v>
      </c>
      <c r="D45" s="50" t="s">
        <v>133</v>
      </c>
      <c r="E45" s="50">
        <v>40.5</v>
      </c>
      <c r="F45" s="50">
        <v>54.9</v>
      </c>
      <c r="G45" s="50">
        <v>81</v>
      </c>
      <c r="H45" s="50">
        <v>127.4</v>
      </c>
      <c r="I45" s="50">
        <v>161.80000000000001</v>
      </c>
      <c r="J45" s="50">
        <v>169.9</v>
      </c>
      <c r="K45" s="50">
        <v>198.1</v>
      </c>
      <c r="L45" s="50">
        <v>166.5</v>
      </c>
      <c r="M45" s="50">
        <v>131.5</v>
      </c>
      <c r="N45" s="50">
        <v>122.9</v>
      </c>
      <c r="O45" s="50">
        <v>219</v>
      </c>
      <c r="P45" s="50">
        <v>210.5</v>
      </c>
      <c r="Q45" s="50">
        <v>152</v>
      </c>
      <c r="R45" s="50">
        <v>136.69999999999999</v>
      </c>
      <c r="S45" s="50">
        <v>205</v>
      </c>
      <c r="T45" s="50">
        <v>269.3</v>
      </c>
    </row>
    <row r="48" spans="2:20" x14ac:dyDescent="0.25">
      <c r="B48" s="50" t="s">
        <v>159</v>
      </c>
      <c r="C48" s="50" t="s">
        <v>158</v>
      </c>
      <c r="D48" s="50" t="s">
        <v>133</v>
      </c>
      <c r="E48" s="50">
        <v>359.3</v>
      </c>
      <c r="F48" s="50">
        <v>355.4</v>
      </c>
      <c r="G48" s="50">
        <v>384.6</v>
      </c>
      <c r="H48" s="50">
        <v>467.6</v>
      </c>
      <c r="I48" s="50">
        <v>437.5</v>
      </c>
      <c r="J48" s="50">
        <v>407.4</v>
      </c>
      <c r="K48" s="50">
        <v>568.29999999999995</v>
      </c>
      <c r="L48" s="50">
        <v>454</v>
      </c>
      <c r="M48" s="50">
        <v>479.7</v>
      </c>
      <c r="N48" s="50">
        <v>475.7</v>
      </c>
      <c r="O48" s="50">
        <v>541</v>
      </c>
      <c r="P48" s="50">
        <v>499.2</v>
      </c>
      <c r="Q48" s="50">
        <v>482</v>
      </c>
      <c r="R48" s="50">
        <v>517.4</v>
      </c>
      <c r="S48" s="50">
        <v>537</v>
      </c>
      <c r="T48" s="50">
        <v>569.70000000000005</v>
      </c>
    </row>
    <row r="50" spans="2:20" x14ac:dyDescent="0.25">
      <c r="B50" s="50" t="s">
        <v>160</v>
      </c>
      <c r="C50" s="50" t="s">
        <v>158</v>
      </c>
      <c r="D50" s="50" t="s">
        <v>133</v>
      </c>
    </row>
    <row r="51" spans="2:20" x14ac:dyDescent="0.25">
      <c r="B51" s="50" t="s">
        <v>161</v>
      </c>
      <c r="E51" s="53">
        <v>26403</v>
      </c>
      <c r="F51" s="53">
        <v>26018</v>
      </c>
      <c r="G51" s="53">
        <v>26248</v>
      </c>
      <c r="H51" s="53">
        <v>26147</v>
      </c>
      <c r="I51" s="53">
        <v>26888</v>
      </c>
      <c r="J51" s="53">
        <v>25941</v>
      </c>
      <c r="K51" s="53">
        <v>25616</v>
      </c>
      <c r="L51" s="53">
        <v>25652</v>
      </c>
      <c r="M51" s="53">
        <v>25697</v>
      </c>
      <c r="N51" s="53">
        <v>25736</v>
      </c>
      <c r="O51" s="53">
        <v>26052</v>
      </c>
      <c r="P51" s="53">
        <v>26226</v>
      </c>
      <c r="Q51" s="53">
        <v>25995</v>
      </c>
      <c r="R51" s="53">
        <v>25970</v>
      </c>
      <c r="S51" s="53"/>
      <c r="T51" s="53"/>
    </row>
    <row r="52" spans="2:20" x14ac:dyDescent="0.25">
      <c r="B52" s="50" t="s">
        <v>127</v>
      </c>
      <c r="E52" s="53">
        <v>56663</v>
      </c>
      <c r="F52" s="53">
        <v>61017</v>
      </c>
      <c r="G52" s="53">
        <v>56931</v>
      </c>
      <c r="H52" s="53">
        <v>57012</v>
      </c>
      <c r="I52" s="53">
        <v>56896</v>
      </c>
      <c r="J52" s="53">
        <v>61366</v>
      </c>
      <c r="K52" s="53">
        <v>61770</v>
      </c>
      <c r="L52" s="53">
        <v>61671</v>
      </c>
      <c r="M52" s="53">
        <v>61754</v>
      </c>
      <c r="N52" s="53">
        <v>61261</v>
      </c>
      <c r="O52" s="53">
        <v>61513</v>
      </c>
      <c r="P52" s="53">
        <v>61756</v>
      </c>
      <c r="Q52" s="53">
        <v>62052</v>
      </c>
      <c r="R52" s="53">
        <v>61941</v>
      </c>
      <c r="S52" s="53"/>
      <c r="T52" s="53"/>
    </row>
    <row r="53" spans="2:20" x14ac:dyDescent="0.25">
      <c r="B53" s="50" t="s">
        <v>162</v>
      </c>
      <c r="E53" s="55">
        <f>+E52/E51</f>
        <v>2.1460818846343219</v>
      </c>
      <c r="F53" s="55">
        <f t="shared" ref="F53:R53" si="0">+F52/F51</f>
        <v>2.3451841033130911</v>
      </c>
      <c r="G53" s="55">
        <f t="shared" si="0"/>
        <v>2.1689652544955806</v>
      </c>
      <c r="H53" s="55">
        <f t="shared" si="0"/>
        <v>2.1804413508241862</v>
      </c>
      <c r="I53" s="55">
        <f t="shared" si="0"/>
        <v>2.1160368937816125</v>
      </c>
      <c r="J53" s="55">
        <f t="shared" si="0"/>
        <v>2.3655988589491539</v>
      </c>
      <c r="K53" s="55">
        <f t="shared" si="0"/>
        <v>2.4113835103060586</v>
      </c>
      <c r="L53" s="55">
        <f t="shared" si="0"/>
        <v>2.404140028067987</v>
      </c>
      <c r="M53" s="55">
        <f t="shared" si="0"/>
        <v>2.4031599019340777</v>
      </c>
      <c r="N53" s="55">
        <f t="shared" si="0"/>
        <v>2.3803621386384832</v>
      </c>
      <c r="O53" s="55">
        <f t="shared" si="0"/>
        <v>2.3611622908030094</v>
      </c>
      <c r="P53" s="55">
        <f t="shared" si="0"/>
        <v>2.3547624494776178</v>
      </c>
      <c r="Q53" s="55">
        <f t="shared" si="0"/>
        <v>2.387074437391806</v>
      </c>
      <c r="R53" s="55">
        <f t="shared" si="0"/>
        <v>2.3850981902194839</v>
      </c>
      <c r="S53" s="55"/>
      <c r="T53" s="55"/>
    </row>
  </sheetData>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B84E-0753-4A93-9CA7-28285CFF4647}">
  <dimension ref="A1:M34"/>
  <sheetViews>
    <sheetView zoomScale="85" zoomScaleNormal="85" workbookViewId="0">
      <selection activeCell="P24" sqref="P24"/>
    </sheetView>
  </sheetViews>
  <sheetFormatPr defaultColWidth="8.85546875" defaultRowHeight="15" x14ac:dyDescent="0.25"/>
  <cols>
    <col min="1" max="1" width="15.5703125" style="50" bestFit="1" customWidth="1"/>
    <col min="2" max="2" width="10.42578125" style="50" customWidth="1"/>
    <col min="3" max="4" width="10.28515625" style="50" bestFit="1" customWidth="1"/>
    <col min="5" max="5" width="13.7109375" style="50" bestFit="1" customWidth="1"/>
    <col min="6" max="7" width="9.28515625" style="50" bestFit="1" customWidth="1"/>
    <col min="8" max="8" width="13.7109375" style="50" customWidth="1"/>
    <col min="9" max="9" width="16" style="50" bestFit="1" customWidth="1"/>
    <col min="10" max="10" width="16.28515625" style="50" bestFit="1" customWidth="1"/>
    <col min="11" max="13" width="10.7109375" style="50" customWidth="1"/>
    <col min="14" max="16384" width="8.85546875" style="50"/>
  </cols>
  <sheetData>
    <row r="1" spans="1:13" x14ac:dyDescent="0.25">
      <c r="A1" s="50" t="s">
        <v>279</v>
      </c>
    </row>
    <row r="2" spans="1:13" x14ac:dyDescent="0.25">
      <c r="A2" s="84"/>
      <c r="B2" s="85" t="s">
        <v>280</v>
      </c>
      <c r="C2" s="85" t="s">
        <v>278</v>
      </c>
      <c r="D2" s="85" t="s">
        <v>281</v>
      </c>
      <c r="E2" s="85" t="s">
        <v>282</v>
      </c>
      <c r="F2" s="85" t="s">
        <v>283</v>
      </c>
      <c r="G2" s="85" t="s">
        <v>284</v>
      </c>
      <c r="H2" s="85" t="s">
        <v>285</v>
      </c>
      <c r="I2" s="85" t="s">
        <v>286</v>
      </c>
      <c r="J2" s="85" t="s">
        <v>287</v>
      </c>
      <c r="K2" s="85" t="s">
        <v>288</v>
      </c>
      <c r="L2" s="85" t="s">
        <v>289</v>
      </c>
      <c r="M2" s="85" t="s">
        <v>290</v>
      </c>
    </row>
    <row r="3" spans="1:13" x14ac:dyDescent="0.25">
      <c r="A3" s="193" t="s">
        <v>291</v>
      </c>
      <c r="B3" s="86" t="s">
        <v>292</v>
      </c>
      <c r="C3" s="86" t="s">
        <v>293</v>
      </c>
      <c r="D3" s="86" t="s">
        <v>293</v>
      </c>
      <c r="E3" s="86" t="s">
        <v>294</v>
      </c>
      <c r="F3" s="86" t="s">
        <v>295</v>
      </c>
      <c r="G3" s="86" t="s">
        <v>296</v>
      </c>
      <c r="H3" s="196" t="s">
        <v>297</v>
      </c>
      <c r="I3" s="86" t="s">
        <v>298</v>
      </c>
      <c r="J3" s="86" t="s">
        <v>299</v>
      </c>
      <c r="K3" s="86" t="s">
        <v>300</v>
      </c>
      <c r="L3" s="86" t="s">
        <v>301</v>
      </c>
      <c r="M3" s="86"/>
    </row>
    <row r="4" spans="1:13" x14ac:dyDescent="0.25">
      <c r="A4" s="194"/>
      <c r="B4" s="87" t="s">
        <v>302</v>
      </c>
      <c r="C4" s="87" t="s">
        <v>303</v>
      </c>
      <c r="D4" s="87" t="s">
        <v>304</v>
      </c>
      <c r="E4" s="87" t="s">
        <v>305</v>
      </c>
      <c r="F4" s="87"/>
      <c r="G4" s="87" t="s">
        <v>306</v>
      </c>
      <c r="H4" s="197"/>
      <c r="I4" s="87" t="s">
        <v>299</v>
      </c>
      <c r="J4" s="87"/>
      <c r="K4" s="87"/>
      <c r="L4" s="87"/>
      <c r="M4" s="87"/>
    </row>
    <row r="5" spans="1:13" x14ac:dyDescent="0.25">
      <c r="A5" s="195"/>
      <c r="B5" s="88" t="s">
        <v>307</v>
      </c>
      <c r="C5" s="88"/>
      <c r="D5" s="88"/>
      <c r="E5" s="88" t="s">
        <v>308</v>
      </c>
      <c r="F5" s="88"/>
      <c r="G5" s="88"/>
      <c r="H5" s="198"/>
      <c r="I5" s="88" t="s">
        <v>309</v>
      </c>
      <c r="J5" s="88"/>
      <c r="K5" s="88"/>
      <c r="L5" s="88"/>
      <c r="M5" s="88"/>
    </row>
    <row r="6" spans="1:13" x14ac:dyDescent="0.25">
      <c r="A6" s="50" t="s">
        <v>310</v>
      </c>
      <c r="B6" s="53">
        <v>1169314</v>
      </c>
      <c r="C6" s="53">
        <v>1118951</v>
      </c>
      <c r="D6" s="53">
        <v>1685950</v>
      </c>
      <c r="E6" s="53">
        <v>-56213</v>
      </c>
      <c r="F6" s="53">
        <v>309661.07</v>
      </c>
      <c r="G6" s="53">
        <v>93267</v>
      </c>
      <c r="H6" s="53">
        <v>-514237</v>
      </c>
      <c r="I6" s="53">
        <v>118945</v>
      </c>
      <c r="J6" s="53">
        <v>148976</v>
      </c>
      <c r="K6" s="53">
        <v>140799</v>
      </c>
      <c r="L6" s="53">
        <v>132718</v>
      </c>
      <c r="M6" s="53">
        <v>87773</v>
      </c>
    </row>
    <row r="7" spans="1:13" x14ac:dyDescent="0.25">
      <c r="A7" s="50" t="s">
        <v>311</v>
      </c>
      <c r="B7" s="53">
        <v>810581</v>
      </c>
      <c r="C7" s="53">
        <v>816810</v>
      </c>
      <c r="D7" s="53">
        <v>811157</v>
      </c>
      <c r="E7" s="53">
        <v>197507</v>
      </c>
      <c r="F7" s="53">
        <v>288633.717</v>
      </c>
      <c r="G7" s="53">
        <v>299697</v>
      </c>
      <c r="H7" s="53">
        <v>-807612</v>
      </c>
      <c r="I7" s="53">
        <v>38734</v>
      </c>
      <c r="J7" s="53">
        <v>147178</v>
      </c>
      <c r="K7" s="53">
        <v>209521</v>
      </c>
      <c r="L7" s="53">
        <v>102558</v>
      </c>
      <c r="M7" s="53">
        <v>126924</v>
      </c>
    </row>
    <row r="9" spans="1:13" x14ac:dyDescent="0.25">
      <c r="A9" s="50" t="s">
        <v>312</v>
      </c>
      <c r="B9" s="53">
        <v>-287893</v>
      </c>
      <c r="C9" s="53">
        <v>-320924</v>
      </c>
      <c r="D9" s="53">
        <v>-277589</v>
      </c>
      <c r="E9" s="53">
        <v>520543</v>
      </c>
      <c r="F9" s="53">
        <v>-830204.103</v>
      </c>
      <c r="G9" s="53">
        <v>-741165</v>
      </c>
      <c r="H9" s="53">
        <v>-4903.1289999999999</v>
      </c>
      <c r="I9" s="53">
        <v>-418698</v>
      </c>
      <c r="J9" s="53">
        <v>-103009</v>
      </c>
      <c r="K9" s="53">
        <v>-19842</v>
      </c>
      <c r="L9" s="53">
        <v>-119535</v>
      </c>
      <c r="M9" s="53">
        <v>-107508</v>
      </c>
    </row>
    <row r="11" spans="1:13" x14ac:dyDescent="0.25">
      <c r="A11" s="50" t="s">
        <v>313</v>
      </c>
      <c r="B11" s="54">
        <v>62.08</v>
      </c>
      <c r="C11" s="54">
        <v>20.81</v>
      </c>
      <c r="D11" s="54">
        <v>65.209999999999994</v>
      </c>
      <c r="E11" s="54">
        <v>42.02</v>
      </c>
      <c r="F11" s="54">
        <v>16.100000000000001</v>
      </c>
      <c r="G11" s="54">
        <v>11.48</v>
      </c>
      <c r="H11" s="54">
        <v>134.53</v>
      </c>
      <c r="I11" s="54">
        <v>9.15</v>
      </c>
      <c r="J11" s="54">
        <v>48.84</v>
      </c>
      <c r="K11" s="54">
        <v>14.51</v>
      </c>
      <c r="L11" s="54">
        <v>60.31</v>
      </c>
      <c r="M11" s="54">
        <v>46.85</v>
      </c>
    </row>
    <row r="13" spans="1:13" x14ac:dyDescent="0.25">
      <c r="A13" s="50" t="s">
        <v>56</v>
      </c>
      <c r="B13" s="53">
        <v>336290.01</v>
      </c>
      <c r="C13" s="53">
        <v>1456146.78</v>
      </c>
      <c r="D13" s="53">
        <v>442775</v>
      </c>
      <c r="E13" s="53">
        <v>180030.94200000001</v>
      </c>
      <c r="F13" s="53">
        <v>500829.56400000001</v>
      </c>
      <c r="G13" s="53">
        <v>107989.958</v>
      </c>
      <c r="H13" s="53">
        <v>43267</v>
      </c>
      <c r="I13" s="53">
        <v>144044.22399999999</v>
      </c>
      <c r="J13" s="53">
        <v>63242.953999999998</v>
      </c>
      <c r="K13" s="53">
        <v>110886.68399999999</v>
      </c>
      <c r="L13" s="53">
        <v>46000</v>
      </c>
      <c r="M13" s="53">
        <v>50000</v>
      </c>
    </row>
    <row r="15" spans="1:13" x14ac:dyDescent="0.25">
      <c r="A15" s="50" t="s">
        <v>8</v>
      </c>
      <c r="B15" s="89">
        <v>86</v>
      </c>
      <c r="C15" s="90">
        <v>24.4</v>
      </c>
      <c r="D15" s="89">
        <v>63.2</v>
      </c>
      <c r="E15" s="90">
        <v>23</v>
      </c>
      <c r="F15" s="90">
        <v>19.3</v>
      </c>
      <c r="G15" s="89">
        <v>27</v>
      </c>
      <c r="H15" s="54">
        <v>44</v>
      </c>
      <c r="I15" s="90">
        <v>14.9</v>
      </c>
      <c r="J15" s="89">
        <v>38.700000000000003</v>
      </c>
      <c r="K15" s="89">
        <v>20.399999999999999</v>
      </c>
      <c r="L15" s="89">
        <v>36</v>
      </c>
      <c r="M15" s="89">
        <v>30</v>
      </c>
    </row>
    <row r="17" spans="1:13" x14ac:dyDescent="0.25">
      <c r="A17" s="50" t="s">
        <v>314</v>
      </c>
      <c r="B17" s="53">
        <f t="shared" ref="B17:M17" si="0">+B15*B13</f>
        <v>28920940.859999999</v>
      </c>
      <c r="C17" s="53">
        <f t="shared" si="0"/>
        <v>35529981.431999996</v>
      </c>
      <c r="D17" s="53">
        <f t="shared" si="0"/>
        <v>27983380</v>
      </c>
      <c r="E17" s="53">
        <f t="shared" si="0"/>
        <v>4140711.6660000002</v>
      </c>
      <c r="F17" s="53">
        <f t="shared" si="0"/>
        <v>9666010.5852000006</v>
      </c>
      <c r="G17" s="53">
        <f t="shared" si="0"/>
        <v>2915728.8659999999</v>
      </c>
      <c r="H17" s="53">
        <f t="shared" si="0"/>
        <v>1903748</v>
      </c>
      <c r="I17" s="53">
        <f t="shared" si="0"/>
        <v>2146258.9375999998</v>
      </c>
      <c r="J17" s="53">
        <f t="shared" si="0"/>
        <v>2447502.3198000002</v>
      </c>
      <c r="K17" s="53">
        <f t="shared" si="0"/>
        <v>2262088.3535999996</v>
      </c>
      <c r="L17" s="53">
        <f t="shared" si="0"/>
        <v>1656000</v>
      </c>
      <c r="M17" s="53">
        <f t="shared" si="0"/>
        <v>1500000</v>
      </c>
    </row>
    <row r="19" spans="1:13" x14ac:dyDescent="0.25">
      <c r="A19" s="50" t="s">
        <v>315</v>
      </c>
      <c r="B19" s="91">
        <v>-0.86</v>
      </c>
      <c r="C19" s="91">
        <v>-0.22</v>
      </c>
      <c r="D19" s="91">
        <v>-0.53</v>
      </c>
      <c r="E19" s="91">
        <f>+E9/E13</f>
        <v>2.8914085224305497</v>
      </c>
      <c r="F19" s="91">
        <v>-1.66</v>
      </c>
      <c r="G19" s="91">
        <v>-6.86</v>
      </c>
      <c r="H19" s="91">
        <v>-113.32</v>
      </c>
      <c r="I19" s="91">
        <v>-1.46</v>
      </c>
      <c r="J19" s="91">
        <v>-2.02</v>
      </c>
      <c r="K19" s="91">
        <v>-0.18</v>
      </c>
      <c r="L19" s="91">
        <v>-2.6</v>
      </c>
      <c r="M19" s="91">
        <v>-2.15</v>
      </c>
    </row>
    <row r="21" spans="1:13" x14ac:dyDescent="0.25">
      <c r="A21" s="50" t="s">
        <v>11</v>
      </c>
      <c r="B21" s="91"/>
      <c r="C21" s="91"/>
      <c r="D21" s="91"/>
      <c r="E21" s="91">
        <f>+E15/E19</f>
        <v>7.9546006112847545</v>
      </c>
      <c r="F21" s="91"/>
      <c r="G21" s="91"/>
      <c r="H21" s="91"/>
      <c r="I21" s="91"/>
      <c r="J21" s="91"/>
      <c r="K21" s="91"/>
      <c r="L21" s="91"/>
      <c r="M21" s="91"/>
    </row>
    <row r="22" spans="1:13" x14ac:dyDescent="0.25">
      <c r="A22" s="50" t="s">
        <v>316</v>
      </c>
      <c r="B22" s="92">
        <f t="shared" ref="B22:M22" si="1">+B15/B11</f>
        <v>1.3853092783505154</v>
      </c>
      <c r="C22" s="92">
        <f t="shared" si="1"/>
        <v>1.1725132148005766</v>
      </c>
      <c r="D22" s="93">
        <f t="shared" si="1"/>
        <v>0.96917650667075617</v>
      </c>
      <c r="E22" s="93">
        <f t="shared" si="1"/>
        <v>0.54735840076154207</v>
      </c>
      <c r="F22" s="93">
        <f t="shared" si="1"/>
        <v>1.1987577639751552</v>
      </c>
      <c r="G22" s="92">
        <f t="shared" si="1"/>
        <v>2.3519163763066202</v>
      </c>
      <c r="H22" s="93">
        <f t="shared" si="1"/>
        <v>0.32706459525756337</v>
      </c>
      <c r="I22" s="92">
        <f t="shared" si="1"/>
        <v>1.6284153005464481</v>
      </c>
      <c r="J22" s="93">
        <f t="shared" si="1"/>
        <v>0.79238329238329241</v>
      </c>
      <c r="K22" s="92">
        <f t="shared" si="1"/>
        <v>1.4059269469331495</v>
      </c>
      <c r="L22" s="93">
        <f t="shared" si="1"/>
        <v>0.59691593433924717</v>
      </c>
      <c r="M22" s="93">
        <f t="shared" si="1"/>
        <v>0.64034151547491991</v>
      </c>
    </row>
    <row r="24" spans="1:13" x14ac:dyDescent="0.25">
      <c r="A24" s="50" t="s">
        <v>317</v>
      </c>
      <c r="B24" s="53">
        <v>2340934</v>
      </c>
      <c r="C24" s="53">
        <v>1853724</v>
      </c>
      <c r="D24" s="53">
        <v>2397946</v>
      </c>
      <c r="E24" s="53">
        <v>246500</v>
      </c>
      <c r="F24" s="53">
        <v>340141.06199999998</v>
      </c>
      <c r="G24" s="53">
        <v>376160</v>
      </c>
      <c r="H24" s="53"/>
      <c r="I24" s="53">
        <v>203059</v>
      </c>
      <c r="J24" s="53">
        <v>208172</v>
      </c>
      <c r="K24" s="53">
        <v>209521</v>
      </c>
      <c r="L24" s="53">
        <v>162120</v>
      </c>
      <c r="M24" s="53">
        <v>148517</v>
      </c>
    </row>
    <row r="25" spans="1:13" x14ac:dyDescent="0.25">
      <c r="A25" s="50" t="s">
        <v>318</v>
      </c>
      <c r="B25" s="91">
        <f t="shared" ref="B25:G25" si="2">+B24/B13</f>
        <v>6.9610572136829161</v>
      </c>
      <c r="C25" s="91">
        <f t="shared" si="2"/>
        <v>1.2730337528198907</v>
      </c>
      <c r="D25" s="91">
        <f t="shared" si="2"/>
        <v>5.415721303144938</v>
      </c>
      <c r="E25" s="91">
        <f t="shared" si="2"/>
        <v>1.3692090774040386</v>
      </c>
      <c r="F25" s="91">
        <f t="shared" si="2"/>
        <v>0.67915531839490206</v>
      </c>
      <c r="G25" s="91">
        <f t="shared" si="2"/>
        <v>3.4832868441341556</v>
      </c>
      <c r="H25" s="91"/>
      <c r="I25" s="91">
        <f>+I24/I13</f>
        <v>1.4096990102150853</v>
      </c>
      <c r="J25" s="91">
        <f>+J24/J13</f>
        <v>3.2916236012631543</v>
      </c>
      <c r="K25" s="91">
        <f>+K24/K13</f>
        <v>1.8895055063599884</v>
      </c>
      <c r="L25" s="91">
        <f>+L24/L13</f>
        <v>3.5243478260869567</v>
      </c>
      <c r="M25" s="91">
        <f>+M24/M13</f>
        <v>2.9703400000000002</v>
      </c>
    </row>
    <row r="26" spans="1:13" x14ac:dyDescent="0.25">
      <c r="A26" s="50" t="s">
        <v>11</v>
      </c>
      <c r="B26" s="94">
        <f t="shared" ref="B26:G26" si="3">+B15/B25</f>
        <v>12.354445217165456</v>
      </c>
      <c r="C26" s="91">
        <f t="shared" si="3"/>
        <v>19.166813091916598</v>
      </c>
      <c r="D26" s="94">
        <f t="shared" si="3"/>
        <v>11.669729009744174</v>
      </c>
      <c r="E26" s="91">
        <f t="shared" si="3"/>
        <v>16.798018929006087</v>
      </c>
      <c r="F26" s="91">
        <f t="shared" si="3"/>
        <v>28.417652747847306</v>
      </c>
      <c r="G26" s="94">
        <f t="shared" si="3"/>
        <v>7.7512996225010635</v>
      </c>
      <c r="H26" s="91"/>
      <c r="I26" s="94">
        <f>+I15/I25</f>
        <v>10.569632164050841</v>
      </c>
      <c r="J26" s="94">
        <f>+J15/J25</f>
        <v>11.757115845550794</v>
      </c>
      <c r="K26" s="94">
        <f>+K15/K25</f>
        <v>10.796475549467594</v>
      </c>
      <c r="L26" s="94">
        <f>+L15/L25</f>
        <v>10.214655810510733</v>
      </c>
      <c r="M26" s="94">
        <f>+M15/M25</f>
        <v>10.099853888780409</v>
      </c>
    </row>
    <row r="28" spans="1:13" x14ac:dyDescent="0.25">
      <c r="A28" s="50" t="s">
        <v>319</v>
      </c>
      <c r="B28" s="91">
        <f>+B6/B13</f>
        <v>3.477100018522703</v>
      </c>
      <c r="C28" s="91">
        <f>+C6/C13</f>
        <v>0.7684328361458177</v>
      </c>
      <c r="D28" s="91">
        <f>+D6/D13</f>
        <v>3.8076901360736266</v>
      </c>
      <c r="E28" s="91">
        <f>+E7/E13</f>
        <v>1.0970725243441763</v>
      </c>
      <c r="F28" s="91">
        <f>+F7/F13</f>
        <v>0.57631125985206411</v>
      </c>
      <c r="G28" s="91">
        <f>+G7/G13</f>
        <v>2.7752302672439226</v>
      </c>
      <c r="H28" s="91"/>
      <c r="I28" s="91">
        <f>+I6/I13</f>
        <v>0.82575334641672271</v>
      </c>
      <c r="J28" s="91">
        <f>+J6/J13</f>
        <v>2.3556141922149938</v>
      </c>
      <c r="K28" s="91">
        <f>+K6/K13</f>
        <v>1.2697557084491768</v>
      </c>
      <c r="L28" s="91">
        <f>+L6/L13</f>
        <v>2.8851739130434781</v>
      </c>
      <c r="M28" s="91">
        <f>+M6/M13</f>
        <v>1.75546</v>
      </c>
    </row>
    <row r="29" spans="1:13" x14ac:dyDescent="0.25">
      <c r="A29" s="50" t="s">
        <v>11</v>
      </c>
      <c r="B29" s="91">
        <f t="shared" ref="B29:G29" si="4">+B15/B28</f>
        <v>24.733254592008649</v>
      </c>
      <c r="C29" s="91">
        <f t="shared" si="4"/>
        <v>31.752937735432557</v>
      </c>
      <c r="D29" s="94">
        <f t="shared" si="4"/>
        <v>16.597989264213055</v>
      </c>
      <c r="E29" s="91">
        <f t="shared" si="4"/>
        <v>20.964885629370098</v>
      </c>
      <c r="F29" s="91">
        <f t="shared" si="4"/>
        <v>33.488847684416584</v>
      </c>
      <c r="G29" s="94">
        <f t="shared" si="4"/>
        <v>9.7289224316559739</v>
      </c>
      <c r="H29" s="91"/>
      <c r="I29" s="91">
        <f>+I15/I28</f>
        <v>18.044129115137249</v>
      </c>
      <c r="J29" s="91">
        <f>+J15/J28</f>
        <v>16.428836321286649</v>
      </c>
      <c r="K29" s="91">
        <f>+K15/K28</f>
        <v>16.066082526154304</v>
      </c>
      <c r="L29" s="94">
        <f>+L15/L28</f>
        <v>12.477584050392561</v>
      </c>
      <c r="M29" s="91">
        <f>+M15/M28</f>
        <v>17.089537784968041</v>
      </c>
    </row>
    <row r="31" spans="1:13" x14ac:dyDescent="0.25">
      <c r="A31" s="50" t="s">
        <v>320</v>
      </c>
      <c r="B31" s="50">
        <v>4.5</v>
      </c>
      <c r="C31" s="50">
        <v>1.3</v>
      </c>
      <c r="D31" s="50">
        <v>3.6</v>
      </c>
      <c r="G31" s="50">
        <v>3.2</v>
      </c>
      <c r="J31" s="50">
        <v>4.4000000000000004</v>
      </c>
      <c r="K31" s="50">
        <v>1.6</v>
      </c>
      <c r="L31" s="50">
        <v>2.6</v>
      </c>
      <c r="M31" s="50">
        <v>2.2999999999999998</v>
      </c>
    </row>
    <row r="32" spans="1:13" x14ac:dyDescent="0.25">
      <c r="A32" s="50" t="s">
        <v>11</v>
      </c>
      <c r="B32" s="91">
        <f>+B15/B31</f>
        <v>19.111111111111111</v>
      </c>
      <c r="C32" s="91">
        <f>+C15/C31</f>
        <v>18.769230769230766</v>
      </c>
      <c r="D32" s="91">
        <f>+D15/D31</f>
        <v>17.555555555555557</v>
      </c>
      <c r="G32" s="91">
        <f>+G15/G31</f>
        <v>8.4375</v>
      </c>
      <c r="J32" s="91">
        <f>+J15/J31</f>
        <v>8.795454545454545</v>
      </c>
      <c r="K32" s="91">
        <f>+K15/K31</f>
        <v>12.749999999999998</v>
      </c>
      <c r="L32" s="91">
        <f>+L15/L31</f>
        <v>13.846153846153845</v>
      </c>
      <c r="M32" s="91">
        <f>+M15/M31</f>
        <v>13.043478260869566</v>
      </c>
    </row>
    <row r="34" spans="1:1" x14ac:dyDescent="0.25">
      <c r="A34" s="50" t="s">
        <v>321</v>
      </c>
    </row>
  </sheetData>
  <mergeCells count="2">
    <mergeCell ref="A3:A5"/>
    <mergeCell ref="H3:H5"/>
  </mergeCell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F3DA-E6D2-46E1-8F53-AC369853B701}">
  <dimension ref="A1:J49"/>
  <sheetViews>
    <sheetView workbookViewId="0">
      <pane ySplit="1" topLeftCell="A2" activePane="bottomLeft" state="frozen"/>
      <selection pane="bottomLeft" activeCell="B2" sqref="B2"/>
    </sheetView>
  </sheetViews>
  <sheetFormatPr defaultColWidth="8.85546875" defaultRowHeight="15" x14ac:dyDescent="0.25"/>
  <cols>
    <col min="1" max="1" width="33" style="50" customWidth="1"/>
    <col min="2" max="10" width="12.28515625" style="50" bestFit="1" customWidth="1"/>
    <col min="11" max="16384" width="8.85546875" style="50"/>
  </cols>
  <sheetData>
    <row r="1" spans="1:10" s="49" customFormat="1" x14ac:dyDescent="0.25">
      <c r="A1" s="98">
        <v>45107</v>
      </c>
      <c r="B1" s="85" t="s">
        <v>322</v>
      </c>
      <c r="C1" s="85" t="s">
        <v>116</v>
      </c>
      <c r="D1" s="85" t="s">
        <v>228</v>
      </c>
      <c r="E1" s="85" t="s">
        <v>119</v>
      </c>
      <c r="F1" s="85" t="s">
        <v>341</v>
      </c>
      <c r="G1" s="85" t="s">
        <v>338</v>
      </c>
      <c r="H1" s="85" t="s">
        <v>339</v>
      </c>
      <c r="I1" s="85" t="s">
        <v>340</v>
      </c>
      <c r="J1" s="85" t="s">
        <v>342</v>
      </c>
    </row>
    <row r="2" spans="1:10" x14ac:dyDescent="0.25">
      <c r="A2" s="95" t="s">
        <v>8</v>
      </c>
      <c r="B2" s="97">
        <v>86.8</v>
      </c>
      <c r="C2" s="97">
        <v>168.5</v>
      </c>
      <c r="D2" s="97">
        <v>65.7</v>
      </c>
      <c r="E2" s="97">
        <v>64.599999999999994</v>
      </c>
      <c r="F2" s="97">
        <v>48</v>
      </c>
      <c r="G2" s="97">
        <v>84</v>
      </c>
      <c r="H2" s="97">
        <v>104.25</v>
      </c>
      <c r="I2" s="97">
        <v>19.3</v>
      </c>
      <c r="J2" s="97">
        <v>10.9</v>
      </c>
    </row>
    <row r="3" spans="1:10" x14ac:dyDescent="0.25">
      <c r="A3" s="95"/>
      <c r="B3" s="97"/>
      <c r="C3" s="97"/>
      <c r="D3" s="97"/>
      <c r="E3" s="97"/>
      <c r="F3" s="97"/>
      <c r="G3" s="97"/>
      <c r="H3" s="97"/>
      <c r="I3" s="97"/>
      <c r="J3" s="97"/>
    </row>
    <row r="4" spans="1:10" x14ac:dyDescent="0.25">
      <c r="A4" s="50" t="s">
        <v>323</v>
      </c>
      <c r="B4" s="53">
        <v>50791983</v>
      </c>
      <c r="C4" s="53">
        <v>501122</v>
      </c>
      <c r="D4" s="53">
        <v>8802833</v>
      </c>
      <c r="E4" s="53">
        <v>24846415</v>
      </c>
      <c r="F4" s="53">
        <v>18439481</v>
      </c>
      <c r="G4" s="53">
        <v>1076365</v>
      </c>
      <c r="H4" s="53">
        <v>10103432</v>
      </c>
      <c r="I4" s="53">
        <v>33470234</v>
      </c>
      <c r="J4" s="53">
        <v>2878244</v>
      </c>
    </row>
    <row r="5" spans="1:10" x14ac:dyDescent="0.25">
      <c r="A5" s="50" t="s">
        <v>352</v>
      </c>
      <c r="B5" s="53">
        <v>740197253</v>
      </c>
      <c r="C5" s="53">
        <v>934680483</v>
      </c>
      <c r="D5" s="53">
        <v>315952116</v>
      </c>
      <c r="E5" s="53">
        <v>133568507</v>
      </c>
      <c r="F5" s="53">
        <v>108024966</v>
      </c>
      <c r="G5" s="53">
        <v>51563523</v>
      </c>
      <c r="H5" s="53">
        <v>60637105</v>
      </c>
      <c r="I5" s="53">
        <v>38788725</v>
      </c>
      <c r="J5" s="53">
        <v>36758660</v>
      </c>
    </row>
    <row r="6" spans="1:10" x14ac:dyDescent="0.25">
      <c r="A6" s="50" t="s">
        <v>324</v>
      </c>
      <c r="B6" s="53">
        <v>230826265</v>
      </c>
      <c r="C6" s="53">
        <v>7650602</v>
      </c>
      <c r="D6" s="53">
        <v>105989089</v>
      </c>
      <c r="E6" s="53">
        <v>85236819</v>
      </c>
      <c r="F6" s="53">
        <v>30067195</v>
      </c>
      <c r="G6" s="53">
        <v>120893336</v>
      </c>
      <c r="H6" s="53">
        <v>62320483</v>
      </c>
      <c r="I6" s="53">
        <v>3752</v>
      </c>
      <c r="J6" s="53">
        <v>9059787</v>
      </c>
    </row>
    <row r="8" spans="1:10" x14ac:dyDescent="0.25">
      <c r="A8" s="50" t="s">
        <v>325</v>
      </c>
      <c r="B8" s="53">
        <v>2462168197</v>
      </c>
      <c r="C8" s="53">
        <v>1943409368</v>
      </c>
      <c r="D8" s="53">
        <v>1467518491</v>
      </c>
      <c r="E8" s="53">
        <v>799750741</v>
      </c>
      <c r="F8" s="53">
        <v>689168490</v>
      </c>
      <c r="G8" s="53">
        <v>577856224</v>
      </c>
      <c r="H8" s="53">
        <v>432141062</v>
      </c>
      <c r="I8" s="53">
        <v>226307560</v>
      </c>
      <c r="J8" s="53">
        <v>136990335</v>
      </c>
    </row>
    <row r="10" spans="1:10" x14ac:dyDescent="0.25">
      <c r="A10" s="50" t="s">
        <v>54</v>
      </c>
      <c r="B10" s="53">
        <v>205804665</v>
      </c>
      <c r="C10" s="53">
        <v>193678272</v>
      </c>
      <c r="D10" s="53">
        <v>141061160</v>
      </c>
      <c r="E10" s="53">
        <v>71344888</v>
      </c>
      <c r="F10" s="53">
        <v>59039258</v>
      </c>
      <c r="G10" s="53">
        <v>62227972</v>
      </c>
      <c r="H10" s="53">
        <v>53481220</v>
      </c>
      <c r="I10" s="53">
        <v>21542294</v>
      </c>
      <c r="J10" s="53">
        <v>19140248</v>
      </c>
    </row>
    <row r="12" spans="1:10" x14ac:dyDescent="0.25">
      <c r="A12" s="50" t="s">
        <v>56</v>
      </c>
      <c r="B12" s="53">
        <f>1235923.817+77595.733</f>
        <v>1313519.55</v>
      </c>
      <c r="C12" s="53">
        <f>446651.811+113086.576</f>
        <v>559738.38699999999</v>
      </c>
      <c r="D12" s="53">
        <v>1172700.76</v>
      </c>
      <c r="E12" s="53">
        <v>399464.36200000002</v>
      </c>
      <c r="F12" s="53">
        <v>615449.05799999996</v>
      </c>
      <c r="G12" s="53">
        <v>421948.65500000003</v>
      </c>
      <c r="H12" s="53">
        <f>276247.035+43372.925</f>
        <v>319619.95999999996</v>
      </c>
      <c r="I12" s="53">
        <v>442561.62900000002</v>
      </c>
      <c r="J12" s="53">
        <v>1083558.338</v>
      </c>
    </row>
    <row r="14" spans="1:10" x14ac:dyDescent="0.25">
      <c r="A14" s="50" t="s">
        <v>31</v>
      </c>
      <c r="B14" s="91">
        <f t="shared" ref="B14:J14" si="0">+B10/B12</f>
        <v>156.68184382942758</v>
      </c>
      <c r="C14" s="91">
        <f t="shared" si="0"/>
        <v>346.01570393991938</v>
      </c>
      <c r="D14" s="91">
        <f t="shared" si="0"/>
        <v>120.28742950588691</v>
      </c>
      <c r="E14" s="91">
        <f t="shared" si="0"/>
        <v>178.60138422060288</v>
      </c>
      <c r="F14" s="91">
        <f t="shared" si="0"/>
        <v>95.928748663386543</v>
      </c>
      <c r="G14" s="91">
        <f t="shared" si="0"/>
        <v>147.47759297870022</v>
      </c>
      <c r="H14" s="91">
        <f t="shared" si="0"/>
        <v>167.3275348635924</v>
      </c>
      <c r="I14" s="91">
        <f t="shared" si="0"/>
        <v>48.676370901554144</v>
      </c>
      <c r="J14" s="91">
        <f t="shared" si="0"/>
        <v>17.664252425327192</v>
      </c>
    </row>
    <row r="16" spans="1:10" x14ac:dyDescent="0.25">
      <c r="A16" s="50" t="s">
        <v>326</v>
      </c>
      <c r="B16" s="96">
        <f t="shared" ref="B16:J16" si="1">+(B6+B4)/B8</f>
        <v>0.11437815188382924</v>
      </c>
      <c r="C16" s="96">
        <f t="shared" si="1"/>
        <v>4.1945480629174371E-3</v>
      </c>
      <c r="D16" s="96">
        <f t="shared" si="1"/>
        <v>7.8221789165857938E-2</v>
      </c>
      <c r="E16" s="96">
        <f t="shared" si="1"/>
        <v>0.13764692967005329</v>
      </c>
      <c r="F16" s="96">
        <f t="shared" si="1"/>
        <v>7.0384349696545181E-2</v>
      </c>
      <c r="G16" s="96">
        <f t="shared" si="1"/>
        <v>0.21107274774287108</v>
      </c>
      <c r="H16" s="96">
        <f t="shared" si="1"/>
        <v>0.16759322676908681</v>
      </c>
      <c r="I16" s="96">
        <f t="shared" si="1"/>
        <v>0.14791368878706482</v>
      </c>
      <c r="J16" s="96">
        <f t="shared" si="1"/>
        <v>8.7145060270127819E-2</v>
      </c>
    </row>
    <row r="18" spans="1:10" x14ac:dyDescent="0.25">
      <c r="A18" s="50" t="s">
        <v>327</v>
      </c>
      <c r="B18" s="96">
        <f>(11148448+15405519)/(24873057+118652257)</f>
        <v>0.18501242923600222</v>
      </c>
      <c r="C18" s="96">
        <f>+(3352823)/(236178+6062195)</f>
        <v>0.53233160373321808</v>
      </c>
      <c r="D18" s="96">
        <f>+(1028776+23733302)/(4822395+32772986)</f>
        <v>0.65864681621393861</v>
      </c>
      <c r="E18" s="96">
        <f>+(1790818+18248043)/(20788523+45454490)</f>
        <v>0.30250527704710534</v>
      </c>
      <c r="F18" s="96">
        <f>+(357026+4239308)/(17781867+17186183)</f>
        <v>0.13144381799957389</v>
      </c>
      <c r="G18" s="96">
        <f>+(8366127)/(1429149+63319060)</f>
        <v>0.1292101685777903</v>
      </c>
      <c r="H18" s="96">
        <f>+(218042+5025334)/(3733781+30349526)</f>
        <v>0.15384000149985447</v>
      </c>
      <c r="I18" s="96">
        <f>+(101044)/(2239757+3752)</f>
        <v>4.5038375152495487E-2</v>
      </c>
      <c r="J18" s="96">
        <f>+(485008+82500+1339665+53731+3270)/(2218303+5307787)</f>
        <v>0.2609819972920866</v>
      </c>
    </row>
    <row r="19" spans="1:10" x14ac:dyDescent="0.25">
      <c r="A19" s="50" t="s">
        <v>328</v>
      </c>
      <c r="B19" s="96">
        <f>(11703803+103030681)/(24873057+118652257)</f>
        <v>0.79940242457856603</v>
      </c>
      <c r="C19" s="96">
        <f>+(496)/(236178+6062195)</f>
        <v>7.8750496358345244E-5</v>
      </c>
      <c r="D19" s="96">
        <f>+(3612501+3635885)/(4822395+32772986)</f>
        <v>0.19279990805253444</v>
      </c>
      <c r="E19" s="96">
        <f>+(17527665+26354221)/(20788523+45454490)</f>
        <v>0.66243795402241135</v>
      </c>
      <c r="F19" s="96">
        <f>+(17424841+11396357)/(17781867+17186183)</f>
        <v>0.82421519072410387</v>
      </c>
      <c r="G19" s="96">
        <f>+(795433+46559930)/(1429149+63319060)</f>
        <v>0.73137718759139736</v>
      </c>
      <c r="H19" s="96">
        <f>+(3515739+24819094)/(4822395+32772986)</f>
        <v>0.7536785702477653</v>
      </c>
      <c r="I19" s="96">
        <f>+(2138713)/(2239757+3752)</f>
        <v>0.95328924466093068</v>
      </c>
      <c r="J19" s="96">
        <f>+(1598634+3886857)/(2218303+5307787)</f>
        <v>0.72886332743828464</v>
      </c>
    </row>
    <row r="21" spans="1:10" x14ac:dyDescent="0.25">
      <c r="A21" s="50" t="s">
        <v>329</v>
      </c>
      <c r="B21" s="18">
        <v>0.25</v>
      </c>
      <c r="C21" s="18">
        <v>0.25</v>
      </c>
      <c r="D21" s="18">
        <v>0.25</v>
      </c>
      <c r="E21" s="18">
        <v>0.25</v>
      </c>
      <c r="F21" s="18">
        <v>0.25</v>
      </c>
      <c r="G21" s="18">
        <v>0.25</v>
      </c>
      <c r="H21" s="18">
        <v>0.25</v>
      </c>
      <c r="I21" s="18">
        <v>0.25</v>
      </c>
      <c r="J21" s="18">
        <v>0.25</v>
      </c>
    </row>
    <row r="23" spans="1:10" x14ac:dyDescent="0.25">
      <c r="A23" s="50" t="s">
        <v>330</v>
      </c>
      <c r="B23" s="53">
        <f t="shared" ref="B23:J23" si="2">+(B$4+B$6)*0.3</f>
        <v>84485474.399999991</v>
      </c>
      <c r="C23" s="53">
        <f t="shared" si="2"/>
        <v>2445517.1999999997</v>
      </c>
      <c r="D23" s="53">
        <f t="shared" si="2"/>
        <v>34437576.600000001</v>
      </c>
      <c r="E23" s="53">
        <f t="shared" si="2"/>
        <v>33024970.199999999</v>
      </c>
      <c r="F23" s="53">
        <f t="shared" si="2"/>
        <v>14552002.799999999</v>
      </c>
      <c r="G23" s="53">
        <f t="shared" si="2"/>
        <v>36590910.299999997</v>
      </c>
      <c r="H23" s="53">
        <f t="shared" si="2"/>
        <v>21727174.5</v>
      </c>
      <c r="I23" s="53">
        <f t="shared" si="2"/>
        <v>10042195.799999999</v>
      </c>
      <c r="J23" s="53">
        <f t="shared" si="2"/>
        <v>3581409.3</v>
      </c>
    </row>
    <row r="24" spans="1:10" x14ac:dyDescent="0.25">
      <c r="A24" s="50" t="s">
        <v>331</v>
      </c>
      <c r="B24" s="53">
        <f t="shared" ref="B24:J24" si="3">+(B$4+B$6)*0.4</f>
        <v>112647299.2</v>
      </c>
      <c r="C24" s="53">
        <f t="shared" si="3"/>
        <v>3260689.6</v>
      </c>
      <c r="D24" s="53">
        <f t="shared" si="3"/>
        <v>45916768.800000004</v>
      </c>
      <c r="E24" s="53">
        <f t="shared" si="3"/>
        <v>44033293.600000001</v>
      </c>
      <c r="F24" s="53">
        <f t="shared" si="3"/>
        <v>19402670.400000002</v>
      </c>
      <c r="G24" s="53">
        <f t="shared" si="3"/>
        <v>48787880.400000006</v>
      </c>
      <c r="H24" s="53">
        <f t="shared" si="3"/>
        <v>28969566</v>
      </c>
      <c r="I24" s="53">
        <f t="shared" si="3"/>
        <v>13389594.4</v>
      </c>
      <c r="J24" s="53">
        <f t="shared" si="3"/>
        <v>4775212.4000000004</v>
      </c>
    </row>
    <row r="26" spans="1:10" x14ac:dyDescent="0.25">
      <c r="A26" s="50" t="s">
        <v>332</v>
      </c>
      <c r="B26" s="53">
        <f t="shared" ref="B26:J26" si="4">+B$21*B23</f>
        <v>21121368.599999998</v>
      </c>
      <c r="C26" s="53">
        <f t="shared" si="4"/>
        <v>611379.29999999993</v>
      </c>
      <c r="D26" s="53">
        <f t="shared" si="4"/>
        <v>8609394.1500000004</v>
      </c>
      <c r="E26" s="53">
        <f t="shared" si="4"/>
        <v>8256242.5499999998</v>
      </c>
      <c r="F26" s="53">
        <f t="shared" si="4"/>
        <v>3638000.6999999997</v>
      </c>
      <c r="G26" s="53">
        <f t="shared" si="4"/>
        <v>9147727.5749999993</v>
      </c>
      <c r="H26" s="53">
        <f t="shared" si="4"/>
        <v>5431793.625</v>
      </c>
      <c r="I26" s="53">
        <f t="shared" si="4"/>
        <v>2510548.9499999997</v>
      </c>
      <c r="J26" s="53">
        <f t="shared" si="4"/>
        <v>895352.32499999995</v>
      </c>
    </row>
    <row r="27" spans="1:10" x14ac:dyDescent="0.25">
      <c r="A27" s="50" t="s">
        <v>333</v>
      </c>
      <c r="B27" s="53">
        <f t="shared" ref="B27:J27" si="5">+B$21*B24</f>
        <v>28161824.800000001</v>
      </c>
      <c r="C27" s="53">
        <f t="shared" si="5"/>
        <v>815172.4</v>
      </c>
      <c r="D27" s="53">
        <f t="shared" si="5"/>
        <v>11479192.200000001</v>
      </c>
      <c r="E27" s="53">
        <f t="shared" si="5"/>
        <v>11008323.4</v>
      </c>
      <c r="F27" s="53">
        <f t="shared" si="5"/>
        <v>4850667.6000000006</v>
      </c>
      <c r="G27" s="53">
        <f t="shared" si="5"/>
        <v>12196970.100000001</v>
      </c>
      <c r="H27" s="53">
        <f t="shared" si="5"/>
        <v>7242391.5</v>
      </c>
      <c r="I27" s="53">
        <f t="shared" si="5"/>
        <v>3347398.6</v>
      </c>
      <c r="J27" s="53">
        <f t="shared" si="5"/>
        <v>1193803.1000000001</v>
      </c>
    </row>
    <row r="29" spans="1:10" x14ac:dyDescent="0.25">
      <c r="A29" s="50" t="s">
        <v>334</v>
      </c>
    </row>
    <row r="30" spans="1:10" x14ac:dyDescent="0.25">
      <c r="A30" s="50" t="s">
        <v>332</v>
      </c>
      <c r="B30" s="55">
        <f t="shared" ref="B30:J30" si="6">+B26/B$12</f>
        <v>16.079980385522237</v>
      </c>
      <c r="C30" s="55">
        <f t="shared" si="6"/>
        <v>1.0922590163536523</v>
      </c>
      <c r="D30" s="55">
        <f t="shared" si="6"/>
        <v>7.3415098238701582</v>
      </c>
      <c r="E30" s="55">
        <f t="shared" si="6"/>
        <v>20.668283169651062</v>
      </c>
      <c r="F30" s="55">
        <f t="shared" si="6"/>
        <v>5.9111321281768863</v>
      </c>
      <c r="G30" s="55">
        <f t="shared" si="6"/>
        <v>21.679717346178052</v>
      </c>
      <c r="H30" s="55">
        <f t="shared" si="6"/>
        <v>16.994538216574462</v>
      </c>
      <c r="I30" s="55">
        <f t="shared" si="6"/>
        <v>5.6727668769494688</v>
      </c>
      <c r="J30" s="55">
        <f t="shared" si="6"/>
        <v>0.82630744797055866</v>
      </c>
    </row>
    <row r="31" spans="1:10" x14ac:dyDescent="0.25">
      <c r="A31" s="50" t="s">
        <v>333</v>
      </c>
      <c r="B31" s="55">
        <f t="shared" ref="B31:J31" si="7">+B27/B$12</f>
        <v>21.439973847362989</v>
      </c>
      <c r="C31" s="55">
        <f t="shared" si="7"/>
        <v>1.4563453551382033</v>
      </c>
      <c r="D31" s="55">
        <f t="shared" si="7"/>
        <v>9.7886797651602109</v>
      </c>
      <c r="E31" s="55">
        <f t="shared" si="7"/>
        <v>27.557710892868084</v>
      </c>
      <c r="F31" s="55">
        <f t="shared" si="7"/>
        <v>7.8815095042358498</v>
      </c>
      <c r="G31" s="55">
        <f t="shared" si="7"/>
        <v>28.906289794904076</v>
      </c>
      <c r="H31" s="55">
        <f t="shared" si="7"/>
        <v>22.659384288765949</v>
      </c>
      <c r="I31" s="55">
        <f t="shared" si="7"/>
        <v>7.5636891692659596</v>
      </c>
      <c r="J31" s="55">
        <f t="shared" si="7"/>
        <v>1.101743263960745</v>
      </c>
    </row>
    <row r="32" spans="1:10" x14ac:dyDescent="0.25">
      <c r="B32" s="55"/>
      <c r="C32" s="55"/>
      <c r="D32" s="55"/>
      <c r="E32" s="55"/>
      <c r="F32" s="55"/>
      <c r="G32" s="55"/>
      <c r="H32" s="55"/>
      <c r="I32" s="55"/>
      <c r="J32" s="55"/>
    </row>
    <row r="33" spans="1:10" x14ac:dyDescent="0.25">
      <c r="A33" s="50" t="s">
        <v>343</v>
      </c>
      <c r="B33" s="53">
        <f>+B4*0.3*B21</f>
        <v>3809398.7249999996</v>
      </c>
      <c r="C33" s="53">
        <f t="shared" ref="C33:J33" si="8">+C4*0.3*C21</f>
        <v>37584.15</v>
      </c>
      <c r="D33" s="53">
        <f t="shared" si="8"/>
        <v>660212.47499999998</v>
      </c>
      <c r="E33" s="53">
        <f>+E4*0.3*E21</f>
        <v>1863481.125</v>
      </c>
      <c r="F33" s="53">
        <f>+F4*0.3*F21</f>
        <v>1382961.075</v>
      </c>
      <c r="G33" s="53">
        <f>+G4*0.3*G21</f>
        <v>80727.375</v>
      </c>
      <c r="H33" s="53">
        <f t="shared" si="8"/>
        <v>757757.4</v>
      </c>
      <c r="I33" s="53">
        <f t="shared" si="8"/>
        <v>2510267.5499999998</v>
      </c>
      <c r="J33" s="53">
        <f t="shared" si="8"/>
        <v>215868.3</v>
      </c>
    </row>
    <row r="34" spans="1:10" x14ac:dyDescent="0.25">
      <c r="A34" s="50" t="s">
        <v>344</v>
      </c>
      <c r="B34" s="55">
        <f>+B33/B12</f>
        <v>2.9001461950071468</v>
      </c>
      <c r="C34" s="55">
        <f t="shared" ref="C34:J34" si="9">+C33/C12</f>
        <v>6.7145921867960076E-2</v>
      </c>
      <c r="D34" s="55">
        <f t="shared" si="9"/>
        <v>0.56298460572328779</v>
      </c>
      <c r="E34" s="55">
        <f>+E33/E12</f>
        <v>4.6649496232156995</v>
      </c>
      <c r="F34" s="55">
        <f>+F33/F12</f>
        <v>2.2470764347160639</v>
      </c>
      <c r="G34" s="55">
        <f>+G33/G12</f>
        <v>0.19132037522432674</v>
      </c>
      <c r="H34" s="55">
        <f t="shared" si="9"/>
        <v>2.3708075052634388</v>
      </c>
      <c r="I34" s="55">
        <f t="shared" si="9"/>
        <v>5.672131033302934</v>
      </c>
      <c r="J34" s="55">
        <f t="shared" si="9"/>
        <v>0.19922166848758999</v>
      </c>
    </row>
    <row r="36" spans="1:10" x14ac:dyDescent="0.25">
      <c r="A36" s="50" t="s">
        <v>335</v>
      </c>
      <c r="B36" s="91">
        <f t="shared" ref="B36:J36" si="10">+B14+B30</f>
        <v>172.76182421494983</v>
      </c>
      <c r="C36" s="91">
        <f t="shared" si="10"/>
        <v>347.10796295627301</v>
      </c>
      <c r="D36" s="91">
        <f t="shared" si="10"/>
        <v>127.62893932975706</v>
      </c>
      <c r="E36" s="91">
        <f t="shared" si="10"/>
        <v>199.26966739025394</v>
      </c>
      <c r="F36" s="91">
        <f t="shared" si="10"/>
        <v>101.83988079156343</v>
      </c>
      <c r="G36" s="91">
        <f t="shared" si="10"/>
        <v>169.15731032487827</v>
      </c>
      <c r="H36" s="91">
        <f t="shared" si="10"/>
        <v>184.32207308016686</v>
      </c>
      <c r="I36" s="91">
        <f t="shared" si="10"/>
        <v>54.349137778503611</v>
      </c>
      <c r="J36" s="91">
        <f t="shared" si="10"/>
        <v>18.490559873297752</v>
      </c>
    </row>
    <row r="38" spans="1:10" x14ac:dyDescent="0.25">
      <c r="A38" s="50" t="s">
        <v>336</v>
      </c>
      <c r="B38" s="90">
        <f t="shared" ref="B38:J38" si="11">+B2/B14</f>
        <v>0.55398888523736822</v>
      </c>
      <c r="C38" s="90">
        <f t="shared" si="11"/>
        <v>0.48697211739631791</v>
      </c>
      <c r="D38" s="90">
        <f t="shared" si="11"/>
        <v>0.54619173649217123</v>
      </c>
      <c r="E38" s="90">
        <f t="shared" si="11"/>
        <v>0.36169932434682633</v>
      </c>
      <c r="F38" s="90">
        <f t="shared" si="11"/>
        <v>0.50037137634758211</v>
      </c>
      <c r="G38" s="90">
        <f t="shared" si="11"/>
        <v>0.56957805116965732</v>
      </c>
      <c r="H38" s="90">
        <f t="shared" si="11"/>
        <v>0.62302955747830724</v>
      </c>
      <c r="I38" s="90">
        <f t="shared" si="11"/>
        <v>0.39649628028008532</v>
      </c>
      <c r="J38" s="90">
        <f t="shared" si="11"/>
        <v>0.61706545726053286</v>
      </c>
    </row>
    <row r="40" spans="1:10" x14ac:dyDescent="0.25">
      <c r="A40" s="50" t="s">
        <v>337</v>
      </c>
      <c r="B40" s="90">
        <f t="shared" ref="B40:J40" si="12">+B2/B36</f>
        <v>0.50242581307779932</v>
      </c>
      <c r="C40" s="90">
        <f t="shared" si="12"/>
        <v>0.48543974204713597</v>
      </c>
      <c r="D40" s="90">
        <f t="shared" si="12"/>
        <v>0.51477353290737449</v>
      </c>
      <c r="E40" s="90">
        <f t="shared" si="12"/>
        <v>0.32418381004012009</v>
      </c>
      <c r="F40" s="90">
        <f t="shared" si="12"/>
        <v>0.47132812437439925</v>
      </c>
      <c r="G40" s="90">
        <f t="shared" si="12"/>
        <v>0.49657918915045535</v>
      </c>
      <c r="H40" s="90">
        <f t="shared" si="12"/>
        <v>0.56558608666830013</v>
      </c>
      <c r="I40" s="90">
        <f t="shared" si="12"/>
        <v>0.3551114293414534</v>
      </c>
      <c r="J40" s="90">
        <f t="shared" si="12"/>
        <v>0.58948999244423683</v>
      </c>
    </row>
    <row r="42" spans="1:10" x14ac:dyDescent="0.25">
      <c r="A42" s="50" t="s">
        <v>345</v>
      </c>
      <c r="B42" s="18">
        <f>+(B36*0.8)/B2-1</f>
        <v>0.59227487755714137</v>
      </c>
      <c r="C42" s="18">
        <f t="shared" ref="C42:J42" si="13">+(C36*0.8)/C2-1</f>
        <v>0.6479903285757771</v>
      </c>
      <c r="D42" s="18">
        <f t="shared" si="13"/>
        <v>0.55408145302596123</v>
      </c>
      <c r="E42" s="18">
        <f>+(E36*0.8)/E2-1</f>
        <v>1.4677358190743526</v>
      </c>
      <c r="F42" s="18">
        <f>+(F36*0.8)/F2-1</f>
        <v>0.69733134652605711</v>
      </c>
      <c r="G42" s="18">
        <f>+(G36*0.8)/G2-1</f>
        <v>0.61102200309407873</v>
      </c>
      <c r="H42" s="18">
        <f t="shared" si="13"/>
        <v>0.41446195169432598</v>
      </c>
      <c r="I42" s="18">
        <f t="shared" si="13"/>
        <v>1.252814001181497</v>
      </c>
      <c r="J42" s="18">
        <f t="shared" si="13"/>
        <v>0.35710531180166982</v>
      </c>
    </row>
    <row r="43" spans="1:10" x14ac:dyDescent="0.25">
      <c r="A43" s="50" t="s">
        <v>346</v>
      </c>
      <c r="B43" s="18">
        <f>+(B36*0.7)/B2-1</f>
        <v>0.39324051786249847</v>
      </c>
      <c r="C43" s="18">
        <f t="shared" ref="C43:J43" si="14">+(C36*0.7)/C2-1</f>
        <v>0.4419915375038046</v>
      </c>
      <c r="D43" s="18">
        <f t="shared" si="14"/>
        <v>0.3598212713977158</v>
      </c>
      <c r="E43" s="18">
        <f>+(E36*0.7)/E2-1</f>
        <v>1.1592688416900585</v>
      </c>
      <c r="F43" s="18">
        <f>+(F36*0.7)/F2-1</f>
        <v>0.48516492821029988</v>
      </c>
      <c r="G43" s="18">
        <f>+(G36*0.7)/G2-1</f>
        <v>0.40964425270731875</v>
      </c>
      <c r="H43" s="18">
        <f t="shared" si="14"/>
        <v>0.23765420773253521</v>
      </c>
      <c r="I43" s="18">
        <f t="shared" si="14"/>
        <v>0.97121225103380948</v>
      </c>
      <c r="J43" s="18">
        <f t="shared" si="14"/>
        <v>0.18746714782646112</v>
      </c>
    </row>
    <row r="44" spans="1:10" x14ac:dyDescent="0.25">
      <c r="A44" s="50" t="s">
        <v>347</v>
      </c>
      <c r="B44" s="18">
        <f>+(B36*0.6)/B2-1</f>
        <v>0.19420615816785602</v>
      </c>
      <c r="C44" s="18">
        <f t="shared" ref="C44:J44" si="15">+(C36*0.6)/C2-1</f>
        <v>0.23599274643183255</v>
      </c>
      <c r="D44" s="18">
        <f t="shared" si="15"/>
        <v>0.16556108976947082</v>
      </c>
      <c r="E44" s="18">
        <f>+(E36*0.6)/E2-1</f>
        <v>0.85080186430576421</v>
      </c>
      <c r="F44" s="18">
        <f>+(F36*0.6)/F2-1</f>
        <v>0.27299850989454288</v>
      </c>
      <c r="G44" s="18">
        <f>+(G36*0.6)/G2-1</f>
        <v>0.20826650232055899</v>
      </c>
      <c r="H44" s="18">
        <f t="shared" si="15"/>
        <v>6.084646377074443E-2</v>
      </c>
      <c r="I44" s="18">
        <f t="shared" si="15"/>
        <v>0.68961050088612241</v>
      </c>
      <c r="J44" s="18">
        <f t="shared" si="15"/>
        <v>1.7828983851252422E-2</v>
      </c>
    </row>
    <row r="46" spans="1:10" x14ac:dyDescent="0.25">
      <c r="A46" s="50" t="s">
        <v>348</v>
      </c>
    </row>
    <row r="47" spans="1:10" x14ac:dyDescent="0.25">
      <c r="A47" s="50" t="s">
        <v>349</v>
      </c>
      <c r="B47" s="91">
        <f>+B$36*0.8</f>
        <v>138.20945937195987</v>
      </c>
      <c r="C47" s="91">
        <f t="shared" ref="C47:J47" si="16">+C$36*0.8</f>
        <v>277.68637036501843</v>
      </c>
      <c r="D47" s="91">
        <f t="shared" si="16"/>
        <v>102.10315146380566</v>
      </c>
      <c r="E47" s="91">
        <f t="shared" si="16"/>
        <v>159.41573391220317</v>
      </c>
      <c r="F47" s="91">
        <f t="shared" si="16"/>
        <v>81.471904633250745</v>
      </c>
      <c r="G47" s="91">
        <f t="shared" si="16"/>
        <v>135.32584825990261</v>
      </c>
      <c r="H47" s="91">
        <f t="shared" si="16"/>
        <v>147.45765846413349</v>
      </c>
      <c r="I47" s="91">
        <f t="shared" si="16"/>
        <v>43.479310222802894</v>
      </c>
      <c r="J47" s="91">
        <f t="shared" si="16"/>
        <v>14.792447898638201</v>
      </c>
    </row>
    <row r="48" spans="1:10" x14ac:dyDescent="0.25">
      <c r="A48" s="50" t="s">
        <v>350</v>
      </c>
      <c r="B48" s="91">
        <f>+B$36*0.7</f>
        <v>120.93327695046487</v>
      </c>
      <c r="C48" s="91">
        <f t="shared" ref="C48:J48" si="17">+C$36*0.7</f>
        <v>242.97557406939109</v>
      </c>
      <c r="D48" s="91">
        <f t="shared" si="17"/>
        <v>89.34025753082993</v>
      </c>
      <c r="E48" s="91">
        <f t="shared" si="17"/>
        <v>139.48876717317776</v>
      </c>
      <c r="F48" s="91">
        <f t="shared" si="17"/>
        <v>71.287916554094394</v>
      </c>
      <c r="G48" s="91">
        <f t="shared" si="17"/>
        <v>118.41011722741477</v>
      </c>
      <c r="H48" s="91">
        <f t="shared" si="17"/>
        <v>129.02545115611679</v>
      </c>
      <c r="I48" s="91">
        <f t="shared" si="17"/>
        <v>38.044396444952525</v>
      </c>
      <c r="J48" s="91">
        <f t="shared" si="17"/>
        <v>12.943391911308426</v>
      </c>
    </row>
    <row r="49" spans="1:10" x14ac:dyDescent="0.25">
      <c r="A49" s="50" t="s">
        <v>351</v>
      </c>
      <c r="B49" s="91">
        <f>+B$36*0.6</f>
        <v>103.65709452896989</v>
      </c>
      <c r="C49" s="91">
        <f t="shared" ref="C49:J49" si="18">+C$36*0.6</f>
        <v>208.2647777737638</v>
      </c>
      <c r="D49" s="91">
        <f t="shared" si="18"/>
        <v>76.57736359785423</v>
      </c>
      <c r="E49" s="91">
        <f t="shared" si="18"/>
        <v>119.56180043415236</v>
      </c>
      <c r="F49" s="91">
        <f t="shared" si="18"/>
        <v>61.103928474938058</v>
      </c>
      <c r="G49" s="91">
        <f t="shared" si="18"/>
        <v>101.49438619492696</v>
      </c>
      <c r="H49" s="91">
        <f t="shared" si="18"/>
        <v>110.59324384810012</v>
      </c>
      <c r="I49" s="91">
        <f t="shared" si="18"/>
        <v>32.609482667102164</v>
      </c>
      <c r="J49" s="91">
        <f t="shared" si="18"/>
        <v>11.094335923978651</v>
      </c>
    </row>
  </sheetData>
  <pageMargins left="0.7" right="0.7" top="0.75" bottom="0.75" header="0.3" footer="0.3"/>
  <drawing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E88C-8E04-4E3C-B9FC-7ECB4B3AE692}">
  <dimension ref="A1:N93"/>
  <sheetViews>
    <sheetView workbookViewId="0">
      <pane ySplit="1" topLeftCell="A29" activePane="bottomLeft" state="frozen"/>
      <selection pane="bottomLeft" activeCell="F58" sqref="F58"/>
    </sheetView>
  </sheetViews>
  <sheetFormatPr defaultColWidth="8.85546875" defaultRowHeight="15" x14ac:dyDescent="0.25"/>
  <cols>
    <col min="1" max="1" width="33" style="50" customWidth="1"/>
    <col min="2" max="10" width="12.28515625" style="50" bestFit="1" customWidth="1"/>
    <col min="11" max="13" width="8.85546875" style="50"/>
    <col min="14" max="14" width="10" style="50" bestFit="1" customWidth="1"/>
    <col min="15" max="16384" width="8.85546875" style="50"/>
  </cols>
  <sheetData>
    <row r="1" spans="1:14" s="49" customFormat="1" x14ac:dyDescent="0.25">
      <c r="A1" s="98">
        <v>45290</v>
      </c>
      <c r="B1" s="85" t="s">
        <v>322</v>
      </c>
      <c r="C1" s="85" t="s">
        <v>116</v>
      </c>
      <c r="D1" s="85" t="s">
        <v>228</v>
      </c>
      <c r="E1" s="85" t="s">
        <v>119</v>
      </c>
      <c r="F1" s="85" t="s">
        <v>341</v>
      </c>
      <c r="G1" s="85" t="s">
        <v>338</v>
      </c>
      <c r="H1" s="85" t="s">
        <v>339</v>
      </c>
      <c r="I1" s="85" t="s">
        <v>340</v>
      </c>
      <c r="J1" s="85" t="s">
        <v>342</v>
      </c>
      <c r="L1" s="49" t="s">
        <v>1013</v>
      </c>
      <c r="N1" s="49">
        <v>299</v>
      </c>
    </row>
    <row r="2" spans="1:14" x14ac:dyDescent="0.25">
      <c r="A2" s="95" t="s">
        <v>8</v>
      </c>
      <c r="B2" s="97">
        <v>114.5</v>
      </c>
      <c r="C2" s="97">
        <v>200</v>
      </c>
      <c r="D2" s="97">
        <v>80.400000000000006</v>
      </c>
      <c r="E2" s="97">
        <v>76.599999999999994</v>
      </c>
      <c r="F2" s="97">
        <v>49</v>
      </c>
      <c r="G2" s="97">
        <v>83</v>
      </c>
      <c r="H2" s="97">
        <v>114.25</v>
      </c>
      <c r="I2" s="97">
        <v>23</v>
      </c>
      <c r="J2" s="97">
        <v>10.4</v>
      </c>
    </row>
    <row r="3" spans="1:14" x14ac:dyDescent="0.25">
      <c r="A3" s="95"/>
      <c r="B3" s="97"/>
      <c r="C3" s="97"/>
      <c r="D3" s="97"/>
      <c r="E3" s="97"/>
      <c r="F3" s="97"/>
      <c r="G3" s="97"/>
      <c r="H3" s="97"/>
      <c r="I3" s="97"/>
      <c r="J3" s="97"/>
    </row>
    <row r="4" spans="1:14" x14ac:dyDescent="0.25">
      <c r="A4" s="95" t="s">
        <v>1017</v>
      </c>
      <c r="B4" s="53">
        <v>21114675</v>
      </c>
      <c r="C4" s="53">
        <v>22770791</v>
      </c>
      <c r="D4" s="53">
        <v>17924282</v>
      </c>
      <c r="E4" s="53"/>
      <c r="F4" s="53">
        <v>6256214</v>
      </c>
      <c r="G4" s="53">
        <v>8485146</v>
      </c>
      <c r="H4" s="53">
        <v>11470881</v>
      </c>
      <c r="I4" s="53">
        <v>1854965</v>
      </c>
      <c r="J4" s="53"/>
    </row>
    <row r="5" spans="1:14" x14ac:dyDescent="0.25">
      <c r="A5" s="95" t="s">
        <v>29</v>
      </c>
      <c r="B5" s="91">
        <f>+B4/B15</f>
        <v>16.06752570224257</v>
      </c>
      <c r="C5" s="91">
        <f>+C4/C15</f>
        <v>40.681131630159214</v>
      </c>
      <c r="D5" s="91">
        <f>+D4/D15</f>
        <v>15.284617023698356</v>
      </c>
      <c r="E5" s="91"/>
      <c r="F5" s="91">
        <f>+F4/F15</f>
        <v>10.16528324916211</v>
      </c>
      <c r="G5" s="91">
        <f>+G4/G15</f>
        <v>20.109427769120391</v>
      </c>
      <c r="H5" s="91">
        <f>+H4/H15</f>
        <v>35.889125948204239</v>
      </c>
      <c r="I5" s="91">
        <f>+I4/I15</f>
        <v>4.1914275401404035</v>
      </c>
      <c r="J5" s="91"/>
    </row>
    <row r="6" spans="1:14" x14ac:dyDescent="0.25">
      <c r="A6" s="95"/>
      <c r="B6" s="97"/>
      <c r="C6" s="97"/>
      <c r="D6" s="97"/>
      <c r="E6" s="97"/>
      <c r="F6" s="97"/>
      <c r="G6" s="97"/>
      <c r="H6" s="97"/>
      <c r="I6" s="97"/>
      <c r="J6" s="97"/>
    </row>
    <row r="7" spans="1:14" x14ac:dyDescent="0.25">
      <c r="A7" s="50" t="s">
        <v>323</v>
      </c>
      <c r="B7" s="53">
        <v>29449653</v>
      </c>
      <c r="C7" s="53">
        <v>801065</v>
      </c>
      <c r="D7" s="53">
        <v>4841302</v>
      </c>
      <c r="E7" s="53"/>
      <c r="F7" s="53">
        <v>27753867</v>
      </c>
      <c r="G7" s="53">
        <v>1740928</v>
      </c>
      <c r="H7" s="53">
        <v>10934069</v>
      </c>
      <c r="I7" s="53">
        <v>4277569</v>
      </c>
      <c r="J7" s="53"/>
    </row>
    <row r="8" spans="1:14" x14ac:dyDescent="0.25">
      <c r="A8" s="50" t="s">
        <v>352</v>
      </c>
      <c r="B8" s="53">
        <v>685155537</v>
      </c>
      <c r="C8" s="53">
        <v>584131263</v>
      </c>
      <c r="D8" s="53">
        <v>373899842</v>
      </c>
      <c r="E8" s="53"/>
      <c r="F8" s="53">
        <v>104625662</v>
      </c>
      <c r="G8" s="53">
        <v>68094041</v>
      </c>
      <c r="H8" s="53">
        <v>97357849</v>
      </c>
      <c r="I8" s="53">
        <v>80216838</v>
      </c>
      <c r="J8" s="53"/>
    </row>
    <row r="9" spans="1:14" x14ac:dyDescent="0.25">
      <c r="A9" s="50" t="s">
        <v>324</v>
      </c>
      <c r="B9" s="53">
        <v>287732972</v>
      </c>
      <c r="C9" s="53">
        <v>195975307</v>
      </c>
      <c r="D9" s="53">
        <v>216022351</v>
      </c>
      <c r="E9" s="53"/>
      <c r="F9" s="53">
        <v>40286865</v>
      </c>
      <c r="G9" s="53">
        <v>134902765</v>
      </c>
      <c r="H9" s="53">
        <v>79922903</v>
      </c>
      <c r="I9" s="53">
        <v>3752</v>
      </c>
      <c r="J9" s="53"/>
    </row>
    <row r="11" spans="1:14" x14ac:dyDescent="0.25">
      <c r="A11" s="50" t="s">
        <v>325</v>
      </c>
      <c r="B11" s="53">
        <v>2655611675</v>
      </c>
      <c r="C11" s="53">
        <v>2047040410</v>
      </c>
      <c r="D11" s="53">
        <v>1587375988</v>
      </c>
      <c r="E11" s="53">
        <v>799750741</v>
      </c>
      <c r="F11" s="53">
        <v>717993290</v>
      </c>
      <c r="G11" s="53">
        <v>645068398</v>
      </c>
      <c r="H11" s="53">
        <v>516134384</v>
      </c>
      <c r="I11" s="53">
        <v>233456323</v>
      </c>
      <c r="J11" s="53">
        <v>136990335</v>
      </c>
    </row>
    <row r="13" spans="1:14" x14ac:dyDescent="0.25">
      <c r="A13" s="50" t="s">
        <v>54</v>
      </c>
      <c r="B13" s="53">
        <v>220470707</v>
      </c>
      <c r="C13" s="53">
        <v>212240046</v>
      </c>
      <c r="D13" s="53">
        <v>157830492</v>
      </c>
      <c r="E13" s="53">
        <v>71344888</v>
      </c>
      <c r="F13" s="53">
        <v>62381806</v>
      </c>
      <c r="G13" s="53">
        <v>71983613</v>
      </c>
      <c r="H13" s="53">
        <v>61126137</v>
      </c>
      <c r="I13" s="53">
        <v>22597651</v>
      </c>
      <c r="J13" s="53">
        <v>19140248</v>
      </c>
    </row>
    <row r="15" spans="1:14" x14ac:dyDescent="0.25">
      <c r="A15" s="50" t="s">
        <v>56</v>
      </c>
      <c r="B15" s="53">
        <f>1236525.395+77595.733</f>
        <v>1314121.128</v>
      </c>
      <c r="C15" s="53">
        <f>446651.811+ 113086.576</f>
        <v>559738.38699999999</v>
      </c>
      <c r="D15" s="53">
        <v>1172700.76</v>
      </c>
      <c r="E15" s="53">
        <v>399464.36200000002</v>
      </c>
      <c r="F15" s="53">
        <v>615449.05799999996</v>
      </c>
      <c r="G15" s="53">
        <v>421948.65500000003</v>
      </c>
      <c r="H15" s="53">
        <f>276248.008+43371.952</f>
        <v>319619.95999999996</v>
      </c>
      <c r="I15" s="53">
        <v>442561.62900000002</v>
      </c>
      <c r="J15" s="53">
        <v>1083558.338</v>
      </c>
    </row>
    <row r="17" spans="1:10" x14ac:dyDescent="0.25">
      <c r="A17" s="50" t="s">
        <v>31</v>
      </c>
      <c r="B17" s="91">
        <f t="shared" ref="B17:J17" si="0">+B13/B15</f>
        <v>167.77046065421757</v>
      </c>
      <c r="C17" s="91">
        <f t="shared" si="0"/>
        <v>379.17722087550879</v>
      </c>
      <c r="D17" s="91">
        <f t="shared" si="0"/>
        <v>134.58718317876762</v>
      </c>
      <c r="E17" s="91">
        <f t="shared" si="0"/>
        <v>178.60138422060288</v>
      </c>
      <c r="F17" s="91">
        <f t="shared" si="0"/>
        <v>101.3598204256249</v>
      </c>
      <c r="G17" s="91">
        <f t="shared" si="0"/>
        <v>170.59803875900491</v>
      </c>
      <c r="H17" s="91">
        <f t="shared" si="0"/>
        <v>191.2463070203751</v>
      </c>
      <c r="I17" s="91">
        <f t="shared" si="0"/>
        <v>51.061026350298434</v>
      </c>
      <c r="J17" s="91">
        <f t="shared" si="0"/>
        <v>17.664252425327192</v>
      </c>
    </row>
    <row r="19" spans="1:10" x14ac:dyDescent="0.25">
      <c r="A19" s="50" t="s">
        <v>326</v>
      </c>
      <c r="B19" s="96">
        <f t="shared" ref="B19:J19" si="1">+(B9+B7)/B11</f>
        <v>0.11943863177962569</v>
      </c>
      <c r="C19" s="96">
        <f t="shared" si="1"/>
        <v>9.6127253296382165E-2</v>
      </c>
      <c r="D19" s="96">
        <f t="shared" si="1"/>
        <v>0.13913757967214507</v>
      </c>
      <c r="E19" s="96">
        <f t="shared" si="1"/>
        <v>0</v>
      </c>
      <c r="F19" s="96">
        <f t="shared" si="1"/>
        <v>9.476513631485331E-2</v>
      </c>
      <c r="G19" s="96">
        <f t="shared" si="1"/>
        <v>0.21182822383433517</v>
      </c>
      <c r="H19" s="96">
        <f t="shared" si="1"/>
        <v>0.17603355795803755</v>
      </c>
      <c r="I19" s="96">
        <f t="shared" si="1"/>
        <v>1.8338852188638302E-2</v>
      </c>
      <c r="J19" s="96">
        <f t="shared" si="1"/>
        <v>0</v>
      </c>
    </row>
    <row r="21" spans="1:10" x14ac:dyDescent="0.25">
      <c r="A21" s="50" t="s">
        <v>327</v>
      </c>
      <c r="B21" s="159">
        <f>(4216053+69308528)/(29449653+287732972)</f>
        <v>0.23180519740007827</v>
      </c>
      <c r="C21" s="96"/>
      <c r="D21" s="96"/>
      <c r="E21" s="96"/>
      <c r="F21" s="96"/>
      <c r="G21" s="96"/>
      <c r="H21" s="96"/>
      <c r="I21" s="96"/>
      <c r="J21" s="96"/>
    </row>
    <row r="22" spans="1:10" x14ac:dyDescent="0.25">
      <c r="A22" s="50" t="s">
        <v>328</v>
      </c>
      <c r="B22" s="159">
        <f>(0+186265311)/(29449653+287732972)</f>
        <v>0.58724941506490147</v>
      </c>
      <c r="C22" s="96"/>
      <c r="D22" s="96"/>
      <c r="E22" s="96"/>
      <c r="F22" s="96"/>
      <c r="G22" s="96"/>
      <c r="H22" s="96"/>
      <c r="I22" s="96"/>
      <c r="J22" s="96"/>
    </row>
    <row r="23" spans="1:10" x14ac:dyDescent="0.25">
      <c r="B23" s="159"/>
      <c r="C23" s="96"/>
      <c r="D23" s="96"/>
      <c r="E23" s="96"/>
      <c r="F23" s="96"/>
      <c r="G23" s="96"/>
      <c r="H23" s="96"/>
      <c r="I23" s="96"/>
      <c r="J23" s="96"/>
    </row>
    <row r="24" spans="1:10" x14ac:dyDescent="0.25">
      <c r="A24" s="50" t="s">
        <v>1005</v>
      </c>
      <c r="B24" s="53">
        <v>184464585</v>
      </c>
      <c r="C24" s="53">
        <v>196305095</v>
      </c>
      <c r="D24" s="53">
        <v>33244652</v>
      </c>
      <c r="E24" s="53"/>
      <c r="F24" s="53">
        <v>12094919</v>
      </c>
      <c r="G24" s="53">
        <v>4593551</v>
      </c>
      <c r="H24" s="53">
        <v>8709309</v>
      </c>
      <c r="I24" s="53">
        <v>12793257</v>
      </c>
      <c r="J24" s="53"/>
    </row>
    <row r="25" spans="1:10" x14ac:dyDescent="0.25">
      <c r="A25" s="50" t="s">
        <v>1012</v>
      </c>
      <c r="B25" s="53">
        <v>95900000</v>
      </c>
      <c r="C25" s="53">
        <v>102100000</v>
      </c>
      <c r="D25" s="53">
        <v>16622325</v>
      </c>
      <c r="E25" s="53"/>
      <c r="F25" s="53">
        <v>6289358</v>
      </c>
      <c r="G25" s="53">
        <v>2296775</v>
      </c>
      <c r="H25" s="53">
        <v>5538334</v>
      </c>
      <c r="I25" s="53">
        <v>6396629</v>
      </c>
      <c r="J25" s="53"/>
    </row>
    <row r="26" spans="1:10" x14ac:dyDescent="0.25">
      <c r="A26" s="50" t="s">
        <v>1014</v>
      </c>
      <c r="B26" s="55">
        <v>569.5</v>
      </c>
      <c r="C26" s="53"/>
      <c r="D26" s="53"/>
      <c r="E26" s="53"/>
      <c r="F26" s="53"/>
      <c r="G26" s="53"/>
      <c r="H26" s="53"/>
      <c r="I26" s="53"/>
      <c r="J26" s="53"/>
    </row>
    <row r="27" spans="1:10" x14ac:dyDescent="0.25">
      <c r="A27" s="50" t="s">
        <v>1015</v>
      </c>
      <c r="B27" s="53">
        <v>52</v>
      </c>
      <c r="C27" s="53">
        <v>52</v>
      </c>
      <c r="D27" s="53">
        <v>50</v>
      </c>
      <c r="E27" s="53"/>
      <c r="F27" s="53">
        <v>52</v>
      </c>
      <c r="G27" s="53">
        <v>50</v>
      </c>
      <c r="H27" s="53">
        <v>64</v>
      </c>
      <c r="I27" s="53">
        <v>50</v>
      </c>
      <c r="J27" s="53"/>
    </row>
    <row r="28" spans="1:10" x14ac:dyDescent="0.25">
      <c r="H28" s="144"/>
    </row>
    <row r="29" spans="1:10" x14ac:dyDescent="0.25">
      <c r="A29" s="50" t="s">
        <v>329</v>
      </c>
      <c r="B29" s="18">
        <v>0.1</v>
      </c>
      <c r="C29" s="18">
        <f>B29</f>
        <v>0.1</v>
      </c>
      <c r="D29" s="18">
        <f t="shared" ref="D29:J29" si="2">C29</f>
        <v>0.1</v>
      </c>
      <c r="E29" s="18">
        <f t="shared" si="2"/>
        <v>0.1</v>
      </c>
      <c r="F29" s="18">
        <f t="shared" si="2"/>
        <v>0.1</v>
      </c>
      <c r="G29" s="18">
        <f t="shared" si="2"/>
        <v>0.1</v>
      </c>
      <c r="H29" s="18">
        <f t="shared" si="2"/>
        <v>0.1</v>
      </c>
      <c r="I29" s="18">
        <f t="shared" si="2"/>
        <v>0.1</v>
      </c>
      <c r="J29" s="18">
        <f t="shared" si="2"/>
        <v>0.1</v>
      </c>
    </row>
    <row r="31" spans="1:10" x14ac:dyDescent="0.25">
      <c r="A31" s="50" t="s">
        <v>330</v>
      </c>
      <c r="B31" s="53">
        <f t="shared" ref="B31:J31" si="3">+(B$7+B$9)*0.3</f>
        <v>95154787.5</v>
      </c>
      <c r="C31" s="53">
        <f t="shared" si="3"/>
        <v>59032911.600000001</v>
      </c>
      <c r="D31" s="53">
        <f t="shared" si="3"/>
        <v>66259095.899999999</v>
      </c>
      <c r="E31" s="53">
        <f t="shared" si="3"/>
        <v>0</v>
      </c>
      <c r="F31" s="53">
        <f t="shared" si="3"/>
        <v>20412219.599999998</v>
      </c>
      <c r="G31" s="53">
        <f t="shared" si="3"/>
        <v>40993107.899999999</v>
      </c>
      <c r="H31" s="53">
        <f t="shared" si="3"/>
        <v>27257091.599999998</v>
      </c>
      <c r="I31" s="53">
        <f t="shared" si="3"/>
        <v>1284396.3</v>
      </c>
      <c r="J31" s="53">
        <f t="shared" si="3"/>
        <v>0</v>
      </c>
    </row>
    <row r="32" spans="1:10" x14ac:dyDescent="0.25">
      <c r="A32" s="50" t="s">
        <v>331</v>
      </c>
      <c r="B32" s="53">
        <f t="shared" ref="B32:J32" si="4">+(B$7+B$9)*0.4</f>
        <v>126873050</v>
      </c>
      <c r="C32" s="53">
        <f t="shared" si="4"/>
        <v>78710548.799999997</v>
      </c>
      <c r="D32" s="53">
        <f t="shared" si="4"/>
        <v>88345461.200000003</v>
      </c>
      <c r="E32" s="53">
        <f t="shared" si="4"/>
        <v>0</v>
      </c>
      <c r="F32" s="53">
        <f t="shared" si="4"/>
        <v>27216292.800000001</v>
      </c>
      <c r="G32" s="53">
        <f t="shared" si="4"/>
        <v>54657477.200000003</v>
      </c>
      <c r="H32" s="53">
        <f t="shared" si="4"/>
        <v>36342788.800000004</v>
      </c>
      <c r="I32" s="53">
        <f t="shared" si="4"/>
        <v>1712528.4000000001</v>
      </c>
      <c r="J32" s="53">
        <f t="shared" si="4"/>
        <v>0</v>
      </c>
    </row>
    <row r="34" spans="1:10" x14ac:dyDescent="0.25">
      <c r="A34" s="50" t="s">
        <v>332</v>
      </c>
      <c r="B34" s="53">
        <f t="shared" ref="B34:J35" si="5">+B$29*B31</f>
        <v>9515478.75</v>
      </c>
      <c r="C34" s="53">
        <f t="shared" si="5"/>
        <v>5903291.1600000001</v>
      </c>
      <c r="D34" s="53">
        <f t="shared" si="5"/>
        <v>6625909.5899999999</v>
      </c>
      <c r="E34" s="53">
        <f t="shared" si="5"/>
        <v>0</v>
      </c>
      <c r="F34" s="53">
        <f t="shared" si="5"/>
        <v>2041221.96</v>
      </c>
      <c r="G34" s="53">
        <f t="shared" si="5"/>
        <v>4099310.79</v>
      </c>
      <c r="H34" s="53">
        <f t="shared" si="5"/>
        <v>2725709.16</v>
      </c>
      <c r="I34" s="53">
        <f t="shared" si="5"/>
        <v>128439.63</v>
      </c>
      <c r="J34" s="53">
        <f t="shared" si="5"/>
        <v>0</v>
      </c>
    </row>
    <row r="35" spans="1:10" x14ac:dyDescent="0.25">
      <c r="A35" s="50" t="s">
        <v>333</v>
      </c>
      <c r="B35" s="53">
        <f t="shared" si="5"/>
        <v>12687305</v>
      </c>
      <c r="C35" s="53">
        <f t="shared" si="5"/>
        <v>7871054.8799999999</v>
      </c>
      <c r="D35" s="53">
        <f t="shared" si="5"/>
        <v>8834546.120000001</v>
      </c>
      <c r="E35" s="53">
        <f t="shared" si="5"/>
        <v>0</v>
      </c>
      <c r="F35" s="53">
        <f t="shared" si="5"/>
        <v>2721629.2800000003</v>
      </c>
      <c r="G35" s="53">
        <f t="shared" si="5"/>
        <v>5465747.7200000007</v>
      </c>
      <c r="H35" s="53">
        <f t="shared" si="5"/>
        <v>3634278.8800000008</v>
      </c>
      <c r="I35" s="53">
        <f t="shared" si="5"/>
        <v>171252.84000000003</v>
      </c>
      <c r="J35" s="53">
        <f t="shared" si="5"/>
        <v>0</v>
      </c>
    </row>
    <row r="37" spans="1:10" x14ac:dyDescent="0.25">
      <c r="A37" s="50" t="s">
        <v>334</v>
      </c>
    </row>
    <row r="38" spans="1:10" x14ac:dyDescent="0.25">
      <c r="A38" s="50" t="s">
        <v>332</v>
      </c>
      <c r="B38" s="55">
        <f t="shared" ref="B38:J39" si="6">+B34/B$15</f>
        <v>7.2409449534396346</v>
      </c>
      <c r="C38" s="55">
        <f t="shared" si="6"/>
        <v>10.546518332679584</v>
      </c>
      <c r="D38" s="55">
        <f t="shared" si="6"/>
        <v>5.6501281622773059</v>
      </c>
      <c r="E38" s="55">
        <f t="shared" si="6"/>
        <v>0</v>
      </c>
      <c r="F38" s="55">
        <f t="shared" si="6"/>
        <v>3.3166383691174648</v>
      </c>
      <c r="G38" s="55">
        <f t="shared" si="6"/>
        <v>9.7151886643648613</v>
      </c>
      <c r="H38" s="55">
        <f t="shared" si="6"/>
        <v>8.5279691543669571</v>
      </c>
      <c r="I38" s="55">
        <f t="shared" si="6"/>
        <v>0.29021863077063104</v>
      </c>
      <c r="J38" s="55">
        <f t="shared" si="6"/>
        <v>0</v>
      </c>
    </row>
    <row r="39" spans="1:10" x14ac:dyDescent="0.25">
      <c r="A39" s="50" t="s">
        <v>333</v>
      </c>
      <c r="B39" s="55">
        <f t="shared" si="6"/>
        <v>9.6545932712528462</v>
      </c>
      <c r="C39" s="55">
        <f t="shared" si="6"/>
        <v>14.062024443572779</v>
      </c>
      <c r="D39" s="55">
        <f t="shared" si="6"/>
        <v>7.5335042163697423</v>
      </c>
      <c r="E39" s="55">
        <f t="shared" si="6"/>
        <v>0</v>
      </c>
      <c r="F39" s="55">
        <f t="shared" si="6"/>
        <v>4.42218449215662</v>
      </c>
      <c r="G39" s="55">
        <f t="shared" si="6"/>
        <v>12.953584885819817</v>
      </c>
      <c r="H39" s="55">
        <f t="shared" si="6"/>
        <v>11.370625539155943</v>
      </c>
      <c r="I39" s="55">
        <f t="shared" si="6"/>
        <v>0.38695817436084146</v>
      </c>
      <c r="J39" s="55">
        <f t="shared" si="6"/>
        <v>0</v>
      </c>
    </row>
    <row r="40" spans="1:10" x14ac:dyDescent="0.25">
      <c r="B40" s="55"/>
      <c r="C40" s="55"/>
      <c r="D40" s="55"/>
      <c r="E40" s="55"/>
      <c r="F40" s="55"/>
      <c r="G40" s="55"/>
      <c r="H40" s="55"/>
      <c r="I40" s="55"/>
      <c r="J40" s="55"/>
    </row>
    <row r="41" spans="1:10" x14ac:dyDescent="0.25">
      <c r="A41" s="50" t="s">
        <v>343</v>
      </c>
      <c r="B41" s="53">
        <f t="shared" ref="B41:J41" si="7">+B7*0.3*B29</f>
        <v>883489.59000000008</v>
      </c>
      <c r="C41" s="53">
        <f t="shared" si="7"/>
        <v>24031.95</v>
      </c>
      <c r="D41" s="53">
        <f t="shared" si="7"/>
        <v>145239.06</v>
      </c>
      <c r="E41" s="53">
        <f t="shared" si="7"/>
        <v>0</v>
      </c>
      <c r="F41" s="53">
        <f t="shared" si="7"/>
        <v>832616.01</v>
      </c>
      <c r="G41" s="53">
        <f t="shared" si="7"/>
        <v>52227.839999999997</v>
      </c>
      <c r="H41" s="53">
        <f t="shared" si="7"/>
        <v>328022.07</v>
      </c>
      <c r="I41" s="53">
        <f t="shared" si="7"/>
        <v>128327.07</v>
      </c>
      <c r="J41" s="53">
        <f t="shared" si="7"/>
        <v>0</v>
      </c>
    </row>
    <row r="42" spans="1:10" x14ac:dyDescent="0.25">
      <c r="A42" s="50" t="s">
        <v>344</v>
      </c>
      <c r="B42" s="55">
        <f t="shared" ref="B42:J42" si="8">+B41/B15</f>
        <v>0.67230453203701934</v>
      </c>
      <c r="C42" s="55">
        <f t="shared" si="8"/>
        <v>4.2934253855274718E-2</v>
      </c>
      <c r="D42" s="55">
        <f t="shared" si="8"/>
        <v>0.12385006043656013</v>
      </c>
      <c r="E42" s="55">
        <f t="shared" si="8"/>
        <v>0</v>
      </c>
      <c r="F42" s="55">
        <f t="shared" si="8"/>
        <v>1.3528593458339488</v>
      </c>
      <c r="G42" s="55">
        <f t="shared" si="8"/>
        <v>0.12377771413917647</v>
      </c>
      <c r="H42" s="55">
        <f t="shared" si="8"/>
        <v>1.0262878138148821</v>
      </c>
      <c r="I42" s="55">
        <f t="shared" si="8"/>
        <v>0.2899642933120169</v>
      </c>
      <c r="J42" s="55">
        <f t="shared" si="8"/>
        <v>0</v>
      </c>
    </row>
    <row r="44" spans="1:10" x14ac:dyDescent="0.25">
      <c r="A44" s="50" t="s">
        <v>335</v>
      </c>
      <c r="B44" s="91">
        <f t="shared" ref="B44:J44" si="9">+B17+B38</f>
        <v>175.0114056076572</v>
      </c>
      <c r="C44" s="91">
        <f t="shared" si="9"/>
        <v>389.72373920818836</v>
      </c>
      <c r="D44" s="91">
        <f t="shared" si="9"/>
        <v>140.23731134104492</v>
      </c>
      <c r="E44" s="91">
        <f t="shared" si="9"/>
        <v>178.60138422060288</v>
      </c>
      <c r="F44" s="91">
        <f t="shared" si="9"/>
        <v>104.67645879474237</v>
      </c>
      <c r="G44" s="91">
        <f t="shared" si="9"/>
        <v>180.31322742336977</v>
      </c>
      <c r="H44" s="91">
        <f t="shared" si="9"/>
        <v>199.77427617474206</v>
      </c>
      <c r="I44" s="91">
        <f t="shared" si="9"/>
        <v>51.351244981069065</v>
      </c>
      <c r="J44" s="91">
        <f t="shared" si="9"/>
        <v>17.664252425327192</v>
      </c>
    </row>
    <row r="46" spans="1:10" x14ac:dyDescent="0.25">
      <c r="A46" s="162" t="s">
        <v>336</v>
      </c>
      <c r="B46" s="163">
        <f t="shared" ref="B46:J46" si="10">+B2/B17</f>
        <v>0.68248009544415345</v>
      </c>
      <c r="C46" s="163">
        <f t="shared" si="10"/>
        <v>0.52745784553778319</v>
      </c>
      <c r="D46" s="163">
        <f t="shared" si="10"/>
        <v>0.59738229228861561</v>
      </c>
      <c r="E46" s="163">
        <f t="shared" si="10"/>
        <v>0.42888805332766095</v>
      </c>
      <c r="F46" s="163">
        <f t="shared" si="10"/>
        <v>0.48342627082646494</v>
      </c>
      <c r="G46" s="163">
        <f t="shared" si="10"/>
        <v>0.4865237643045231</v>
      </c>
      <c r="H46" s="163">
        <f t="shared" si="10"/>
        <v>0.59739715647334291</v>
      </c>
      <c r="I46" s="163">
        <f t="shared" si="10"/>
        <v>0.45044139618759493</v>
      </c>
      <c r="J46" s="163">
        <f t="shared" si="10"/>
        <v>0.58875970234032493</v>
      </c>
    </row>
    <row r="48" spans="1:10" x14ac:dyDescent="0.25">
      <c r="A48" s="50" t="s">
        <v>337</v>
      </c>
      <c r="B48" s="90">
        <f t="shared" ref="B48:J48" si="11">+B2/B44</f>
        <v>0.65424307405819915</v>
      </c>
      <c r="C48" s="90">
        <f t="shared" si="11"/>
        <v>0.51318403237725541</v>
      </c>
      <c r="D48" s="90">
        <f t="shared" si="11"/>
        <v>0.57331390078118527</v>
      </c>
      <c r="E48" s="90">
        <f t="shared" si="11"/>
        <v>0.42888805332766095</v>
      </c>
      <c r="F48" s="90">
        <f t="shared" si="11"/>
        <v>0.4681090721275063</v>
      </c>
      <c r="G48" s="90">
        <f t="shared" si="11"/>
        <v>0.46031010140547601</v>
      </c>
      <c r="H48" s="90">
        <f t="shared" si="11"/>
        <v>0.5718954521455295</v>
      </c>
      <c r="I48" s="90">
        <f t="shared" si="11"/>
        <v>0.44789566462271913</v>
      </c>
      <c r="J48" s="90">
        <f t="shared" si="11"/>
        <v>0.58875970234032493</v>
      </c>
    </row>
    <row r="49" spans="1:10" x14ac:dyDescent="0.25">
      <c r="B49" s="90"/>
      <c r="C49" s="90"/>
      <c r="D49" s="90"/>
      <c r="E49" s="90"/>
      <c r="F49" s="90"/>
      <c r="G49" s="90"/>
      <c r="H49" s="90"/>
      <c r="I49" s="90"/>
      <c r="J49" s="90"/>
    </row>
    <row r="50" spans="1:10" x14ac:dyDescent="0.25">
      <c r="A50" s="50" t="s">
        <v>1004</v>
      </c>
      <c r="B50" s="90">
        <v>3.32</v>
      </c>
      <c r="C50" s="90">
        <v>5.66</v>
      </c>
      <c r="D50" s="90">
        <v>5.16</v>
      </c>
      <c r="E50" s="90"/>
      <c r="F50" s="90">
        <v>5.76</v>
      </c>
      <c r="G50" s="90">
        <v>5.18</v>
      </c>
      <c r="H50" s="90">
        <v>7.72</v>
      </c>
      <c r="I50" s="90">
        <v>4.67</v>
      </c>
      <c r="J50" s="90"/>
    </row>
    <row r="51" spans="1:10" x14ac:dyDescent="0.25">
      <c r="A51" s="50" t="s">
        <v>1009</v>
      </c>
      <c r="B51" s="90">
        <v>5.85</v>
      </c>
      <c r="C51" s="90">
        <v>3.76</v>
      </c>
      <c r="D51" s="90">
        <v>5.87</v>
      </c>
      <c r="E51" s="90"/>
      <c r="F51" s="90">
        <v>3.85</v>
      </c>
      <c r="G51" s="90">
        <v>7.03</v>
      </c>
      <c r="H51" s="90">
        <v>2.34</v>
      </c>
      <c r="I51" s="90">
        <v>4.3600000000000003</v>
      </c>
      <c r="J51" s="90"/>
    </row>
    <row r="52" spans="1:10" x14ac:dyDescent="0.25">
      <c r="A52" s="50" t="s">
        <v>1010</v>
      </c>
      <c r="B52" s="90">
        <v>43.22</v>
      </c>
      <c r="C52" s="90">
        <v>57.49</v>
      </c>
      <c r="D52" s="90">
        <v>57.8</v>
      </c>
      <c r="E52" s="90"/>
      <c r="F52" s="90">
        <v>68.290000000000006</v>
      </c>
      <c r="G52" s="90">
        <v>49.31</v>
      </c>
      <c r="H52" s="90">
        <v>55.3</v>
      </c>
      <c r="I52" s="90">
        <v>47.13</v>
      </c>
      <c r="J52" s="90"/>
    </row>
    <row r="53" spans="1:10" x14ac:dyDescent="0.25">
      <c r="A53" s="50" t="s">
        <v>1011</v>
      </c>
      <c r="B53" s="90">
        <v>36.11</v>
      </c>
      <c r="C53" s="90">
        <v>29.9</v>
      </c>
      <c r="D53" s="90">
        <v>35.700000000000003</v>
      </c>
      <c r="E53" s="90"/>
      <c r="F53" s="90"/>
      <c r="G53" s="90">
        <v>29.41</v>
      </c>
      <c r="H53" s="90"/>
      <c r="I53" s="90"/>
      <c r="J53" s="90"/>
    </row>
    <row r="54" spans="1:10" x14ac:dyDescent="0.25">
      <c r="A54" s="50" t="s">
        <v>88</v>
      </c>
      <c r="B54" s="90">
        <v>9.7799999999999994</v>
      </c>
      <c r="C54" s="90">
        <v>11.59</v>
      </c>
      <c r="D54" s="90">
        <v>12.65</v>
      </c>
      <c r="E54" s="90"/>
      <c r="F54" s="90">
        <v>10.88</v>
      </c>
      <c r="G54" s="90">
        <v>12.19</v>
      </c>
      <c r="H54" s="90">
        <v>21.34</v>
      </c>
      <c r="I54" s="90">
        <v>8.6199999999999992</v>
      </c>
      <c r="J54" s="90"/>
    </row>
    <row r="55" spans="1:10" x14ac:dyDescent="0.25">
      <c r="A55" s="50" t="s">
        <v>1006</v>
      </c>
      <c r="B55" s="90">
        <v>11.442</v>
      </c>
      <c r="C55" s="90">
        <v>13.66</v>
      </c>
      <c r="D55" s="90">
        <v>16.350000000000001</v>
      </c>
      <c r="E55" s="90"/>
      <c r="F55" s="90">
        <v>12.52</v>
      </c>
      <c r="G55" s="90">
        <v>11.49</v>
      </c>
      <c r="H55" s="90">
        <v>17.52</v>
      </c>
      <c r="I55" s="90">
        <v>16.45</v>
      </c>
      <c r="J55" s="90"/>
    </row>
    <row r="56" spans="1:10" x14ac:dyDescent="0.25">
      <c r="A56" s="50" t="s">
        <v>1008</v>
      </c>
      <c r="B56" s="90">
        <f>+B55-10</f>
        <v>1.4420000000000002</v>
      </c>
      <c r="C56" s="90">
        <f>+C55-9.5</f>
        <v>4.16</v>
      </c>
      <c r="D56" s="90">
        <f>+D55-8.5</f>
        <v>7.8500000000000014</v>
      </c>
      <c r="E56" s="90"/>
      <c r="F56" s="90">
        <f>+F55-8.5</f>
        <v>4.0199999999999996</v>
      </c>
      <c r="G56" s="90">
        <f>+G55-8.5</f>
        <v>2.99</v>
      </c>
      <c r="H56" s="90">
        <f>+H55-8.5</f>
        <v>9.02</v>
      </c>
      <c r="I56" s="90">
        <f>+I55-7</f>
        <v>9.4499999999999993</v>
      </c>
      <c r="J56" s="90"/>
    </row>
    <row r="57" spans="1:10" x14ac:dyDescent="0.25">
      <c r="A57" s="50" t="s">
        <v>1007</v>
      </c>
      <c r="B57" s="90">
        <v>15.151</v>
      </c>
      <c r="C57" s="90">
        <v>17.13</v>
      </c>
      <c r="D57" s="90">
        <v>19.559999999999999</v>
      </c>
      <c r="E57" s="90"/>
      <c r="F57" s="90">
        <v>15.84</v>
      </c>
      <c r="G57" s="90">
        <v>13.510999999999999</v>
      </c>
      <c r="H57" s="90">
        <v>19.07</v>
      </c>
      <c r="I57" s="90">
        <v>18.52</v>
      </c>
      <c r="J57" s="90"/>
    </row>
    <row r="58" spans="1:10" x14ac:dyDescent="0.25">
      <c r="A58" s="50" t="s">
        <v>1008</v>
      </c>
      <c r="B58" s="90">
        <f>+B57-14</f>
        <v>1.1509999999999998</v>
      </c>
      <c r="C58" s="90">
        <f>+C57-13.5</f>
        <v>3.629999999999999</v>
      </c>
      <c r="D58" s="90">
        <f>+D57-12.5</f>
        <v>7.0599999999999987</v>
      </c>
      <c r="E58" s="90"/>
      <c r="F58" s="90">
        <f>+F57-12.5</f>
        <v>3.34</v>
      </c>
      <c r="G58" s="90">
        <f>+G57-12.5</f>
        <v>1.0109999999999992</v>
      </c>
      <c r="H58" s="90">
        <f>+H57-12.5</f>
        <v>6.57</v>
      </c>
      <c r="I58" s="90">
        <f>+I57-12.5</f>
        <v>6.02</v>
      </c>
      <c r="J58" s="90"/>
    </row>
    <row r="60" spans="1:10" x14ac:dyDescent="0.25">
      <c r="A60" s="50" t="s">
        <v>345</v>
      </c>
      <c r="B60" s="18">
        <f t="shared" ref="B60:J60" si="12">+(B44*0.8)/B2-1</f>
        <v>0.22278711341594537</v>
      </c>
      <c r="C60" s="18">
        <f t="shared" si="12"/>
        <v>0.55889495683275348</v>
      </c>
      <c r="D60" s="18">
        <f t="shared" si="12"/>
        <v>0.39539613274671548</v>
      </c>
      <c r="E60" s="18">
        <f t="shared" si="12"/>
        <v>0.86528860804807195</v>
      </c>
      <c r="F60" s="18">
        <f t="shared" si="12"/>
        <v>0.70900340889375313</v>
      </c>
      <c r="G60" s="18">
        <f t="shared" si="12"/>
        <v>0.73795881853850398</v>
      </c>
      <c r="H60" s="18">
        <f t="shared" si="12"/>
        <v>0.39885707605946297</v>
      </c>
      <c r="I60" s="18">
        <f t="shared" si="12"/>
        <v>0.78613026021109822</v>
      </c>
      <c r="J60" s="18">
        <f t="shared" si="12"/>
        <v>0.35878864810209166</v>
      </c>
    </row>
    <row r="61" spans="1:10" x14ac:dyDescent="0.25">
      <c r="A61" s="50" t="s">
        <v>346</v>
      </c>
      <c r="B61" s="18">
        <f t="shared" ref="B61:J61" si="13">+(B44*0.7)/B2-1</f>
        <v>6.9938724238952199E-2</v>
      </c>
      <c r="C61" s="18">
        <f t="shared" si="13"/>
        <v>0.36403308722865924</v>
      </c>
      <c r="D61" s="18">
        <f t="shared" si="13"/>
        <v>0.2209716161533759</v>
      </c>
      <c r="E61" s="18">
        <f t="shared" si="13"/>
        <v>0.63212753204206273</v>
      </c>
      <c r="F61" s="18">
        <f t="shared" si="13"/>
        <v>0.49537798278203393</v>
      </c>
      <c r="G61" s="18">
        <f t="shared" si="13"/>
        <v>0.52071396622119082</v>
      </c>
      <c r="H61" s="18">
        <f t="shared" si="13"/>
        <v>0.22399994155203018</v>
      </c>
      <c r="I61" s="18">
        <f t="shared" si="13"/>
        <v>0.56286397768471064</v>
      </c>
      <c r="J61" s="18">
        <f t="shared" si="13"/>
        <v>0.1889400670893302</v>
      </c>
    </row>
    <row r="62" spans="1:10" x14ac:dyDescent="0.25">
      <c r="A62" s="50" t="s">
        <v>347</v>
      </c>
      <c r="B62" s="18">
        <f t="shared" ref="B62:J62" si="14">+(B44*0.6)/B2-1</f>
        <v>-8.2909664938040861E-2</v>
      </c>
      <c r="C62" s="18">
        <f t="shared" si="14"/>
        <v>0.169171217624565</v>
      </c>
      <c r="D62" s="18">
        <f t="shared" si="14"/>
        <v>4.6547099560036553E-2</v>
      </c>
      <c r="E62" s="18">
        <f t="shared" si="14"/>
        <v>0.39896645603605396</v>
      </c>
      <c r="F62" s="18">
        <f t="shared" si="14"/>
        <v>0.28175255667031474</v>
      </c>
      <c r="G62" s="18">
        <f t="shared" si="14"/>
        <v>0.30346911390387765</v>
      </c>
      <c r="H62" s="18">
        <f t="shared" si="14"/>
        <v>4.914280704459717E-2</v>
      </c>
      <c r="I62" s="18">
        <f t="shared" si="14"/>
        <v>0.33959769515832328</v>
      </c>
      <c r="J62" s="18">
        <f t="shared" si="14"/>
        <v>1.9091486076568742E-2</v>
      </c>
    </row>
    <row r="64" spans="1:10" x14ac:dyDescent="0.25">
      <c r="A64" s="50" t="s">
        <v>348</v>
      </c>
    </row>
    <row r="65" spans="1:10" x14ac:dyDescent="0.25">
      <c r="A65" s="50" t="s">
        <v>349</v>
      </c>
      <c r="B65" s="91">
        <f>+B$44*0.8</f>
        <v>140.00912448612576</v>
      </c>
      <c r="C65" s="91">
        <f t="shared" ref="C65:J65" si="15">+C$44*0.8</f>
        <v>311.77899136655071</v>
      </c>
      <c r="D65" s="91">
        <f t="shared" si="15"/>
        <v>112.18984907283594</v>
      </c>
      <c r="E65" s="91">
        <f t="shared" si="15"/>
        <v>142.8811073764823</v>
      </c>
      <c r="F65" s="91">
        <f t="shared" si="15"/>
        <v>83.741167035793907</v>
      </c>
      <c r="G65" s="91">
        <f t="shared" si="15"/>
        <v>144.25058193869583</v>
      </c>
      <c r="H65" s="91">
        <f t="shared" si="15"/>
        <v>159.81942093979364</v>
      </c>
      <c r="I65" s="91">
        <f t="shared" si="15"/>
        <v>41.080995984855257</v>
      </c>
      <c r="J65" s="91">
        <f t="shared" si="15"/>
        <v>14.131401940261753</v>
      </c>
    </row>
    <row r="66" spans="1:10" x14ac:dyDescent="0.25">
      <c r="A66" s="50" t="s">
        <v>350</v>
      </c>
      <c r="B66" s="91">
        <f>+B$44*0.7</f>
        <v>122.50798392536002</v>
      </c>
      <c r="C66" s="91">
        <f t="shared" ref="C66:J66" si="16">+C$44*0.7</f>
        <v>272.80661744573183</v>
      </c>
      <c r="D66" s="91">
        <f t="shared" si="16"/>
        <v>98.166117938731432</v>
      </c>
      <c r="E66" s="91">
        <f t="shared" si="16"/>
        <v>125.020968954422</v>
      </c>
      <c r="F66" s="91">
        <f t="shared" si="16"/>
        <v>73.27352115631966</v>
      </c>
      <c r="G66" s="91">
        <f t="shared" si="16"/>
        <v>126.21925919635883</v>
      </c>
      <c r="H66" s="91">
        <f t="shared" si="16"/>
        <v>139.84199332231944</v>
      </c>
      <c r="I66" s="91">
        <f t="shared" si="16"/>
        <v>35.945871486748345</v>
      </c>
      <c r="J66" s="91">
        <f t="shared" si="16"/>
        <v>12.364976697729034</v>
      </c>
    </row>
    <row r="67" spans="1:10" x14ac:dyDescent="0.25">
      <c r="A67" s="50" t="s">
        <v>351</v>
      </c>
      <c r="B67" s="91">
        <f>+B$44*0.6</f>
        <v>105.00684336459432</v>
      </c>
      <c r="C67" s="91">
        <f t="shared" ref="C67:J67" si="17">+C$44*0.6</f>
        <v>233.83424352491301</v>
      </c>
      <c r="D67" s="91">
        <f t="shared" si="17"/>
        <v>84.142386804626952</v>
      </c>
      <c r="E67" s="91">
        <f t="shared" si="17"/>
        <v>107.16083053236173</v>
      </c>
      <c r="F67" s="91">
        <f t="shared" si="17"/>
        <v>62.80587527684542</v>
      </c>
      <c r="G67" s="91">
        <f t="shared" si="17"/>
        <v>108.18793645402185</v>
      </c>
      <c r="H67" s="91">
        <f t="shared" si="17"/>
        <v>119.86456570484523</v>
      </c>
      <c r="I67" s="91">
        <f t="shared" si="17"/>
        <v>30.810746988641437</v>
      </c>
      <c r="J67" s="91">
        <f t="shared" si="17"/>
        <v>10.598551455196315</v>
      </c>
    </row>
    <row r="69" spans="1:10" s="160" customFormat="1" x14ac:dyDescent="0.25"/>
    <row r="71" spans="1:10" x14ac:dyDescent="0.25">
      <c r="A71" s="50" t="s">
        <v>1016</v>
      </c>
    </row>
    <row r="72" spans="1:10" x14ac:dyDescent="0.25">
      <c r="A72" s="161">
        <v>0.55000000000000004</v>
      </c>
      <c r="B72" s="53">
        <f>+(B25-(B24*0.55))*0.7</f>
        <v>-3888865.2250000103</v>
      </c>
      <c r="C72" s="53">
        <f>+(C25-(C24*0.55))*0.7</f>
        <v>-4107461.57500001</v>
      </c>
      <c r="D72" s="53">
        <f>+(D25-(D24*0.55))*0.7</f>
        <v>-1163563.5200000009</v>
      </c>
      <c r="F72" s="53">
        <f>+(F25-(F24*0.55))*0.7</f>
        <v>-253993.21500000011</v>
      </c>
      <c r="G72" s="53">
        <f>+(G25-(G24*0.55))*0.7</f>
        <v>-160774.63500000018</v>
      </c>
      <c r="H72" s="53">
        <f>+(H25-(H24*0.55))*0.7</f>
        <v>523749.83499999985</v>
      </c>
      <c r="I72" s="53">
        <f>+(I25-(I24*0.55))*0.7</f>
        <v>-447763.64500000037</v>
      </c>
    </row>
    <row r="73" spans="1:10" x14ac:dyDescent="0.25">
      <c r="A73" s="161">
        <v>0.45</v>
      </c>
      <c r="B73" s="53">
        <f>+(B25-(B24*0.45))*0.7</f>
        <v>9023655.7249999996</v>
      </c>
      <c r="C73" s="53">
        <f>+(C25-(C24*0.45))*0.7</f>
        <v>9633895.0749999993</v>
      </c>
      <c r="D73" s="53">
        <f>+(D25-(D24*0.45))*0.7</f>
        <v>1163562.1199999996</v>
      </c>
      <c r="F73" s="53">
        <f>+(F25-(F24*0.45))*0.7</f>
        <v>592651.11500000011</v>
      </c>
      <c r="G73" s="53">
        <f>+(G25-(G24*0.45))*0.7</f>
        <v>160773.93500000003</v>
      </c>
      <c r="H73" s="53">
        <f>+(H25-(H24*0.45))*0.7</f>
        <v>1133401.4649999996</v>
      </c>
      <c r="I73" s="53">
        <f>+(I25-(I24*0.45))*0.7</f>
        <v>447764.34499999974</v>
      </c>
    </row>
    <row r="74" spans="1:10" x14ac:dyDescent="0.25">
      <c r="A74" s="161">
        <v>0.35</v>
      </c>
      <c r="B74" s="53">
        <f>+(B25-(B24*0.35))*0.7</f>
        <v>21936176.675000004</v>
      </c>
      <c r="C74" s="53">
        <f>+(C25-(C24*0.35))*0.7</f>
        <v>23375251.724999998</v>
      </c>
      <c r="D74" s="53">
        <f>+(D25-(D24*0.35))*0.7</f>
        <v>3490687.7600000002</v>
      </c>
      <c r="F74" s="53">
        <f>+(F25-(F24*0.35))*0.7</f>
        <v>1439295.4450000003</v>
      </c>
      <c r="G74" s="53">
        <f>+(G25-(G24*0.35))*0.7</f>
        <v>482322.50500000006</v>
      </c>
      <c r="H74" s="53">
        <f>+(H25-(H24*0.35))*0.7</f>
        <v>1743053.095</v>
      </c>
      <c r="I74" s="53">
        <f>+(I25-(I24*0.35))*0.7</f>
        <v>1343292.3350000004</v>
      </c>
    </row>
    <row r="76" spans="1:10" x14ac:dyDescent="0.25">
      <c r="A76" s="50" t="s">
        <v>334</v>
      </c>
    </row>
    <row r="77" spans="1:10" x14ac:dyDescent="0.25">
      <c r="A77" s="161">
        <v>0.55000000000000004</v>
      </c>
      <c r="B77" s="55">
        <f t="shared" ref="B77:D79" si="18">+B72/B$15</f>
        <v>-2.9592897809341134</v>
      </c>
      <c r="C77" s="55">
        <f t="shared" si="18"/>
        <v>-7.3381809616713136</v>
      </c>
      <c r="D77" s="55">
        <f t="shared" si="18"/>
        <v>-0.99220837888772317</v>
      </c>
      <c r="F77" s="55">
        <f t="shared" ref="F77:I79" si="19">+F72/F$15</f>
        <v>-0.41269575718482965</v>
      </c>
      <c r="G77" s="55">
        <f t="shared" si="19"/>
        <v>-0.38102890741528772</v>
      </c>
      <c r="H77" s="55">
        <f t="shared" si="19"/>
        <v>1.6386643531273826</v>
      </c>
      <c r="I77" s="55">
        <f t="shared" si="19"/>
        <v>-1.011754331282074</v>
      </c>
    </row>
    <row r="78" spans="1:10" x14ac:dyDescent="0.25">
      <c r="A78" s="161">
        <v>0.45</v>
      </c>
      <c r="B78" s="55">
        <f t="shared" si="18"/>
        <v>6.8666849141474264</v>
      </c>
      <c r="C78" s="55">
        <f t="shared" si="18"/>
        <v>17.211424656140299</v>
      </c>
      <c r="D78" s="55">
        <f t="shared" si="18"/>
        <v>0.99220718506228278</v>
      </c>
      <c r="F78" s="55">
        <f t="shared" si="19"/>
        <v>0.96295722171695997</v>
      </c>
      <c r="G78" s="55">
        <f t="shared" si="19"/>
        <v>0.38102724844566699</v>
      </c>
      <c r="H78" s="55">
        <f t="shared" si="19"/>
        <v>3.5460910044541643</v>
      </c>
      <c r="I78" s="55">
        <f t="shared" si="19"/>
        <v>1.0117559129826859</v>
      </c>
    </row>
    <row r="79" spans="1:10" x14ac:dyDescent="0.25">
      <c r="A79" s="161">
        <v>0.35</v>
      </c>
      <c r="B79" s="55">
        <f t="shared" si="18"/>
        <v>16.692659609228961</v>
      </c>
      <c r="C79" s="55">
        <f t="shared" si="18"/>
        <v>41.761030273951889</v>
      </c>
      <c r="D79" s="55">
        <f t="shared" si="18"/>
        <v>2.9766227490122885</v>
      </c>
      <c r="F79" s="55">
        <f t="shared" si="19"/>
        <v>2.3386102006187497</v>
      </c>
      <c r="G79" s="55">
        <f t="shared" si="19"/>
        <v>1.1430834043066211</v>
      </c>
      <c r="H79" s="55">
        <f t="shared" si="19"/>
        <v>5.4535176557809475</v>
      </c>
      <c r="I79" s="55">
        <f t="shared" si="19"/>
        <v>3.0352661572474471</v>
      </c>
    </row>
    <row r="81" spans="1:10" x14ac:dyDescent="0.25">
      <c r="A81" s="50" t="s">
        <v>335</v>
      </c>
    </row>
    <row r="82" spans="1:10" x14ac:dyDescent="0.25">
      <c r="A82" s="161">
        <v>0.55000000000000004</v>
      </c>
      <c r="B82" s="55">
        <f>+B$17+B77</f>
        <v>164.81117087328346</v>
      </c>
      <c r="C82" s="55">
        <f>+C$17+C77</f>
        <v>371.8390399138375</v>
      </c>
      <c r="D82" s="55">
        <f>+D$17+D77</f>
        <v>133.59497479987991</v>
      </c>
      <c r="F82" s="55">
        <f>+F$17+F77</f>
        <v>100.94712466844007</v>
      </c>
      <c r="G82" s="55">
        <f>+G$17+G77</f>
        <v>170.21700985158961</v>
      </c>
      <c r="H82" s="55">
        <f>+H$17+H77</f>
        <v>192.88497137350248</v>
      </c>
      <c r="I82" s="55">
        <f>+I$17+I77</f>
        <v>50.049272019016357</v>
      </c>
    </row>
    <row r="83" spans="1:10" x14ac:dyDescent="0.25">
      <c r="A83" s="161">
        <v>0.45</v>
      </c>
      <c r="B83" s="55">
        <f t="shared" ref="B83:C84" si="20">+B$17+B78</f>
        <v>174.63714556836499</v>
      </c>
      <c r="C83" s="55">
        <f t="shared" si="20"/>
        <v>396.3886455316491</v>
      </c>
      <c r="D83" s="55">
        <f t="shared" ref="D83" si="21">+D$17+D78</f>
        <v>135.5793903638299</v>
      </c>
      <c r="F83" s="55">
        <f t="shared" ref="F83:G83" si="22">+F$17+F78</f>
        <v>102.32277764734187</v>
      </c>
      <c r="G83" s="55">
        <f t="shared" si="22"/>
        <v>170.97906600745057</v>
      </c>
      <c r="H83" s="55">
        <f t="shared" ref="H83:I84" si="23">+H$17+H78</f>
        <v>194.79239802482925</v>
      </c>
      <c r="I83" s="55">
        <f t="shared" si="23"/>
        <v>52.07278226328112</v>
      </c>
    </row>
    <row r="84" spans="1:10" x14ac:dyDescent="0.25">
      <c r="A84" s="161">
        <v>0.35</v>
      </c>
      <c r="B84" s="55">
        <f t="shared" si="20"/>
        <v>184.46312026344654</v>
      </c>
      <c r="C84" s="55">
        <f t="shared" si="20"/>
        <v>420.93825114946071</v>
      </c>
      <c r="D84" s="55">
        <f t="shared" ref="D84" si="24">+D$17+D79</f>
        <v>137.5638059277799</v>
      </c>
      <c r="F84" s="55">
        <f t="shared" ref="F84:G84" si="25">+F$17+F79</f>
        <v>103.69843062624365</v>
      </c>
      <c r="G84" s="55">
        <f t="shared" si="25"/>
        <v>171.74112216331153</v>
      </c>
      <c r="H84" s="55">
        <f t="shared" si="23"/>
        <v>196.69982467615606</v>
      </c>
      <c r="I84" s="55">
        <f t="shared" si="23"/>
        <v>54.096292507545883</v>
      </c>
    </row>
    <row r="86" spans="1:10" x14ac:dyDescent="0.25">
      <c r="A86" s="50" t="s">
        <v>348</v>
      </c>
    </row>
    <row r="87" spans="1:10" x14ac:dyDescent="0.25">
      <c r="A87" s="50" t="s">
        <v>349</v>
      </c>
      <c r="B87" s="91">
        <f>+B$83*0.8</f>
        <v>139.709716454692</v>
      </c>
      <c r="C87" s="91">
        <f>+C$83*0.8</f>
        <v>317.11091642531932</v>
      </c>
      <c r="D87" s="91">
        <f>+D$83*0.8</f>
        <v>108.46351229106392</v>
      </c>
      <c r="E87" s="91"/>
      <c r="F87" s="91">
        <f>+F$83*0.8</f>
        <v>81.858222117873495</v>
      </c>
      <c r="G87" s="91">
        <f>+G$83*0.8</f>
        <v>136.78325280596047</v>
      </c>
      <c r="H87" s="91">
        <f>+H$83*0.8</f>
        <v>155.83391841986341</v>
      </c>
      <c r="I87" s="91">
        <f>+I$83*0.8</f>
        <v>41.658225810624899</v>
      </c>
      <c r="J87" s="91"/>
    </row>
    <row r="88" spans="1:10" x14ac:dyDescent="0.25">
      <c r="A88" s="50" t="s">
        <v>350</v>
      </c>
      <c r="B88" s="91">
        <f>+B$83*0.7</f>
        <v>122.24600189785548</v>
      </c>
      <c r="C88" s="91">
        <f>+C$83*0.7</f>
        <v>277.47205187215434</v>
      </c>
      <c r="D88" s="91">
        <f>+D$83*0.7</f>
        <v>94.905573254680931</v>
      </c>
      <c r="E88" s="91"/>
      <c r="F88" s="91">
        <f>+F$83*0.7</f>
        <v>71.625944353139303</v>
      </c>
      <c r="G88" s="91">
        <f>+G$83*0.7</f>
        <v>119.6853462052154</v>
      </c>
      <c r="H88" s="91">
        <f>+H$83*0.7</f>
        <v>136.35467861738047</v>
      </c>
      <c r="I88" s="91">
        <f>+I$83*0.7</f>
        <v>36.450947584296784</v>
      </c>
      <c r="J88" s="91"/>
    </row>
    <row r="89" spans="1:10" x14ac:dyDescent="0.25">
      <c r="A89" s="50" t="s">
        <v>351</v>
      </c>
      <c r="B89" s="91">
        <f>+B$83*0.6</f>
        <v>104.78228734101899</v>
      </c>
      <c r="C89" s="91">
        <f>+C$83*0.6</f>
        <v>237.83318731898945</v>
      </c>
      <c r="D89" s="91">
        <f>+D$83*0.6</f>
        <v>81.347634218297941</v>
      </c>
      <c r="E89" s="91"/>
      <c r="F89" s="91">
        <f>+F$83*0.6</f>
        <v>61.393666588405118</v>
      </c>
      <c r="G89" s="91">
        <f>+G$83*0.6</f>
        <v>102.58743960447033</v>
      </c>
      <c r="H89" s="91">
        <f>+H$83*0.6</f>
        <v>116.87543881489755</v>
      </c>
      <c r="I89" s="91">
        <f>+I$83*0.6</f>
        <v>31.24366935796867</v>
      </c>
      <c r="J89" s="91"/>
    </row>
    <row r="91" spans="1:10" x14ac:dyDescent="0.25">
      <c r="A91" s="50" t="s">
        <v>345</v>
      </c>
      <c r="B91" s="18">
        <f>+B87/B$2-1</f>
        <v>0.22017219611084715</v>
      </c>
      <c r="C91" s="18">
        <f>+C87/C$2-1</f>
        <v>0.58555458212659661</v>
      </c>
      <c r="D91" s="18">
        <f>+D87/D$2-1</f>
        <v>0.34904866033661586</v>
      </c>
      <c r="E91" s="18"/>
      <c r="F91" s="18">
        <f>+F87/F$2-1</f>
        <v>0.67057596158925503</v>
      </c>
      <c r="G91" s="18">
        <f>+G87/G$2-1</f>
        <v>0.64799099766217427</v>
      </c>
      <c r="H91" s="18">
        <f>+H87/H$2-1</f>
        <v>0.36397302774497509</v>
      </c>
      <c r="I91" s="18">
        <f>+I87/I$2-1</f>
        <v>0.81122720915760427</v>
      </c>
      <c r="J91" s="18"/>
    </row>
    <row r="92" spans="1:10" x14ac:dyDescent="0.25">
      <c r="A92" s="50" t="s">
        <v>346</v>
      </c>
      <c r="B92" s="18">
        <f t="shared" ref="B92:C93" si="26">+B88/B$2-1</f>
        <v>6.7650671596991119E-2</v>
      </c>
      <c r="C92" s="18">
        <f t="shared" si="26"/>
        <v>0.38736025936077167</v>
      </c>
      <c r="D92" s="18">
        <f t="shared" ref="D92" si="27">+D88/D$2-1</f>
        <v>0.18041757779453893</v>
      </c>
      <c r="E92" s="18"/>
      <c r="F92" s="18">
        <f t="shared" ref="F92:G92" si="28">+F88/F$2-1</f>
        <v>0.46175396639059807</v>
      </c>
      <c r="G92" s="18">
        <f t="shared" si="28"/>
        <v>0.44199212295440238</v>
      </c>
      <c r="H92" s="18">
        <f t="shared" ref="H92:I93" si="29">+H88/H$2-1</f>
        <v>0.19347639927685312</v>
      </c>
      <c r="I92" s="18">
        <f t="shared" si="29"/>
        <v>0.58482380801290357</v>
      </c>
      <c r="J92" s="18"/>
    </row>
    <row r="93" spans="1:10" x14ac:dyDescent="0.25">
      <c r="A93" s="50" t="s">
        <v>347</v>
      </c>
      <c r="B93" s="18">
        <f t="shared" si="26"/>
        <v>-8.4870852916864803E-2</v>
      </c>
      <c r="C93" s="18">
        <f t="shared" si="26"/>
        <v>0.18916593659494718</v>
      </c>
      <c r="D93" s="18">
        <f t="shared" ref="D93" si="30">+D89/D$2-1</f>
        <v>1.1786495252461782E-2</v>
      </c>
      <c r="E93" s="18"/>
      <c r="F93" s="18">
        <f t="shared" ref="F93:G93" si="31">+F89/F$2-1</f>
        <v>0.25293197119194111</v>
      </c>
      <c r="G93" s="18">
        <f t="shared" si="31"/>
        <v>0.23599324824663048</v>
      </c>
      <c r="H93" s="18">
        <f t="shared" si="29"/>
        <v>2.297977080873137E-2</v>
      </c>
      <c r="I93" s="18">
        <f t="shared" si="29"/>
        <v>0.35842040686820309</v>
      </c>
      <c r="J93" s="18"/>
    </row>
  </sheetData>
  <pageMargins left="0.7" right="0.7" top="0.75" bottom="0.75" header="0.3" footer="0.3"/>
  <drawing r:id="rId1"/>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881E-73D5-4947-B675-18ACBA595B70}">
  <dimension ref="A1:E290"/>
  <sheetViews>
    <sheetView workbookViewId="0">
      <selection activeCell="D8" sqref="D8"/>
    </sheetView>
  </sheetViews>
  <sheetFormatPr defaultRowHeight="15" x14ac:dyDescent="0.25"/>
  <cols>
    <col min="1" max="1" width="10.7109375" bestFit="1" customWidth="1"/>
    <col min="2" max="2" width="16" style="78" bestFit="1" customWidth="1"/>
    <col min="3" max="3" width="10.5703125" style="78" bestFit="1" customWidth="1"/>
  </cols>
  <sheetData>
    <row r="1" spans="1:5" x14ac:dyDescent="0.25">
      <c r="A1" t="s">
        <v>219</v>
      </c>
      <c r="B1" s="78" t="s">
        <v>220</v>
      </c>
      <c r="D1" t="s">
        <v>941</v>
      </c>
    </row>
    <row r="2" spans="1:5" x14ac:dyDescent="0.25">
      <c r="A2" t="s">
        <v>221</v>
      </c>
      <c r="B2" s="79">
        <v>43394</v>
      </c>
      <c r="D2" s="81">
        <f>+AVERAGE(B9:B290)</f>
        <v>3625.0555319148939</v>
      </c>
      <c r="E2" t="s">
        <v>939</v>
      </c>
    </row>
    <row r="3" spans="1:5" x14ac:dyDescent="0.25">
      <c r="A3" t="s">
        <v>222</v>
      </c>
      <c r="B3" s="79">
        <v>45207</v>
      </c>
      <c r="D3" s="81">
        <f>+AVERAGE(B180:B290)</f>
        <v>1560.918918918919</v>
      </c>
      <c r="E3" t="s">
        <v>940</v>
      </c>
    </row>
    <row r="4" spans="1:5" x14ac:dyDescent="0.25">
      <c r="A4" t="s">
        <v>223</v>
      </c>
      <c r="B4" s="78" t="s">
        <v>224</v>
      </c>
    </row>
    <row r="6" spans="1:5" x14ac:dyDescent="0.25">
      <c r="A6" t="s">
        <v>225</v>
      </c>
      <c r="B6" s="78" t="s">
        <v>226</v>
      </c>
      <c r="C6" s="78" t="s">
        <v>227</v>
      </c>
    </row>
    <row r="7" spans="1:5" x14ac:dyDescent="0.25">
      <c r="A7" s="80" t="e">
        <f ca="1">_xll.BDH(B1,B6:C6,B2,B3,"Dir=V","Dts=S","Sort=D","Quote=C","QtTyp=P","Days=T",CONCATENATE("Per=c",B4),"DtFmt=D","UseDPDF=Y","cols=3;rows=260")</f>
        <v>#NAME?</v>
      </c>
    </row>
    <row r="8" spans="1:5" x14ac:dyDescent="0.25">
      <c r="A8" s="80">
        <v>45366</v>
      </c>
      <c r="B8" s="78">
        <v>2868</v>
      </c>
      <c r="C8" s="78">
        <v>2868</v>
      </c>
      <c r="D8" s="81">
        <f>+AVERAGE(B8:B18)</f>
        <v>3130.4363636363637</v>
      </c>
    </row>
    <row r="9" spans="1:5" x14ac:dyDescent="0.25">
      <c r="A9" s="80">
        <v>45359</v>
      </c>
      <c r="B9" s="78">
        <v>3069.8</v>
      </c>
      <c r="C9" s="78">
        <v>3069.8</v>
      </c>
    </row>
    <row r="10" spans="1:5" x14ac:dyDescent="0.25">
      <c r="A10" s="80">
        <v>45352</v>
      </c>
      <c r="B10" s="78">
        <v>3299.8</v>
      </c>
      <c r="C10" s="78">
        <v>3299.8</v>
      </c>
    </row>
    <row r="11" spans="1:5" x14ac:dyDescent="0.25">
      <c r="A11" s="80">
        <v>45345</v>
      </c>
      <c r="B11" s="78">
        <v>3351.6</v>
      </c>
      <c r="C11" s="78">
        <v>3351.6</v>
      </c>
    </row>
    <row r="12" spans="1:5" x14ac:dyDescent="0.25">
      <c r="A12" s="80">
        <v>45338</v>
      </c>
      <c r="B12" s="78">
        <v>3423</v>
      </c>
      <c r="C12" s="78">
        <v>3423</v>
      </c>
    </row>
    <row r="13" spans="1:5" x14ac:dyDescent="0.25">
      <c r="A13" s="80">
        <v>45331</v>
      </c>
      <c r="B13" s="134">
        <v>3392.8</v>
      </c>
      <c r="C13" s="134">
        <v>3392.8</v>
      </c>
    </row>
    <row r="14" spans="1:5" x14ac:dyDescent="0.25">
      <c r="A14" s="80">
        <v>45324</v>
      </c>
      <c r="B14" s="134">
        <v>3393.2</v>
      </c>
      <c r="C14" s="134">
        <v>3393.2</v>
      </c>
    </row>
    <row r="15" spans="1:5" x14ac:dyDescent="0.25">
      <c r="A15" s="80">
        <v>45317</v>
      </c>
      <c r="B15" s="134">
        <v>3411</v>
      </c>
      <c r="C15" s="134">
        <v>3052.5</v>
      </c>
    </row>
    <row r="16" spans="1:5" x14ac:dyDescent="0.25">
      <c r="A16" s="80">
        <v>45309</v>
      </c>
      <c r="B16" s="78">
        <v>3093.6</v>
      </c>
      <c r="C16" s="78">
        <v>3052.5</v>
      </c>
    </row>
    <row r="17" spans="1:4" x14ac:dyDescent="0.25">
      <c r="A17" s="80">
        <v>45303</v>
      </c>
      <c r="B17" s="78">
        <v>2613</v>
      </c>
      <c r="C17" s="78">
        <v>2613</v>
      </c>
    </row>
    <row r="18" spans="1:4" x14ac:dyDescent="0.25">
      <c r="A18" s="80">
        <v>45296</v>
      </c>
      <c r="B18" s="78">
        <v>2519</v>
      </c>
      <c r="C18" s="78">
        <v>2519</v>
      </c>
    </row>
    <row r="19" spans="1:4" x14ac:dyDescent="0.25">
      <c r="A19" s="80">
        <v>45289</v>
      </c>
      <c r="B19" s="78">
        <v>1341</v>
      </c>
      <c r="C19" s="78">
        <v>1341</v>
      </c>
      <c r="D19" s="81">
        <f>+AVERAGE(B19:B32)</f>
        <v>1185.49</v>
      </c>
    </row>
    <row r="20" spans="1:4" x14ac:dyDescent="0.25">
      <c r="A20" s="80">
        <v>45282</v>
      </c>
      <c r="B20" s="78">
        <v>1346.2</v>
      </c>
      <c r="C20" s="78">
        <v>1346.2</v>
      </c>
    </row>
    <row r="21" spans="1:4" x14ac:dyDescent="0.25">
      <c r="A21" s="80">
        <v>45275</v>
      </c>
      <c r="B21" s="78">
        <v>1281.4000000000001</v>
      </c>
      <c r="C21" s="78">
        <v>1281.4000000000001</v>
      </c>
    </row>
    <row r="22" spans="1:4" x14ac:dyDescent="0.25">
      <c r="A22" s="80">
        <v>45268</v>
      </c>
      <c r="B22" s="78">
        <v>1270</v>
      </c>
      <c r="C22" s="78">
        <v>1270</v>
      </c>
    </row>
    <row r="23" spans="1:4" x14ac:dyDescent="0.25">
      <c r="A23" s="80">
        <v>45261</v>
      </c>
      <c r="B23" s="78">
        <v>1179.2</v>
      </c>
      <c r="C23" s="78">
        <v>1179.2</v>
      </c>
    </row>
    <row r="24" spans="1:4" x14ac:dyDescent="0.25">
      <c r="A24" s="80">
        <v>45254</v>
      </c>
      <c r="B24" s="78">
        <v>1155.99</v>
      </c>
      <c r="C24" s="78">
        <v>1155.99</v>
      </c>
    </row>
    <row r="25" spans="1:4" x14ac:dyDescent="0.25">
      <c r="A25" s="80">
        <v>45247</v>
      </c>
      <c r="B25" s="78">
        <v>1157.3599999999999</v>
      </c>
      <c r="C25" s="78">
        <v>1157.3599999999999</v>
      </c>
    </row>
    <row r="26" spans="1:4" x14ac:dyDescent="0.25">
      <c r="A26" s="80">
        <v>45240</v>
      </c>
      <c r="B26" s="78">
        <v>1217.28</v>
      </c>
      <c r="C26" s="78">
        <v>1217.28</v>
      </c>
    </row>
    <row r="27" spans="1:4" x14ac:dyDescent="0.25">
      <c r="A27" s="80">
        <v>45233</v>
      </c>
      <c r="B27" s="78">
        <v>1166.97</v>
      </c>
      <c r="C27" s="78">
        <v>1166.97</v>
      </c>
    </row>
    <row r="28" spans="1:4" x14ac:dyDescent="0.25">
      <c r="A28" s="80">
        <v>45226</v>
      </c>
      <c r="B28" s="78">
        <v>1094.94</v>
      </c>
      <c r="C28" s="78">
        <v>1094.94</v>
      </c>
    </row>
    <row r="29" spans="1:4" x14ac:dyDescent="0.25">
      <c r="A29" s="80">
        <v>45219</v>
      </c>
      <c r="B29" s="78">
        <v>1048.0899999999999</v>
      </c>
      <c r="C29" s="78">
        <v>1048.0899999999999</v>
      </c>
    </row>
    <row r="30" spans="1:4" x14ac:dyDescent="0.25">
      <c r="A30" s="80">
        <v>45212</v>
      </c>
      <c r="B30" s="78">
        <v>1073.43</v>
      </c>
      <c r="C30" s="78">
        <v>1073.43</v>
      </c>
    </row>
    <row r="31" spans="1:4" x14ac:dyDescent="0.25">
      <c r="A31" s="80">
        <v>45205</v>
      </c>
      <c r="B31" s="78">
        <v>1089</v>
      </c>
      <c r="C31" s="78">
        <v>1089</v>
      </c>
    </row>
    <row r="32" spans="1:4" x14ac:dyDescent="0.25">
      <c r="A32" s="80">
        <v>45200</v>
      </c>
      <c r="B32" s="78">
        <v>1176</v>
      </c>
      <c r="C32" s="78">
        <v>1176</v>
      </c>
    </row>
    <row r="33" spans="1:4" x14ac:dyDescent="0.25">
      <c r="A33" s="80">
        <v>45193</v>
      </c>
      <c r="B33" s="78">
        <v>1251</v>
      </c>
      <c r="C33" s="78">
        <v>1251</v>
      </c>
      <c r="D33" s="81">
        <f>+AVERAGE(B33:B45)</f>
        <v>1390.6153846153845</v>
      </c>
    </row>
    <row r="34" spans="1:4" x14ac:dyDescent="0.25">
      <c r="A34" s="80">
        <v>45186</v>
      </c>
      <c r="B34" s="78">
        <v>1389</v>
      </c>
      <c r="C34" s="78">
        <v>1389</v>
      </c>
    </row>
    <row r="35" spans="1:4" x14ac:dyDescent="0.25">
      <c r="A35" s="80">
        <v>45179</v>
      </c>
      <c r="B35" s="78">
        <v>1455</v>
      </c>
      <c r="C35" s="78">
        <v>1455</v>
      </c>
    </row>
    <row r="36" spans="1:4" x14ac:dyDescent="0.25">
      <c r="A36" s="80">
        <v>45172</v>
      </c>
      <c r="B36" s="78">
        <v>1527</v>
      </c>
      <c r="C36" s="78">
        <v>1527</v>
      </c>
    </row>
    <row r="37" spans="1:4" x14ac:dyDescent="0.25">
      <c r="A37" s="80">
        <v>45165</v>
      </c>
      <c r="B37" s="78">
        <v>1530</v>
      </c>
      <c r="C37" s="78">
        <v>1530</v>
      </c>
    </row>
    <row r="38" spans="1:4" x14ac:dyDescent="0.25">
      <c r="A38" s="80">
        <v>45158</v>
      </c>
      <c r="B38" s="78">
        <v>1501</v>
      </c>
      <c r="C38" s="78">
        <v>1501</v>
      </c>
    </row>
    <row r="39" spans="1:4" x14ac:dyDescent="0.25">
      <c r="A39" s="80">
        <v>45151</v>
      </c>
      <c r="B39" s="78">
        <v>1533</v>
      </c>
      <c r="C39" s="78">
        <v>1533</v>
      </c>
    </row>
    <row r="40" spans="1:4" x14ac:dyDescent="0.25">
      <c r="A40" s="80">
        <v>45144</v>
      </c>
      <c r="B40" s="78">
        <v>1442</v>
      </c>
      <c r="C40" s="78">
        <v>1442</v>
      </c>
    </row>
    <row r="41" spans="1:4" x14ac:dyDescent="0.25">
      <c r="A41" s="80">
        <v>45137</v>
      </c>
      <c r="B41" s="78">
        <v>1323</v>
      </c>
      <c r="C41" s="78">
        <v>1323</v>
      </c>
    </row>
    <row r="42" spans="1:4" x14ac:dyDescent="0.25">
      <c r="A42" s="80">
        <v>45130</v>
      </c>
      <c r="B42" s="78">
        <v>1290</v>
      </c>
      <c r="C42" s="78">
        <v>1290</v>
      </c>
    </row>
    <row r="43" spans="1:4" x14ac:dyDescent="0.25">
      <c r="A43" s="80">
        <v>45123</v>
      </c>
      <c r="B43" s="78">
        <v>1270</v>
      </c>
      <c r="C43" s="78">
        <v>1270</v>
      </c>
    </row>
    <row r="44" spans="1:4" x14ac:dyDescent="0.25">
      <c r="A44" s="80">
        <v>45116</v>
      </c>
      <c r="B44" s="78">
        <v>1290</v>
      </c>
      <c r="C44" s="78">
        <v>1290</v>
      </c>
    </row>
    <row r="45" spans="1:4" x14ac:dyDescent="0.25">
      <c r="A45" s="80">
        <v>45109</v>
      </c>
      <c r="B45" s="78">
        <v>1277</v>
      </c>
      <c r="C45" s="78">
        <v>1277</v>
      </c>
    </row>
    <row r="46" spans="1:4" x14ac:dyDescent="0.25">
      <c r="A46" s="80">
        <v>45102</v>
      </c>
      <c r="B46" s="78">
        <v>1297</v>
      </c>
      <c r="C46" s="78">
        <v>1297</v>
      </c>
      <c r="D46" s="81">
        <f>+AVERAGE(B46:B58)</f>
        <v>1444.7692307692307</v>
      </c>
    </row>
    <row r="47" spans="1:4" x14ac:dyDescent="0.25">
      <c r="A47" s="80">
        <v>45095</v>
      </c>
      <c r="B47" s="78">
        <v>1399</v>
      </c>
      <c r="C47" s="78">
        <v>1399</v>
      </c>
    </row>
    <row r="48" spans="1:4" x14ac:dyDescent="0.25">
      <c r="A48" s="80">
        <v>45088</v>
      </c>
      <c r="B48" s="78">
        <v>1441</v>
      </c>
      <c r="C48" s="78">
        <v>1441</v>
      </c>
    </row>
    <row r="49" spans="1:4" x14ac:dyDescent="0.25">
      <c r="A49" s="80">
        <v>45081</v>
      </c>
      <c r="B49" s="78">
        <v>1380</v>
      </c>
      <c r="C49" s="78">
        <v>1380</v>
      </c>
    </row>
    <row r="50" spans="1:4" x14ac:dyDescent="0.25">
      <c r="A50" s="80">
        <v>45074</v>
      </c>
      <c r="B50" s="78">
        <v>1407</v>
      </c>
      <c r="C50" s="78">
        <v>1407</v>
      </c>
    </row>
    <row r="51" spans="1:4" x14ac:dyDescent="0.25">
      <c r="A51" s="80">
        <v>45067</v>
      </c>
      <c r="B51" s="78">
        <v>1446</v>
      </c>
      <c r="C51" s="78">
        <v>1446</v>
      </c>
    </row>
    <row r="52" spans="1:4" x14ac:dyDescent="0.25">
      <c r="A52" s="80">
        <v>45060</v>
      </c>
      <c r="B52" s="78">
        <v>1437</v>
      </c>
      <c r="C52" s="78">
        <v>1437</v>
      </c>
    </row>
    <row r="53" spans="1:4" x14ac:dyDescent="0.25">
      <c r="A53" s="80">
        <v>45053</v>
      </c>
      <c r="B53" s="78">
        <v>1497</v>
      </c>
      <c r="C53" s="78">
        <v>1497</v>
      </c>
    </row>
    <row r="54" spans="1:4" x14ac:dyDescent="0.25">
      <c r="A54" s="80">
        <v>45046</v>
      </c>
      <c r="B54" s="78">
        <v>1576</v>
      </c>
      <c r="C54" s="78">
        <v>1576</v>
      </c>
    </row>
    <row r="55" spans="1:4" x14ac:dyDescent="0.25">
      <c r="A55" s="80">
        <v>45039</v>
      </c>
      <c r="B55" s="78">
        <v>1599</v>
      </c>
      <c r="C55" s="78">
        <v>1599</v>
      </c>
    </row>
    <row r="56" spans="1:4" x14ac:dyDescent="0.25">
      <c r="A56" s="80">
        <v>45032</v>
      </c>
      <c r="B56" s="78">
        <v>1406</v>
      </c>
      <c r="C56" s="78">
        <v>1406</v>
      </c>
    </row>
    <row r="57" spans="1:4" x14ac:dyDescent="0.25">
      <c r="A57" s="80">
        <v>45025</v>
      </c>
      <c r="B57" s="78">
        <v>1416</v>
      </c>
      <c r="C57" s="78">
        <v>1416</v>
      </c>
    </row>
    <row r="58" spans="1:4" x14ac:dyDescent="0.25">
      <c r="A58" s="80">
        <v>45018</v>
      </c>
      <c r="B58" s="78">
        <v>1481</v>
      </c>
      <c r="C58" s="78">
        <v>1481</v>
      </c>
    </row>
    <row r="59" spans="1:4" x14ac:dyDescent="0.25">
      <c r="A59" s="80">
        <v>45011</v>
      </c>
      <c r="B59" s="78">
        <v>1492</v>
      </c>
      <c r="C59" s="78">
        <v>1492</v>
      </c>
      <c r="D59" s="81">
        <f>+AVERAGE(B59:B71)</f>
        <v>1953.7692307692307</v>
      </c>
    </row>
    <row r="60" spans="1:4" x14ac:dyDescent="0.25">
      <c r="A60" s="80">
        <v>45004</v>
      </c>
      <c r="B60" s="78">
        <v>1463</v>
      </c>
      <c r="C60" s="78">
        <v>1463</v>
      </c>
    </row>
    <row r="61" spans="1:4" x14ac:dyDescent="0.25">
      <c r="A61" s="80">
        <v>44997</v>
      </c>
      <c r="B61" s="78">
        <v>1568</v>
      </c>
      <c r="C61" s="78">
        <v>1568</v>
      </c>
    </row>
    <row r="62" spans="1:4" x14ac:dyDescent="0.25">
      <c r="A62" s="80">
        <v>44990</v>
      </c>
      <c r="B62" s="78">
        <v>1790</v>
      </c>
      <c r="C62" s="78">
        <v>1790</v>
      </c>
    </row>
    <row r="63" spans="1:4" x14ac:dyDescent="0.25">
      <c r="A63" s="80">
        <v>44983</v>
      </c>
      <c r="B63" s="78">
        <v>1984</v>
      </c>
      <c r="C63" s="78">
        <v>1984</v>
      </c>
    </row>
    <row r="64" spans="1:4" x14ac:dyDescent="0.25">
      <c r="A64" s="80">
        <v>44976</v>
      </c>
      <c r="B64" s="78">
        <v>1991</v>
      </c>
      <c r="C64" s="78">
        <v>1991</v>
      </c>
    </row>
    <row r="65" spans="1:4" x14ac:dyDescent="0.25">
      <c r="A65" s="80">
        <v>44969</v>
      </c>
      <c r="B65" s="78">
        <v>2005</v>
      </c>
      <c r="C65" s="78">
        <v>2005</v>
      </c>
    </row>
    <row r="66" spans="1:4" x14ac:dyDescent="0.25">
      <c r="A66" s="80">
        <v>44962</v>
      </c>
      <c r="B66" s="78">
        <v>2062</v>
      </c>
      <c r="C66" s="78">
        <v>2062</v>
      </c>
    </row>
    <row r="67" spans="1:4" x14ac:dyDescent="0.25">
      <c r="A67" s="80">
        <v>44955</v>
      </c>
      <c r="B67" s="78">
        <v>2214</v>
      </c>
      <c r="C67" s="78">
        <v>2214</v>
      </c>
    </row>
    <row r="68" spans="1:4" x14ac:dyDescent="0.25">
      <c r="A68" s="80">
        <v>44948</v>
      </c>
      <c r="B68" s="78">
        <v>2178</v>
      </c>
      <c r="C68" s="78">
        <v>2178</v>
      </c>
    </row>
    <row r="69" spans="1:4" x14ac:dyDescent="0.25">
      <c r="A69" s="80">
        <v>44941</v>
      </c>
      <c r="B69" s="78">
        <v>2238</v>
      </c>
      <c r="C69" s="78">
        <v>2238</v>
      </c>
    </row>
    <row r="70" spans="1:4" x14ac:dyDescent="0.25">
      <c r="A70" s="80">
        <v>44934</v>
      </c>
      <c r="B70" s="78">
        <v>2168</v>
      </c>
      <c r="C70" s="78">
        <v>2168</v>
      </c>
    </row>
    <row r="71" spans="1:4" x14ac:dyDescent="0.25">
      <c r="A71" s="80">
        <v>44927</v>
      </c>
      <c r="B71" s="78">
        <v>2246</v>
      </c>
      <c r="C71" s="78">
        <v>2246</v>
      </c>
    </row>
    <row r="72" spans="1:4" x14ac:dyDescent="0.25">
      <c r="A72" s="80">
        <v>44920</v>
      </c>
      <c r="B72" s="78">
        <v>2126</v>
      </c>
      <c r="C72" s="78">
        <v>2126</v>
      </c>
      <c r="D72" s="81">
        <f>+AVERAGE(B72:B84)</f>
        <v>3042.2307692307691</v>
      </c>
    </row>
    <row r="73" spans="1:4" x14ac:dyDescent="0.25">
      <c r="A73" s="80">
        <v>44913</v>
      </c>
      <c r="B73" s="78">
        <v>2127</v>
      </c>
      <c r="C73" s="78">
        <v>2127</v>
      </c>
    </row>
    <row r="74" spans="1:4" x14ac:dyDescent="0.25">
      <c r="A74" s="80">
        <v>44906</v>
      </c>
      <c r="B74" s="78">
        <v>2325</v>
      </c>
      <c r="C74" s="78">
        <v>2325</v>
      </c>
    </row>
    <row r="75" spans="1:4" x14ac:dyDescent="0.25">
      <c r="A75" s="80">
        <v>44899</v>
      </c>
      <c r="B75" s="78">
        <v>2528</v>
      </c>
      <c r="C75" s="78">
        <v>2528</v>
      </c>
    </row>
    <row r="76" spans="1:4" x14ac:dyDescent="0.25">
      <c r="A76" s="80">
        <v>44892</v>
      </c>
      <c r="B76" s="78">
        <v>2786</v>
      </c>
      <c r="C76" s="78">
        <v>2786</v>
      </c>
    </row>
    <row r="77" spans="1:4" x14ac:dyDescent="0.25">
      <c r="A77" s="80">
        <v>44885</v>
      </c>
      <c r="B77" s="78">
        <v>3040</v>
      </c>
      <c r="C77" s="78">
        <v>3040</v>
      </c>
    </row>
    <row r="78" spans="1:4" x14ac:dyDescent="0.25">
      <c r="A78" s="80">
        <v>44878</v>
      </c>
      <c r="B78" s="78">
        <v>3185</v>
      </c>
      <c r="C78" s="78">
        <v>3185</v>
      </c>
    </row>
    <row r="79" spans="1:4" x14ac:dyDescent="0.25">
      <c r="A79" s="80">
        <v>44871</v>
      </c>
      <c r="B79" s="78">
        <v>3364</v>
      </c>
      <c r="C79" s="78">
        <v>3364</v>
      </c>
    </row>
    <row r="80" spans="1:4" x14ac:dyDescent="0.25">
      <c r="A80" s="80">
        <v>44864</v>
      </c>
      <c r="B80" s="78">
        <v>3340</v>
      </c>
      <c r="C80" s="78">
        <v>3340</v>
      </c>
    </row>
    <row r="81" spans="1:4" x14ac:dyDescent="0.25">
      <c r="A81" s="80">
        <v>44857</v>
      </c>
      <c r="B81" s="78">
        <v>3429</v>
      </c>
      <c r="C81" s="78">
        <v>3429</v>
      </c>
    </row>
    <row r="82" spans="1:4" x14ac:dyDescent="0.25">
      <c r="A82" s="80">
        <v>44850</v>
      </c>
      <c r="B82" s="78">
        <v>3540</v>
      </c>
      <c r="C82" s="78">
        <v>3540</v>
      </c>
    </row>
    <row r="83" spans="1:4" x14ac:dyDescent="0.25">
      <c r="A83" s="80">
        <v>44843</v>
      </c>
      <c r="B83" s="78">
        <v>3699</v>
      </c>
      <c r="C83" s="78">
        <v>3699</v>
      </c>
    </row>
    <row r="84" spans="1:4" x14ac:dyDescent="0.25">
      <c r="A84" s="80">
        <v>44836</v>
      </c>
      <c r="B84" s="78">
        <v>4060</v>
      </c>
      <c r="C84" s="78">
        <v>4060</v>
      </c>
    </row>
    <row r="85" spans="1:4" x14ac:dyDescent="0.25">
      <c r="A85" s="80">
        <v>44829</v>
      </c>
      <c r="B85" s="78">
        <v>4262</v>
      </c>
      <c r="C85" s="78">
        <v>4262</v>
      </c>
      <c r="D85" s="81">
        <f>+AVERAGE(B85:B97)</f>
        <v>5738.9230769230771</v>
      </c>
    </row>
    <row r="86" spans="1:4" x14ac:dyDescent="0.25">
      <c r="A86" s="80">
        <v>44822</v>
      </c>
      <c r="B86" s="78">
        <v>4653</v>
      </c>
      <c r="C86" s="78">
        <v>4653</v>
      </c>
    </row>
    <row r="87" spans="1:4" x14ac:dyDescent="0.25">
      <c r="A87" s="80">
        <v>44815</v>
      </c>
      <c r="B87" s="78">
        <v>4862</v>
      </c>
      <c r="C87" s="78">
        <v>4862</v>
      </c>
    </row>
    <row r="88" spans="1:4" x14ac:dyDescent="0.25">
      <c r="A88" s="80">
        <v>44808</v>
      </c>
      <c r="B88" s="78">
        <v>5286</v>
      </c>
      <c r="C88" s="78">
        <v>5286</v>
      </c>
    </row>
    <row r="89" spans="1:4" x14ac:dyDescent="0.25">
      <c r="A89" s="80">
        <v>44801</v>
      </c>
      <c r="B89" s="78">
        <v>5703</v>
      </c>
      <c r="C89" s="78">
        <v>5703</v>
      </c>
    </row>
    <row r="90" spans="1:4" x14ac:dyDescent="0.25">
      <c r="A90" s="80">
        <v>44794</v>
      </c>
      <c r="B90" s="78">
        <v>5820</v>
      </c>
      <c r="C90" s="78">
        <v>5820</v>
      </c>
    </row>
    <row r="91" spans="1:4" x14ac:dyDescent="0.25">
      <c r="A91" s="80">
        <v>44787</v>
      </c>
      <c r="B91" s="78">
        <v>5956</v>
      </c>
      <c r="C91" s="78">
        <v>5956</v>
      </c>
    </row>
    <row r="92" spans="1:4" x14ac:dyDescent="0.25">
      <c r="A92" s="80">
        <v>44780</v>
      </c>
      <c r="B92" s="78">
        <v>6139</v>
      </c>
      <c r="C92" s="78">
        <v>6139</v>
      </c>
    </row>
    <row r="93" spans="1:4" x14ac:dyDescent="0.25">
      <c r="A93" s="80">
        <v>44773</v>
      </c>
      <c r="B93" s="78">
        <v>6120</v>
      </c>
      <c r="C93" s="78">
        <v>6120</v>
      </c>
    </row>
    <row r="94" spans="1:4" x14ac:dyDescent="0.25">
      <c r="A94" s="80">
        <v>44766</v>
      </c>
      <c r="B94" s="78">
        <v>6319</v>
      </c>
      <c r="C94" s="78">
        <v>6319</v>
      </c>
    </row>
    <row r="95" spans="1:4" x14ac:dyDescent="0.25">
      <c r="A95" s="80">
        <v>44759</v>
      </c>
      <c r="B95" s="78">
        <v>6414</v>
      </c>
      <c r="C95" s="78">
        <v>6414</v>
      </c>
    </row>
    <row r="96" spans="1:4" x14ac:dyDescent="0.25">
      <c r="A96" s="80">
        <v>44752</v>
      </c>
      <c r="B96" s="78">
        <v>6495</v>
      </c>
      <c r="C96" s="78">
        <v>6495</v>
      </c>
    </row>
    <row r="97" spans="1:4" x14ac:dyDescent="0.25">
      <c r="A97" s="80">
        <v>44745</v>
      </c>
      <c r="B97" s="78">
        <v>6577</v>
      </c>
      <c r="C97" s="78">
        <v>6577</v>
      </c>
    </row>
    <row r="98" spans="1:4" x14ac:dyDescent="0.25">
      <c r="A98" s="80">
        <v>44738</v>
      </c>
      <c r="B98" s="78">
        <v>7032</v>
      </c>
      <c r="C98" s="78">
        <v>7032</v>
      </c>
      <c r="D98" s="81">
        <f>+AVERAGE(B98:B110)</f>
        <v>8311.461538461539</v>
      </c>
    </row>
    <row r="99" spans="1:4" x14ac:dyDescent="0.25">
      <c r="A99" s="80">
        <v>44731</v>
      </c>
      <c r="B99" s="78">
        <v>7098</v>
      </c>
      <c r="C99" s="78">
        <v>7098</v>
      </c>
    </row>
    <row r="100" spans="1:4" x14ac:dyDescent="0.25">
      <c r="A100" s="80">
        <v>44724</v>
      </c>
      <c r="B100" s="78">
        <v>7261</v>
      </c>
      <c r="C100" s="78">
        <v>7261</v>
      </c>
    </row>
    <row r="101" spans="1:4" x14ac:dyDescent="0.25">
      <c r="A101" s="80">
        <v>44717</v>
      </c>
      <c r="B101" s="78">
        <v>7370</v>
      </c>
      <c r="C101" s="78">
        <v>7370</v>
      </c>
    </row>
    <row r="102" spans="1:4" x14ac:dyDescent="0.25">
      <c r="A102" s="80">
        <v>44710</v>
      </c>
      <c r="B102" s="78">
        <v>7851</v>
      </c>
      <c r="C102" s="78">
        <v>7851</v>
      </c>
    </row>
    <row r="103" spans="1:4" x14ac:dyDescent="0.25">
      <c r="A103" s="80">
        <v>44703</v>
      </c>
      <c r="B103" s="78">
        <v>8466</v>
      </c>
      <c r="C103" s="78">
        <v>8466</v>
      </c>
    </row>
    <row r="104" spans="1:4" x14ac:dyDescent="0.25">
      <c r="A104" s="80">
        <v>44696</v>
      </c>
      <c r="B104" s="78">
        <v>8236</v>
      </c>
      <c r="C104" s="78">
        <v>8236</v>
      </c>
    </row>
    <row r="105" spans="1:4" x14ac:dyDescent="0.25">
      <c r="A105" s="80">
        <v>44689</v>
      </c>
      <c r="B105" s="78">
        <v>8710</v>
      </c>
      <c r="C105" s="78">
        <v>8710</v>
      </c>
    </row>
    <row r="106" spans="1:4" x14ac:dyDescent="0.25">
      <c r="A106" s="80">
        <v>44682</v>
      </c>
      <c r="B106" s="78">
        <v>8955</v>
      </c>
      <c r="C106" s="78">
        <v>8955</v>
      </c>
    </row>
    <row r="107" spans="1:4" x14ac:dyDescent="0.25">
      <c r="A107" s="80">
        <v>44675</v>
      </c>
      <c r="B107" s="78">
        <v>9142</v>
      </c>
      <c r="C107" s="78">
        <v>9142</v>
      </c>
    </row>
    <row r="108" spans="1:4" x14ac:dyDescent="0.25">
      <c r="A108" s="80">
        <v>44668</v>
      </c>
      <c r="B108" s="78">
        <v>9232</v>
      </c>
      <c r="C108" s="78">
        <v>9232</v>
      </c>
    </row>
    <row r="109" spans="1:4" x14ac:dyDescent="0.25">
      <c r="A109" s="80">
        <v>44661</v>
      </c>
      <c r="B109" s="78">
        <v>9280</v>
      </c>
      <c r="C109" s="78">
        <v>9280</v>
      </c>
    </row>
    <row r="110" spans="1:4" x14ac:dyDescent="0.25">
      <c r="A110" s="80">
        <v>44654</v>
      </c>
      <c r="B110" s="78">
        <v>9416</v>
      </c>
      <c r="C110" s="78">
        <v>9416</v>
      </c>
    </row>
    <row r="111" spans="1:4" x14ac:dyDescent="0.25">
      <c r="A111" s="80">
        <v>44647</v>
      </c>
      <c r="B111" s="78">
        <v>9430</v>
      </c>
      <c r="C111" s="78">
        <v>9430</v>
      </c>
      <c r="D111" s="81">
        <f>+AVERAGE(B111:B123)</f>
        <v>9595.8461538461543</v>
      </c>
    </row>
    <row r="112" spans="1:4" x14ac:dyDescent="0.25">
      <c r="A112" s="80">
        <v>44640</v>
      </c>
      <c r="B112" s="78">
        <v>9488</v>
      </c>
      <c r="C112" s="78">
        <v>9488</v>
      </c>
    </row>
    <row r="113" spans="1:4" x14ac:dyDescent="0.25">
      <c r="A113" s="80">
        <v>44633</v>
      </c>
      <c r="B113" s="78">
        <v>9777</v>
      </c>
      <c r="C113" s="78">
        <v>9777</v>
      </c>
    </row>
    <row r="114" spans="1:4" x14ac:dyDescent="0.25">
      <c r="A114" s="80">
        <v>44626</v>
      </c>
      <c r="B114" s="78">
        <v>9757</v>
      </c>
      <c r="C114" s="78">
        <v>9757</v>
      </c>
    </row>
    <row r="115" spans="1:4" x14ac:dyDescent="0.25">
      <c r="A115" s="80">
        <v>44619</v>
      </c>
      <c r="B115" s="78">
        <v>9789</v>
      </c>
      <c r="C115" s="78">
        <v>9789</v>
      </c>
    </row>
    <row r="116" spans="1:4" x14ac:dyDescent="0.25">
      <c r="A116" s="80">
        <v>44612</v>
      </c>
      <c r="B116" s="78">
        <v>9745</v>
      </c>
      <c r="C116" s="78">
        <v>9745</v>
      </c>
    </row>
    <row r="117" spans="1:4" x14ac:dyDescent="0.25">
      <c r="A117" s="80">
        <v>44605</v>
      </c>
      <c r="B117" s="78">
        <v>9628</v>
      </c>
      <c r="C117" s="78">
        <v>9628</v>
      </c>
    </row>
    <row r="118" spans="1:4" x14ac:dyDescent="0.25">
      <c r="A118" s="80">
        <v>44598</v>
      </c>
      <c r="B118" s="78">
        <v>9660</v>
      </c>
      <c r="C118" s="78">
        <v>9660</v>
      </c>
    </row>
    <row r="119" spans="1:4" x14ac:dyDescent="0.25">
      <c r="A119" s="80">
        <v>44591</v>
      </c>
      <c r="B119" s="78">
        <v>9806</v>
      </c>
      <c r="C119" s="78">
        <v>9806</v>
      </c>
    </row>
    <row r="120" spans="1:4" x14ac:dyDescent="0.25">
      <c r="A120" s="80">
        <v>44584</v>
      </c>
      <c r="B120" s="78">
        <v>9680</v>
      </c>
      <c r="C120" s="78">
        <v>9680</v>
      </c>
    </row>
    <row r="121" spans="1:4" x14ac:dyDescent="0.25">
      <c r="A121" s="80">
        <v>44577</v>
      </c>
      <c r="B121" s="78">
        <v>9526</v>
      </c>
      <c r="C121" s="78">
        <v>9526</v>
      </c>
    </row>
    <row r="122" spans="1:4" x14ac:dyDescent="0.25">
      <c r="A122" s="80">
        <v>44570</v>
      </c>
      <c r="B122" s="78">
        <v>9167</v>
      </c>
      <c r="C122" s="78">
        <v>9167</v>
      </c>
    </row>
    <row r="123" spans="1:4" x14ac:dyDescent="0.25">
      <c r="A123" s="80">
        <v>44563</v>
      </c>
      <c r="B123" s="78">
        <v>9293</v>
      </c>
      <c r="C123" s="78">
        <v>9293</v>
      </c>
    </row>
    <row r="124" spans="1:4" x14ac:dyDescent="0.25">
      <c r="A124" s="80">
        <v>44556</v>
      </c>
      <c r="B124" s="78">
        <v>9437</v>
      </c>
      <c r="C124" s="78">
        <v>9437</v>
      </c>
      <c r="D124" s="81">
        <f>+AVERAGE(B124:B136)</f>
        <v>9831.6923076923085</v>
      </c>
    </row>
    <row r="125" spans="1:4" x14ac:dyDescent="0.25">
      <c r="A125" s="80">
        <v>44549</v>
      </c>
      <c r="B125" s="78">
        <v>9513</v>
      </c>
      <c r="C125" s="78">
        <v>9513</v>
      </c>
    </row>
    <row r="126" spans="1:4" x14ac:dyDescent="0.25">
      <c r="A126" s="80">
        <v>44542</v>
      </c>
      <c r="B126" s="78">
        <v>9550</v>
      </c>
      <c r="C126" s="78">
        <v>9550</v>
      </c>
    </row>
    <row r="127" spans="1:4" x14ac:dyDescent="0.25">
      <c r="A127" s="80">
        <v>44535</v>
      </c>
      <c r="B127" s="78">
        <v>9425</v>
      </c>
      <c r="C127" s="78">
        <v>9425</v>
      </c>
    </row>
    <row r="128" spans="1:4" x14ac:dyDescent="0.25">
      <c r="A128" s="80">
        <v>44528</v>
      </c>
      <c r="B128" s="78">
        <v>9351</v>
      </c>
      <c r="C128" s="78">
        <v>9351</v>
      </c>
    </row>
    <row r="129" spans="1:4" x14ac:dyDescent="0.25">
      <c r="A129" s="80">
        <v>44521</v>
      </c>
      <c r="B129" s="78">
        <v>9202</v>
      </c>
      <c r="C129" s="78">
        <v>9202</v>
      </c>
    </row>
    <row r="130" spans="1:4" x14ac:dyDescent="0.25">
      <c r="A130" s="80">
        <v>44514</v>
      </c>
      <c r="B130" s="78">
        <v>9411</v>
      </c>
      <c r="C130" s="78">
        <v>9411</v>
      </c>
    </row>
    <row r="131" spans="1:4" x14ac:dyDescent="0.25">
      <c r="A131" s="80">
        <v>44507</v>
      </c>
      <c r="B131" s="78">
        <v>10525</v>
      </c>
      <c r="C131" s="78">
        <v>10525</v>
      </c>
    </row>
    <row r="132" spans="1:4" x14ac:dyDescent="0.25">
      <c r="A132" s="80">
        <v>44500</v>
      </c>
      <c r="B132" s="78">
        <v>10321</v>
      </c>
      <c r="C132" s="78">
        <v>10321</v>
      </c>
    </row>
    <row r="133" spans="1:4" x14ac:dyDescent="0.25">
      <c r="A133" s="80">
        <v>44493</v>
      </c>
      <c r="B133" s="78">
        <v>10215</v>
      </c>
      <c r="C133" s="78">
        <v>10215</v>
      </c>
    </row>
    <row r="134" spans="1:4" x14ac:dyDescent="0.25">
      <c r="A134" s="80">
        <v>44486</v>
      </c>
      <c r="B134" s="78">
        <v>10396</v>
      </c>
      <c r="C134" s="78">
        <v>10396</v>
      </c>
    </row>
    <row r="135" spans="1:4" x14ac:dyDescent="0.25">
      <c r="A135" s="80">
        <v>44479</v>
      </c>
      <c r="B135" s="78">
        <v>9949</v>
      </c>
      <c r="C135" s="78">
        <v>9949</v>
      </c>
    </row>
    <row r="136" spans="1:4" x14ac:dyDescent="0.25">
      <c r="A136" s="80">
        <v>44472</v>
      </c>
      <c r="B136" s="78">
        <v>10517</v>
      </c>
      <c r="C136" s="78">
        <v>10517</v>
      </c>
    </row>
    <row r="137" spans="1:4" x14ac:dyDescent="0.25">
      <c r="A137" s="80">
        <v>44465</v>
      </c>
      <c r="B137" s="78">
        <v>10839</v>
      </c>
      <c r="C137" s="78">
        <v>10839</v>
      </c>
      <c r="D137" s="81">
        <f>+AVERAGE(B137:B149)</f>
        <v>9656.1538461538457</v>
      </c>
    </row>
    <row r="138" spans="1:4" x14ac:dyDescent="0.25">
      <c r="A138" s="80">
        <v>44458</v>
      </c>
      <c r="B138" s="78">
        <v>10996</v>
      </c>
      <c r="C138" s="78">
        <v>10996</v>
      </c>
    </row>
    <row r="139" spans="1:4" x14ac:dyDescent="0.25">
      <c r="A139" s="80">
        <v>44451</v>
      </c>
      <c r="B139" s="78">
        <v>11109</v>
      </c>
      <c r="C139" s="78">
        <v>11109</v>
      </c>
    </row>
    <row r="140" spans="1:4" x14ac:dyDescent="0.25">
      <c r="A140" s="80">
        <v>44444</v>
      </c>
      <c r="B140" s="78">
        <v>10519</v>
      </c>
      <c r="C140" s="78">
        <v>10519</v>
      </c>
    </row>
    <row r="141" spans="1:4" x14ac:dyDescent="0.25">
      <c r="A141" s="80">
        <v>44437</v>
      </c>
      <c r="B141" s="78">
        <v>10323</v>
      </c>
      <c r="C141" s="78">
        <v>10323</v>
      </c>
    </row>
    <row r="142" spans="1:4" x14ac:dyDescent="0.25">
      <c r="A142" s="80">
        <v>44430</v>
      </c>
      <c r="B142" s="78">
        <v>10024</v>
      </c>
      <c r="C142" s="78">
        <v>10024</v>
      </c>
    </row>
    <row r="143" spans="1:4" x14ac:dyDescent="0.25">
      <c r="A143" s="80">
        <v>44423</v>
      </c>
      <c r="B143" s="78">
        <v>9568</v>
      </c>
      <c r="C143" s="78">
        <v>9568</v>
      </c>
    </row>
    <row r="144" spans="1:4" x14ac:dyDescent="0.25">
      <c r="A144" s="80">
        <v>44416</v>
      </c>
      <c r="B144" s="78">
        <v>10380</v>
      </c>
      <c r="C144" s="78">
        <v>10380</v>
      </c>
    </row>
    <row r="145" spans="1:4" x14ac:dyDescent="0.25">
      <c r="A145" s="80">
        <v>44409</v>
      </c>
      <c r="B145" s="78">
        <v>10176</v>
      </c>
      <c r="C145" s="78">
        <v>10176</v>
      </c>
    </row>
    <row r="146" spans="1:4" x14ac:dyDescent="0.25">
      <c r="A146" s="80">
        <v>44402</v>
      </c>
      <c r="B146" s="78">
        <v>8999</v>
      </c>
      <c r="C146" s="78">
        <v>8999</v>
      </c>
    </row>
    <row r="147" spans="1:4" x14ac:dyDescent="0.25">
      <c r="A147" s="80">
        <v>44395</v>
      </c>
      <c r="B147" s="78">
        <v>7998</v>
      </c>
      <c r="C147" s="78">
        <v>7998</v>
      </c>
    </row>
    <row r="148" spans="1:4" x14ac:dyDescent="0.25">
      <c r="A148" s="80">
        <v>44388</v>
      </c>
      <c r="B148" s="78">
        <v>7629</v>
      </c>
      <c r="C148" s="78">
        <v>7629</v>
      </c>
    </row>
    <row r="149" spans="1:4" x14ac:dyDescent="0.25">
      <c r="A149" s="80">
        <v>44381</v>
      </c>
      <c r="B149" s="78">
        <v>6970</v>
      </c>
      <c r="C149" s="78">
        <v>6970</v>
      </c>
    </row>
    <row r="150" spans="1:4" x14ac:dyDescent="0.25">
      <c r="A150" s="80">
        <v>44374</v>
      </c>
      <c r="B150" s="78">
        <v>6753</v>
      </c>
      <c r="C150" s="78">
        <v>6753</v>
      </c>
      <c r="D150" s="81">
        <f>+AVERAGE(B150:B162)</f>
        <v>5468.9230769230771</v>
      </c>
    </row>
    <row r="151" spans="1:4" x14ac:dyDescent="0.25">
      <c r="A151" s="80">
        <v>44367</v>
      </c>
      <c r="B151" s="78">
        <v>6811</v>
      </c>
      <c r="C151" s="78">
        <v>6811</v>
      </c>
    </row>
    <row r="152" spans="1:4" x14ac:dyDescent="0.25">
      <c r="A152" s="80">
        <v>44360</v>
      </c>
      <c r="B152" s="78">
        <v>6576</v>
      </c>
      <c r="C152" s="78">
        <v>6576</v>
      </c>
    </row>
    <row r="153" spans="1:4" x14ac:dyDescent="0.25">
      <c r="A153" s="80">
        <v>44353</v>
      </c>
      <c r="B153" s="78">
        <v>6251</v>
      </c>
      <c r="C153" s="78">
        <v>6251</v>
      </c>
    </row>
    <row r="154" spans="1:4" x14ac:dyDescent="0.25">
      <c r="A154" s="80">
        <v>44346</v>
      </c>
      <c r="B154" s="78">
        <v>5908</v>
      </c>
      <c r="C154" s="78">
        <v>5908</v>
      </c>
    </row>
    <row r="155" spans="1:4" x14ac:dyDescent="0.25">
      <c r="A155" s="80">
        <v>44339</v>
      </c>
      <c r="B155" s="78">
        <v>5545</v>
      </c>
      <c r="C155" s="78">
        <v>5545</v>
      </c>
    </row>
    <row r="156" spans="1:4" x14ac:dyDescent="0.25">
      <c r="A156" s="80">
        <v>44332</v>
      </c>
      <c r="B156" s="78">
        <v>5379</v>
      </c>
      <c r="C156" s="78">
        <v>5379</v>
      </c>
    </row>
    <row r="157" spans="1:4" x14ac:dyDescent="0.25">
      <c r="A157" s="80">
        <v>44325</v>
      </c>
      <c r="B157" s="78">
        <v>4957</v>
      </c>
      <c r="C157" s="78">
        <v>4957</v>
      </c>
    </row>
    <row r="158" spans="1:4" x14ac:dyDescent="0.25">
      <c r="A158" s="80">
        <v>44318</v>
      </c>
      <c r="B158" s="78">
        <v>4686</v>
      </c>
      <c r="C158" s="78">
        <v>4686</v>
      </c>
    </row>
    <row r="159" spans="1:4" x14ac:dyDescent="0.25">
      <c r="A159" s="80">
        <v>44311</v>
      </c>
      <c r="B159" s="78">
        <v>4702</v>
      </c>
      <c r="C159" s="78">
        <v>4702</v>
      </c>
    </row>
    <row r="160" spans="1:4" x14ac:dyDescent="0.25">
      <c r="A160" s="80">
        <v>44304</v>
      </c>
      <c r="B160" s="78">
        <v>4591</v>
      </c>
      <c r="C160" s="78">
        <v>4591</v>
      </c>
    </row>
    <row r="161" spans="1:4" x14ac:dyDescent="0.25">
      <c r="A161" s="80">
        <v>44297</v>
      </c>
      <c r="B161" s="78">
        <v>4495</v>
      </c>
      <c r="C161" s="78">
        <v>4495</v>
      </c>
    </row>
    <row r="162" spans="1:4" x14ac:dyDescent="0.25">
      <c r="A162" s="80">
        <v>44290</v>
      </c>
      <c r="B162" s="78">
        <v>4442</v>
      </c>
      <c r="C162" s="78">
        <v>4442</v>
      </c>
    </row>
    <row r="163" spans="1:4" x14ac:dyDescent="0.25">
      <c r="A163" s="80">
        <v>44283</v>
      </c>
      <c r="B163" s="78">
        <v>4367</v>
      </c>
      <c r="C163" s="78">
        <v>4367</v>
      </c>
      <c r="D163" s="81">
        <f>+AVERAGE(B163:B175)</f>
        <v>4277.8461538461543</v>
      </c>
    </row>
    <row r="164" spans="1:4" x14ac:dyDescent="0.25">
      <c r="A164" s="80">
        <v>44276</v>
      </c>
      <c r="B164" s="78">
        <v>4300</v>
      </c>
      <c r="C164" s="78">
        <v>4300</v>
      </c>
    </row>
    <row r="165" spans="1:4" x14ac:dyDescent="0.25">
      <c r="A165" s="80">
        <v>44269</v>
      </c>
      <c r="B165" s="78">
        <v>4481</v>
      </c>
      <c r="C165" s="78">
        <v>4481</v>
      </c>
    </row>
    <row r="166" spans="1:4" x14ac:dyDescent="0.25">
      <c r="A166" s="80">
        <v>44262</v>
      </c>
      <c r="B166" s="78">
        <v>4347</v>
      </c>
      <c r="C166" s="78">
        <v>4347</v>
      </c>
    </row>
    <row r="167" spans="1:4" x14ac:dyDescent="0.25">
      <c r="A167" s="80">
        <v>44255</v>
      </c>
      <c r="B167" s="78">
        <v>4530</v>
      </c>
      <c r="C167" s="78">
        <v>4530</v>
      </c>
    </row>
    <row r="168" spans="1:4" x14ac:dyDescent="0.25">
      <c r="A168" s="80">
        <v>44248</v>
      </c>
      <c r="B168" s="78">
        <v>4578</v>
      </c>
      <c r="C168" s="78">
        <v>4578</v>
      </c>
    </row>
    <row r="169" spans="1:4" x14ac:dyDescent="0.25">
      <c r="A169" s="80">
        <v>44241</v>
      </c>
      <c r="B169" s="78">
        <v>4386</v>
      </c>
      <c r="C169" s="78">
        <v>4386</v>
      </c>
    </row>
    <row r="170" spans="1:4" x14ac:dyDescent="0.25">
      <c r="A170" s="80">
        <v>44234</v>
      </c>
      <c r="B170" s="78">
        <v>4438</v>
      </c>
      <c r="C170" s="78">
        <v>4438</v>
      </c>
    </row>
    <row r="171" spans="1:4" x14ac:dyDescent="0.25">
      <c r="A171" s="80">
        <v>44227</v>
      </c>
      <c r="B171" s="78">
        <v>4398</v>
      </c>
      <c r="C171" s="78">
        <v>4398</v>
      </c>
    </row>
    <row r="172" spans="1:4" x14ac:dyDescent="0.25">
      <c r="A172" s="80">
        <v>44220</v>
      </c>
      <c r="B172" s="78">
        <v>4204</v>
      </c>
      <c r="C172" s="78">
        <v>4204</v>
      </c>
    </row>
    <row r="173" spans="1:4" x14ac:dyDescent="0.25">
      <c r="A173" s="80">
        <v>44213</v>
      </c>
      <c r="B173" s="78">
        <v>4277</v>
      </c>
      <c r="C173" s="78">
        <v>4277</v>
      </c>
    </row>
    <row r="174" spans="1:4" x14ac:dyDescent="0.25">
      <c r="A174" s="80">
        <v>44206</v>
      </c>
      <c r="B174" s="78">
        <v>3854</v>
      </c>
      <c r="C174" s="78">
        <v>3854</v>
      </c>
    </row>
    <row r="175" spans="1:4" x14ac:dyDescent="0.25">
      <c r="A175" s="80">
        <v>44199</v>
      </c>
      <c r="B175" s="78">
        <v>3452</v>
      </c>
      <c r="C175" s="78">
        <v>3452</v>
      </c>
    </row>
    <row r="176" spans="1:4" x14ac:dyDescent="0.25">
      <c r="A176" s="80">
        <v>44192</v>
      </c>
      <c r="B176" s="78">
        <v>3143</v>
      </c>
      <c r="C176" s="78">
        <v>3143</v>
      </c>
      <c r="D176" s="81">
        <f>+AVERAGE(B176:B188)</f>
        <v>2472.2307692307691</v>
      </c>
    </row>
    <row r="177" spans="1:4" x14ac:dyDescent="0.25">
      <c r="A177" s="80">
        <v>44185</v>
      </c>
      <c r="B177" s="78">
        <v>3004</v>
      </c>
      <c r="C177" s="78">
        <v>3004</v>
      </c>
    </row>
    <row r="178" spans="1:4" x14ac:dyDescent="0.25">
      <c r="A178" s="80">
        <v>44178</v>
      </c>
      <c r="B178" s="78">
        <v>2782</v>
      </c>
      <c r="C178" s="78">
        <v>2782</v>
      </c>
    </row>
    <row r="179" spans="1:4" x14ac:dyDescent="0.25">
      <c r="A179" s="80">
        <v>44171</v>
      </c>
      <c r="B179" s="78">
        <v>2652</v>
      </c>
      <c r="C179" s="78">
        <v>2652</v>
      </c>
    </row>
    <row r="180" spans="1:4" x14ac:dyDescent="0.25">
      <c r="A180" s="80">
        <v>44164</v>
      </c>
      <c r="B180" s="78">
        <v>2443</v>
      </c>
      <c r="C180" s="78">
        <v>2443</v>
      </c>
    </row>
    <row r="181" spans="1:4" x14ac:dyDescent="0.25">
      <c r="A181" s="80">
        <v>44157</v>
      </c>
      <c r="B181" s="78">
        <v>2375</v>
      </c>
      <c r="C181" s="78">
        <v>2375</v>
      </c>
    </row>
    <row r="182" spans="1:4" x14ac:dyDescent="0.25">
      <c r="A182" s="80">
        <v>44150</v>
      </c>
      <c r="B182" s="78">
        <v>2291</v>
      </c>
      <c r="C182" s="78">
        <v>2291</v>
      </c>
    </row>
    <row r="183" spans="1:4" x14ac:dyDescent="0.25">
      <c r="A183" s="80">
        <v>44143</v>
      </c>
      <c r="B183" s="78">
        <v>2264</v>
      </c>
      <c r="C183" s="78">
        <v>2264</v>
      </c>
    </row>
    <row r="184" spans="1:4" x14ac:dyDescent="0.25">
      <c r="A184" s="80">
        <v>44136</v>
      </c>
      <c r="B184" s="78">
        <v>2231</v>
      </c>
      <c r="C184" s="78">
        <v>2231</v>
      </c>
    </row>
    <row r="185" spans="1:4" x14ac:dyDescent="0.25">
      <c r="A185" s="80">
        <v>44129</v>
      </c>
      <c r="B185" s="78">
        <v>2230</v>
      </c>
      <c r="C185" s="78">
        <v>2230</v>
      </c>
    </row>
    <row r="186" spans="1:4" x14ac:dyDescent="0.25">
      <c r="A186" s="80">
        <v>44122</v>
      </c>
      <c r="B186" s="78">
        <v>2232</v>
      </c>
      <c r="C186" s="78">
        <v>2232</v>
      </c>
    </row>
    <row r="187" spans="1:4" x14ac:dyDescent="0.25">
      <c r="A187" s="80">
        <v>44115</v>
      </c>
      <c r="B187" s="78">
        <v>2242</v>
      </c>
      <c r="C187" s="78">
        <v>2242</v>
      </c>
    </row>
    <row r="188" spans="1:4" x14ac:dyDescent="0.25">
      <c r="A188" s="80">
        <v>44108</v>
      </c>
      <c r="B188" s="78">
        <v>2250</v>
      </c>
      <c r="C188" s="78">
        <v>2250</v>
      </c>
    </row>
    <row r="189" spans="1:4" x14ac:dyDescent="0.25">
      <c r="A189" s="80">
        <v>44101</v>
      </c>
      <c r="B189" s="78">
        <v>2247</v>
      </c>
      <c r="C189" s="78">
        <v>2247</v>
      </c>
      <c r="D189" s="81">
        <f>+AVERAGE(B189:B201)</f>
        <v>1932.9230769230769</v>
      </c>
    </row>
    <row r="190" spans="1:4" x14ac:dyDescent="0.25">
      <c r="A190" s="80">
        <v>44094</v>
      </c>
      <c r="B190" s="78">
        <v>2174</v>
      </c>
      <c r="C190" s="78">
        <v>2174</v>
      </c>
    </row>
    <row r="191" spans="1:4" x14ac:dyDescent="0.25">
      <c r="A191" s="80">
        <v>44087</v>
      </c>
      <c r="B191" s="78">
        <v>2112</v>
      </c>
      <c r="C191" s="78">
        <v>2112</v>
      </c>
    </row>
    <row r="192" spans="1:4" x14ac:dyDescent="0.25">
      <c r="A192" s="80">
        <v>44080</v>
      </c>
      <c r="B192" s="78">
        <v>2032</v>
      </c>
      <c r="C192" s="78">
        <v>2032</v>
      </c>
    </row>
    <row r="193" spans="1:4" x14ac:dyDescent="0.25">
      <c r="A193" s="80">
        <v>44073</v>
      </c>
      <c r="B193" s="78">
        <v>1946</v>
      </c>
      <c r="C193" s="78">
        <v>1946</v>
      </c>
    </row>
    <row r="194" spans="1:4" x14ac:dyDescent="0.25">
      <c r="A194" s="80">
        <v>44066</v>
      </c>
      <c r="B194" s="78">
        <v>1913</v>
      </c>
      <c r="C194" s="78">
        <v>1913</v>
      </c>
    </row>
    <row r="195" spans="1:4" x14ac:dyDescent="0.25">
      <c r="A195" s="80">
        <v>44059</v>
      </c>
      <c r="B195" s="78">
        <v>1848</v>
      </c>
      <c r="C195" s="78">
        <v>1848</v>
      </c>
    </row>
    <row r="196" spans="1:4" x14ac:dyDescent="0.25">
      <c r="A196" s="80">
        <v>44052</v>
      </c>
      <c r="B196" s="78">
        <v>1828</v>
      </c>
      <c r="C196" s="78">
        <v>1828</v>
      </c>
    </row>
    <row r="197" spans="1:4" x14ac:dyDescent="0.25">
      <c r="A197" s="80">
        <v>44045</v>
      </c>
      <c r="B197" s="78">
        <v>1762</v>
      </c>
      <c r="C197" s="78">
        <v>1762</v>
      </c>
    </row>
    <row r="198" spans="1:4" x14ac:dyDescent="0.25">
      <c r="A198" s="80">
        <v>44038</v>
      </c>
      <c r="B198" s="78">
        <v>1779</v>
      </c>
      <c r="C198" s="78">
        <v>1779</v>
      </c>
    </row>
    <row r="199" spans="1:4" x14ac:dyDescent="0.25">
      <c r="A199" s="80">
        <v>44031</v>
      </c>
      <c r="B199" s="78">
        <v>1816</v>
      </c>
      <c r="C199" s="78">
        <v>1816</v>
      </c>
    </row>
    <row r="200" spans="1:4" x14ac:dyDescent="0.25">
      <c r="A200" s="80">
        <v>44024</v>
      </c>
      <c r="B200" s="78">
        <v>1859</v>
      </c>
      <c r="C200" s="78">
        <v>1859</v>
      </c>
    </row>
    <row r="201" spans="1:4" x14ac:dyDescent="0.25">
      <c r="A201" s="80">
        <v>44017</v>
      </c>
      <c r="B201" s="78">
        <v>1812</v>
      </c>
      <c r="C201" s="78">
        <v>1812</v>
      </c>
    </row>
    <row r="202" spans="1:4" x14ac:dyDescent="0.25">
      <c r="A202" s="80">
        <v>44010</v>
      </c>
      <c r="B202" s="78">
        <v>1785</v>
      </c>
      <c r="C202" s="78">
        <v>1785</v>
      </c>
      <c r="D202" s="81">
        <f>+AVERAGE(B202:B214)</f>
        <v>1534.6153846153845</v>
      </c>
    </row>
    <row r="203" spans="1:4" x14ac:dyDescent="0.25">
      <c r="A203" s="80">
        <v>44003</v>
      </c>
      <c r="B203" s="78">
        <v>1768</v>
      </c>
      <c r="C203" s="78">
        <v>1768</v>
      </c>
    </row>
    <row r="204" spans="1:4" x14ac:dyDescent="0.25">
      <c r="A204" s="80">
        <v>43996</v>
      </c>
      <c r="B204" s="78">
        <v>1674</v>
      </c>
      <c r="C204" s="78">
        <v>1674</v>
      </c>
    </row>
    <row r="205" spans="1:4" x14ac:dyDescent="0.25">
      <c r="A205" s="80">
        <v>43989</v>
      </c>
      <c r="B205" s="78">
        <v>1556</v>
      </c>
      <c r="C205" s="78">
        <v>1556</v>
      </c>
    </row>
    <row r="206" spans="1:4" x14ac:dyDescent="0.25">
      <c r="A206" s="80">
        <v>43982</v>
      </c>
      <c r="B206" s="78">
        <v>1459</v>
      </c>
      <c r="C206" s="78">
        <v>1459</v>
      </c>
    </row>
    <row r="207" spans="1:4" x14ac:dyDescent="0.25">
      <c r="A207" s="80">
        <v>43975</v>
      </c>
      <c r="B207" s="78">
        <v>1471</v>
      </c>
      <c r="C207" s="78">
        <v>1471</v>
      </c>
    </row>
    <row r="208" spans="1:4" x14ac:dyDescent="0.25">
      <c r="A208" s="80">
        <v>43968</v>
      </c>
      <c r="B208" s="78">
        <v>1487</v>
      </c>
      <c r="C208" s="78">
        <v>1487</v>
      </c>
    </row>
    <row r="209" spans="1:4" x14ac:dyDescent="0.25">
      <c r="A209" s="80">
        <v>43961</v>
      </c>
      <c r="B209" s="78">
        <v>1487</v>
      </c>
      <c r="C209" s="78">
        <v>1487</v>
      </c>
    </row>
    <row r="210" spans="1:4" x14ac:dyDescent="0.25">
      <c r="A210" s="80">
        <v>43954</v>
      </c>
      <c r="B210" s="78">
        <v>1451</v>
      </c>
      <c r="C210" s="78">
        <v>1451</v>
      </c>
    </row>
    <row r="211" spans="1:4" x14ac:dyDescent="0.25">
      <c r="A211" s="80">
        <v>43947</v>
      </c>
      <c r="B211" s="78">
        <v>1439</v>
      </c>
      <c r="C211" s="78">
        <v>1439</v>
      </c>
    </row>
    <row r="212" spans="1:4" x14ac:dyDescent="0.25">
      <c r="A212" s="80">
        <v>43940</v>
      </c>
      <c r="B212" s="78">
        <v>1467</v>
      </c>
      <c r="C212" s="78">
        <v>1467</v>
      </c>
    </row>
    <row r="213" spans="1:4" x14ac:dyDescent="0.25">
      <c r="A213" s="80">
        <v>43933</v>
      </c>
      <c r="B213" s="78">
        <v>1473</v>
      </c>
      <c r="C213" s="78">
        <v>1473</v>
      </c>
    </row>
    <row r="214" spans="1:4" x14ac:dyDescent="0.25">
      <c r="A214" s="80">
        <v>43926</v>
      </c>
      <c r="B214" s="78">
        <v>1433</v>
      </c>
      <c r="C214" s="78">
        <v>1433</v>
      </c>
    </row>
    <row r="215" spans="1:4" x14ac:dyDescent="0.25">
      <c r="A215" s="80">
        <v>43919</v>
      </c>
      <c r="B215" s="78">
        <v>1400</v>
      </c>
      <c r="C215" s="78">
        <v>1400</v>
      </c>
      <c r="D215" s="81">
        <f>+AVERAGE(B215:B227)</f>
        <v>1440.9230769230769</v>
      </c>
    </row>
    <row r="216" spans="1:4" x14ac:dyDescent="0.25">
      <c r="A216" s="80">
        <v>43912</v>
      </c>
      <c r="B216" s="78">
        <v>1377</v>
      </c>
      <c r="C216" s="78">
        <v>1377</v>
      </c>
    </row>
    <row r="217" spans="1:4" x14ac:dyDescent="0.25">
      <c r="A217" s="80">
        <v>43905</v>
      </c>
      <c r="B217" s="78">
        <v>1344</v>
      </c>
      <c r="C217" s="78">
        <v>1344</v>
      </c>
    </row>
    <row r="218" spans="1:4" x14ac:dyDescent="0.25">
      <c r="A218" s="80">
        <v>43898</v>
      </c>
      <c r="B218" s="78">
        <v>1358</v>
      </c>
      <c r="C218" s="78">
        <v>1358</v>
      </c>
    </row>
    <row r="219" spans="1:4" x14ac:dyDescent="0.25">
      <c r="A219" s="80">
        <v>43891</v>
      </c>
      <c r="B219" s="78">
        <v>1331</v>
      </c>
      <c r="C219" s="78">
        <v>1331</v>
      </c>
    </row>
    <row r="220" spans="1:4" x14ac:dyDescent="0.25">
      <c r="A220" s="80">
        <v>43884</v>
      </c>
      <c r="B220" s="78">
        <v>1350</v>
      </c>
      <c r="C220" s="78">
        <v>1350</v>
      </c>
    </row>
    <row r="221" spans="1:4" x14ac:dyDescent="0.25">
      <c r="A221" s="80">
        <v>43877</v>
      </c>
      <c r="B221" s="78">
        <v>1443</v>
      </c>
      <c r="C221" s="78">
        <v>1443</v>
      </c>
    </row>
    <row r="222" spans="1:4" x14ac:dyDescent="0.25">
      <c r="A222" s="80">
        <v>43870</v>
      </c>
      <c r="B222" s="78">
        <v>1468</v>
      </c>
      <c r="C222" s="78">
        <v>1468</v>
      </c>
    </row>
    <row r="223" spans="1:4" x14ac:dyDescent="0.25">
      <c r="A223" s="80">
        <v>43863</v>
      </c>
      <c r="B223" s="78">
        <v>1514</v>
      </c>
      <c r="C223" s="78">
        <v>1514</v>
      </c>
    </row>
    <row r="224" spans="1:4" x14ac:dyDescent="0.25">
      <c r="A224" s="80">
        <v>43856</v>
      </c>
      <c r="B224" s="78">
        <v>1549</v>
      </c>
      <c r="C224" s="78">
        <v>1549</v>
      </c>
    </row>
    <row r="225" spans="1:4" x14ac:dyDescent="0.25">
      <c r="A225" s="80">
        <v>43849</v>
      </c>
      <c r="B225" s="78">
        <v>1581</v>
      </c>
      <c r="C225" s="78">
        <v>1581</v>
      </c>
    </row>
    <row r="226" spans="1:4" x14ac:dyDescent="0.25">
      <c r="A226" s="80">
        <v>43842</v>
      </c>
      <c r="B226" s="78">
        <v>1555</v>
      </c>
      <c r="C226" s="78">
        <v>1555</v>
      </c>
    </row>
    <row r="227" spans="1:4" x14ac:dyDescent="0.25">
      <c r="A227" s="80">
        <v>43835</v>
      </c>
      <c r="B227" s="78">
        <v>1462</v>
      </c>
      <c r="C227" s="78">
        <v>1462</v>
      </c>
    </row>
    <row r="228" spans="1:4" x14ac:dyDescent="0.25">
      <c r="A228" s="80">
        <v>43828</v>
      </c>
      <c r="B228" s="78">
        <v>1446</v>
      </c>
      <c r="C228" s="78">
        <v>1446</v>
      </c>
      <c r="D228" s="81">
        <f>+AVERAGE(B228:B240)</f>
        <v>1315.8461538461538</v>
      </c>
    </row>
    <row r="229" spans="1:4" x14ac:dyDescent="0.25">
      <c r="A229" s="80">
        <v>43821</v>
      </c>
      <c r="B229" s="78">
        <v>1431</v>
      </c>
      <c r="C229" s="78">
        <v>1431</v>
      </c>
    </row>
    <row r="230" spans="1:4" x14ac:dyDescent="0.25">
      <c r="A230" s="80">
        <v>43814</v>
      </c>
      <c r="B230" s="78">
        <v>1389</v>
      </c>
      <c r="C230" s="78">
        <v>1389</v>
      </c>
    </row>
    <row r="231" spans="1:4" x14ac:dyDescent="0.25">
      <c r="A231" s="80">
        <v>43807</v>
      </c>
      <c r="B231" s="78">
        <v>1315</v>
      </c>
      <c r="C231" s="78">
        <v>1315</v>
      </c>
    </row>
    <row r="232" spans="1:4" x14ac:dyDescent="0.25">
      <c r="A232" s="80">
        <v>43800</v>
      </c>
      <c r="B232" s="78">
        <v>1290</v>
      </c>
      <c r="C232" s="78">
        <v>1290</v>
      </c>
    </row>
    <row r="233" spans="1:4" x14ac:dyDescent="0.25">
      <c r="A233" s="80">
        <v>43793</v>
      </c>
      <c r="B233" s="78">
        <v>1323</v>
      </c>
      <c r="C233" s="78">
        <v>1323</v>
      </c>
    </row>
    <row r="234" spans="1:4" x14ac:dyDescent="0.25">
      <c r="A234" s="80">
        <v>43786</v>
      </c>
      <c r="B234" s="78">
        <v>1362</v>
      </c>
      <c r="C234" s="78">
        <v>1362</v>
      </c>
    </row>
    <row r="235" spans="1:4" x14ac:dyDescent="0.25">
      <c r="A235" s="80">
        <v>43779</v>
      </c>
      <c r="B235" s="78">
        <v>1325</v>
      </c>
      <c r="C235" s="78">
        <v>1325</v>
      </c>
    </row>
    <row r="236" spans="1:4" x14ac:dyDescent="0.25">
      <c r="A236" s="80">
        <v>43772</v>
      </c>
      <c r="B236" s="78">
        <v>1242</v>
      </c>
      <c r="C236" s="78">
        <v>1242</v>
      </c>
    </row>
    <row r="237" spans="1:4" x14ac:dyDescent="0.25">
      <c r="A237" s="80">
        <v>43765</v>
      </c>
      <c r="B237" s="78">
        <v>1238</v>
      </c>
      <c r="C237" s="78">
        <v>1238</v>
      </c>
    </row>
    <row r="238" spans="1:4" x14ac:dyDescent="0.25">
      <c r="A238" s="80">
        <v>43758</v>
      </c>
      <c r="B238" s="78">
        <v>1237</v>
      </c>
      <c r="C238" s="78">
        <v>1237</v>
      </c>
    </row>
    <row r="239" spans="1:4" x14ac:dyDescent="0.25">
      <c r="A239" s="80">
        <v>43751</v>
      </c>
      <c r="B239" s="78">
        <v>1239</v>
      </c>
      <c r="C239" s="78">
        <v>1239</v>
      </c>
    </row>
    <row r="240" spans="1:4" x14ac:dyDescent="0.25">
      <c r="A240" s="80">
        <v>43744</v>
      </c>
      <c r="B240" s="78">
        <v>1269</v>
      </c>
      <c r="C240" s="78">
        <v>1269</v>
      </c>
    </row>
    <row r="241" spans="1:4" x14ac:dyDescent="0.25">
      <c r="A241" s="80">
        <v>43737</v>
      </c>
      <c r="B241" s="78">
        <v>1279</v>
      </c>
      <c r="C241" s="78">
        <v>1279</v>
      </c>
      <c r="D241" s="81">
        <f>+AVERAGE(B241:B253)</f>
        <v>1355.2307692307693</v>
      </c>
    </row>
    <row r="242" spans="1:4" x14ac:dyDescent="0.25">
      <c r="A242" s="80">
        <v>43730</v>
      </c>
      <c r="B242" s="78">
        <v>1306</v>
      </c>
      <c r="C242" s="78">
        <v>1306</v>
      </c>
    </row>
    <row r="243" spans="1:4" x14ac:dyDescent="0.25">
      <c r="A243" s="80">
        <v>43723</v>
      </c>
      <c r="B243" s="78">
        <v>1356</v>
      </c>
      <c r="C243" s="78">
        <v>1356</v>
      </c>
    </row>
    <row r="244" spans="1:4" x14ac:dyDescent="0.25">
      <c r="A244" s="80">
        <v>43716</v>
      </c>
      <c r="B244" s="78">
        <v>1396</v>
      </c>
      <c r="C244" s="78">
        <v>1396</v>
      </c>
    </row>
    <row r="245" spans="1:4" x14ac:dyDescent="0.25">
      <c r="A245" s="80">
        <v>43709</v>
      </c>
      <c r="B245" s="78">
        <v>1350</v>
      </c>
      <c r="C245" s="78">
        <v>1350</v>
      </c>
    </row>
    <row r="246" spans="1:4" x14ac:dyDescent="0.25">
      <c r="A246" s="80">
        <v>43702</v>
      </c>
      <c r="B246" s="78">
        <v>1351</v>
      </c>
      <c r="C246" s="78">
        <v>1351</v>
      </c>
    </row>
    <row r="247" spans="1:4" x14ac:dyDescent="0.25">
      <c r="A247" s="80">
        <v>43695</v>
      </c>
      <c r="B247" s="78">
        <v>1338</v>
      </c>
      <c r="C247" s="78">
        <v>1338</v>
      </c>
    </row>
    <row r="248" spans="1:4" x14ac:dyDescent="0.25">
      <c r="A248" s="80">
        <v>43688</v>
      </c>
      <c r="B248" s="78">
        <v>1395</v>
      </c>
      <c r="C248" s="78">
        <v>1395</v>
      </c>
    </row>
    <row r="249" spans="1:4" x14ac:dyDescent="0.25">
      <c r="A249" s="80">
        <v>43681</v>
      </c>
      <c r="B249" s="78">
        <v>1351</v>
      </c>
      <c r="C249" s="78">
        <v>1351</v>
      </c>
    </row>
    <row r="250" spans="1:4" x14ac:dyDescent="0.25">
      <c r="A250" s="80">
        <v>43674</v>
      </c>
      <c r="B250" s="78">
        <v>1342</v>
      </c>
      <c r="C250" s="78">
        <v>1342</v>
      </c>
    </row>
    <row r="251" spans="1:4" x14ac:dyDescent="0.25">
      <c r="A251" s="80">
        <v>43667</v>
      </c>
      <c r="B251" s="78">
        <v>1374</v>
      </c>
      <c r="C251" s="78">
        <v>1374</v>
      </c>
    </row>
    <row r="252" spans="1:4" x14ac:dyDescent="0.25">
      <c r="A252" s="80">
        <v>43660</v>
      </c>
      <c r="B252" s="78">
        <v>1399</v>
      </c>
      <c r="C252" s="78">
        <v>1399</v>
      </c>
    </row>
    <row r="253" spans="1:4" x14ac:dyDescent="0.25">
      <c r="A253" s="80">
        <v>43653</v>
      </c>
      <c r="B253" s="78">
        <v>1381</v>
      </c>
      <c r="C253" s="78">
        <v>1381</v>
      </c>
    </row>
    <row r="254" spans="1:4" x14ac:dyDescent="0.25">
      <c r="A254" s="80">
        <v>43646</v>
      </c>
      <c r="B254" s="78">
        <v>1317</v>
      </c>
      <c r="C254" s="78">
        <v>1317</v>
      </c>
      <c r="D254" s="81">
        <f>+AVERAGE(B254:B266)</f>
        <v>1345.6923076923076</v>
      </c>
    </row>
    <row r="255" spans="1:4" x14ac:dyDescent="0.25">
      <c r="A255" s="80">
        <v>43639</v>
      </c>
      <c r="B255" s="78">
        <v>1307</v>
      </c>
      <c r="C255" s="78">
        <v>1307</v>
      </c>
    </row>
    <row r="256" spans="1:4" x14ac:dyDescent="0.25">
      <c r="A256" s="80">
        <v>43632</v>
      </c>
      <c r="B256" s="78">
        <v>1340</v>
      </c>
      <c r="C256" s="78">
        <v>1340</v>
      </c>
    </row>
    <row r="257" spans="1:4" x14ac:dyDescent="0.25">
      <c r="A257" s="80">
        <v>43625</v>
      </c>
      <c r="B257" s="78">
        <v>1362</v>
      </c>
      <c r="C257" s="78">
        <v>1362</v>
      </c>
    </row>
    <row r="258" spans="1:4" x14ac:dyDescent="0.25">
      <c r="A258" s="80">
        <v>43618</v>
      </c>
      <c r="B258" s="78">
        <v>1289</v>
      </c>
      <c r="C258" s="78">
        <v>1289</v>
      </c>
    </row>
    <row r="259" spans="1:4" x14ac:dyDescent="0.25">
      <c r="A259" s="80">
        <v>43611</v>
      </c>
      <c r="B259" s="78">
        <v>1296</v>
      </c>
      <c r="C259" s="78">
        <v>1296</v>
      </c>
    </row>
    <row r="260" spans="1:4" x14ac:dyDescent="0.25">
      <c r="A260" s="80">
        <v>43604</v>
      </c>
      <c r="B260" s="78">
        <v>1366</v>
      </c>
      <c r="C260" s="78">
        <v>1366</v>
      </c>
    </row>
    <row r="261" spans="1:4" x14ac:dyDescent="0.25">
      <c r="A261" s="80">
        <v>43597</v>
      </c>
      <c r="B261" s="78">
        <v>1407</v>
      </c>
      <c r="C261" s="78">
        <v>1407</v>
      </c>
    </row>
    <row r="262" spans="1:4" x14ac:dyDescent="0.25">
      <c r="A262" s="80">
        <v>43590</v>
      </c>
      <c r="B262" s="78">
        <v>1388</v>
      </c>
      <c r="C262" s="78">
        <v>1388</v>
      </c>
    </row>
    <row r="263" spans="1:4" x14ac:dyDescent="0.25">
      <c r="A263" s="80">
        <v>43583</v>
      </c>
      <c r="B263" s="78">
        <v>1334</v>
      </c>
      <c r="C263" s="78">
        <v>1334</v>
      </c>
    </row>
    <row r="264" spans="1:4" x14ac:dyDescent="0.25">
      <c r="A264" s="80">
        <v>43576</v>
      </c>
      <c r="B264" s="78">
        <v>1334</v>
      </c>
      <c r="C264" s="78">
        <v>1334</v>
      </c>
    </row>
    <row r="265" spans="1:4" x14ac:dyDescent="0.25">
      <c r="A265" s="80">
        <v>43569</v>
      </c>
      <c r="B265" s="78">
        <v>1379</v>
      </c>
      <c r="C265" s="78">
        <v>1379</v>
      </c>
    </row>
    <row r="266" spans="1:4" x14ac:dyDescent="0.25">
      <c r="A266" s="80">
        <v>43562</v>
      </c>
      <c r="B266" s="78">
        <v>1375</v>
      </c>
      <c r="C266" s="78">
        <v>1375</v>
      </c>
    </row>
    <row r="267" spans="1:4" x14ac:dyDescent="0.25">
      <c r="A267" s="80">
        <v>43555</v>
      </c>
      <c r="B267" s="78">
        <v>1300</v>
      </c>
      <c r="C267" s="78">
        <v>1300</v>
      </c>
      <c r="D267" s="81">
        <f>+AVERAGE(B267:B279)</f>
        <v>1485</v>
      </c>
    </row>
    <row r="268" spans="1:4" x14ac:dyDescent="0.25">
      <c r="A268" s="80">
        <v>43548</v>
      </c>
      <c r="B268" s="78">
        <v>1280</v>
      </c>
      <c r="C268" s="78">
        <v>1280</v>
      </c>
    </row>
    <row r="269" spans="1:4" x14ac:dyDescent="0.25">
      <c r="A269" s="80">
        <v>43541</v>
      </c>
      <c r="B269" s="78">
        <v>1357</v>
      </c>
      <c r="C269" s="78">
        <v>1357</v>
      </c>
    </row>
    <row r="270" spans="1:4" x14ac:dyDescent="0.25">
      <c r="A270" s="80">
        <v>43534</v>
      </c>
      <c r="B270" s="78">
        <v>1420</v>
      </c>
      <c r="C270" s="78">
        <v>1420</v>
      </c>
    </row>
    <row r="271" spans="1:4" x14ac:dyDescent="0.25">
      <c r="A271" s="80">
        <v>43527</v>
      </c>
      <c r="B271" s="78">
        <v>1482</v>
      </c>
      <c r="C271" s="78">
        <v>1482</v>
      </c>
    </row>
    <row r="272" spans="1:4" x14ac:dyDescent="0.25">
      <c r="A272" s="80">
        <v>43520</v>
      </c>
      <c r="B272" s="78">
        <v>1512</v>
      </c>
      <c r="C272" s="78">
        <v>1512</v>
      </c>
    </row>
    <row r="273" spans="1:4" x14ac:dyDescent="0.25">
      <c r="A273" s="80">
        <v>43513</v>
      </c>
      <c r="B273" s="78">
        <v>1574</v>
      </c>
      <c r="C273" s="78">
        <v>1574</v>
      </c>
    </row>
    <row r="274" spans="1:4" x14ac:dyDescent="0.25">
      <c r="A274" s="80">
        <v>43506</v>
      </c>
      <c r="B274" s="78">
        <v>1540</v>
      </c>
      <c r="C274" s="78">
        <v>1540</v>
      </c>
    </row>
    <row r="275" spans="1:4" x14ac:dyDescent="0.25">
      <c r="A275" s="80">
        <v>43499</v>
      </c>
      <c r="B275" s="78">
        <v>1588</v>
      </c>
      <c r="C275" s="78">
        <v>1588</v>
      </c>
    </row>
    <row r="276" spans="1:4" x14ac:dyDescent="0.25">
      <c r="A276" s="80">
        <v>43492</v>
      </c>
      <c r="B276" s="78">
        <v>1603</v>
      </c>
      <c r="C276" s="78">
        <v>1603</v>
      </c>
    </row>
    <row r="277" spans="1:4" x14ac:dyDescent="0.25">
      <c r="A277" s="80">
        <v>43485</v>
      </c>
      <c r="B277" s="78">
        <v>1575</v>
      </c>
      <c r="C277" s="78">
        <v>1575</v>
      </c>
    </row>
    <row r="278" spans="1:4" x14ac:dyDescent="0.25">
      <c r="A278" s="80">
        <v>43478</v>
      </c>
      <c r="B278" s="78">
        <v>1559</v>
      </c>
      <c r="C278" s="78">
        <v>1559</v>
      </c>
    </row>
    <row r="279" spans="1:4" x14ac:dyDescent="0.25">
      <c r="A279" s="80">
        <v>43471</v>
      </c>
      <c r="B279" s="78">
        <v>1515</v>
      </c>
      <c r="C279" s="78">
        <v>1515</v>
      </c>
    </row>
    <row r="280" spans="1:4" x14ac:dyDescent="0.25">
      <c r="A280" s="80">
        <v>43464</v>
      </c>
      <c r="B280" s="78">
        <v>1414</v>
      </c>
      <c r="C280" s="78">
        <v>1414</v>
      </c>
      <c r="D280" s="81">
        <f>+AVERAGE(B280:B290)</f>
        <v>1579.1818181818182</v>
      </c>
    </row>
    <row r="281" spans="1:4" x14ac:dyDescent="0.25">
      <c r="A281" s="80">
        <v>43457</v>
      </c>
      <c r="B281" s="78">
        <v>1439</v>
      </c>
      <c r="C281" s="78">
        <v>1439</v>
      </c>
    </row>
    <row r="282" spans="1:4" x14ac:dyDescent="0.25">
      <c r="A282" s="80">
        <v>43450</v>
      </c>
      <c r="B282" s="78">
        <v>1544</v>
      </c>
      <c r="C282" s="78">
        <v>1544</v>
      </c>
    </row>
    <row r="283" spans="1:4" x14ac:dyDescent="0.25">
      <c r="A283" s="80">
        <v>43443</v>
      </c>
      <c r="B283" s="78">
        <v>1643</v>
      </c>
      <c r="C283" s="78">
        <v>1643</v>
      </c>
    </row>
    <row r="284" spans="1:4" x14ac:dyDescent="0.25">
      <c r="A284" s="80">
        <v>43436</v>
      </c>
      <c r="B284" s="78">
        <v>1594</v>
      </c>
      <c r="C284" s="78">
        <v>1594</v>
      </c>
    </row>
    <row r="285" spans="1:4" x14ac:dyDescent="0.25">
      <c r="A285" s="80">
        <v>43429</v>
      </c>
      <c r="B285" s="78">
        <v>1634</v>
      </c>
      <c r="C285" s="78">
        <v>1634</v>
      </c>
    </row>
    <row r="286" spans="1:4" x14ac:dyDescent="0.25">
      <c r="A286" s="80">
        <v>43422</v>
      </c>
      <c r="B286" s="78">
        <v>1632</v>
      </c>
      <c r="C286" s="78">
        <v>1632</v>
      </c>
    </row>
    <row r="287" spans="1:4" x14ac:dyDescent="0.25">
      <c r="A287" s="80">
        <v>43415</v>
      </c>
      <c r="B287" s="78">
        <v>1679</v>
      </c>
      <c r="C287" s="78">
        <v>1679</v>
      </c>
    </row>
    <row r="288" spans="1:4" x14ac:dyDescent="0.25">
      <c r="A288" s="80">
        <v>43408</v>
      </c>
      <c r="B288" s="78">
        <v>1633</v>
      </c>
      <c r="C288" s="78">
        <v>1633</v>
      </c>
    </row>
    <row r="289" spans="1:3" x14ac:dyDescent="0.25">
      <c r="A289" s="80">
        <v>43401</v>
      </c>
      <c r="B289" s="78">
        <v>1602</v>
      </c>
      <c r="C289" s="78">
        <v>1602</v>
      </c>
    </row>
    <row r="290" spans="1:3" x14ac:dyDescent="0.25">
      <c r="A290" s="80">
        <v>43394</v>
      </c>
      <c r="B290" s="78">
        <v>1557</v>
      </c>
      <c r="C290" s="78">
        <v>1557</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dimension ref="B3:E11"/>
  <sheetViews>
    <sheetView workbookViewId="0">
      <selection activeCell="E11" sqref="E11"/>
    </sheetView>
  </sheetViews>
  <sheetFormatPr defaultRowHeight="15" x14ac:dyDescent="0.25"/>
  <sheetData>
    <row r="3" spans="2:5" x14ac:dyDescent="0.25">
      <c r="B3" s="44">
        <v>44875</v>
      </c>
      <c r="C3">
        <v>85.62</v>
      </c>
      <c r="D3" s="4">
        <f>+C3/C4-1</f>
        <v>3.2809936723694477E-3</v>
      </c>
    </row>
    <row r="4" spans="2:5" x14ac:dyDescent="0.25">
      <c r="B4" s="44">
        <v>44834</v>
      </c>
      <c r="C4">
        <v>85.34</v>
      </c>
      <c r="D4" s="4">
        <f>+C4/C5-1</f>
        <v>-0.13658437879401053</v>
      </c>
    </row>
    <row r="5" spans="2:5" x14ac:dyDescent="0.25">
      <c r="B5" s="44">
        <v>44742</v>
      </c>
      <c r="C5">
        <v>98.84</v>
      </c>
      <c r="D5" s="4">
        <f>+C5/C6-1</f>
        <v>-0.27055350553505531</v>
      </c>
    </row>
    <row r="6" spans="2:5" x14ac:dyDescent="0.25">
      <c r="B6" s="44">
        <v>44651</v>
      </c>
      <c r="C6">
        <v>135.5</v>
      </c>
    </row>
    <row r="8" spans="2:5" x14ac:dyDescent="0.25">
      <c r="C8" s="44">
        <v>44876</v>
      </c>
      <c r="D8" s="44">
        <v>44783</v>
      </c>
    </row>
    <row r="9" spans="2:5" x14ac:dyDescent="0.25">
      <c r="B9" t="s">
        <v>69</v>
      </c>
      <c r="C9">
        <v>33.5</v>
      </c>
      <c r="D9">
        <v>47</v>
      </c>
      <c r="E9" s="4">
        <f>+C9/D9-1</f>
        <v>-0.28723404255319152</v>
      </c>
    </row>
    <row r="10" spans="2:5" x14ac:dyDescent="0.25">
      <c r="B10" t="s">
        <v>33</v>
      </c>
      <c r="C10">
        <v>26.8</v>
      </c>
      <c r="D10">
        <v>36.200000000000003</v>
      </c>
      <c r="E10" s="4">
        <f>+C10/D10-1</f>
        <v>-0.25966850828729282</v>
      </c>
    </row>
    <row r="11" spans="2:5" x14ac:dyDescent="0.25">
      <c r="B11" t="s">
        <v>70</v>
      </c>
      <c r="C11" s="45">
        <v>8419.06</v>
      </c>
      <c r="D11">
        <v>8706</v>
      </c>
      <c r="E11" s="4">
        <f>+C11/D11-1</f>
        <v>-3.2958878934068569E-2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63996-71AD-4264-A52C-36E453722A70}">
  <dimension ref="B1:N53"/>
  <sheetViews>
    <sheetView workbookViewId="0">
      <pane ySplit="1" topLeftCell="A32" activePane="bottomLeft" state="frozen"/>
      <selection pane="bottomLeft" activeCell="G50" sqref="G50"/>
    </sheetView>
  </sheetViews>
  <sheetFormatPr defaultRowHeight="15" x14ac:dyDescent="0.25"/>
  <cols>
    <col min="2" max="2" width="9.5703125" bestFit="1" customWidth="1"/>
  </cols>
  <sheetData>
    <row r="1" spans="2:10" ht="42.75" x14ac:dyDescent="0.3">
      <c r="B1" s="100"/>
      <c r="C1" s="100" t="s">
        <v>394</v>
      </c>
      <c r="D1" s="100" t="s">
        <v>217</v>
      </c>
      <c r="E1" s="100" t="s">
        <v>216</v>
      </c>
      <c r="F1" s="100" t="s">
        <v>218</v>
      </c>
    </row>
    <row r="2" spans="2:10" ht="15.75" x14ac:dyDescent="0.3">
      <c r="B2" s="101">
        <v>43455</v>
      </c>
      <c r="C2" s="102">
        <v>133</v>
      </c>
      <c r="D2" s="102">
        <v>152</v>
      </c>
      <c r="E2" s="102">
        <v>101</v>
      </c>
      <c r="F2" s="102">
        <v>121</v>
      </c>
    </row>
    <row r="3" spans="2:10" ht="15.75" x14ac:dyDescent="0.3">
      <c r="B3" s="101">
        <v>43475</v>
      </c>
      <c r="C3" s="102">
        <v>131</v>
      </c>
      <c r="D3" s="102">
        <v>150</v>
      </c>
      <c r="E3" s="102">
        <v>99</v>
      </c>
      <c r="F3" s="102">
        <v>118</v>
      </c>
    </row>
    <row r="4" spans="2:10" ht="15.75" x14ac:dyDescent="0.3">
      <c r="B4" s="101">
        <v>43508</v>
      </c>
      <c r="C4" s="102">
        <v>131</v>
      </c>
      <c r="D4" s="102">
        <v>155</v>
      </c>
      <c r="E4" s="102">
        <v>103</v>
      </c>
      <c r="F4" s="102">
        <v>126</v>
      </c>
    </row>
    <row r="5" spans="2:10" ht="15.75" x14ac:dyDescent="0.3">
      <c r="B5" s="101">
        <v>43538</v>
      </c>
      <c r="C5" s="102">
        <v>132</v>
      </c>
      <c r="D5" s="102">
        <v>162</v>
      </c>
      <c r="E5" s="102">
        <v>113</v>
      </c>
      <c r="F5" s="102">
        <v>134</v>
      </c>
    </row>
    <row r="6" spans="2:10" ht="15.75" x14ac:dyDescent="0.3">
      <c r="B6" s="101">
        <v>43596</v>
      </c>
      <c r="C6" s="102">
        <v>135</v>
      </c>
      <c r="D6" s="102">
        <v>167</v>
      </c>
      <c r="E6" s="102">
        <v>113</v>
      </c>
      <c r="F6" s="102">
        <v>136</v>
      </c>
    </row>
    <row r="7" spans="2:10" ht="15.75" x14ac:dyDescent="0.3">
      <c r="B7" s="101">
        <v>43598</v>
      </c>
      <c r="C7" s="102">
        <v>140</v>
      </c>
      <c r="D7" s="102">
        <v>167</v>
      </c>
      <c r="E7" s="102">
        <v>104</v>
      </c>
      <c r="F7" s="102">
        <v>136</v>
      </c>
    </row>
    <row r="8" spans="2:10" ht="15.75" x14ac:dyDescent="0.3">
      <c r="B8" s="101">
        <v>43626</v>
      </c>
      <c r="C8" s="102">
        <v>147</v>
      </c>
      <c r="D8" s="102">
        <v>167</v>
      </c>
      <c r="E8" s="102">
        <v>104</v>
      </c>
      <c r="F8" s="102">
        <v>136</v>
      </c>
    </row>
    <row r="9" spans="2:10" ht="15.75" x14ac:dyDescent="0.3">
      <c r="B9" s="101">
        <v>43656</v>
      </c>
      <c r="C9" s="102">
        <v>144</v>
      </c>
      <c r="D9" s="102">
        <v>162</v>
      </c>
      <c r="E9" s="102">
        <v>104</v>
      </c>
      <c r="F9" s="102">
        <v>131</v>
      </c>
    </row>
    <row r="10" spans="2:10" ht="15.75" x14ac:dyDescent="0.3">
      <c r="B10" s="101">
        <v>43691</v>
      </c>
      <c r="C10" s="102">
        <v>144</v>
      </c>
      <c r="D10" s="102">
        <v>166</v>
      </c>
      <c r="E10" s="102">
        <v>104</v>
      </c>
      <c r="F10" s="102">
        <v>134</v>
      </c>
    </row>
    <row r="11" spans="2:10" ht="15.75" x14ac:dyDescent="0.3">
      <c r="B11" s="101">
        <v>43749</v>
      </c>
      <c r="C11" s="102">
        <v>142</v>
      </c>
      <c r="D11" s="103">
        <v>164</v>
      </c>
      <c r="E11" s="103">
        <v>104</v>
      </c>
      <c r="F11" s="103">
        <v>132</v>
      </c>
    </row>
    <row r="12" spans="2:10" ht="15.75" x14ac:dyDescent="0.3">
      <c r="B12" s="101">
        <v>43830</v>
      </c>
      <c r="C12" s="102">
        <v>137</v>
      </c>
      <c r="D12" s="103">
        <v>164</v>
      </c>
      <c r="E12" s="102">
        <v>104</v>
      </c>
      <c r="F12" s="102">
        <v>132</v>
      </c>
    </row>
    <row r="13" spans="2:10" ht="15.75" x14ac:dyDescent="0.3">
      <c r="B13" s="101"/>
      <c r="C13" s="102">
        <v>137</v>
      </c>
      <c r="D13" s="103">
        <v>164</v>
      </c>
      <c r="E13" s="102">
        <v>104</v>
      </c>
      <c r="F13" s="102">
        <v>132</v>
      </c>
    </row>
    <row r="14" spans="2:10" ht="15.75" x14ac:dyDescent="0.3">
      <c r="B14" s="101">
        <v>43968</v>
      </c>
      <c r="C14" s="102">
        <v>142</v>
      </c>
      <c r="D14" s="103">
        <f>C14*1.17</f>
        <v>166.14</v>
      </c>
      <c r="E14" s="102">
        <v>106.25</v>
      </c>
      <c r="F14" s="103">
        <f>E14*1.25</f>
        <v>132.8125</v>
      </c>
    </row>
    <row r="15" spans="2:10" ht="15.75" x14ac:dyDescent="0.3">
      <c r="B15" s="101">
        <v>43973</v>
      </c>
      <c r="C15" s="102">
        <v>137</v>
      </c>
      <c r="D15" s="103">
        <f t="shared" ref="D15:D19" si="0">C15*1.17</f>
        <v>160.29</v>
      </c>
      <c r="E15" s="102">
        <v>106.25</v>
      </c>
      <c r="F15" s="103">
        <f t="shared" ref="F15:F19" si="1">E15*1.25</f>
        <v>132.8125</v>
      </c>
      <c r="G15" s="104">
        <f>+AVERAGE(C14:C15)</f>
        <v>139.5</v>
      </c>
      <c r="H15" s="104">
        <f>+AVERAGE(D14:D15)</f>
        <v>163.21499999999997</v>
      </c>
      <c r="I15" s="104">
        <f>+AVERAGE(E14:E15)</f>
        <v>106.25</v>
      </c>
      <c r="J15" s="104">
        <f>+AVERAGE(F14:F15)</f>
        <v>132.8125</v>
      </c>
    </row>
    <row r="16" spans="2:10" ht="15.75" x14ac:dyDescent="0.3">
      <c r="B16" s="101"/>
      <c r="C16" s="102">
        <v>137</v>
      </c>
      <c r="D16" s="103">
        <f t="shared" si="0"/>
        <v>160.29</v>
      </c>
      <c r="E16" s="102">
        <v>106.25</v>
      </c>
      <c r="F16" s="103">
        <f t="shared" si="1"/>
        <v>132.8125</v>
      </c>
    </row>
    <row r="17" spans="2:10" ht="15.75" x14ac:dyDescent="0.3">
      <c r="B17" s="105">
        <v>44378</v>
      </c>
      <c r="C17" s="106">
        <v>157</v>
      </c>
      <c r="D17" s="103">
        <v>184</v>
      </c>
      <c r="E17" s="106">
        <v>111</v>
      </c>
      <c r="F17" s="103">
        <v>144</v>
      </c>
      <c r="G17" s="104">
        <f>+C17</f>
        <v>157</v>
      </c>
      <c r="H17" s="104">
        <f t="shared" ref="H17:J18" si="2">+D17</f>
        <v>184</v>
      </c>
      <c r="I17" s="104">
        <f t="shared" si="2"/>
        <v>111</v>
      </c>
      <c r="J17" s="104">
        <f t="shared" si="2"/>
        <v>144</v>
      </c>
    </row>
    <row r="18" spans="2:10" ht="15.75" x14ac:dyDescent="0.3">
      <c r="B18" s="105">
        <v>44531</v>
      </c>
      <c r="C18" s="107">
        <v>177</v>
      </c>
      <c r="D18" s="103">
        <v>207</v>
      </c>
      <c r="E18" s="107">
        <v>121</v>
      </c>
      <c r="F18" s="103">
        <v>159</v>
      </c>
      <c r="G18" s="104">
        <f>+C18</f>
        <v>177</v>
      </c>
      <c r="H18" s="104">
        <f t="shared" si="2"/>
        <v>207</v>
      </c>
      <c r="I18" s="104">
        <f t="shared" si="2"/>
        <v>121</v>
      </c>
      <c r="J18" s="104">
        <f t="shared" si="2"/>
        <v>159</v>
      </c>
    </row>
    <row r="19" spans="2:10" ht="15.75" x14ac:dyDescent="0.3">
      <c r="B19" s="105">
        <v>44562</v>
      </c>
      <c r="C19" s="106">
        <v>177</v>
      </c>
      <c r="D19" s="103">
        <f t="shared" si="0"/>
        <v>207.08999999999997</v>
      </c>
      <c r="E19" s="106">
        <v>121</v>
      </c>
      <c r="F19" s="108">
        <f t="shared" si="1"/>
        <v>151.25</v>
      </c>
    </row>
    <row r="20" spans="2:10" ht="15.75" x14ac:dyDescent="0.3">
      <c r="B20" s="105">
        <v>44593</v>
      </c>
      <c r="C20" s="106">
        <v>184</v>
      </c>
      <c r="D20" s="103">
        <v>213</v>
      </c>
      <c r="E20" s="106">
        <v>124</v>
      </c>
      <c r="F20" s="108">
        <f>E20*1.25</f>
        <v>155</v>
      </c>
    </row>
    <row r="21" spans="2:10" ht="15.75" x14ac:dyDescent="0.3">
      <c r="B21" s="105">
        <v>44621</v>
      </c>
      <c r="C21" s="106">
        <v>254</v>
      </c>
      <c r="D21" s="103">
        <v>283</v>
      </c>
      <c r="E21" s="106">
        <v>214</v>
      </c>
      <c r="F21" s="103">
        <v>252</v>
      </c>
      <c r="G21" s="104">
        <f>+AVERAGE(C19:C21)</f>
        <v>205</v>
      </c>
      <c r="H21" s="104">
        <f t="shared" ref="H21:J21" si="3">+AVERAGE(D19:D21)</f>
        <v>234.36333333333332</v>
      </c>
      <c r="I21" s="104">
        <f t="shared" si="3"/>
        <v>153</v>
      </c>
      <c r="J21" s="104">
        <f t="shared" si="3"/>
        <v>186.08333333333334</v>
      </c>
    </row>
    <row r="22" spans="2:10" ht="15.75" x14ac:dyDescent="0.3">
      <c r="B22" s="109">
        <v>44652</v>
      </c>
      <c r="C22" s="110">
        <v>338</v>
      </c>
      <c r="D22" s="111">
        <v>373</v>
      </c>
      <c r="E22" s="110">
        <v>289</v>
      </c>
      <c r="F22" s="111">
        <v>329</v>
      </c>
    </row>
    <row r="23" spans="2:10" ht="15.75" x14ac:dyDescent="0.3">
      <c r="B23" s="109">
        <v>44682</v>
      </c>
      <c r="C23" s="110">
        <v>420</v>
      </c>
      <c r="D23" s="111">
        <v>450</v>
      </c>
      <c r="E23" s="110">
        <v>400</v>
      </c>
      <c r="F23" s="111">
        <v>445</v>
      </c>
    </row>
    <row r="24" spans="2:10" ht="15.75" x14ac:dyDescent="0.3">
      <c r="B24" s="109">
        <v>44713</v>
      </c>
      <c r="C24" s="110">
        <v>470</v>
      </c>
      <c r="D24" s="111">
        <v>550</v>
      </c>
      <c r="E24" s="110">
        <v>460</v>
      </c>
      <c r="F24" s="111">
        <v>520</v>
      </c>
      <c r="G24" s="104">
        <f>+AVERAGE(C22:C24)</f>
        <v>409.33333333333331</v>
      </c>
      <c r="H24" s="104">
        <f t="shared" ref="H24:J24" si="4">+AVERAGE(D22:D24)</f>
        <v>457.66666666666669</v>
      </c>
      <c r="I24" s="104">
        <f t="shared" si="4"/>
        <v>383</v>
      </c>
      <c r="J24" s="104">
        <f t="shared" si="4"/>
        <v>431.33333333333331</v>
      </c>
    </row>
    <row r="25" spans="2:10" ht="15.75" x14ac:dyDescent="0.3">
      <c r="B25" s="105">
        <v>44743</v>
      </c>
      <c r="C25" s="106">
        <v>450</v>
      </c>
      <c r="D25" s="103">
        <v>540</v>
      </c>
      <c r="E25" s="106">
        <v>440</v>
      </c>
      <c r="F25" s="103">
        <v>510</v>
      </c>
    </row>
    <row r="26" spans="2:10" ht="15.75" x14ac:dyDescent="0.3">
      <c r="B26" s="105">
        <v>44774</v>
      </c>
      <c r="C26" s="106">
        <v>450</v>
      </c>
      <c r="D26" s="103">
        <v>540</v>
      </c>
      <c r="E26" s="106">
        <v>430</v>
      </c>
      <c r="F26" s="103">
        <v>510</v>
      </c>
    </row>
    <row r="27" spans="2:10" ht="15.75" x14ac:dyDescent="0.3">
      <c r="B27" s="105">
        <v>44805</v>
      </c>
      <c r="C27" s="106">
        <v>450</v>
      </c>
      <c r="D27" s="103">
        <v>540</v>
      </c>
      <c r="E27" s="106">
        <v>430</v>
      </c>
      <c r="F27" s="103">
        <v>510</v>
      </c>
      <c r="G27" s="104">
        <f>+AVERAGE(C25:C27)</f>
        <v>450</v>
      </c>
      <c r="H27" s="104">
        <f t="shared" ref="H27:J27" si="5">+AVERAGE(D25:D27)</f>
        <v>540</v>
      </c>
      <c r="I27" s="104">
        <f t="shared" si="5"/>
        <v>433.33333333333331</v>
      </c>
      <c r="J27" s="104">
        <f t="shared" si="5"/>
        <v>510</v>
      </c>
    </row>
    <row r="28" spans="2:10" x14ac:dyDescent="0.25">
      <c r="B28" s="109">
        <v>44835</v>
      </c>
      <c r="C28" s="110">
        <v>410</v>
      </c>
      <c r="D28" s="110">
        <v>510</v>
      </c>
      <c r="E28" s="110">
        <v>430</v>
      </c>
      <c r="F28" s="110">
        <f>F25</f>
        <v>510</v>
      </c>
    </row>
    <row r="29" spans="2:10" x14ac:dyDescent="0.25">
      <c r="B29" s="109">
        <v>44851</v>
      </c>
      <c r="C29" s="110">
        <v>370</v>
      </c>
      <c r="D29" s="110">
        <v>510</v>
      </c>
      <c r="E29" s="110">
        <v>415</v>
      </c>
      <c r="F29" s="110">
        <v>510</v>
      </c>
    </row>
    <row r="30" spans="2:10" ht="15.75" x14ac:dyDescent="0.3">
      <c r="B30" s="109">
        <v>44866</v>
      </c>
      <c r="C30" s="110">
        <v>370</v>
      </c>
      <c r="D30" s="111">
        <v>510</v>
      </c>
      <c r="E30" s="110">
        <v>430</v>
      </c>
      <c r="F30" s="110">
        <v>510</v>
      </c>
    </row>
    <row r="31" spans="2:10" ht="15.75" x14ac:dyDescent="0.3">
      <c r="B31" s="109">
        <v>44903</v>
      </c>
      <c r="C31" s="110">
        <v>370</v>
      </c>
      <c r="D31" s="111">
        <v>510</v>
      </c>
      <c r="E31" s="110">
        <v>420</v>
      </c>
      <c r="F31" s="110">
        <v>510</v>
      </c>
      <c r="G31" s="104">
        <f>+AVERAGE(C28:C31)</f>
        <v>380</v>
      </c>
      <c r="H31" s="104">
        <f t="shared" ref="H31:J31" si="6">+AVERAGE(D28:D31)</f>
        <v>510</v>
      </c>
      <c r="I31" s="104">
        <f t="shared" si="6"/>
        <v>423.75</v>
      </c>
      <c r="J31" s="104">
        <f t="shared" si="6"/>
        <v>510</v>
      </c>
    </row>
    <row r="32" spans="2:10" ht="15.75" x14ac:dyDescent="0.3">
      <c r="B32" s="105">
        <v>44929</v>
      </c>
      <c r="C32" s="107">
        <v>370</v>
      </c>
      <c r="D32" s="103">
        <v>510</v>
      </c>
      <c r="E32" s="107">
        <v>405</v>
      </c>
      <c r="F32" s="103">
        <v>510</v>
      </c>
    </row>
    <row r="33" spans="2:14" ht="15.75" x14ac:dyDescent="0.3">
      <c r="B33" s="105">
        <v>44958</v>
      </c>
      <c r="C33" s="107">
        <v>400</v>
      </c>
      <c r="D33" s="103">
        <v>510</v>
      </c>
      <c r="E33" s="107">
        <v>405</v>
      </c>
      <c r="F33" s="103">
        <v>510</v>
      </c>
    </row>
    <row r="34" spans="2:14" x14ac:dyDescent="0.25">
      <c r="B34" s="105">
        <v>44986</v>
      </c>
      <c r="C34" s="107">
        <v>400</v>
      </c>
      <c r="D34" s="107">
        <f>D33</f>
        <v>510</v>
      </c>
      <c r="E34" s="107">
        <f>E33</f>
        <v>405</v>
      </c>
      <c r="F34" s="107">
        <f>F33</f>
        <v>510</v>
      </c>
    </row>
    <row r="35" spans="2:14" x14ac:dyDescent="0.25">
      <c r="B35" s="105">
        <v>45013</v>
      </c>
      <c r="C35" s="107">
        <v>340</v>
      </c>
      <c r="D35" s="107">
        <v>375</v>
      </c>
      <c r="E35" s="107">
        <v>325</v>
      </c>
      <c r="F35" s="107">
        <v>465</v>
      </c>
      <c r="G35" s="104">
        <f>+AVERAGE(C32:C35)</f>
        <v>377.5</v>
      </c>
      <c r="H35" s="104">
        <f t="shared" ref="H35:J35" si="7">+AVERAGE(D32:D35)</f>
        <v>476.25</v>
      </c>
      <c r="I35" s="104">
        <f t="shared" si="7"/>
        <v>385</v>
      </c>
      <c r="J35" s="104">
        <f t="shared" si="7"/>
        <v>498.75</v>
      </c>
    </row>
    <row r="36" spans="2:14" x14ac:dyDescent="0.25">
      <c r="B36" s="109">
        <v>45017</v>
      </c>
      <c r="C36" s="110">
        <f>C34-60</f>
        <v>340</v>
      </c>
      <c r="D36" s="110">
        <f>D34-135</f>
        <v>375</v>
      </c>
      <c r="E36" s="110">
        <f>E34-80</f>
        <v>325</v>
      </c>
      <c r="F36" s="110">
        <f>F34-45</f>
        <v>465</v>
      </c>
    </row>
    <row r="37" spans="2:14" x14ac:dyDescent="0.25">
      <c r="B37" s="109">
        <v>45047</v>
      </c>
      <c r="C37" s="110">
        <f>C36-7</f>
        <v>333</v>
      </c>
      <c r="D37" s="110">
        <f>D36-10</f>
        <v>365</v>
      </c>
      <c r="E37" s="110">
        <f>E36-15</f>
        <v>310</v>
      </c>
      <c r="F37" s="110">
        <f>F36-135</f>
        <v>330</v>
      </c>
    </row>
    <row r="38" spans="2:14" x14ac:dyDescent="0.25">
      <c r="B38" s="109">
        <v>45078</v>
      </c>
      <c r="C38" s="110">
        <v>318</v>
      </c>
      <c r="D38" s="110">
        <v>385</v>
      </c>
      <c r="E38" s="110">
        <v>310</v>
      </c>
      <c r="F38" s="110">
        <v>340</v>
      </c>
      <c r="G38" s="104">
        <f>+AVERAGE(C36:C38)</f>
        <v>330.33333333333331</v>
      </c>
      <c r="H38" s="104">
        <f t="shared" ref="H38:J38" si="8">+AVERAGE(D36:D38)</f>
        <v>375</v>
      </c>
      <c r="I38" s="104">
        <f t="shared" si="8"/>
        <v>315</v>
      </c>
      <c r="J38" s="104">
        <f t="shared" si="8"/>
        <v>378.33333333333331</v>
      </c>
      <c r="K38" s="4">
        <f>+G38/G35-1</f>
        <v>-0.12494481236203092</v>
      </c>
      <c r="L38" s="4">
        <f t="shared" ref="L38" si="9">+H38/H35-1</f>
        <v>-0.21259842519685035</v>
      </c>
      <c r="M38" s="4">
        <f t="shared" ref="M38" si="10">+I38/I35-1</f>
        <v>-0.18181818181818177</v>
      </c>
      <c r="N38" s="4">
        <f t="shared" ref="N38" si="11">+J38/J35-1</f>
        <v>-0.24143692564745201</v>
      </c>
    </row>
    <row r="39" spans="2:14" x14ac:dyDescent="0.25">
      <c r="B39" s="105">
        <v>45108</v>
      </c>
      <c r="C39" s="107">
        <v>328</v>
      </c>
      <c r="D39" s="107">
        <v>365</v>
      </c>
      <c r="E39" s="107">
        <v>308</v>
      </c>
      <c r="F39" s="107">
        <v>346</v>
      </c>
    </row>
    <row r="40" spans="2:14" x14ac:dyDescent="0.25">
      <c r="B40" s="105">
        <v>45139</v>
      </c>
      <c r="C40" s="107">
        <v>348</v>
      </c>
      <c r="D40" s="107">
        <v>375</v>
      </c>
      <c r="E40" s="107">
        <v>306</v>
      </c>
      <c r="F40" s="107">
        <v>358</v>
      </c>
    </row>
    <row r="41" spans="2:14" x14ac:dyDescent="0.25">
      <c r="B41" s="105">
        <v>45170</v>
      </c>
      <c r="C41" s="107">
        <v>361</v>
      </c>
      <c r="D41" s="107">
        <v>417</v>
      </c>
      <c r="E41" s="107">
        <v>341</v>
      </c>
      <c r="F41" s="107">
        <v>359</v>
      </c>
      <c r="G41" s="104">
        <f>+AVERAGE(C39:C41)</f>
        <v>345.66666666666669</v>
      </c>
      <c r="H41" s="104">
        <f t="shared" ref="H41:J41" si="12">+AVERAGE(D39:D41)</f>
        <v>385.66666666666669</v>
      </c>
      <c r="I41" s="104">
        <f t="shared" si="12"/>
        <v>318.33333333333331</v>
      </c>
      <c r="J41" s="104">
        <f t="shared" si="12"/>
        <v>354.33333333333331</v>
      </c>
      <c r="K41" s="4">
        <f>+G41/G38-1</f>
        <v>4.6417759838547124E-2</v>
      </c>
      <c r="L41" s="4">
        <f t="shared" ref="L41" si="13">+H41/H38-1</f>
        <v>2.8444444444444494E-2</v>
      </c>
      <c r="M41" s="4">
        <f t="shared" ref="M41" si="14">+I41/I38-1</f>
        <v>1.058201058201047E-2</v>
      </c>
      <c r="N41" s="4">
        <f t="shared" ref="N41" si="15">+J41/J38-1</f>
        <v>-6.3436123348017626E-2</v>
      </c>
    </row>
    <row r="42" spans="2:14" x14ac:dyDescent="0.25">
      <c r="B42" s="105">
        <v>45200</v>
      </c>
      <c r="C42" s="107">
        <v>365</v>
      </c>
      <c r="D42" s="107">
        <v>420</v>
      </c>
      <c r="E42" s="107">
        <v>351</v>
      </c>
      <c r="F42" s="107">
        <v>421</v>
      </c>
    </row>
    <row r="43" spans="2:14" x14ac:dyDescent="0.25">
      <c r="B43" s="105">
        <v>45231</v>
      </c>
      <c r="C43" s="107">
        <v>356</v>
      </c>
      <c r="D43" s="107">
        <v>423</v>
      </c>
      <c r="E43" s="107">
        <v>356</v>
      </c>
      <c r="F43" s="107">
        <v>431</v>
      </c>
    </row>
    <row r="44" spans="2:14" x14ac:dyDescent="0.25">
      <c r="B44" s="105">
        <v>45261</v>
      </c>
      <c r="C44" s="107">
        <v>346</v>
      </c>
      <c r="D44" s="107">
        <v>426</v>
      </c>
      <c r="E44" s="107">
        <v>329</v>
      </c>
      <c r="F44" s="107">
        <v>434</v>
      </c>
      <c r="G44" s="104">
        <f>+AVERAGE(C42:C44)</f>
        <v>355.66666666666669</v>
      </c>
      <c r="H44" s="104">
        <f t="shared" ref="H44" si="16">+AVERAGE(D42:D44)</f>
        <v>423</v>
      </c>
      <c r="I44" s="104">
        <f t="shared" ref="I44" si="17">+AVERAGE(E42:E44)</f>
        <v>345.33333333333331</v>
      </c>
      <c r="J44" s="104">
        <f t="shared" ref="J44" si="18">+AVERAGE(F42:F44)</f>
        <v>428.66666666666669</v>
      </c>
      <c r="K44" s="4">
        <f>+G44/G41-1</f>
        <v>2.8929604628736838E-2</v>
      </c>
      <c r="L44" s="4">
        <f t="shared" ref="L44" si="19">+H44/H41-1</f>
        <v>9.6802074330164078E-2</v>
      </c>
      <c r="M44" s="4">
        <f t="shared" ref="M44" si="20">+I44/I41-1</f>
        <v>8.4816753926701516E-2</v>
      </c>
      <c r="N44" s="4">
        <f t="shared" ref="N44" si="21">+J44/J41-1</f>
        <v>0.20978363123236132</v>
      </c>
    </row>
    <row r="45" spans="2:14" x14ac:dyDescent="0.25">
      <c r="B45" s="105">
        <v>45292</v>
      </c>
      <c r="C45" s="107">
        <v>366</v>
      </c>
      <c r="D45" s="107">
        <v>464</v>
      </c>
      <c r="E45" s="107">
        <v>358</v>
      </c>
      <c r="F45" s="107">
        <v>475</v>
      </c>
      <c r="G45" s="104"/>
      <c r="H45" s="104"/>
      <c r="I45" s="104"/>
      <c r="J45" s="104"/>
    </row>
    <row r="46" spans="2:14" x14ac:dyDescent="0.25">
      <c r="B46" s="105">
        <v>45323</v>
      </c>
      <c r="C46" s="107">
        <v>371</v>
      </c>
      <c r="D46" s="107">
        <v>456</v>
      </c>
      <c r="E46" s="107">
        <v>363</v>
      </c>
      <c r="F46" s="107">
        <v>468</v>
      </c>
    </row>
    <row r="47" spans="2:14" x14ac:dyDescent="0.25">
      <c r="B47" s="105">
        <v>45352</v>
      </c>
      <c r="C47" s="107">
        <v>371</v>
      </c>
      <c r="D47" s="107">
        <v>447</v>
      </c>
      <c r="E47" s="107">
        <v>363</v>
      </c>
      <c r="F47" s="107">
        <v>458</v>
      </c>
      <c r="G47" s="104">
        <f>+AVERAGE(C45:C47)</f>
        <v>369.33333333333331</v>
      </c>
      <c r="H47" s="104">
        <f t="shared" ref="H47" si="22">+AVERAGE(D45:D47)</f>
        <v>455.66666666666669</v>
      </c>
      <c r="I47" s="104">
        <f t="shared" ref="I47" si="23">+AVERAGE(E45:E47)</f>
        <v>361.33333333333331</v>
      </c>
      <c r="J47" s="104">
        <f t="shared" ref="J47" si="24">+AVERAGE(F45:F47)</f>
        <v>467</v>
      </c>
      <c r="K47" s="4">
        <f>+G47/G44-1</f>
        <v>3.8425492033739239E-2</v>
      </c>
      <c r="L47" s="4">
        <f t="shared" ref="L47" si="25">+H47/H44-1</f>
        <v>7.7226162332545423E-2</v>
      </c>
      <c r="M47" s="4">
        <f t="shared" ref="M47" si="26">+I47/I44-1</f>
        <v>4.6332046332046239E-2</v>
      </c>
      <c r="N47" s="4">
        <f t="shared" ref="N47" si="27">+J47/J44-1</f>
        <v>8.9424572317262863E-2</v>
      </c>
    </row>
    <row r="48" spans="2:14" x14ac:dyDescent="0.25">
      <c r="B48" s="105">
        <v>45383</v>
      </c>
      <c r="C48" s="107">
        <v>371</v>
      </c>
      <c r="D48" s="107">
        <v>440</v>
      </c>
      <c r="E48" s="107">
        <v>363</v>
      </c>
      <c r="F48" s="107">
        <v>386</v>
      </c>
      <c r="G48" s="104"/>
      <c r="H48" s="104"/>
      <c r="I48" s="104"/>
      <c r="J48" s="104"/>
    </row>
    <row r="49" spans="2:14" x14ac:dyDescent="0.25">
      <c r="B49" s="105">
        <v>45413</v>
      </c>
      <c r="C49" s="107">
        <v>368</v>
      </c>
      <c r="D49" s="107">
        <v>420</v>
      </c>
      <c r="E49" s="107">
        <v>333</v>
      </c>
      <c r="F49" s="107">
        <v>377</v>
      </c>
    </row>
    <row r="50" spans="2:14" x14ac:dyDescent="0.25">
      <c r="B50" s="105">
        <v>45444</v>
      </c>
      <c r="C50" s="107">
        <v>355</v>
      </c>
      <c r="D50" s="107">
        <v>420</v>
      </c>
      <c r="E50" s="107">
        <v>317</v>
      </c>
      <c r="F50" s="107">
        <v>377</v>
      </c>
      <c r="G50" s="104">
        <f>+AVERAGE(C48:C50)</f>
        <v>364.66666666666669</v>
      </c>
      <c r="H50" s="104">
        <f t="shared" ref="H50" si="28">+AVERAGE(D48:D50)</f>
        <v>426.66666666666669</v>
      </c>
      <c r="I50" s="104">
        <f t="shared" ref="I50" si="29">+AVERAGE(E48:E50)</f>
        <v>337.66666666666669</v>
      </c>
      <c r="J50" s="104">
        <f t="shared" ref="J50" si="30">+AVERAGE(F48:F50)</f>
        <v>380</v>
      </c>
      <c r="K50" s="4">
        <f>+G50/G47-1</f>
        <v>-1.2635379061371688E-2</v>
      </c>
      <c r="L50" s="4">
        <f t="shared" ref="L50:N50" si="31">+H50/H47-1</f>
        <v>-6.3643013899049028E-2</v>
      </c>
      <c r="M50" s="4">
        <f t="shared" si="31"/>
        <v>-6.5498154981549761E-2</v>
      </c>
      <c r="N50" s="4">
        <f t="shared" si="31"/>
        <v>-0.1862955032119914</v>
      </c>
    </row>
    <row r="51" spans="2:14" x14ac:dyDescent="0.25">
      <c r="B51" s="105">
        <v>45474</v>
      </c>
      <c r="C51" s="107">
        <v>344</v>
      </c>
      <c r="D51" s="107">
        <v>379</v>
      </c>
      <c r="E51" s="107">
        <v>317</v>
      </c>
      <c r="F51" s="107">
        <v>355</v>
      </c>
    </row>
    <row r="52" spans="2:14" x14ac:dyDescent="0.25">
      <c r="B52" s="105">
        <v>45505</v>
      </c>
    </row>
    <row r="53" spans="2:14" x14ac:dyDescent="0.25">
      <c r="B53" s="105">
        <v>45536</v>
      </c>
      <c r="G53" s="104">
        <f>+AVERAGE(C51:C53)</f>
        <v>344</v>
      </c>
      <c r="H53" s="104">
        <f t="shared" ref="H53" si="32">+AVERAGE(D51:D53)</f>
        <v>379</v>
      </c>
      <c r="I53" s="104">
        <f t="shared" ref="I53" si="33">+AVERAGE(E51:E53)</f>
        <v>317</v>
      </c>
      <c r="J53" s="104">
        <f t="shared" ref="J53" si="34">+AVERAGE(F51:F53)</f>
        <v>355</v>
      </c>
      <c r="K53" s="4">
        <f>+G53/G50-1</f>
        <v>-5.667276051188308E-2</v>
      </c>
      <c r="L53" s="4">
        <f t="shared" ref="L53" si="35">+H53/H50-1</f>
        <v>-0.11171875000000009</v>
      </c>
      <c r="M53" s="4">
        <f t="shared" ref="M53" si="36">+I53/I50-1</f>
        <v>-6.1204343534057348E-2</v>
      </c>
      <c r="N53" s="4">
        <f t="shared" ref="N53" si="37">+J53/J50-1</f>
        <v>-6.5789473684210509E-2</v>
      </c>
    </row>
  </sheetData>
  <pageMargins left="0.7" right="0.7" top="0.75" bottom="0.75" header="0.3" footer="0.3"/>
  <ignoredErrors>
    <ignoredError sqref="G15:J50" formulaRange="1"/>
  </ignoredError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7791-EBC6-469E-8251-27998C985C39}">
  <dimension ref="B1:R51"/>
  <sheetViews>
    <sheetView topLeftCell="B16" workbookViewId="0">
      <selection activeCell="O17" sqref="O17"/>
    </sheetView>
  </sheetViews>
  <sheetFormatPr defaultColWidth="8.85546875" defaultRowHeight="15" outlineLevelRow="3" x14ac:dyDescent="0.25"/>
  <cols>
    <col min="1" max="2" width="8.85546875" style="50"/>
    <col min="3" max="4" width="11" style="50" customWidth="1"/>
    <col min="5" max="13" width="8.85546875" style="50"/>
    <col min="14" max="14" width="9.140625" style="50" bestFit="1" customWidth="1"/>
    <col min="15" max="16384" width="8.85546875" style="50"/>
  </cols>
  <sheetData>
    <row r="1" spans="2:18" x14ac:dyDescent="0.25">
      <c r="C1" s="50" t="s">
        <v>395</v>
      </c>
      <c r="D1" s="50" t="s">
        <v>396</v>
      </c>
      <c r="E1" s="50" t="s">
        <v>397</v>
      </c>
      <c r="F1" s="50" t="s">
        <v>398</v>
      </c>
      <c r="G1" s="50" t="s">
        <v>399</v>
      </c>
      <c r="H1" s="50" t="s">
        <v>400</v>
      </c>
      <c r="I1" s="50" t="s">
        <v>401</v>
      </c>
      <c r="J1" s="50" t="s">
        <v>402</v>
      </c>
      <c r="K1" s="50" t="s">
        <v>403</v>
      </c>
      <c r="L1" s="50" t="s">
        <v>404</v>
      </c>
      <c r="M1" s="50" t="s">
        <v>405</v>
      </c>
      <c r="N1" s="50" t="s">
        <v>406</v>
      </c>
      <c r="O1" s="50" t="s">
        <v>407</v>
      </c>
      <c r="P1" s="50" t="s">
        <v>408</v>
      </c>
      <c r="Q1" s="97" t="s">
        <v>409</v>
      </c>
      <c r="R1" s="50" t="s">
        <v>410</v>
      </c>
    </row>
    <row r="2" spans="2:18" x14ac:dyDescent="0.25">
      <c r="C2" s="50" t="s">
        <v>411</v>
      </c>
      <c r="D2" s="50" t="s">
        <v>412</v>
      </c>
      <c r="E2" s="50" t="s">
        <v>412</v>
      </c>
      <c r="F2" s="50" t="s">
        <v>412</v>
      </c>
      <c r="G2" s="50" t="s">
        <v>413</v>
      </c>
      <c r="H2" s="50" t="s">
        <v>412</v>
      </c>
      <c r="I2" s="50" t="s">
        <v>412</v>
      </c>
      <c r="J2" s="50" t="s">
        <v>414</v>
      </c>
      <c r="K2" s="50" t="s">
        <v>414</v>
      </c>
      <c r="L2" s="50" t="s">
        <v>415</v>
      </c>
      <c r="M2" s="50" t="s">
        <v>416</v>
      </c>
      <c r="N2" s="50" t="s">
        <v>417</v>
      </c>
      <c r="O2" s="50" t="s">
        <v>417</v>
      </c>
      <c r="P2" s="50" t="s">
        <v>417</v>
      </c>
      <c r="Q2" s="50" t="s">
        <v>412</v>
      </c>
      <c r="R2" s="50" t="s">
        <v>418</v>
      </c>
    </row>
    <row r="3" spans="2:18" ht="14.45" customHeight="1" outlineLevel="3" collapsed="1" x14ac:dyDescent="0.25">
      <c r="B3" s="112">
        <v>44592</v>
      </c>
      <c r="C3" s="91">
        <v>85.095500000000001</v>
      </c>
      <c r="D3" s="91">
        <v>231.76017857142801</v>
      </c>
      <c r="E3" s="91">
        <v>9774.5125000000007</v>
      </c>
      <c r="F3" s="91">
        <v>3000.0749999999998</v>
      </c>
      <c r="G3" s="50">
        <v>132.33000000000001</v>
      </c>
      <c r="H3" s="91">
        <v>1293.5952157404099</v>
      </c>
      <c r="I3" s="91">
        <v>549.99954640709097</v>
      </c>
      <c r="J3" s="113">
        <v>18.460999999999999</v>
      </c>
      <c r="K3" s="91">
        <v>25.393909713286799</v>
      </c>
      <c r="L3" s="91">
        <v>1.1685789473684212</v>
      </c>
      <c r="M3" s="51">
        <v>75.162499999999994</v>
      </c>
      <c r="N3" s="51">
        <v>794.89250000000004</v>
      </c>
      <c r="O3" s="50">
        <v>704.67</v>
      </c>
      <c r="P3" s="50">
        <v>461</v>
      </c>
      <c r="Q3" s="91">
        <v>276.71917821428571</v>
      </c>
      <c r="R3" s="91">
        <v>4.2333333333333334</v>
      </c>
    </row>
    <row r="4" spans="2:18" x14ac:dyDescent="0.25">
      <c r="B4" s="112">
        <v>44620</v>
      </c>
      <c r="C4" s="91">
        <v>93.442499999999995</v>
      </c>
      <c r="D4" s="91">
        <v>272.48678571428502</v>
      </c>
      <c r="E4" s="91">
        <v>9956.75</v>
      </c>
      <c r="F4" s="91">
        <v>3224.1750000000002</v>
      </c>
      <c r="G4" s="50">
        <v>138.41</v>
      </c>
      <c r="H4" s="91">
        <v>1458.06977711168</v>
      </c>
      <c r="I4" s="91">
        <v>550.02458473569197</v>
      </c>
      <c r="J4" s="113">
        <v>18.203157894736801</v>
      </c>
      <c r="K4" s="91">
        <v>26.8395484468532</v>
      </c>
      <c r="L4" s="91">
        <v>1.2826315789473686</v>
      </c>
      <c r="M4" s="51">
        <v>71.375</v>
      </c>
      <c r="N4" s="51">
        <v>804.16750000000002</v>
      </c>
      <c r="O4" s="50">
        <v>725.63</v>
      </c>
      <c r="P4" s="50">
        <f>+(472+445)/2</f>
        <v>458.5</v>
      </c>
      <c r="Q4" s="91">
        <v>292.67159304511279</v>
      </c>
      <c r="R4" s="91">
        <v>4.4749999999999996</v>
      </c>
    </row>
    <row r="5" spans="2:18" x14ac:dyDescent="0.25">
      <c r="B5" s="112">
        <v>44651</v>
      </c>
      <c r="C5" s="91">
        <v>111.6921739130435</v>
      </c>
      <c r="D5" s="91">
        <v>353.440527950356</v>
      </c>
      <c r="E5" s="91">
        <v>10236.695652173914</v>
      </c>
      <c r="F5" s="91">
        <v>3542.9347826086955</v>
      </c>
      <c r="G5" s="50">
        <v>141.13</v>
      </c>
      <c r="H5" s="91">
        <v>1652.7163927971901</v>
      </c>
      <c r="I5" s="91">
        <v>584.00307969864105</v>
      </c>
      <c r="J5" s="113">
        <v>19.1078260869565</v>
      </c>
      <c r="K5" s="91">
        <v>28.056466697476498</v>
      </c>
      <c r="L5" s="91">
        <v>1.4540555555555554</v>
      </c>
      <c r="M5" s="51">
        <v>77.025000000000006</v>
      </c>
      <c r="N5" s="51">
        <v>866.34</v>
      </c>
      <c r="O5" s="50">
        <v>848.08</v>
      </c>
      <c r="P5" s="50">
        <f>+(640+596.5+575+522+480)/5</f>
        <v>562.70000000000005</v>
      </c>
      <c r="Q5" s="91">
        <v>335.93068416149077</v>
      </c>
      <c r="R5" s="91">
        <v>4.971304347826087</v>
      </c>
    </row>
    <row r="6" spans="2:18" x14ac:dyDescent="0.25">
      <c r="B6" s="112">
        <v>44681</v>
      </c>
      <c r="C6" s="91">
        <v>106.00476190476191</v>
      </c>
      <c r="D6" s="91">
        <v>334.71823308267801</v>
      </c>
      <c r="E6" s="91">
        <v>10182.328947368422</v>
      </c>
      <c r="F6" s="91">
        <v>3276.1052631578946</v>
      </c>
      <c r="G6" s="50">
        <v>155.32</v>
      </c>
      <c r="H6" s="91">
        <v>1613.0743554943001</v>
      </c>
      <c r="I6" s="91">
        <v>629.05180506218403</v>
      </c>
      <c r="J6" s="113">
        <v>19.699047619047601</v>
      </c>
      <c r="K6" s="91">
        <v>28.536696315684399</v>
      </c>
      <c r="L6" s="91">
        <v>1.3145454545454547</v>
      </c>
      <c r="M6" s="51">
        <v>81.125</v>
      </c>
      <c r="N6" s="51">
        <v>935.42666666666662</v>
      </c>
      <c r="O6" s="50">
        <v>1350.25</v>
      </c>
      <c r="P6" s="50">
        <f>+(675+640+640+640)/4</f>
        <v>648.75</v>
      </c>
      <c r="Q6" s="91">
        <v>348.50711696428573</v>
      </c>
      <c r="R6" s="91">
        <v>6.7447619047619058</v>
      </c>
    </row>
    <row r="7" spans="2:18" x14ac:dyDescent="0.25">
      <c r="B7" s="112">
        <v>44712</v>
      </c>
      <c r="C7" s="91">
        <v>110.99045454545454</v>
      </c>
      <c r="D7" s="91">
        <v>418.49387755103498</v>
      </c>
      <c r="E7" s="91">
        <v>9362.0833333333339</v>
      </c>
      <c r="F7" s="91">
        <v>2854.7857142857142</v>
      </c>
      <c r="G7" s="50">
        <v>163.98</v>
      </c>
      <c r="H7" s="91">
        <v>1601.2221037474101</v>
      </c>
      <c r="I7" s="91">
        <v>627.05038427566603</v>
      </c>
      <c r="J7" s="113">
        <v>19.280909090909098</v>
      </c>
      <c r="K7" s="91">
        <v>28.1586342177368</v>
      </c>
      <c r="L7" s="91">
        <v>1.2232380952380957</v>
      </c>
      <c r="M7" s="51">
        <v>79.832499999999996</v>
      </c>
      <c r="N7" s="51">
        <v>1015.9266666666666</v>
      </c>
      <c r="O7" s="50">
        <v>1324.95</v>
      </c>
      <c r="P7" s="50">
        <f>+(740+690)/2</f>
        <v>715</v>
      </c>
      <c r="Q7" s="91">
        <v>344.90929960317465</v>
      </c>
      <c r="R7" s="91">
        <v>8.1600000000000019</v>
      </c>
    </row>
    <row r="8" spans="2:18" x14ac:dyDescent="0.25">
      <c r="B8" s="112">
        <v>44742</v>
      </c>
      <c r="C8" s="91">
        <v>116.3445454545455</v>
      </c>
      <c r="D8" s="91">
        <v>427.42499999999899</v>
      </c>
      <c r="E8" s="91">
        <v>9031.9874999999993</v>
      </c>
      <c r="F8" s="91">
        <v>2585.0250000000001</v>
      </c>
      <c r="G8" s="50">
        <v>154.44999999999999</v>
      </c>
      <c r="H8" s="91">
        <v>1322.1846213946101</v>
      </c>
      <c r="I8" s="91">
        <v>562.38419979200705</v>
      </c>
      <c r="J8" s="113">
        <v>18.794090909090901</v>
      </c>
      <c r="K8" s="91">
        <v>29.149182874443799</v>
      </c>
      <c r="L8" s="91">
        <v>1.2192857142857143</v>
      </c>
      <c r="M8" s="51">
        <v>78.275000000000006</v>
      </c>
      <c r="N8" s="51">
        <v>1228.8399999999999</v>
      </c>
      <c r="O8" s="50">
        <v>1254.54</v>
      </c>
      <c r="P8" s="50">
        <v>800.8</v>
      </c>
      <c r="Q8" s="91">
        <v>335.71713401360546</v>
      </c>
      <c r="R8" s="91">
        <v>7.5709090909090895</v>
      </c>
    </row>
    <row r="9" spans="2:18" x14ac:dyDescent="0.25">
      <c r="B9" s="112">
        <v>44773</v>
      </c>
      <c r="C9" s="91">
        <v>103.64666666666666</v>
      </c>
      <c r="D9" s="91">
        <v>433.62653061224898</v>
      </c>
      <c r="E9" s="91">
        <v>7529.083333333333</v>
      </c>
      <c r="F9" s="91">
        <v>2407.9285714285716</v>
      </c>
      <c r="G9" s="50">
        <v>131.04</v>
      </c>
      <c r="H9" s="91">
        <v>902.89114787096696</v>
      </c>
      <c r="I9" s="91">
        <v>465.67342779297701</v>
      </c>
      <c r="J9" s="113">
        <v>18.34</v>
      </c>
      <c r="K9" s="91">
        <v>29.162775182817199</v>
      </c>
      <c r="L9" s="91">
        <v>1.14235</v>
      </c>
      <c r="M9" s="51">
        <v>71.8</v>
      </c>
      <c r="N9" s="51">
        <v>1267.5925</v>
      </c>
      <c r="O9" s="50">
        <v>1464.85</v>
      </c>
      <c r="P9" s="50">
        <v>685</v>
      </c>
      <c r="Q9" s="91">
        <v>312.68204196428576</v>
      </c>
      <c r="R9" s="91">
        <v>7.1090476190476188</v>
      </c>
    </row>
    <row r="10" spans="2:18" x14ac:dyDescent="0.25">
      <c r="B10" s="112">
        <v>44804</v>
      </c>
      <c r="C10" s="91">
        <v>97.412173913043475</v>
      </c>
      <c r="D10" s="91">
        <v>447.44756493506401</v>
      </c>
      <c r="E10" s="91">
        <v>7960.238636363636</v>
      </c>
      <c r="F10" s="91">
        <v>2424.1136363636365</v>
      </c>
      <c r="G10" s="50">
        <v>124.76</v>
      </c>
      <c r="H10" s="91">
        <v>926.32443258642297</v>
      </c>
      <c r="I10" s="91">
        <v>409.284849641839</v>
      </c>
      <c r="J10" s="113">
        <v>18.062608695652202</v>
      </c>
      <c r="K10" s="91">
        <v>28.017603237154201</v>
      </c>
      <c r="L10" s="91">
        <v>1.0934761904761905</v>
      </c>
      <c r="M10" s="51">
        <v>80.099999999999994</v>
      </c>
      <c r="N10" s="51">
        <v>1374.7050000000002</v>
      </c>
      <c r="O10" s="50">
        <v>1508.21</v>
      </c>
      <c r="P10" s="50">
        <f>+(675+680+700)/3</f>
        <v>685</v>
      </c>
      <c r="Q10" s="91">
        <v>293.93079033385089</v>
      </c>
      <c r="R10" s="91">
        <v>8.7773913043478284</v>
      </c>
    </row>
    <row r="11" spans="2:18" x14ac:dyDescent="0.25">
      <c r="B11" s="112">
        <v>44834</v>
      </c>
      <c r="C11" s="91">
        <v>90.156363636363622</v>
      </c>
      <c r="D11" s="91">
        <v>467.783673469392</v>
      </c>
      <c r="E11" s="91">
        <v>7733.818181818182</v>
      </c>
      <c r="F11" s="91">
        <v>2243.068181818182</v>
      </c>
      <c r="G11" s="50">
        <v>117.94</v>
      </c>
      <c r="H11" s="91">
        <v>794.48887887487604</v>
      </c>
      <c r="I11" s="91">
        <v>497.277947714758</v>
      </c>
      <c r="J11" s="113">
        <v>18.185909090909099</v>
      </c>
      <c r="K11" s="91">
        <v>27.7327908699937</v>
      </c>
      <c r="L11" s="91">
        <v>0.99057142857142855</v>
      </c>
      <c r="M11" s="51">
        <v>84.6</v>
      </c>
      <c r="N11" s="51">
        <v>1475.1125</v>
      </c>
      <c r="O11" s="50">
        <v>1617.7</v>
      </c>
      <c r="P11" s="50">
        <f>+(650+680+680)/3</f>
        <v>670</v>
      </c>
      <c r="Q11" s="91">
        <v>312.54612789115646</v>
      </c>
      <c r="R11" s="91">
        <v>7.8349999999999991</v>
      </c>
    </row>
    <row r="12" spans="2:18" x14ac:dyDescent="0.25">
      <c r="B12" s="112">
        <v>44865</v>
      </c>
      <c r="C12" s="91">
        <v>93.038095238095224</v>
      </c>
      <c r="D12" s="91">
        <v>426.909183673499</v>
      </c>
      <c r="E12" s="91">
        <v>7620.25</v>
      </c>
      <c r="F12" s="91">
        <v>2249.6190476190477</v>
      </c>
      <c r="G12" s="50">
        <v>100.28</v>
      </c>
      <c r="H12" s="91">
        <v>796.67631819784197</v>
      </c>
      <c r="I12" s="91">
        <v>552.97226473755802</v>
      </c>
      <c r="J12" s="113">
        <v>18.300952380952399</v>
      </c>
      <c r="K12" s="91">
        <v>28.078182446553502</v>
      </c>
      <c r="L12" s="91">
        <v>0.85895238095238091</v>
      </c>
      <c r="M12" s="51">
        <v>83.674999999999997</v>
      </c>
      <c r="N12" s="51">
        <v>1361.44</v>
      </c>
      <c r="O12" s="50">
        <v>1495.94</v>
      </c>
      <c r="P12" s="50">
        <f>+(515+485)/2</f>
        <v>500</v>
      </c>
      <c r="Q12" s="91">
        <v>343.55328333333335</v>
      </c>
      <c r="R12" s="91">
        <v>6.093809523809524</v>
      </c>
    </row>
    <row r="13" spans="2:18" x14ac:dyDescent="0.25">
      <c r="B13" s="112">
        <v>44895</v>
      </c>
      <c r="C13" s="91">
        <v>90.99590909090908</v>
      </c>
      <c r="D13" s="91">
        <v>368.25827922074899</v>
      </c>
      <c r="E13" s="91">
        <v>8028.875</v>
      </c>
      <c r="F13" s="91">
        <v>2359.2045454545455</v>
      </c>
      <c r="G13" s="50">
        <v>101.17</v>
      </c>
      <c r="H13" s="91">
        <v>875.659936221517</v>
      </c>
      <c r="I13" s="91">
        <v>545.96652814214099</v>
      </c>
      <c r="J13" s="113">
        <v>19.405909090909098</v>
      </c>
      <c r="K13" s="91">
        <v>26.1513074227591</v>
      </c>
      <c r="L13" s="91">
        <v>0.85165000000000002</v>
      </c>
      <c r="M13" s="51">
        <v>85</v>
      </c>
      <c r="N13" s="51">
        <v>1128.9349999999999</v>
      </c>
      <c r="O13" s="50">
        <v>1383.05</v>
      </c>
      <c r="P13" s="50">
        <v>531</v>
      </c>
      <c r="Q13" s="91">
        <v>320.92968285714284</v>
      </c>
      <c r="R13" s="91">
        <v>6.4781818181818185</v>
      </c>
    </row>
    <row r="14" spans="2:18" x14ac:dyDescent="0.25">
      <c r="B14" s="112">
        <v>44926</v>
      </c>
      <c r="C14" s="91">
        <v>81.64636363636366</v>
      </c>
      <c r="D14" s="50">
        <v>427.7</v>
      </c>
      <c r="E14" s="91">
        <v>8366.9750000000004</v>
      </c>
      <c r="F14" s="91">
        <v>2394.5250000000001</v>
      </c>
      <c r="G14" s="50">
        <v>100.9</v>
      </c>
      <c r="H14" s="50">
        <v>887.1</v>
      </c>
      <c r="I14" s="91">
        <v>535.82000000000005</v>
      </c>
      <c r="J14" s="50">
        <v>20.100000000000001</v>
      </c>
      <c r="K14" s="50">
        <v>24.9</v>
      </c>
      <c r="L14" s="91">
        <v>0.6920952380952381</v>
      </c>
      <c r="M14" s="51">
        <v>88.65</v>
      </c>
      <c r="N14" s="51">
        <v>1230.71</v>
      </c>
      <c r="O14" s="50">
        <v>1464.85</v>
      </c>
      <c r="P14" s="50">
        <f>+(527+526+500)/3</f>
        <v>517.66666666666663</v>
      </c>
      <c r="Q14" s="91">
        <v>302.23540510204077</v>
      </c>
      <c r="R14" s="91">
        <v>5.746818181818182</v>
      </c>
    </row>
    <row r="15" spans="2:18" x14ac:dyDescent="0.25">
      <c r="B15" s="112">
        <v>44957</v>
      </c>
      <c r="C15" s="91">
        <v>84.081818181818193</v>
      </c>
      <c r="D15" s="91">
        <v>404.53520408164201</v>
      </c>
      <c r="E15" s="91">
        <v>9007.3463636363631</v>
      </c>
      <c r="F15" s="91">
        <v>2494.9009090909094</v>
      </c>
      <c r="G15" s="91">
        <v>100.31136363636364</v>
      </c>
      <c r="H15" s="91">
        <v>903.28692399912973</v>
      </c>
      <c r="I15" s="91">
        <v>511.13941714135831</v>
      </c>
      <c r="J15" s="91">
        <v>19.943181818181813</v>
      </c>
      <c r="K15" s="91">
        <v>22.782104800699326</v>
      </c>
      <c r="L15" s="91">
        <v>0.83495454545454539</v>
      </c>
      <c r="M15" s="51">
        <v>95</v>
      </c>
      <c r="N15" s="51">
        <v>1185.9525000000001</v>
      </c>
      <c r="O15" s="50">
        <v>1466.76</v>
      </c>
      <c r="P15" s="50">
        <f>+(488+500)/2</f>
        <v>494</v>
      </c>
      <c r="Q15" s="91">
        <v>302.83998839285721</v>
      </c>
      <c r="R15" s="91">
        <v>3.4713636363636367</v>
      </c>
    </row>
    <row r="16" spans="2:18" x14ac:dyDescent="0.25">
      <c r="B16" s="112">
        <v>44985</v>
      </c>
      <c r="C16" s="91">
        <v>83.632500000000007</v>
      </c>
      <c r="D16" s="91">
        <v>244.205357142857</v>
      </c>
      <c r="E16" s="91">
        <v>8936.5869999999995</v>
      </c>
      <c r="F16" s="91">
        <v>2416.1815000000001</v>
      </c>
      <c r="G16" s="91">
        <v>99.429999999999964</v>
      </c>
      <c r="H16" s="91">
        <v>902.16113180676132</v>
      </c>
      <c r="I16" s="91">
        <v>307.02533769992124</v>
      </c>
      <c r="J16" s="91">
        <v>21.403499999999998</v>
      </c>
      <c r="K16" s="91">
        <v>21.342877718181857</v>
      </c>
      <c r="L16" s="91">
        <v>0.82557000000000014</v>
      </c>
      <c r="M16" s="51">
        <v>96.2</v>
      </c>
      <c r="N16" s="51">
        <v>1173.345</v>
      </c>
      <c r="O16" s="50">
        <v>1438.2</v>
      </c>
      <c r="P16" s="50">
        <f>+(485+515)/2</f>
        <v>500</v>
      </c>
      <c r="Q16" s="91">
        <v>298.24530338345863</v>
      </c>
      <c r="R16" s="91">
        <v>2.4379999999999997</v>
      </c>
    </row>
    <row r="17" spans="2:18" x14ac:dyDescent="0.25">
      <c r="B17" s="112">
        <v>45016</v>
      </c>
      <c r="C17" s="91">
        <v>79.256521739130449</v>
      </c>
      <c r="D17" s="91">
        <v>195.99922360253501</v>
      </c>
      <c r="E17" s="91">
        <v>8856.3108695652172</v>
      </c>
      <c r="F17" s="91">
        <v>2296.4169565217389</v>
      </c>
      <c r="G17" s="91">
        <v>95.391304347826065</v>
      </c>
      <c r="H17" s="91">
        <v>910.15552701402612</v>
      </c>
      <c r="I17" s="91">
        <v>266.04438978540304</v>
      </c>
      <c r="J17" s="91">
        <v>20.961739130434783</v>
      </c>
      <c r="K17" s="91">
        <v>20.816056456673785</v>
      </c>
      <c r="L17" s="91">
        <v>0.79391739130434791</v>
      </c>
      <c r="M17" s="51">
        <v>95.5</v>
      </c>
      <c r="N17" s="51">
        <v>1212.375</v>
      </c>
      <c r="O17" s="54">
        <v>1263</v>
      </c>
      <c r="P17" s="50">
        <v>480</v>
      </c>
      <c r="Q17" s="91">
        <v>284.95740496894405</v>
      </c>
      <c r="R17" s="91">
        <v>2.4091304347826084</v>
      </c>
    </row>
    <row r="18" spans="2:18" x14ac:dyDescent="0.25">
      <c r="B18" s="112">
        <v>45046</v>
      </c>
      <c r="C18" s="91">
        <v>83.536000000000016</v>
      </c>
      <c r="D18" s="91">
        <v>200.676190476214</v>
      </c>
      <c r="E18" s="91">
        <v>8809.1574999999993</v>
      </c>
      <c r="F18" s="91">
        <v>2338.1310000000003</v>
      </c>
      <c r="G18" s="91">
        <v>95.132500000000022</v>
      </c>
      <c r="H18" s="91">
        <v>934.80968184459198</v>
      </c>
      <c r="I18" s="91">
        <v>264.99804955048899</v>
      </c>
      <c r="J18" s="91">
        <v>24.582000000000001</v>
      </c>
      <c r="K18" s="91">
        <v>20.367552446853132</v>
      </c>
      <c r="L18" s="91">
        <v>0.81139000000000006</v>
      </c>
      <c r="M18" s="51">
        <v>95</v>
      </c>
      <c r="N18" s="51">
        <v>1441.7266666666667</v>
      </c>
      <c r="O18" s="54">
        <v>1251.78</v>
      </c>
      <c r="P18" s="50">
        <v>464</v>
      </c>
      <c r="Q18" s="91">
        <v>291.17974492481198</v>
      </c>
      <c r="R18" s="91">
        <v>2.1955</v>
      </c>
    </row>
    <row r="19" spans="2:18" x14ac:dyDescent="0.25">
      <c r="B19" s="112">
        <v>45076</v>
      </c>
      <c r="C19" s="91">
        <v>75.747391304347829</v>
      </c>
      <c r="D19" s="91">
        <v>179.262321428571</v>
      </c>
      <c r="E19" s="91">
        <v>8243.1560869565219</v>
      </c>
      <c r="F19" s="91">
        <v>2274.012608695652</v>
      </c>
      <c r="G19" s="91">
        <v>93.884782608695687</v>
      </c>
      <c r="H19" s="91">
        <v>834.62855122330484</v>
      </c>
      <c r="I19" s="91">
        <v>263.36771830539226</v>
      </c>
      <c r="J19" s="91">
        <v>25.729565217391308</v>
      </c>
      <c r="K19" s="91">
        <v>20.415615232593524</v>
      </c>
      <c r="L19" s="91">
        <v>0.66359130434782587</v>
      </c>
      <c r="M19" s="51">
        <v>92.575000000000003</v>
      </c>
      <c r="N19" s="51">
        <v>1362</v>
      </c>
      <c r="O19" s="54">
        <v>1055.45</v>
      </c>
      <c r="P19" s="50">
        <v>485</v>
      </c>
      <c r="Q19" s="91">
        <v>268.17252636054417</v>
      </c>
      <c r="R19" s="91">
        <v>2.3152173913043481</v>
      </c>
    </row>
    <row r="20" spans="2:18" x14ac:dyDescent="0.25">
      <c r="B20" s="112">
        <v>45107</v>
      </c>
      <c r="C20" s="91">
        <v>74.975000000000009</v>
      </c>
      <c r="D20" s="91">
        <v>138.631655844107</v>
      </c>
      <c r="E20" s="91">
        <v>8396.5177272727269</v>
      </c>
      <c r="F20" s="91">
        <v>2184.7536363636364</v>
      </c>
      <c r="G20" s="91">
        <v>92.418181818181836</v>
      </c>
      <c r="H20" s="91">
        <v>769.09847659775949</v>
      </c>
      <c r="I20" s="91">
        <v>231.47604905730978</v>
      </c>
      <c r="J20" s="91">
        <v>24.762272727272727</v>
      </c>
      <c r="K20" s="91">
        <v>20.481624976478098</v>
      </c>
      <c r="L20" s="91">
        <v>0.57386818181818178</v>
      </c>
      <c r="M20" s="51">
        <v>85.875</v>
      </c>
      <c r="N20" s="51">
        <v>1481.0050000000001</v>
      </c>
      <c r="O20" s="54">
        <v>974.36</v>
      </c>
      <c r="P20" s="50">
        <v>540</v>
      </c>
      <c r="Q20" s="91">
        <v>266.93523962585033</v>
      </c>
      <c r="R20" s="91">
        <v>2.479090909090909</v>
      </c>
    </row>
    <row r="21" spans="2:18" x14ac:dyDescent="0.25">
      <c r="B21" s="112">
        <v>45137</v>
      </c>
      <c r="C21" s="91">
        <v>80.109047619047615</v>
      </c>
      <c r="D21" s="91">
        <v>141.02959183671399</v>
      </c>
      <c r="E21" s="91">
        <v>8476.6790476190472</v>
      </c>
      <c r="F21" s="91">
        <v>2159.7323809523809</v>
      </c>
      <c r="G21" s="91">
        <v>93.26904761904764</v>
      </c>
      <c r="H21" s="91">
        <v>844.97701672636583</v>
      </c>
      <c r="I21" s="91">
        <v>212.35543885977972</v>
      </c>
      <c r="J21" s="91">
        <v>24.00809523809524</v>
      </c>
      <c r="K21" s="91">
        <v>20.564697246753248</v>
      </c>
      <c r="L21" s="91">
        <v>0.62049047619047626</v>
      </c>
      <c r="M21" s="51">
        <v>81.125</v>
      </c>
      <c r="N21" s="51">
        <v>1493.3325</v>
      </c>
      <c r="O21" s="54">
        <v>1011.44</v>
      </c>
      <c r="P21" s="50">
        <v>600</v>
      </c>
      <c r="Q21" s="91">
        <v>235.27194727891154</v>
      </c>
      <c r="R21" s="91">
        <v>2.6438095238095234</v>
      </c>
    </row>
    <row r="22" spans="2:18" x14ac:dyDescent="0.25">
      <c r="B22" s="112">
        <v>45168</v>
      </c>
      <c r="C22" s="91">
        <v>85.168260869565216</v>
      </c>
      <c r="D22" s="91">
        <v>152.79253246757099</v>
      </c>
      <c r="E22" s="91">
        <v>8347.8282608695663</v>
      </c>
      <c r="F22" s="91">
        <v>2135.5817391304345</v>
      </c>
      <c r="G22" s="91">
        <v>95.99565217391303</v>
      </c>
      <c r="H22" s="91">
        <v>823.60817453471293</v>
      </c>
      <c r="I22" s="91">
        <v>236.87363256528906</v>
      </c>
      <c r="J22" s="91">
        <v>24.193043478260861</v>
      </c>
      <c r="K22" s="91">
        <v>21.298652084220123</v>
      </c>
      <c r="L22" s="91">
        <v>0.67902608695652178</v>
      </c>
      <c r="M22" s="51">
        <v>84.237499999999997</v>
      </c>
      <c r="N22" s="51">
        <v>1421.5150000000001</v>
      </c>
      <c r="O22" s="54">
        <v>1110.54</v>
      </c>
      <c r="P22" s="50">
        <v>518.33000000000004</v>
      </c>
      <c r="Q22" s="91">
        <v>207.67588866459627</v>
      </c>
      <c r="R22" s="91">
        <v>2.6482608695652168</v>
      </c>
    </row>
    <row r="23" spans="2:18" x14ac:dyDescent="0.25">
      <c r="B23" s="112">
        <v>45199</v>
      </c>
      <c r="C23" s="91">
        <v>92.673333333333318</v>
      </c>
      <c r="D23" s="91">
        <v>168.47908163260701</v>
      </c>
      <c r="E23" s="91">
        <v>8276.7138095238097</v>
      </c>
      <c r="F23" s="91">
        <v>2184.6738095238097</v>
      </c>
      <c r="G23" s="91">
        <v>97.769047619047626</v>
      </c>
      <c r="H23" s="91">
        <v>790.71215588808127</v>
      </c>
      <c r="I23" s="91">
        <v>245.29008562538169</v>
      </c>
      <c r="J23" s="91">
        <v>26.563809523809521</v>
      </c>
      <c r="K23" s="91">
        <v>21.188082142857166</v>
      </c>
      <c r="L23" s="91">
        <v>0.72942380952380947</v>
      </c>
      <c r="M23" s="51">
        <v>82.5</v>
      </c>
      <c r="N23" s="51">
        <v>1238.0050000000001</v>
      </c>
      <c r="O23" s="54">
        <v>1165.72</v>
      </c>
      <c r="P23" s="50">
        <v>566</v>
      </c>
      <c r="Q23" s="91">
        <v>223.84766642857144</v>
      </c>
      <c r="R23" s="91">
        <v>2.70047619047619</v>
      </c>
    </row>
    <row r="24" spans="2:18" x14ac:dyDescent="0.25">
      <c r="B24" s="112">
        <v>45229</v>
      </c>
      <c r="C24" s="91">
        <v>88.947727272727278</v>
      </c>
      <c r="D24" s="91">
        <v>150.73831168832101</v>
      </c>
      <c r="E24" s="91">
        <v>7941.3559090909084</v>
      </c>
      <c r="F24" s="91">
        <v>2194.3909090909092</v>
      </c>
      <c r="G24" s="91">
        <v>95.686363636363637</v>
      </c>
      <c r="H24" s="91">
        <v>767.48133500496988</v>
      </c>
      <c r="I24" s="91">
        <v>258.50259908737098</v>
      </c>
      <c r="J24" s="91">
        <v>26.90363636363637</v>
      </c>
      <c r="K24" s="91">
        <v>24.145523538461553</v>
      </c>
      <c r="L24" s="91">
        <v>0.67348181818181818</v>
      </c>
      <c r="N24" s="51"/>
      <c r="O24" s="54">
        <v>1128.1400000000001</v>
      </c>
      <c r="P24" s="50">
        <v>610</v>
      </c>
      <c r="Q24" s="91">
        <v>221.90251874999993</v>
      </c>
      <c r="R24" s="91">
        <v>3.1663636363636356</v>
      </c>
    </row>
    <row r="25" spans="2:18" x14ac:dyDescent="0.25">
      <c r="B25" s="112"/>
      <c r="C25" s="91"/>
      <c r="D25" s="91"/>
      <c r="E25" s="91"/>
      <c r="F25" s="91"/>
      <c r="G25" s="91"/>
      <c r="H25" s="91"/>
      <c r="I25" s="91"/>
      <c r="J25" s="91"/>
      <c r="K25" s="91"/>
      <c r="L25" s="91"/>
      <c r="N25" s="51"/>
      <c r="O25" s="54"/>
    </row>
    <row r="26" spans="2:18" x14ac:dyDescent="0.25">
      <c r="B26" s="112"/>
      <c r="N26" s="51"/>
    </row>
    <row r="28" spans="2:18" x14ac:dyDescent="0.25">
      <c r="C28" s="97" t="s">
        <v>395</v>
      </c>
      <c r="D28" s="50" t="s">
        <v>396</v>
      </c>
      <c r="E28" s="50" t="s">
        <v>397</v>
      </c>
      <c r="F28" s="50" t="s">
        <v>398</v>
      </c>
      <c r="G28" s="50" t="s">
        <v>399</v>
      </c>
      <c r="H28" s="50" t="s">
        <v>400</v>
      </c>
      <c r="I28" s="50" t="s">
        <v>401</v>
      </c>
      <c r="J28" s="50" t="s">
        <v>402</v>
      </c>
      <c r="K28" s="50" t="s">
        <v>403</v>
      </c>
      <c r="L28" s="50" t="s">
        <v>404</v>
      </c>
      <c r="M28" s="50" t="s">
        <v>405</v>
      </c>
      <c r="N28" s="50" t="s">
        <v>406</v>
      </c>
      <c r="O28" s="50" t="s">
        <v>407</v>
      </c>
      <c r="P28" s="50" t="s">
        <v>408</v>
      </c>
      <c r="Q28" s="97" t="s">
        <v>409</v>
      </c>
      <c r="R28" s="50" t="s">
        <v>410</v>
      </c>
    </row>
    <row r="29" spans="2:18" x14ac:dyDescent="0.25">
      <c r="B29" s="112">
        <v>44620</v>
      </c>
      <c r="C29" s="91">
        <f>+C4/C$4*100</f>
        <v>100</v>
      </c>
      <c r="D29" s="91">
        <f t="shared" ref="D29:R44" si="0">+D4/D$4*100</f>
        <v>100</v>
      </c>
      <c r="E29" s="91">
        <f t="shared" si="0"/>
        <v>100</v>
      </c>
      <c r="F29" s="91">
        <f t="shared" si="0"/>
        <v>100</v>
      </c>
      <c r="G29" s="91">
        <f t="shared" si="0"/>
        <v>100</v>
      </c>
      <c r="H29" s="91">
        <f t="shared" si="0"/>
        <v>100</v>
      </c>
      <c r="I29" s="91">
        <f t="shared" si="0"/>
        <v>100</v>
      </c>
      <c r="J29" s="91">
        <f t="shared" si="0"/>
        <v>100</v>
      </c>
      <c r="K29" s="91">
        <f t="shared" si="0"/>
        <v>100</v>
      </c>
      <c r="L29" s="91">
        <f t="shared" si="0"/>
        <v>100</v>
      </c>
      <c r="M29" s="91">
        <f t="shared" si="0"/>
        <v>100</v>
      </c>
      <c r="N29" s="91">
        <f t="shared" si="0"/>
        <v>100</v>
      </c>
      <c r="O29" s="91">
        <f t="shared" si="0"/>
        <v>100</v>
      </c>
      <c r="P29" s="91">
        <f t="shared" si="0"/>
        <v>100</v>
      </c>
      <c r="Q29" s="91">
        <f t="shared" si="0"/>
        <v>100</v>
      </c>
      <c r="R29" s="91">
        <f t="shared" si="0"/>
        <v>100</v>
      </c>
    </row>
    <row r="30" spans="2:18" x14ac:dyDescent="0.25">
      <c r="B30" s="112">
        <v>44651</v>
      </c>
      <c r="C30" s="91">
        <f>+C5/C$4*100</f>
        <v>119.5303784820007</v>
      </c>
      <c r="D30" s="91">
        <f t="shared" si="0"/>
        <v>129.70923599977974</v>
      </c>
      <c r="E30" s="91">
        <f t="shared" si="0"/>
        <v>102.8116167642445</v>
      </c>
      <c r="F30" s="91">
        <f t="shared" si="0"/>
        <v>109.88655338524413</v>
      </c>
      <c r="G30" s="91">
        <f t="shared" si="0"/>
        <v>101.96517592659491</v>
      </c>
      <c r="H30" s="91">
        <f t="shared" si="0"/>
        <v>113.3496091024594</v>
      </c>
      <c r="I30" s="91">
        <f t="shared" si="0"/>
        <v>106.17763203789828</v>
      </c>
      <c r="J30" s="91">
        <f t="shared" si="0"/>
        <v>104.96984203208648</v>
      </c>
      <c r="K30" s="91">
        <f t="shared" si="0"/>
        <v>104.53404889815117</v>
      </c>
      <c r="L30" s="91">
        <f t="shared" si="0"/>
        <v>113.3650207449961</v>
      </c>
      <c r="M30" s="91">
        <f t="shared" si="0"/>
        <v>107.91593695271456</v>
      </c>
      <c r="N30" s="91">
        <f t="shared" si="0"/>
        <v>107.73128732509085</v>
      </c>
      <c r="O30" s="91">
        <f t="shared" si="0"/>
        <v>116.87499138679493</v>
      </c>
      <c r="P30" s="91">
        <f t="shared" si="0"/>
        <v>122.72628135223556</v>
      </c>
      <c r="Q30" s="91">
        <f t="shared" si="0"/>
        <v>114.78076183147368</v>
      </c>
      <c r="R30" s="91">
        <f t="shared" si="0"/>
        <v>111.09059995142094</v>
      </c>
    </row>
    <row r="31" spans="2:18" x14ac:dyDescent="0.25">
      <c r="B31" s="112">
        <v>44681</v>
      </c>
      <c r="C31" s="91">
        <f t="shared" ref="C31:R46" si="1">+C6/C$4*100</f>
        <v>113.44384183295814</v>
      </c>
      <c r="D31" s="91">
        <f t="shared" si="0"/>
        <v>122.8383358867338</v>
      </c>
      <c r="E31" s="91">
        <f t="shared" si="0"/>
        <v>102.26558814240011</v>
      </c>
      <c r="F31" s="91">
        <f t="shared" si="0"/>
        <v>101.61065274552077</v>
      </c>
      <c r="G31" s="91">
        <f t="shared" si="0"/>
        <v>112.21732533776461</v>
      </c>
      <c r="H31" s="91">
        <f t="shared" si="0"/>
        <v>110.63080661953448</v>
      </c>
      <c r="I31" s="91">
        <f t="shared" si="0"/>
        <v>114.36794327374797</v>
      </c>
      <c r="J31" s="91">
        <f t="shared" si="0"/>
        <v>108.21774844211683</v>
      </c>
      <c r="K31" s="91">
        <f t="shared" si="0"/>
        <v>106.32331006682855</v>
      </c>
      <c r="L31" s="91">
        <f t="shared" si="0"/>
        <v>102.48815607863617</v>
      </c>
      <c r="M31" s="91">
        <f t="shared" si="0"/>
        <v>113.66024518388791</v>
      </c>
      <c r="N31" s="91">
        <f t="shared" si="0"/>
        <v>116.32236650531968</v>
      </c>
      <c r="O31" s="91">
        <f t="shared" si="0"/>
        <v>186.07968248280804</v>
      </c>
      <c r="P31" s="91">
        <f t="shared" si="0"/>
        <v>141.49400218102508</v>
      </c>
      <c r="Q31" s="91">
        <f t="shared" si="0"/>
        <v>119.07787610619469</v>
      </c>
      <c r="R31" s="91">
        <f t="shared" si="0"/>
        <v>150.72093641926048</v>
      </c>
    </row>
    <row r="32" spans="2:18" x14ac:dyDescent="0.25">
      <c r="B32" s="112">
        <v>44712</v>
      </c>
      <c r="C32" s="91">
        <f t="shared" si="1"/>
        <v>118.77941466190924</v>
      </c>
      <c r="D32" s="91">
        <f t="shared" si="0"/>
        <v>153.58318255838105</v>
      </c>
      <c r="E32" s="91">
        <f t="shared" si="0"/>
        <v>94.027502280697348</v>
      </c>
      <c r="F32" s="91">
        <f t="shared" si="0"/>
        <v>88.543137834817102</v>
      </c>
      <c r="G32" s="91">
        <f t="shared" si="0"/>
        <v>118.47409869229102</v>
      </c>
      <c r="H32" s="91">
        <f t="shared" si="0"/>
        <v>109.81793387963252</v>
      </c>
      <c r="I32" s="91">
        <f t="shared" si="0"/>
        <v>114.0040648504808</v>
      </c>
      <c r="J32" s="91">
        <f t="shared" si="0"/>
        <v>105.92068256730288</v>
      </c>
      <c r="K32" s="91">
        <f t="shared" si="0"/>
        <v>104.91470925263744</v>
      </c>
      <c r="L32" s="91">
        <f t="shared" si="0"/>
        <v>95.369404224554017</v>
      </c>
      <c r="M32" s="91">
        <f t="shared" si="0"/>
        <v>111.84938704028021</v>
      </c>
      <c r="N32" s="91">
        <f t="shared" si="0"/>
        <v>126.3327188261981</v>
      </c>
      <c r="O32" s="91">
        <f t="shared" si="0"/>
        <v>182.59305706765156</v>
      </c>
      <c r="P32" s="91">
        <f t="shared" si="0"/>
        <v>155.94329334787349</v>
      </c>
      <c r="Q32" s="91">
        <f t="shared" si="0"/>
        <v>117.84857423795478</v>
      </c>
      <c r="R32" s="91">
        <f t="shared" si="0"/>
        <v>182.34636871508386</v>
      </c>
    </row>
    <row r="33" spans="2:18" x14ac:dyDescent="0.25">
      <c r="B33" s="112">
        <v>44742</v>
      </c>
      <c r="C33" s="91">
        <f t="shared" si="1"/>
        <v>124.5092387880734</v>
      </c>
      <c r="D33" s="91">
        <f t="shared" si="0"/>
        <v>156.86081762811568</v>
      </c>
      <c r="E33" s="91">
        <f t="shared" si="0"/>
        <v>90.712205287870034</v>
      </c>
      <c r="F33" s="91">
        <f t="shared" si="0"/>
        <v>80.17632417595199</v>
      </c>
      <c r="G33" s="91">
        <f t="shared" si="0"/>
        <v>111.58875803771404</v>
      </c>
      <c r="H33" s="91">
        <f t="shared" si="0"/>
        <v>90.68047648678052</v>
      </c>
      <c r="I33" s="91">
        <f t="shared" si="0"/>
        <v>102.2471022931192</v>
      </c>
      <c r="J33" s="91">
        <f t="shared" si="0"/>
        <v>103.24632142275138</v>
      </c>
      <c r="K33" s="91">
        <f t="shared" si="0"/>
        <v>108.60534010907099</v>
      </c>
      <c r="L33" s="91">
        <f t="shared" si="0"/>
        <v>95.061257986986334</v>
      </c>
      <c r="M33" s="91">
        <f t="shared" si="0"/>
        <v>109.66725043782839</v>
      </c>
      <c r="N33" s="91">
        <f t="shared" si="0"/>
        <v>152.80896081972969</v>
      </c>
      <c r="O33" s="91">
        <f t="shared" si="0"/>
        <v>172.88976475614294</v>
      </c>
      <c r="P33" s="91">
        <f t="shared" si="0"/>
        <v>174.6564885496183</v>
      </c>
      <c r="Q33" s="91">
        <f t="shared" si="0"/>
        <v>114.7077960387695</v>
      </c>
      <c r="R33" s="91">
        <f t="shared" si="0"/>
        <v>169.1823260538344</v>
      </c>
    </row>
    <row r="34" spans="2:18" x14ac:dyDescent="0.25">
      <c r="B34" s="112">
        <v>44773</v>
      </c>
      <c r="C34" s="91">
        <f t="shared" si="1"/>
        <v>110.92026290677867</v>
      </c>
      <c r="D34" s="91">
        <f t="shared" si="0"/>
        <v>159.13671904329573</v>
      </c>
      <c r="E34" s="91">
        <f t="shared" si="0"/>
        <v>75.617880667219055</v>
      </c>
      <c r="F34" s="91">
        <f t="shared" si="0"/>
        <v>74.683556923199617</v>
      </c>
      <c r="G34" s="91">
        <f t="shared" si="0"/>
        <v>94.675240228307203</v>
      </c>
      <c r="H34" s="91">
        <f t="shared" si="0"/>
        <v>61.923726974131675</v>
      </c>
      <c r="I34" s="91">
        <f t="shared" si="0"/>
        <v>84.664111517260821</v>
      </c>
      <c r="J34" s="91">
        <f t="shared" si="0"/>
        <v>100.75174926270769</v>
      </c>
      <c r="K34" s="91">
        <f t="shared" si="0"/>
        <v>108.65598294458782</v>
      </c>
      <c r="L34" s="91">
        <f t="shared" si="0"/>
        <v>89.062987279441927</v>
      </c>
      <c r="M34" s="91">
        <f t="shared" si="0"/>
        <v>100.59544658493871</v>
      </c>
      <c r="N34" s="91">
        <f t="shared" si="0"/>
        <v>157.62791955656004</v>
      </c>
      <c r="O34" s="91">
        <f t="shared" si="0"/>
        <v>201.87285531193581</v>
      </c>
      <c r="P34" s="91">
        <f t="shared" si="0"/>
        <v>149.40021810250818</v>
      </c>
      <c r="Q34" s="91">
        <f t="shared" si="0"/>
        <v>106.83716814159294</v>
      </c>
      <c r="R34" s="91">
        <f t="shared" si="0"/>
        <v>158.8613993083267</v>
      </c>
    </row>
    <row r="35" spans="2:18" x14ac:dyDescent="0.25">
      <c r="B35" s="112">
        <v>44804</v>
      </c>
      <c r="C35" s="91">
        <f t="shared" si="1"/>
        <v>104.24825311078307</v>
      </c>
      <c r="D35" s="91">
        <f t="shared" si="0"/>
        <v>164.20890420874701</v>
      </c>
      <c r="E35" s="91">
        <f t="shared" si="0"/>
        <v>79.948162164999985</v>
      </c>
      <c r="F35" s="91">
        <f t="shared" si="0"/>
        <v>75.185547818081716</v>
      </c>
      <c r="G35" s="91">
        <f t="shared" si="0"/>
        <v>90.137995809551342</v>
      </c>
      <c r="H35" s="91">
        <f t="shared" si="0"/>
        <v>63.530871233158528</v>
      </c>
      <c r="I35" s="91">
        <f t="shared" si="0"/>
        <v>74.412101022450869</v>
      </c>
      <c r="J35" s="91">
        <f t="shared" si="0"/>
        <v>99.22788562348714</v>
      </c>
      <c r="K35" s="91">
        <f t="shared" si="0"/>
        <v>104.3892496650372</v>
      </c>
      <c r="L35" s="91">
        <f t="shared" si="0"/>
        <v>85.252554858627889</v>
      </c>
      <c r="M35" s="91">
        <f t="shared" si="0"/>
        <v>112.22416812609457</v>
      </c>
      <c r="N35" s="91">
        <f t="shared" si="0"/>
        <v>170.94759487295869</v>
      </c>
      <c r="O35" s="91">
        <f t="shared" si="0"/>
        <v>207.84835246613289</v>
      </c>
      <c r="P35" s="91">
        <f t="shared" si="0"/>
        <v>149.40021810250818</v>
      </c>
      <c r="Q35" s="91">
        <f t="shared" si="0"/>
        <v>100.43024240092342</v>
      </c>
      <c r="R35" s="91">
        <f t="shared" si="0"/>
        <v>196.14282244352691</v>
      </c>
    </row>
    <row r="36" spans="2:18" x14ac:dyDescent="0.25">
      <c r="B36" s="112">
        <v>44834</v>
      </c>
      <c r="C36" s="91">
        <f t="shared" si="1"/>
        <v>96.483252948458812</v>
      </c>
      <c r="D36" s="91">
        <f t="shared" si="0"/>
        <v>171.67205824060943</v>
      </c>
      <c r="E36" s="91">
        <f t="shared" si="0"/>
        <v>77.67412239755123</v>
      </c>
      <c r="F36" s="91">
        <f t="shared" si="0"/>
        <v>69.570298814989314</v>
      </c>
      <c r="G36" s="91">
        <f t="shared" si="0"/>
        <v>85.210606170074428</v>
      </c>
      <c r="H36" s="91">
        <f t="shared" si="0"/>
        <v>54.489084908453087</v>
      </c>
      <c r="I36" s="91">
        <f t="shared" si="0"/>
        <v>90.410131022364979</v>
      </c>
      <c r="J36" s="91">
        <f t="shared" si="0"/>
        <v>99.905242793984172</v>
      </c>
      <c r="K36" s="91">
        <f t="shared" si="0"/>
        <v>103.328082903143</v>
      </c>
      <c r="L36" s="91">
        <f t="shared" si="0"/>
        <v>77.229614866053097</v>
      </c>
      <c r="M36" s="91">
        <f t="shared" si="0"/>
        <v>118.52889667250437</v>
      </c>
      <c r="N36" s="91">
        <f t="shared" si="0"/>
        <v>183.43348866995993</v>
      </c>
      <c r="O36" s="91">
        <f t="shared" si="0"/>
        <v>222.9373096481678</v>
      </c>
      <c r="P36" s="91">
        <f t="shared" si="0"/>
        <v>146.12868047982553</v>
      </c>
      <c r="Q36" s="91">
        <f t="shared" si="0"/>
        <v>106.79072903497682</v>
      </c>
      <c r="R36" s="91">
        <f t="shared" si="0"/>
        <v>175.08379888268155</v>
      </c>
    </row>
    <row r="37" spans="2:18" x14ac:dyDescent="0.25">
      <c r="B37" s="112">
        <v>44865</v>
      </c>
      <c r="C37" s="91">
        <f t="shared" si="1"/>
        <v>99.567215387104611</v>
      </c>
      <c r="D37" s="91">
        <f t="shared" si="0"/>
        <v>156.67151805340498</v>
      </c>
      <c r="E37" s="91">
        <f t="shared" si="0"/>
        <v>76.533507419589725</v>
      </c>
      <c r="F37" s="91">
        <f t="shared" si="0"/>
        <v>69.773478412897788</v>
      </c>
      <c r="G37" s="91">
        <f t="shared" si="0"/>
        <v>72.451412470197241</v>
      </c>
      <c r="H37" s="91">
        <f t="shared" si="0"/>
        <v>54.639107860530125</v>
      </c>
      <c r="I37" s="91">
        <f t="shared" si="0"/>
        <v>100.53591786325016</v>
      </c>
      <c r="J37" s="91">
        <f t="shared" si="0"/>
        <v>100.53723912510736</v>
      </c>
      <c r="K37" s="91">
        <f t="shared" si="0"/>
        <v>104.61495841538841</v>
      </c>
      <c r="L37" s="91">
        <f t="shared" si="0"/>
        <v>66.967973894522913</v>
      </c>
      <c r="M37" s="91">
        <f t="shared" si="0"/>
        <v>117.23292469352013</v>
      </c>
      <c r="N37" s="91">
        <f t="shared" si="0"/>
        <v>169.29806290356174</v>
      </c>
      <c r="O37" s="91">
        <f t="shared" si="0"/>
        <v>206.15740804542261</v>
      </c>
      <c r="P37" s="91">
        <f t="shared" si="0"/>
        <v>109.05125408942202</v>
      </c>
      <c r="Q37" s="91">
        <f t="shared" si="0"/>
        <v>117.38525073746314</v>
      </c>
      <c r="R37" s="91">
        <f t="shared" si="0"/>
        <v>136.17451449853687</v>
      </c>
    </row>
    <row r="38" spans="2:18" x14ac:dyDescent="0.25">
      <c r="B38" s="112">
        <v>44895</v>
      </c>
      <c r="C38" s="91">
        <f t="shared" si="1"/>
        <v>97.381715055685675</v>
      </c>
      <c r="D38" s="91">
        <f t="shared" si="0"/>
        <v>135.14720659037198</v>
      </c>
      <c r="E38" s="91">
        <f t="shared" si="0"/>
        <v>80.63750721872097</v>
      </c>
      <c r="F38" s="91">
        <f t="shared" si="0"/>
        <v>73.172347824002898</v>
      </c>
      <c r="G38" s="91">
        <f t="shared" si="0"/>
        <v>73.094429593237493</v>
      </c>
      <c r="H38" s="91">
        <f t="shared" si="0"/>
        <v>60.056106365233738</v>
      </c>
      <c r="I38" s="91">
        <f t="shared" si="0"/>
        <v>99.262204507549228</v>
      </c>
      <c r="J38" s="91">
        <f t="shared" si="0"/>
        <v>106.60737660535295</v>
      </c>
      <c r="K38" s="91">
        <f t="shared" si="0"/>
        <v>97.435720554476049</v>
      </c>
      <c r="L38" s="91">
        <f t="shared" si="0"/>
        <v>66.39864587607714</v>
      </c>
      <c r="M38" s="91">
        <f t="shared" si="0"/>
        <v>119.08931698774082</v>
      </c>
      <c r="N38" s="91">
        <f t="shared" si="0"/>
        <v>140.38555400460723</v>
      </c>
      <c r="O38" s="91">
        <f t="shared" si="0"/>
        <v>190.59989250720065</v>
      </c>
      <c r="P38" s="91">
        <f t="shared" si="0"/>
        <v>115.81243184296619</v>
      </c>
      <c r="Q38" s="91">
        <f t="shared" si="0"/>
        <v>109.65522123893805</v>
      </c>
      <c r="R38" s="91">
        <f t="shared" si="0"/>
        <v>144.7638395124429</v>
      </c>
    </row>
    <row r="39" spans="2:18" x14ac:dyDescent="0.25">
      <c r="B39" s="112">
        <v>44926</v>
      </c>
      <c r="C39" s="91">
        <f t="shared" si="1"/>
        <v>87.376047982838273</v>
      </c>
      <c r="D39" s="91">
        <f t="shared" si="0"/>
        <v>156.96173995331401</v>
      </c>
      <c r="E39" s="91">
        <f t="shared" si="0"/>
        <v>84.033193562156328</v>
      </c>
      <c r="F39" s="91">
        <f t="shared" si="0"/>
        <v>74.267835958035775</v>
      </c>
      <c r="G39" s="91">
        <f t="shared" si="0"/>
        <v>72.899356982876967</v>
      </c>
      <c r="H39" s="91">
        <f t="shared" si="0"/>
        <v>60.840709678330654</v>
      </c>
      <c r="I39" s="91">
        <f t="shared" si="0"/>
        <v>97.417463668007173</v>
      </c>
      <c r="J39" s="91">
        <f t="shared" si="0"/>
        <v>110.4204013184528</v>
      </c>
      <c r="K39" s="91">
        <f t="shared" si="0"/>
        <v>92.773542927915372</v>
      </c>
      <c r="L39" s="91">
        <f t="shared" si="0"/>
        <v>53.959005021787121</v>
      </c>
      <c r="M39" s="91">
        <f t="shared" si="0"/>
        <v>124.20315236427322</v>
      </c>
      <c r="N39" s="91">
        <f t="shared" si="0"/>
        <v>153.04149943886068</v>
      </c>
      <c r="O39" s="91">
        <f t="shared" si="0"/>
        <v>201.87285531193581</v>
      </c>
      <c r="P39" s="91">
        <f t="shared" si="0"/>
        <v>112.9043984005816</v>
      </c>
      <c r="Q39" s="91">
        <f t="shared" si="0"/>
        <v>103.26776232616939</v>
      </c>
      <c r="R39" s="91">
        <f t="shared" si="0"/>
        <v>128.42051802945659</v>
      </c>
    </row>
    <row r="40" spans="2:18" x14ac:dyDescent="0.25">
      <c r="B40" s="112">
        <v>44957</v>
      </c>
      <c r="C40" s="91">
        <f t="shared" si="1"/>
        <v>89.982415048632262</v>
      </c>
      <c r="D40" s="91">
        <f t="shared" si="0"/>
        <v>148.46048516489009</v>
      </c>
      <c r="E40" s="91">
        <f t="shared" si="0"/>
        <v>90.464723565785647</v>
      </c>
      <c r="F40" s="91">
        <f t="shared" si="0"/>
        <v>77.38106365476159</v>
      </c>
      <c r="G40" s="91">
        <f t="shared" si="0"/>
        <v>72.474072419885587</v>
      </c>
      <c r="H40" s="91">
        <f t="shared" si="0"/>
        <v>61.950870814184846</v>
      </c>
      <c r="I40" s="91">
        <f t="shared" si="0"/>
        <v>92.930285541141856</v>
      </c>
      <c r="J40" s="91">
        <f t="shared" si="0"/>
        <v>109.55891243435359</v>
      </c>
      <c r="K40" s="91">
        <f t="shared" si="0"/>
        <v>84.882593482568112</v>
      </c>
      <c r="L40" s="91">
        <f t="shared" si="0"/>
        <v>65.09698959227066</v>
      </c>
      <c r="M40" s="91">
        <f t="shared" si="0"/>
        <v>133.0998248686515</v>
      </c>
      <c r="N40" s="91">
        <f t="shared" si="0"/>
        <v>147.47580572455365</v>
      </c>
      <c r="O40" s="91">
        <f t="shared" si="0"/>
        <v>202.13607485908796</v>
      </c>
      <c r="P40" s="91">
        <f t="shared" si="0"/>
        <v>107.74263904034895</v>
      </c>
      <c r="Q40" s="91">
        <f t="shared" si="0"/>
        <v>103.47433628318585</v>
      </c>
      <c r="R40" s="91">
        <f t="shared" si="0"/>
        <v>77.57237176231591</v>
      </c>
    </row>
    <row r="41" spans="2:18" x14ac:dyDescent="0.25">
      <c r="B41" s="112">
        <v>44985</v>
      </c>
      <c r="C41" s="91">
        <f t="shared" si="1"/>
        <v>89.501565133638351</v>
      </c>
      <c r="D41" s="91">
        <f t="shared" si="0"/>
        <v>89.620990795097711</v>
      </c>
      <c r="E41" s="91">
        <f t="shared" si="0"/>
        <v>89.754056293469247</v>
      </c>
      <c r="F41" s="91">
        <f t="shared" si="0"/>
        <v>74.939527165864135</v>
      </c>
      <c r="G41" s="91">
        <f t="shared" si="0"/>
        <v>71.837294993136311</v>
      </c>
      <c r="H41" s="91">
        <f t="shared" si="0"/>
        <v>61.873659681354255</v>
      </c>
      <c r="I41" s="91">
        <f t="shared" si="0"/>
        <v>55.820293532417054</v>
      </c>
      <c r="J41" s="91">
        <f t="shared" si="0"/>
        <v>117.58124674723902</v>
      </c>
      <c r="K41" s="91">
        <f t="shared" si="0"/>
        <v>79.520256312971611</v>
      </c>
      <c r="L41" s="91">
        <f t="shared" si="0"/>
        <v>64.365326220763237</v>
      </c>
      <c r="M41" s="91">
        <f t="shared" si="0"/>
        <v>134.78108581436078</v>
      </c>
      <c r="N41" s="91">
        <f t="shared" si="0"/>
        <v>145.90803532846078</v>
      </c>
      <c r="O41" s="91">
        <f t="shared" si="0"/>
        <v>198.20018466711687</v>
      </c>
      <c r="P41" s="91">
        <f t="shared" si="0"/>
        <v>109.05125408942202</v>
      </c>
      <c r="Q41" s="91">
        <f t="shared" si="0"/>
        <v>101.90442477876105</v>
      </c>
      <c r="R41" s="91">
        <f t="shared" si="0"/>
        <v>54.480446927374302</v>
      </c>
    </row>
    <row r="42" spans="2:18" x14ac:dyDescent="0.25">
      <c r="B42" s="112">
        <v>45016</v>
      </c>
      <c r="C42" s="91">
        <f t="shared" si="1"/>
        <v>84.818494517088538</v>
      </c>
      <c r="D42" s="91">
        <f t="shared" si="0"/>
        <v>71.929808665308727</v>
      </c>
      <c r="E42" s="91">
        <f t="shared" si="0"/>
        <v>88.947807965101234</v>
      </c>
      <c r="F42" s="91">
        <f t="shared" si="0"/>
        <v>71.224947669457734</v>
      </c>
      <c r="G42" s="91">
        <f t="shared" si="0"/>
        <v>68.919373128983509</v>
      </c>
      <c r="H42" s="91">
        <f t="shared" si="0"/>
        <v>62.421945869900121</v>
      </c>
      <c r="I42" s="91">
        <f t="shared" si="0"/>
        <v>48.369545138286433</v>
      </c>
      <c r="J42" s="91">
        <f t="shared" si="0"/>
        <v>115.154410304245</v>
      </c>
      <c r="K42" s="91">
        <f t="shared" si="0"/>
        <v>77.557401898519501</v>
      </c>
      <c r="L42" s="91">
        <f t="shared" si="0"/>
        <v>61.897539740593388</v>
      </c>
      <c r="M42" s="91">
        <f t="shared" si="0"/>
        <v>133.80035026269704</v>
      </c>
      <c r="N42" s="91">
        <f t="shared" si="0"/>
        <v>150.76150180155255</v>
      </c>
      <c r="O42" s="91">
        <f t="shared" si="0"/>
        <v>174.05564819536127</v>
      </c>
      <c r="P42" s="91">
        <f t="shared" si="0"/>
        <v>104.68920392584515</v>
      </c>
      <c r="Q42" s="91">
        <f t="shared" si="0"/>
        <v>97.364217006540954</v>
      </c>
      <c r="R42" s="91">
        <f t="shared" si="0"/>
        <v>53.835316978382316</v>
      </c>
    </row>
    <row r="43" spans="2:18" x14ac:dyDescent="0.25">
      <c r="B43" s="112">
        <v>45046</v>
      </c>
      <c r="C43" s="91">
        <f t="shared" si="1"/>
        <v>89.398293067929501</v>
      </c>
      <c r="D43" s="91">
        <f t="shared" si="0"/>
        <v>73.646210017183094</v>
      </c>
      <c r="E43" s="91">
        <f t="shared" si="0"/>
        <v>88.47422602756923</v>
      </c>
      <c r="F43" s="91">
        <f t="shared" si="0"/>
        <v>72.518737351415481</v>
      </c>
      <c r="G43" s="91">
        <f t="shared" si="0"/>
        <v>68.732389278231352</v>
      </c>
      <c r="H43" s="91">
        <f t="shared" si="0"/>
        <v>64.112822069213692</v>
      </c>
      <c r="I43" s="91">
        <f t="shared" si="0"/>
        <v>48.179309962632082</v>
      </c>
      <c r="J43" s="91">
        <f t="shared" si="0"/>
        <v>135.04250274677645</v>
      </c>
      <c r="K43" s="91">
        <f t="shared" si="0"/>
        <v>75.886345432317142</v>
      </c>
      <c r="L43" s="91">
        <f t="shared" si="0"/>
        <v>63.259786622896996</v>
      </c>
      <c r="M43" s="91">
        <f t="shared" si="0"/>
        <v>133.0998248686515</v>
      </c>
      <c r="N43" s="91">
        <f t="shared" si="0"/>
        <v>179.28188675452151</v>
      </c>
      <c r="O43" s="91">
        <f t="shared" si="0"/>
        <v>172.50940561994406</v>
      </c>
      <c r="P43" s="91">
        <f t="shared" si="0"/>
        <v>101.19956379498365</v>
      </c>
      <c r="Q43" s="91">
        <f t="shared" si="0"/>
        <v>99.490265486725647</v>
      </c>
      <c r="R43" s="91">
        <f t="shared" si="0"/>
        <v>49.061452513966486</v>
      </c>
    </row>
    <row r="44" spans="2:18" x14ac:dyDescent="0.25">
      <c r="B44" s="112">
        <v>45076</v>
      </c>
      <c r="C44" s="91">
        <f t="shared" si="1"/>
        <v>81.063104373649935</v>
      </c>
      <c r="D44" s="91">
        <f t="shared" si="0"/>
        <v>65.787528359828727</v>
      </c>
      <c r="E44" s="91">
        <f t="shared" si="0"/>
        <v>82.789626002023979</v>
      </c>
      <c r="F44" s="91">
        <f t="shared" si="0"/>
        <v>70.530061448142618</v>
      </c>
      <c r="G44" s="91">
        <f t="shared" si="0"/>
        <v>67.830924505957441</v>
      </c>
      <c r="H44" s="91">
        <f t="shared" si="0"/>
        <v>57.242017105425333</v>
      </c>
      <c r="I44" s="91">
        <f t="shared" si="0"/>
        <v>47.882899349299194</v>
      </c>
      <c r="J44" s="91">
        <f t="shared" si="0"/>
        <v>141.34671229122648</v>
      </c>
      <c r="K44" s="91">
        <f t="shared" si="0"/>
        <v>76.065419926940507</v>
      </c>
      <c r="L44" s="91">
        <f t="shared" si="0"/>
        <v>51.736704073076275</v>
      </c>
      <c r="M44" s="91">
        <f t="shared" si="0"/>
        <v>129.70227670753064</v>
      </c>
      <c r="N44" s="91">
        <f t="shared" si="0"/>
        <v>169.3677001370983</v>
      </c>
      <c r="O44" s="91">
        <f t="shared" si="0"/>
        <v>145.45291677576728</v>
      </c>
      <c r="P44" s="91">
        <f t="shared" si="0"/>
        <v>105.77971646673936</v>
      </c>
      <c r="Q44" s="91">
        <f t="shared" si="0"/>
        <v>91.629161399072885</v>
      </c>
      <c r="R44" s="91">
        <f t="shared" si="0"/>
        <v>51.73670148166142</v>
      </c>
    </row>
    <row r="45" spans="2:18" x14ac:dyDescent="0.25">
      <c r="B45" s="112">
        <v>45107</v>
      </c>
      <c r="C45" s="91">
        <f t="shared" si="1"/>
        <v>80.236509083125995</v>
      </c>
      <c r="D45" s="91">
        <f t="shared" si="1"/>
        <v>50.87646928664963</v>
      </c>
      <c r="E45" s="91">
        <f t="shared" si="1"/>
        <v>84.329904107994352</v>
      </c>
      <c r="F45" s="91">
        <f t="shared" si="1"/>
        <v>67.76163317325009</v>
      </c>
      <c r="G45" s="91">
        <f t="shared" si="1"/>
        <v>66.771318414985785</v>
      </c>
      <c r="H45" s="91">
        <f t="shared" si="1"/>
        <v>52.747714044336227</v>
      </c>
      <c r="I45" s="91">
        <f t="shared" si="1"/>
        <v>42.084673209388072</v>
      </c>
      <c r="J45" s="91">
        <f t="shared" si="1"/>
        <v>136.03284040310612</v>
      </c>
      <c r="K45" s="91">
        <f t="shared" si="1"/>
        <v>76.311362007580513</v>
      </c>
      <c r="L45" s="91">
        <f t="shared" si="1"/>
        <v>44.741466781064638</v>
      </c>
      <c r="M45" s="91">
        <f t="shared" si="1"/>
        <v>120.3152364273205</v>
      </c>
      <c r="N45" s="91">
        <f t="shared" si="1"/>
        <v>184.16623402462798</v>
      </c>
      <c r="O45" s="91">
        <f t="shared" si="1"/>
        <v>134.27779998070642</v>
      </c>
      <c r="P45" s="91">
        <f t="shared" si="1"/>
        <v>117.77535441657578</v>
      </c>
      <c r="Q45" s="91">
        <f t="shared" si="1"/>
        <v>91.206405394016016</v>
      </c>
      <c r="R45" s="91">
        <f t="shared" si="1"/>
        <v>55.398679532757747</v>
      </c>
    </row>
    <row r="46" spans="2:18" x14ac:dyDescent="0.25">
      <c r="B46" s="112">
        <v>45137</v>
      </c>
      <c r="C46" s="91">
        <f t="shared" si="1"/>
        <v>85.730847975008828</v>
      </c>
      <c r="D46" s="91">
        <f t="shared" si="1"/>
        <v>51.756488472285042</v>
      </c>
      <c r="E46" s="91">
        <f t="shared" si="1"/>
        <v>85.13499934837219</v>
      </c>
      <c r="F46" s="91">
        <f t="shared" si="1"/>
        <v>66.985581767502723</v>
      </c>
      <c r="G46" s="91">
        <f t="shared" si="1"/>
        <v>67.386061425509453</v>
      </c>
      <c r="H46" s="91">
        <f t="shared" si="1"/>
        <v>57.95175443525055</v>
      </c>
      <c r="I46" s="91">
        <f t="shared" si="1"/>
        <v>38.608354017816261</v>
      </c>
      <c r="J46" s="91">
        <f t="shared" si="1"/>
        <v>131.88972691950806</v>
      </c>
      <c r="K46" s="91">
        <f t="shared" si="1"/>
        <v>76.62087641852392</v>
      </c>
      <c r="L46" s="91">
        <f t="shared" si="1"/>
        <v>48.37636047443187</v>
      </c>
      <c r="M46" s="91">
        <f t="shared" si="1"/>
        <v>113.66024518388791</v>
      </c>
      <c r="N46" s="91">
        <f t="shared" si="1"/>
        <v>185.69918580395253</v>
      </c>
      <c r="O46" s="91">
        <f t="shared" si="1"/>
        <v>139.38784228876978</v>
      </c>
      <c r="P46" s="91">
        <f t="shared" si="1"/>
        <v>130.86150490730643</v>
      </c>
      <c r="Q46" s="91">
        <f t="shared" si="1"/>
        <v>80.387694900969237</v>
      </c>
      <c r="R46" s="91">
        <f t="shared" si="1"/>
        <v>59.079542431497735</v>
      </c>
    </row>
    <row r="47" spans="2:18" x14ac:dyDescent="0.25">
      <c r="B47" s="112">
        <v>45168</v>
      </c>
      <c r="C47" s="91">
        <f t="shared" ref="C47:R49" si="2">+C22/C$4*100</f>
        <v>91.145100858351626</v>
      </c>
      <c r="D47" s="91">
        <f t="shared" si="2"/>
        <v>56.07337327094497</v>
      </c>
      <c r="E47" s="91">
        <f t="shared" si="2"/>
        <v>83.84089447731003</v>
      </c>
      <c r="F47" s="91">
        <f t="shared" si="2"/>
        <v>66.236533039628256</v>
      </c>
      <c r="G47" s="91">
        <f t="shared" si="2"/>
        <v>69.356009084540887</v>
      </c>
      <c r="H47" s="91">
        <f t="shared" si="2"/>
        <v>56.486197537556471</v>
      </c>
      <c r="I47" s="91">
        <f t="shared" si="2"/>
        <v>43.066008163819802</v>
      </c>
      <c r="J47" s="91">
        <f t="shared" si="2"/>
        <v>132.90574975046476</v>
      </c>
      <c r="K47" s="91">
        <f t="shared" si="2"/>
        <v>79.355478451491166</v>
      </c>
      <c r="L47" s="91">
        <f t="shared" si="2"/>
        <v>52.94007243403329</v>
      </c>
      <c r="M47" s="91">
        <f t="shared" si="2"/>
        <v>118.02101576182136</v>
      </c>
      <c r="N47" s="91">
        <f t="shared" si="2"/>
        <v>176.76852148339742</v>
      </c>
      <c r="O47" s="91">
        <f t="shared" si="2"/>
        <v>153.04494025880959</v>
      </c>
      <c r="P47" s="91">
        <f t="shared" si="2"/>
        <v>113.04907306434025</v>
      </c>
      <c r="Q47" s="91">
        <f t="shared" si="2"/>
        <v>70.958676414005382</v>
      </c>
      <c r="R47" s="91">
        <f t="shared" si="2"/>
        <v>59.179013845032777</v>
      </c>
    </row>
    <row r="48" spans="2:18" x14ac:dyDescent="0.25">
      <c r="B48" s="112">
        <v>45199</v>
      </c>
      <c r="C48" s="91">
        <f t="shared" si="2"/>
        <v>99.176855642061497</v>
      </c>
      <c r="D48" s="91">
        <f t="shared" si="2"/>
        <v>61.830184238462529</v>
      </c>
      <c r="E48" s="91">
        <f t="shared" si="2"/>
        <v>83.126660903646368</v>
      </c>
      <c r="F48" s="91">
        <f t="shared" si="2"/>
        <v>67.759157289037034</v>
      </c>
      <c r="G48" s="91">
        <f t="shared" si="2"/>
        <v>70.637271598184839</v>
      </c>
      <c r="H48" s="91">
        <f t="shared" si="2"/>
        <v>54.230062806350666</v>
      </c>
      <c r="I48" s="91">
        <f t="shared" si="2"/>
        <v>44.596203957547289</v>
      </c>
      <c r="J48" s="91">
        <f t="shared" si="2"/>
        <v>145.92967702318339</v>
      </c>
      <c r="K48" s="91">
        <f t="shared" si="2"/>
        <v>78.943511977532381</v>
      </c>
      <c r="L48" s="91">
        <f t="shared" si="2"/>
        <v>56.869316294429126</v>
      </c>
      <c r="M48" s="91">
        <f t="shared" si="2"/>
        <v>115.58669001751313</v>
      </c>
      <c r="N48" s="91">
        <f t="shared" si="2"/>
        <v>153.94864875787695</v>
      </c>
      <c r="O48" s="91">
        <f t="shared" si="2"/>
        <v>160.64936675716274</v>
      </c>
      <c r="P48" s="91">
        <f t="shared" si="2"/>
        <v>123.44601962922575</v>
      </c>
      <c r="Q48" s="91">
        <f t="shared" si="2"/>
        <v>76.484247787610627</v>
      </c>
      <c r="R48" s="91">
        <f t="shared" si="2"/>
        <v>60.345836658685812</v>
      </c>
    </row>
    <row r="49" spans="2:18" x14ac:dyDescent="0.25">
      <c r="B49" s="112">
        <v>45229</v>
      </c>
      <c r="C49" s="91">
        <f t="shared" si="2"/>
        <v>95.189798295986606</v>
      </c>
      <c r="D49" s="91">
        <f t="shared" si="2"/>
        <v>55.31949422544735</v>
      </c>
      <c r="E49" s="91">
        <f t="shared" si="2"/>
        <v>79.758514666843183</v>
      </c>
      <c r="F49" s="91">
        <f t="shared" si="2"/>
        <v>68.060539799821939</v>
      </c>
      <c r="G49" s="91">
        <f t="shared" si="2"/>
        <v>69.132550853524776</v>
      </c>
      <c r="H49" s="91">
        <f t="shared" si="2"/>
        <v>52.636804291032583</v>
      </c>
      <c r="I49" s="91">
        <f t="shared" si="2"/>
        <v>46.998371756708195</v>
      </c>
      <c r="J49" s="91">
        <f t="shared" si="2"/>
        <v>147.79653354221134</v>
      </c>
      <c r="K49" s="91">
        <f t="shared" si="2"/>
        <v>89.9624805025082</v>
      </c>
      <c r="L49" s="91">
        <f t="shared" si="2"/>
        <v>52.507815122915645</v>
      </c>
      <c r="M49" s="91"/>
      <c r="N49" s="91"/>
      <c r="O49" s="91">
        <f t="shared" si="2"/>
        <v>155.47041880848366</v>
      </c>
      <c r="P49" s="91">
        <f t="shared" si="2"/>
        <v>133.04252998909487</v>
      </c>
      <c r="Q49" s="91">
        <f t="shared" si="2"/>
        <v>75.819629927594505</v>
      </c>
      <c r="R49" s="91">
        <f t="shared" si="2"/>
        <v>70.756729304215327</v>
      </c>
    </row>
    <row r="50" spans="2:18" x14ac:dyDescent="0.25">
      <c r="B50" s="112"/>
      <c r="C50" s="91"/>
      <c r="D50" s="91"/>
      <c r="E50" s="91"/>
      <c r="F50" s="91"/>
      <c r="G50" s="91"/>
      <c r="H50" s="91"/>
      <c r="I50" s="91"/>
      <c r="J50" s="91"/>
      <c r="K50" s="91"/>
      <c r="L50" s="91"/>
      <c r="M50" s="91"/>
      <c r="N50" s="91"/>
      <c r="O50" s="91"/>
      <c r="P50" s="91"/>
    </row>
    <row r="51" spans="2:18" x14ac:dyDescent="0.25">
      <c r="B51" s="112"/>
      <c r="C51" s="91"/>
      <c r="D51" s="91"/>
      <c r="E51" s="91"/>
      <c r="F51" s="91"/>
      <c r="G51" s="91"/>
      <c r="H51" s="91"/>
      <c r="I51" s="91"/>
      <c r="J51" s="91"/>
      <c r="K51" s="91"/>
      <c r="L51" s="91"/>
      <c r="M51" s="91"/>
      <c r="N51" s="91"/>
      <c r="O51" s="91"/>
      <c r="P51" s="91"/>
    </row>
  </sheetData>
  <pageMargins left="0.7" right="0.7" top="0.75" bottom="0.75" header="0.3" footer="0.3"/>
  <drawing r:id="rId1"/>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531E-158D-458E-997C-C60856DFE593}">
  <dimension ref="A1:AW56"/>
  <sheetViews>
    <sheetView topLeftCell="A37" workbookViewId="0">
      <selection activeCell="D52" sqref="D52"/>
    </sheetView>
  </sheetViews>
  <sheetFormatPr defaultRowHeight="15" x14ac:dyDescent="0.25"/>
  <cols>
    <col min="1" max="1" width="16.28515625" bestFit="1" customWidth="1"/>
    <col min="2" max="2" width="14.28515625" style="133" bestFit="1" customWidth="1"/>
    <col min="3" max="3" width="12" bestFit="1" customWidth="1"/>
    <col min="4" max="4" width="12.28515625" bestFit="1" customWidth="1"/>
    <col min="5" max="5" width="12.5703125" bestFit="1" customWidth="1"/>
    <col min="6" max="24" width="12" bestFit="1" customWidth="1"/>
    <col min="25" max="25" width="11" bestFit="1" customWidth="1"/>
    <col min="26" max="31" width="12" bestFit="1" customWidth="1"/>
    <col min="32" max="32" width="11" bestFit="1" customWidth="1"/>
    <col min="33" max="36" width="12" bestFit="1" customWidth="1"/>
    <col min="37" max="37" width="11" bestFit="1" customWidth="1"/>
    <col min="38" max="45" width="12" bestFit="1" customWidth="1"/>
    <col min="46" max="46" width="11" bestFit="1" customWidth="1"/>
    <col min="47" max="47" width="9" bestFit="1" customWidth="1"/>
  </cols>
  <sheetData>
    <row r="1" spans="1:49" x14ac:dyDescent="0.25">
      <c r="A1" s="127" t="s">
        <v>946</v>
      </c>
      <c r="B1" s="128" t="s">
        <v>947</v>
      </c>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29"/>
      <c r="AQ1" s="129"/>
      <c r="AR1" s="129"/>
      <c r="AS1" s="129"/>
      <c r="AT1" s="129"/>
      <c r="AU1" s="129"/>
      <c r="AW1" s="129">
        <v>44742</v>
      </c>
    </row>
    <row r="2" spans="1:49" x14ac:dyDescent="0.25">
      <c r="A2" s="130">
        <v>40999</v>
      </c>
      <c r="B2" s="128">
        <v>50560.562250000003</v>
      </c>
    </row>
    <row r="3" spans="1:49" x14ac:dyDescent="0.25">
      <c r="A3" s="130">
        <v>41090</v>
      </c>
      <c r="B3" s="128">
        <v>32777.157469999998</v>
      </c>
    </row>
    <row r="4" spans="1:49" x14ac:dyDescent="0.25">
      <c r="A4" s="130">
        <v>41182</v>
      </c>
      <c r="B4" s="128">
        <v>43493.978499999997</v>
      </c>
    </row>
    <row r="5" spans="1:49" x14ac:dyDescent="0.25">
      <c r="A5" s="130">
        <v>41274</v>
      </c>
      <c r="B5" s="128">
        <v>46494.126270000001</v>
      </c>
    </row>
    <row r="6" spans="1:49" x14ac:dyDescent="0.25">
      <c r="A6" s="130">
        <v>41364</v>
      </c>
      <c r="B6" s="128">
        <v>52709.124250000001</v>
      </c>
    </row>
    <row r="7" spans="1:49" x14ac:dyDescent="0.25">
      <c r="A7" s="130">
        <v>41455</v>
      </c>
      <c r="B7" s="128">
        <v>33964.16848</v>
      </c>
    </row>
    <row r="8" spans="1:49" x14ac:dyDescent="0.25">
      <c r="A8" s="130">
        <v>41547</v>
      </c>
      <c r="B8" s="128">
        <v>33793.767469999999</v>
      </c>
    </row>
    <row r="9" spans="1:49" x14ac:dyDescent="0.25">
      <c r="A9" s="130">
        <v>41639</v>
      </c>
      <c r="B9" s="128">
        <v>49596.11277</v>
      </c>
    </row>
    <row r="10" spans="1:49" x14ac:dyDescent="0.25">
      <c r="A10" s="130">
        <v>41729</v>
      </c>
      <c r="B10" s="128">
        <v>48853.598570000002</v>
      </c>
    </row>
    <row r="11" spans="1:49" x14ac:dyDescent="0.25">
      <c r="A11" s="130">
        <v>41820</v>
      </c>
      <c r="B11" s="128">
        <v>41236.019130000001</v>
      </c>
    </row>
    <row r="12" spans="1:49" x14ac:dyDescent="0.25">
      <c r="A12" s="130">
        <v>41912</v>
      </c>
      <c r="B12" s="128">
        <v>50681.000090000001</v>
      </c>
    </row>
    <row r="13" spans="1:49" x14ac:dyDescent="0.25">
      <c r="A13" s="130">
        <v>42004</v>
      </c>
      <c r="B13" s="128">
        <v>54325.056729999997</v>
      </c>
    </row>
    <row r="14" spans="1:49" x14ac:dyDescent="0.25">
      <c r="A14" s="130">
        <v>42094</v>
      </c>
      <c r="B14" s="128">
        <v>51102.26453</v>
      </c>
    </row>
    <row r="15" spans="1:49" x14ac:dyDescent="0.25">
      <c r="A15" s="130">
        <v>42185</v>
      </c>
      <c r="B15" s="128">
        <v>47081.76556</v>
      </c>
    </row>
    <row r="16" spans="1:49" x14ac:dyDescent="0.25">
      <c r="A16" s="130">
        <v>42277</v>
      </c>
      <c r="B16" s="128">
        <v>47728.386890000002</v>
      </c>
    </row>
    <row r="17" spans="1:2" x14ac:dyDescent="0.25">
      <c r="A17" s="130">
        <v>42369</v>
      </c>
      <c r="B17" s="128">
        <v>58363.508860000002</v>
      </c>
    </row>
    <row r="18" spans="1:2" x14ac:dyDescent="0.25">
      <c r="A18" s="130">
        <v>42460</v>
      </c>
      <c r="B18" s="128">
        <v>58441.495289999999</v>
      </c>
    </row>
    <row r="19" spans="1:2" x14ac:dyDescent="0.25">
      <c r="A19" s="130">
        <v>42551</v>
      </c>
      <c r="B19" s="128">
        <v>52091.401230000003</v>
      </c>
    </row>
    <row r="20" spans="1:2" x14ac:dyDescent="0.25">
      <c r="A20" s="130">
        <v>42643</v>
      </c>
      <c r="B20" s="128">
        <v>62049.906519999997</v>
      </c>
    </row>
    <row r="21" spans="1:2" x14ac:dyDescent="0.25">
      <c r="A21" s="130">
        <v>42735</v>
      </c>
      <c r="B21" s="128">
        <v>60640.212820000001</v>
      </c>
    </row>
    <row r="22" spans="1:2" x14ac:dyDescent="0.25">
      <c r="A22" s="130">
        <v>42825</v>
      </c>
      <c r="B22" s="128">
        <v>51395.544470000001</v>
      </c>
    </row>
    <row r="23" spans="1:2" x14ac:dyDescent="0.25">
      <c r="A23" s="130">
        <v>42916</v>
      </c>
      <c r="B23" s="128">
        <v>46465.166620000004</v>
      </c>
    </row>
    <row r="24" spans="1:2" x14ac:dyDescent="0.25">
      <c r="A24" s="130">
        <v>43008</v>
      </c>
      <c r="B24" s="128">
        <v>53761.565170000002</v>
      </c>
    </row>
    <row r="25" spans="1:2" x14ac:dyDescent="0.25">
      <c r="A25" s="130">
        <v>43100</v>
      </c>
      <c r="B25" s="128">
        <v>72532.0196</v>
      </c>
    </row>
    <row r="26" spans="1:2" x14ac:dyDescent="0.25">
      <c r="A26" s="130">
        <v>43190</v>
      </c>
      <c r="B26" s="128">
        <v>75232.052540000004</v>
      </c>
    </row>
    <row r="27" spans="1:2" x14ac:dyDescent="0.25">
      <c r="A27" s="130">
        <v>43281</v>
      </c>
      <c r="B27" s="128">
        <v>48565.026059999997</v>
      </c>
    </row>
    <row r="28" spans="1:2" x14ac:dyDescent="0.25">
      <c r="A28" s="130">
        <v>43373</v>
      </c>
      <c r="B28" s="128">
        <v>48719.558129999998</v>
      </c>
    </row>
    <row r="29" spans="1:2" x14ac:dyDescent="0.25">
      <c r="A29" s="130">
        <v>43465</v>
      </c>
      <c r="B29" s="128">
        <v>67973.509730000005</v>
      </c>
    </row>
    <row r="30" spans="1:2" x14ac:dyDescent="0.25">
      <c r="A30" s="130">
        <v>43555</v>
      </c>
      <c r="B30" s="128">
        <v>78261.404729999995</v>
      </c>
    </row>
    <row r="31" spans="1:2" x14ac:dyDescent="0.25">
      <c r="A31" s="130">
        <v>43646</v>
      </c>
      <c r="B31" s="128">
        <v>33573.926079999997</v>
      </c>
    </row>
    <row r="32" spans="1:2" x14ac:dyDescent="0.25">
      <c r="A32" s="130">
        <v>43738</v>
      </c>
      <c r="B32" s="128">
        <v>46628.8102</v>
      </c>
    </row>
    <row r="33" spans="1:11" x14ac:dyDescent="0.25">
      <c r="A33" s="130">
        <v>43830</v>
      </c>
      <c r="B33" s="128">
        <v>65953.889439999999</v>
      </c>
    </row>
    <row r="34" spans="1:11" x14ac:dyDescent="0.25">
      <c r="A34" s="130">
        <v>43921</v>
      </c>
      <c r="B34" s="128">
        <v>47880.04075</v>
      </c>
    </row>
    <row r="35" spans="1:11" x14ac:dyDescent="0.25">
      <c r="A35" s="130">
        <v>44012</v>
      </c>
      <c r="B35" s="128">
        <v>32483.224450000002</v>
      </c>
    </row>
    <row r="36" spans="1:11" x14ac:dyDescent="0.25">
      <c r="A36" s="130">
        <v>44104</v>
      </c>
      <c r="B36" s="128">
        <v>73962.059859999994</v>
      </c>
    </row>
    <row r="37" spans="1:11" x14ac:dyDescent="0.25">
      <c r="A37" s="130">
        <v>44196</v>
      </c>
      <c r="B37" s="128">
        <v>81092.378800000006</v>
      </c>
    </row>
    <row r="38" spans="1:11" x14ac:dyDescent="0.25">
      <c r="A38" s="130">
        <v>44286</v>
      </c>
      <c r="B38" s="128">
        <v>109800.17449999999</v>
      </c>
    </row>
    <row r="39" spans="1:11" x14ac:dyDescent="0.25">
      <c r="A39" s="130">
        <v>44377</v>
      </c>
      <c r="B39" s="128">
        <v>71427.720629999996</v>
      </c>
    </row>
    <row r="40" spans="1:11" x14ac:dyDescent="0.25">
      <c r="A40" s="130">
        <v>44469</v>
      </c>
      <c r="B40" s="128">
        <v>111095.1406</v>
      </c>
    </row>
    <row r="41" spans="1:11" x14ac:dyDescent="0.25">
      <c r="A41" s="130">
        <v>44561</v>
      </c>
      <c r="B41" s="128">
        <v>172529.0307</v>
      </c>
    </row>
    <row r="42" spans="1:11" x14ac:dyDescent="0.25">
      <c r="A42" s="130">
        <v>44651</v>
      </c>
      <c r="B42" s="128">
        <v>255477.0656</v>
      </c>
    </row>
    <row r="43" spans="1:11" x14ac:dyDescent="0.25">
      <c r="A43" s="130">
        <v>44742</v>
      </c>
      <c r="B43" s="128">
        <v>161610.7789</v>
      </c>
    </row>
    <row r="44" spans="1:11" x14ac:dyDescent="0.25">
      <c r="A44" s="130">
        <v>44834</v>
      </c>
      <c r="B44" s="128">
        <v>149400.9326</v>
      </c>
    </row>
    <row r="45" spans="1:11" x14ac:dyDescent="0.25">
      <c r="A45" s="130">
        <v>44926</v>
      </c>
      <c r="B45" s="128">
        <v>88772</v>
      </c>
    </row>
    <row r="46" spans="1:11" x14ac:dyDescent="0.25">
      <c r="A46" s="130">
        <v>45016</v>
      </c>
      <c r="B46" s="128">
        <v>85468</v>
      </c>
      <c r="C46" s="131">
        <f>+SUM(B43:B46)</f>
        <v>485251.71149999998</v>
      </c>
      <c r="D46" s="10">
        <f>4427730578075/1000000</f>
        <v>4427730.5780750001</v>
      </c>
      <c r="E46" s="132">
        <f>+D46/C46</f>
        <v>9.1246057935336111</v>
      </c>
      <c r="F46" s="44"/>
      <c r="G46" s="131">
        <f>+B46*4</f>
        <v>341872</v>
      </c>
      <c r="H46" s="104">
        <f>+D46/G46</f>
        <v>12.951427955711495</v>
      </c>
      <c r="J46" s="4">
        <f>+B46/B42-1</f>
        <v>-0.66545725034349235</v>
      </c>
      <c r="K46" s="4">
        <f>+B46/B45-1</f>
        <v>-3.7218942909926556E-2</v>
      </c>
    </row>
    <row r="47" spans="1:11" x14ac:dyDescent="0.25">
      <c r="A47" s="130">
        <v>45107</v>
      </c>
      <c r="B47" s="128">
        <v>51786</v>
      </c>
      <c r="C47" s="131">
        <f t="shared" ref="C47:C50" si="0">+SUM(B44:B47)</f>
        <v>375426.9326</v>
      </c>
      <c r="D47" s="10">
        <f>4370635152014/1000000</f>
        <v>4370635.1520140003</v>
      </c>
      <c r="E47" s="132">
        <f>+D47/C47</f>
        <v>11.641773065521406</v>
      </c>
      <c r="G47" s="131">
        <f>+B47*4</f>
        <v>207144</v>
      </c>
      <c r="H47" s="104">
        <f>+D47/G47</f>
        <v>21.099501564196888</v>
      </c>
      <c r="J47" s="4">
        <f>+B47/B43-1</f>
        <v>-0.6795634526825487</v>
      </c>
      <c r="K47" s="4">
        <f>+B47/B46-1</f>
        <v>-0.39408901577198485</v>
      </c>
    </row>
    <row r="48" spans="1:11" x14ac:dyDescent="0.25">
      <c r="A48" s="130">
        <v>45199</v>
      </c>
      <c r="B48" s="128">
        <v>135038</v>
      </c>
      <c r="C48" s="131">
        <f t="shared" si="0"/>
        <v>361064</v>
      </c>
      <c r="D48" s="10">
        <v>4241219.1570149995</v>
      </c>
      <c r="E48" s="132">
        <f>+D48/C48</f>
        <v>11.746447048210289</v>
      </c>
      <c r="F48" s="44"/>
      <c r="G48" s="131">
        <f>+B48*4</f>
        <v>540152</v>
      </c>
      <c r="H48" s="104">
        <f>+D48/G48</f>
        <v>7.8518993857562309</v>
      </c>
      <c r="J48" s="4">
        <f>+B48/B44-1</f>
        <v>-9.6136833619738682E-2</v>
      </c>
      <c r="K48" s="4">
        <f>+B48/B47-1</f>
        <v>1.6076159579809213</v>
      </c>
    </row>
    <row r="49" spans="1:11" x14ac:dyDescent="0.25">
      <c r="A49" s="130">
        <v>45291</v>
      </c>
      <c r="B49" s="128">
        <v>182000</v>
      </c>
      <c r="C49" s="131">
        <f t="shared" si="0"/>
        <v>454292</v>
      </c>
      <c r="D49" s="10">
        <v>4248934.5816980004</v>
      </c>
      <c r="E49" s="132">
        <f>+D49/C49</f>
        <v>9.3528712407394377</v>
      </c>
      <c r="G49" s="131">
        <f>+B49*4</f>
        <v>728000</v>
      </c>
      <c r="H49" s="104">
        <f>+D49/G49</f>
        <v>5.8364486012335171</v>
      </c>
      <c r="J49" s="4">
        <f>+B49/B45-1</f>
        <v>1.0501960077501913</v>
      </c>
      <c r="K49" s="4">
        <f>+B49/B48-1</f>
        <v>0.34776877619632995</v>
      </c>
    </row>
    <row r="50" spans="1:11" x14ac:dyDescent="0.25">
      <c r="A50" s="130">
        <v>45382</v>
      </c>
      <c r="B50" s="128">
        <v>118737</v>
      </c>
      <c r="C50" s="131">
        <f t="shared" si="0"/>
        <v>487561</v>
      </c>
      <c r="D50" s="10">
        <v>4534650.0999999996</v>
      </c>
      <c r="E50" s="132">
        <f>+D50/C50</f>
        <v>9.300682581256499</v>
      </c>
      <c r="G50" s="131">
        <f>+B50*4</f>
        <v>474948</v>
      </c>
      <c r="H50" s="104">
        <f>+D50/G50</f>
        <v>9.547677008851494</v>
      </c>
      <c r="J50" s="4">
        <f>+B50/B46-1</f>
        <v>0.38925679786586787</v>
      </c>
      <c r="K50" s="4">
        <f>+B50/B49-1</f>
        <v>-0.34759890109890113</v>
      </c>
    </row>
    <row r="52" spans="1:11" x14ac:dyDescent="0.25">
      <c r="A52" s="5" t="s">
        <v>1002</v>
      </c>
      <c r="D52" s="10">
        <v>4626411.4650100004</v>
      </c>
      <c r="E52" s="104">
        <f>+D52/C50</f>
        <v>9.4888874725624088</v>
      </c>
      <c r="G52" s="131"/>
      <c r="H52" s="104">
        <f>+D52/G50</f>
        <v>9.7408799805662944</v>
      </c>
    </row>
    <row r="54" spans="1:11" x14ac:dyDescent="0.25">
      <c r="B54" s="133">
        <f>+SUM(B46:B49)*1.2</f>
        <v>545150.4</v>
      </c>
      <c r="D54" s="10">
        <v>1696.82</v>
      </c>
    </row>
    <row r="55" spans="1:11" x14ac:dyDescent="0.25">
      <c r="B55" s="133">
        <f>+D52/B54</f>
        <v>8.4864864173446453</v>
      </c>
      <c r="D55">
        <v>2972.3</v>
      </c>
    </row>
    <row r="56" spans="1:11" x14ac:dyDescent="0.25">
      <c r="D56" s="4">
        <f>+D54/D55-1</f>
        <v>-0.42912222857719617</v>
      </c>
    </row>
  </sheetData>
  <pageMargins left="0.7" right="0.7" top="0.75" bottom="0.75" header="0.3" footer="0.3"/>
  <pageSetup paperSize="9" orientation="portrait" r:id="rId1"/>
  <ignoredErrors>
    <ignoredError sqref="C51 C46 C47:C50 B54" formulaRange="1"/>
  </ignoredErrors>
  <drawing r:id="rId2"/>
  <legacy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0A9D0-EEDA-412B-88B1-F7AC3241FAD8}">
  <dimension ref="A1:E864"/>
  <sheetViews>
    <sheetView workbookViewId="0">
      <selection activeCell="C282" sqref="C282"/>
    </sheetView>
  </sheetViews>
  <sheetFormatPr defaultColWidth="9.140625" defaultRowHeight="18" x14ac:dyDescent="0.35"/>
  <cols>
    <col min="1" max="1" width="60.7109375" style="118" bestFit="1" customWidth="1"/>
    <col min="2" max="2" width="11.140625" style="118" customWidth="1"/>
    <col min="3" max="3" width="10.7109375" style="118" bestFit="1" customWidth="1"/>
    <col min="4" max="4" width="11.85546875" style="118" bestFit="1" customWidth="1"/>
    <col min="5" max="5" width="9.140625" style="118" customWidth="1"/>
    <col min="6" max="16384" width="9.140625" style="118"/>
  </cols>
  <sheetData>
    <row r="1" spans="1:5" s="115" customFormat="1" x14ac:dyDescent="0.25">
      <c r="A1" s="114" t="s">
        <v>424</v>
      </c>
      <c r="B1" s="114" t="s">
        <v>425</v>
      </c>
      <c r="C1" s="114" t="s">
        <v>366</v>
      </c>
      <c r="D1" s="114" t="s">
        <v>93</v>
      </c>
      <c r="E1" s="114" t="s">
        <v>96</v>
      </c>
    </row>
    <row r="2" spans="1:5" x14ac:dyDescent="0.35">
      <c r="A2" s="116" t="s">
        <v>426</v>
      </c>
      <c r="B2" s="116" t="s">
        <v>427</v>
      </c>
      <c r="C2" s="117">
        <v>10070.01</v>
      </c>
      <c r="D2" s="117">
        <v>5111.96</v>
      </c>
      <c r="E2" s="117">
        <v>18831.150000000001</v>
      </c>
    </row>
    <row r="3" spans="1:5" x14ac:dyDescent="0.35">
      <c r="A3" s="116" t="s">
        <v>186</v>
      </c>
      <c r="B3" s="116" t="s">
        <v>428</v>
      </c>
      <c r="C3" s="117">
        <v>9939.1034319999999</v>
      </c>
      <c r="D3" s="117">
        <v>2943.68</v>
      </c>
      <c r="E3" s="117">
        <v>153.570449</v>
      </c>
    </row>
    <row r="4" spans="1:5" x14ac:dyDescent="0.35">
      <c r="A4" s="116" t="s">
        <v>429</v>
      </c>
      <c r="B4" s="116" t="s">
        <v>116</v>
      </c>
      <c r="C4" s="117">
        <v>8874.4</v>
      </c>
      <c r="D4" s="117">
        <v>2369</v>
      </c>
      <c r="E4" s="117">
        <v>5407.91</v>
      </c>
    </row>
    <row r="5" spans="1:5" x14ac:dyDescent="0.35">
      <c r="A5" s="116" t="s">
        <v>430</v>
      </c>
      <c r="B5" s="116" t="s">
        <v>431</v>
      </c>
      <c r="C5" s="117">
        <v>7114.36</v>
      </c>
      <c r="D5" s="117">
        <v>-7211.0829999999996</v>
      </c>
      <c r="E5" s="117">
        <v>-4287.18</v>
      </c>
    </row>
    <row r="6" spans="1:5" x14ac:dyDescent="0.35">
      <c r="A6" s="116" t="s">
        <v>432</v>
      </c>
      <c r="B6" s="116" t="s">
        <v>171</v>
      </c>
      <c r="C6" s="117">
        <v>6872</v>
      </c>
      <c r="D6" s="117">
        <v>6246</v>
      </c>
      <c r="E6" s="117">
        <v>6568</v>
      </c>
    </row>
    <row r="7" spans="1:5" x14ac:dyDescent="0.35">
      <c r="A7" s="116" t="s">
        <v>433</v>
      </c>
      <c r="B7" s="116" t="s">
        <v>434</v>
      </c>
      <c r="C7" s="117">
        <v>6478.2619999999997</v>
      </c>
      <c r="D7" s="117">
        <v>2731.922</v>
      </c>
      <c r="E7" s="117">
        <v>695.22900000000004</v>
      </c>
    </row>
    <row r="8" spans="1:5" x14ac:dyDescent="0.35">
      <c r="A8" s="116" t="s">
        <v>435</v>
      </c>
      <c r="B8" s="116" t="s">
        <v>322</v>
      </c>
      <c r="C8" s="117">
        <v>6233.4</v>
      </c>
      <c r="D8" s="117">
        <v>3750.12</v>
      </c>
      <c r="E8" s="117">
        <v>6095.73</v>
      </c>
    </row>
    <row r="9" spans="1:5" x14ac:dyDescent="0.35">
      <c r="A9" s="116" t="s">
        <v>436</v>
      </c>
      <c r="B9" s="116" t="s">
        <v>437</v>
      </c>
      <c r="C9" s="117">
        <v>6094.7820000000002</v>
      </c>
      <c r="D9" s="117">
        <v>2517.5250000000001</v>
      </c>
      <c r="E9" s="117">
        <v>653.62400000000002</v>
      </c>
    </row>
    <row r="10" spans="1:5" x14ac:dyDescent="0.35">
      <c r="A10" s="116" t="s">
        <v>438</v>
      </c>
      <c r="B10" s="116" t="s">
        <v>228</v>
      </c>
      <c r="C10" s="117">
        <v>5092</v>
      </c>
      <c r="D10" s="117">
        <v>4627.72</v>
      </c>
      <c r="E10" s="117">
        <v>316</v>
      </c>
    </row>
    <row r="11" spans="1:5" x14ac:dyDescent="0.35">
      <c r="A11" s="116" t="s">
        <v>439</v>
      </c>
      <c r="B11" s="116" t="s">
        <v>168</v>
      </c>
      <c r="C11" s="117">
        <v>5059.0969999999998</v>
      </c>
      <c r="D11" s="117">
        <v>2446.2339999999999</v>
      </c>
      <c r="E11" s="117">
        <v>12356.405000000001</v>
      </c>
    </row>
    <row r="12" spans="1:5" x14ac:dyDescent="0.35">
      <c r="A12" s="116" t="s">
        <v>440</v>
      </c>
      <c r="B12" s="116" t="s">
        <v>441</v>
      </c>
      <c r="C12" s="117">
        <v>4933.32</v>
      </c>
      <c r="D12" s="117">
        <v>360.25860699999998</v>
      </c>
      <c r="E12" s="117">
        <v>-43.794071000000002</v>
      </c>
    </row>
    <row r="13" spans="1:5" x14ac:dyDescent="0.35">
      <c r="A13" s="116" t="s">
        <v>442</v>
      </c>
      <c r="B13" s="116" t="s">
        <v>443</v>
      </c>
      <c r="C13" s="117">
        <v>4259.04</v>
      </c>
      <c r="D13" s="117">
        <v>2099.83</v>
      </c>
      <c r="E13" s="117">
        <v>5897.12</v>
      </c>
    </row>
    <row r="14" spans="1:5" x14ac:dyDescent="0.35">
      <c r="A14" s="116" t="s">
        <v>444</v>
      </c>
      <c r="B14" s="116" t="s">
        <v>339</v>
      </c>
      <c r="C14" s="117">
        <v>3319.3609999999999</v>
      </c>
      <c r="D14" s="117">
        <v>3325.85</v>
      </c>
      <c r="E14" s="117">
        <v>2591.29</v>
      </c>
    </row>
    <row r="15" spans="1:5" x14ac:dyDescent="0.35">
      <c r="A15" s="116" t="s">
        <v>445</v>
      </c>
      <c r="B15" s="116" t="s">
        <v>446</v>
      </c>
      <c r="C15" s="117">
        <v>3301.39</v>
      </c>
      <c r="D15" s="117">
        <v>2260.84</v>
      </c>
      <c r="E15" s="117">
        <v>1802.9</v>
      </c>
    </row>
    <row r="16" spans="1:5" x14ac:dyDescent="0.35">
      <c r="A16" s="116" t="s">
        <v>447</v>
      </c>
      <c r="B16" s="116" t="s">
        <v>448</v>
      </c>
      <c r="C16" s="117">
        <v>3136.77</v>
      </c>
      <c r="D16" s="117">
        <v>1787.33</v>
      </c>
      <c r="E16" s="117">
        <v>5292.44</v>
      </c>
    </row>
    <row r="17" spans="1:5" x14ac:dyDescent="0.35">
      <c r="A17" s="116" t="s">
        <v>449</v>
      </c>
      <c r="B17" s="116" t="s">
        <v>338</v>
      </c>
      <c r="C17" s="117">
        <v>3095.5920000000001</v>
      </c>
      <c r="D17" s="117">
        <v>1824</v>
      </c>
      <c r="E17" s="117">
        <v>451.9</v>
      </c>
    </row>
    <row r="18" spans="1:5" x14ac:dyDescent="0.35">
      <c r="A18" s="116" t="s">
        <v>450</v>
      </c>
      <c r="B18" s="116" t="s">
        <v>386</v>
      </c>
      <c r="C18" s="117">
        <v>3062.56</v>
      </c>
      <c r="D18" s="117">
        <v>3103.1669999999999</v>
      </c>
      <c r="E18" s="117">
        <v>3243.29</v>
      </c>
    </row>
    <row r="19" spans="1:5" x14ac:dyDescent="0.35">
      <c r="A19" s="116" t="s">
        <v>451</v>
      </c>
      <c r="B19" s="116" t="s">
        <v>119</v>
      </c>
      <c r="C19" s="117">
        <v>3029.94</v>
      </c>
      <c r="D19" s="117">
        <v>1536.88</v>
      </c>
      <c r="E19" s="117">
        <v>-1083.46</v>
      </c>
    </row>
    <row r="20" spans="1:5" x14ac:dyDescent="0.35">
      <c r="A20" s="116" t="s">
        <v>452</v>
      </c>
      <c r="B20" s="116" t="s">
        <v>375</v>
      </c>
      <c r="C20" s="117">
        <v>2865.2249999999999</v>
      </c>
      <c r="D20" s="117">
        <v>4242.6180000000004</v>
      </c>
      <c r="E20" s="117">
        <v>4730.4750000000004</v>
      </c>
    </row>
    <row r="21" spans="1:5" x14ac:dyDescent="0.35">
      <c r="A21" s="116" t="s">
        <v>453</v>
      </c>
      <c r="B21" s="116" t="s">
        <v>454</v>
      </c>
      <c r="C21" s="117">
        <v>2623.5030000000002</v>
      </c>
      <c r="D21" s="117">
        <v>-6131.5990000000002</v>
      </c>
      <c r="E21" s="117">
        <v>-2725.6019999999999</v>
      </c>
    </row>
    <row r="22" spans="1:5" x14ac:dyDescent="0.35">
      <c r="A22" s="116" t="s">
        <v>455</v>
      </c>
      <c r="B22" s="116" t="s">
        <v>456</v>
      </c>
      <c r="C22" s="117">
        <v>2497.7399999999998</v>
      </c>
      <c r="D22" s="117">
        <v>1809.42</v>
      </c>
      <c r="E22" s="117">
        <v>2175.9299999999998</v>
      </c>
    </row>
    <row r="23" spans="1:5" x14ac:dyDescent="0.35">
      <c r="A23" s="116" t="s">
        <v>457</v>
      </c>
      <c r="B23" s="116" t="s">
        <v>458</v>
      </c>
      <c r="C23" s="117">
        <v>2386.7800000000002</v>
      </c>
      <c r="D23" s="117">
        <v>1368.65</v>
      </c>
      <c r="E23" s="117">
        <v>2671.67</v>
      </c>
    </row>
    <row r="24" spans="1:5" x14ac:dyDescent="0.35">
      <c r="A24" s="116" t="s">
        <v>459</v>
      </c>
      <c r="B24" s="116" t="s">
        <v>460</v>
      </c>
      <c r="C24" s="117">
        <v>2308.92</v>
      </c>
      <c r="D24" s="117">
        <v>2105.1170000000002</v>
      </c>
      <c r="E24" s="117">
        <v>1992.58</v>
      </c>
    </row>
    <row r="25" spans="1:5" x14ac:dyDescent="0.35">
      <c r="A25" s="116" t="s">
        <v>461</v>
      </c>
      <c r="B25" s="116" t="s">
        <v>462</v>
      </c>
      <c r="C25" s="117">
        <v>2092.66</v>
      </c>
      <c r="D25" s="117">
        <v>428.85599999999999</v>
      </c>
      <c r="E25" s="117">
        <v>1539.68</v>
      </c>
    </row>
    <row r="26" spans="1:5" x14ac:dyDescent="0.35">
      <c r="A26" s="116" t="s">
        <v>463</v>
      </c>
      <c r="B26" s="116" t="s">
        <v>464</v>
      </c>
      <c r="C26" s="117">
        <v>2047.02</v>
      </c>
      <c r="D26" s="117">
        <v>1940.7</v>
      </c>
      <c r="E26" s="117">
        <v>2361.8200000000002</v>
      </c>
    </row>
    <row r="27" spans="1:5" x14ac:dyDescent="0.35">
      <c r="A27" s="116" t="s">
        <v>465</v>
      </c>
      <c r="B27" s="116" t="s">
        <v>341</v>
      </c>
      <c r="C27" s="117">
        <v>1974.9349999999999</v>
      </c>
      <c r="D27" s="117">
        <v>1477.097</v>
      </c>
      <c r="E27" s="117">
        <v>1040.306</v>
      </c>
    </row>
    <row r="28" spans="1:5" x14ac:dyDescent="0.35">
      <c r="A28" s="116" t="s">
        <v>466</v>
      </c>
      <c r="B28" s="116" t="s">
        <v>467</v>
      </c>
      <c r="C28" s="117">
        <v>1871.91</v>
      </c>
      <c r="D28" s="117">
        <v>3712.6979999999999</v>
      </c>
      <c r="E28" s="117">
        <v>5380.78</v>
      </c>
    </row>
    <row r="29" spans="1:5" x14ac:dyDescent="0.35">
      <c r="A29" s="116" t="s">
        <v>468</v>
      </c>
      <c r="B29" s="116" t="s">
        <v>469</v>
      </c>
      <c r="C29" s="117">
        <v>1857.88</v>
      </c>
      <c r="D29" s="117">
        <v>892.11500000000001</v>
      </c>
      <c r="E29" s="117">
        <v>2732.17</v>
      </c>
    </row>
    <row r="30" spans="1:5" x14ac:dyDescent="0.35">
      <c r="A30" s="116" t="s">
        <v>470</v>
      </c>
      <c r="B30" s="116" t="s">
        <v>381</v>
      </c>
      <c r="C30" s="117">
        <v>1648.73</v>
      </c>
      <c r="D30" s="117">
        <v>914.48199999999997</v>
      </c>
      <c r="E30" s="117">
        <v>893.36199999999997</v>
      </c>
    </row>
    <row r="31" spans="1:5" x14ac:dyDescent="0.35">
      <c r="A31" s="116" t="s">
        <v>471</v>
      </c>
      <c r="B31" s="116" t="s">
        <v>73</v>
      </c>
      <c r="C31" s="117">
        <v>1607.52</v>
      </c>
      <c r="D31" s="117">
        <v>1323</v>
      </c>
      <c r="E31" s="117">
        <v>1192.5899999999999</v>
      </c>
    </row>
    <row r="32" spans="1:5" x14ac:dyDescent="0.35">
      <c r="A32" s="116" t="s">
        <v>472</v>
      </c>
      <c r="B32" s="116" t="s">
        <v>473</v>
      </c>
      <c r="C32" s="117">
        <v>1541.74</v>
      </c>
      <c r="D32" s="117">
        <v>94.266999999999996</v>
      </c>
      <c r="E32" s="117">
        <v>724.07399999999996</v>
      </c>
    </row>
    <row r="33" spans="1:5" x14ac:dyDescent="0.35">
      <c r="A33" s="116" t="s">
        <v>474</v>
      </c>
      <c r="B33" s="116" t="s">
        <v>475</v>
      </c>
      <c r="C33" s="117">
        <v>1533.69</v>
      </c>
      <c r="D33" s="117">
        <v>2233.2199999999998</v>
      </c>
      <c r="E33" s="117">
        <v>5466.79</v>
      </c>
    </row>
    <row r="34" spans="1:5" x14ac:dyDescent="0.35">
      <c r="A34" s="116" t="s">
        <v>476</v>
      </c>
      <c r="B34" s="116" t="s">
        <v>477</v>
      </c>
      <c r="C34" s="117">
        <v>1403.16</v>
      </c>
      <c r="D34" s="117">
        <v>-44.896999999999998</v>
      </c>
      <c r="E34" s="117">
        <v>26.186</v>
      </c>
    </row>
    <row r="35" spans="1:5" x14ac:dyDescent="0.35">
      <c r="A35" s="116" t="s">
        <v>478</v>
      </c>
      <c r="B35" s="116" t="s">
        <v>479</v>
      </c>
      <c r="C35" s="117">
        <v>1233.72</v>
      </c>
      <c r="D35" s="117">
        <v>759.46</v>
      </c>
      <c r="E35" s="117">
        <v>755.00599999999997</v>
      </c>
    </row>
    <row r="36" spans="1:5" x14ac:dyDescent="0.35">
      <c r="A36" s="116" t="s">
        <v>480</v>
      </c>
      <c r="B36" s="116" t="s">
        <v>481</v>
      </c>
      <c r="C36" s="117">
        <v>1229.68</v>
      </c>
      <c r="D36" s="117">
        <v>217.423</v>
      </c>
      <c r="E36" s="117">
        <v>833.58299999999997</v>
      </c>
    </row>
    <row r="37" spans="1:5" x14ac:dyDescent="0.35">
      <c r="A37" s="116" t="s">
        <v>482</v>
      </c>
      <c r="B37" s="116" t="s">
        <v>483</v>
      </c>
      <c r="C37" s="117">
        <v>1229.6600000000001</v>
      </c>
      <c r="D37" s="117">
        <v>736.47</v>
      </c>
      <c r="E37" s="117">
        <v>1147.52</v>
      </c>
    </row>
    <row r="38" spans="1:5" x14ac:dyDescent="0.35">
      <c r="A38" s="116" t="s">
        <v>484</v>
      </c>
      <c r="B38" s="116" t="s">
        <v>367</v>
      </c>
      <c r="C38" s="117">
        <v>1219.72</v>
      </c>
      <c r="D38" s="117">
        <v>1093.645</v>
      </c>
      <c r="E38" s="117">
        <v>1150.6099999999999</v>
      </c>
    </row>
    <row r="39" spans="1:5" x14ac:dyDescent="0.35">
      <c r="A39" s="116" t="s">
        <v>485</v>
      </c>
      <c r="B39" s="116" t="s">
        <v>486</v>
      </c>
      <c r="C39" s="117">
        <v>1200.0899999999999</v>
      </c>
      <c r="D39" s="117">
        <v>-97.533000000000001</v>
      </c>
      <c r="E39" s="117">
        <v>417.32799999999997</v>
      </c>
    </row>
    <row r="40" spans="1:5" x14ac:dyDescent="0.35">
      <c r="A40" s="116" t="s">
        <v>487</v>
      </c>
      <c r="B40" s="116" t="s">
        <v>488</v>
      </c>
      <c r="C40" s="117">
        <v>1166</v>
      </c>
      <c r="D40" s="117">
        <v>452.839899</v>
      </c>
      <c r="E40" s="117">
        <v>935.42704900000001</v>
      </c>
    </row>
    <row r="41" spans="1:5" x14ac:dyDescent="0.35">
      <c r="A41" s="116" t="s">
        <v>489</v>
      </c>
      <c r="B41" s="116" t="s">
        <v>490</v>
      </c>
      <c r="C41" s="117">
        <v>1045.0999999999999</v>
      </c>
      <c r="D41" s="117">
        <v>540.22799999999995</v>
      </c>
      <c r="E41" s="117">
        <v>219.96199999999999</v>
      </c>
    </row>
    <row r="42" spans="1:5" x14ac:dyDescent="0.35">
      <c r="A42" s="116" t="s">
        <v>491</v>
      </c>
      <c r="B42" s="116" t="s">
        <v>492</v>
      </c>
      <c r="C42" s="117">
        <v>1023.57</v>
      </c>
      <c r="D42" s="117">
        <v>303.74099999999999</v>
      </c>
      <c r="E42" s="117">
        <v>1667.44</v>
      </c>
    </row>
    <row r="43" spans="1:5" x14ac:dyDescent="0.35">
      <c r="A43" s="116" t="s">
        <v>493</v>
      </c>
      <c r="B43" s="116" t="s">
        <v>494</v>
      </c>
      <c r="C43" s="117">
        <v>1018</v>
      </c>
      <c r="D43" s="117">
        <v>498</v>
      </c>
      <c r="E43" s="117">
        <v>721</v>
      </c>
    </row>
    <row r="44" spans="1:5" x14ac:dyDescent="0.35">
      <c r="A44" s="116" t="s">
        <v>495</v>
      </c>
      <c r="B44" s="116" t="s">
        <v>496</v>
      </c>
      <c r="C44" s="117">
        <v>984.24199999999996</v>
      </c>
      <c r="D44" s="117">
        <v>-718.25099999999998</v>
      </c>
      <c r="E44" s="117">
        <v>-757.53399999999999</v>
      </c>
    </row>
    <row r="45" spans="1:5" x14ac:dyDescent="0.35">
      <c r="A45" s="116" t="s">
        <v>497</v>
      </c>
      <c r="B45" s="116" t="s">
        <v>498</v>
      </c>
      <c r="C45" s="117">
        <v>983.75900000000001</v>
      </c>
      <c r="D45" s="117">
        <v>258.50299999999999</v>
      </c>
      <c r="E45" s="117">
        <v>1628.39</v>
      </c>
    </row>
    <row r="46" spans="1:5" x14ac:dyDescent="0.35">
      <c r="A46" s="116" t="s">
        <v>499</v>
      </c>
      <c r="B46" s="116" t="s">
        <v>85</v>
      </c>
      <c r="C46" s="117">
        <v>959.10599999999999</v>
      </c>
      <c r="D46" s="117">
        <v>631.17999999999995</v>
      </c>
      <c r="E46" s="117">
        <v>1201.0999999999999</v>
      </c>
    </row>
    <row r="47" spans="1:5" x14ac:dyDescent="0.35">
      <c r="A47" s="116" t="s">
        <v>500</v>
      </c>
      <c r="B47" s="116" t="s">
        <v>69</v>
      </c>
      <c r="C47" s="117">
        <v>943.00199999999995</v>
      </c>
      <c r="D47" s="117">
        <v>-853.01599999999996</v>
      </c>
      <c r="E47" s="117">
        <v>1093.6289999999999</v>
      </c>
    </row>
    <row r="48" spans="1:5" x14ac:dyDescent="0.35">
      <c r="A48" s="116" t="s">
        <v>501</v>
      </c>
      <c r="B48" s="116" t="s">
        <v>502</v>
      </c>
      <c r="C48" s="117">
        <v>937.91200000000003</v>
      </c>
      <c r="D48" s="117">
        <v>855.52200000000005</v>
      </c>
      <c r="E48" s="117">
        <v>1427.876</v>
      </c>
    </row>
    <row r="49" spans="1:5" x14ac:dyDescent="0.35">
      <c r="A49" s="116" t="s">
        <v>503</v>
      </c>
      <c r="B49" s="116" t="s">
        <v>33</v>
      </c>
      <c r="C49" s="117">
        <v>930.28</v>
      </c>
      <c r="D49" s="117">
        <v>901.60199999999998</v>
      </c>
      <c r="E49" s="117">
        <v>501.387</v>
      </c>
    </row>
    <row r="50" spans="1:5" x14ac:dyDescent="0.35">
      <c r="A50" s="116" t="s">
        <v>504</v>
      </c>
      <c r="B50" s="116" t="s">
        <v>505</v>
      </c>
      <c r="C50" s="117">
        <v>908.60199999999998</v>
      </c>
      <c r="D50" s="117">
        <v>46.381</v>
      </c>
      <c r="E50" s="117">
        <v>762.99099999999999</v>
      </c>
    </row>
    <row r="51" spans="1:5" x14ac:dyDescent="0.35">
      <c r="A51" s="116" t="s">
        <v>506</v>
      </c>
      <c r="B51" s="116" t="s">
        <v>92</v>
      </c>
      <c r="C51" s="117">
        <v>903</v>
      </c>
      <c r="D51" s="117">
        <v>794.40899999999999</v>
      </c>
      <c r="E51" s="117">
        <v>1456.873</v>
      </c>
    </row>
    <row r="52" spans="1:5" x14ac:dyDescent="0.35">
      <c r="A52" s="116" t="s">
        <v>507</v>
      </c>
      <c r="B52" s="116" t="s">
        <v>508</v>
      </c>
      <c r="C52" s="117">
        <v>891.37</v>
      </c>
      <c r="D52" s="117">
        <v>518.73</v>
      </c>
      <c r="E52" s="117">
        <v>2343.31</v>
      </c>
    </row>
    <row r="53" spans="1:5" x14ac:dyDescent="0.35">
      <c r="A53" s="116" t="s">
        <v>509</v>
      </c>
      <c r="B53" s="116" t="s">
        <v>510</v>
      </c>
      <c r="C53" s="117">
        <v>880</v>
      </c>
      <c r="D53" s="117">
        <v>755.26900000000001</v>
      </c>
      <c r="E53" s="117">
        <v>1200</v>
      </c>
    </row>
    <row r="54" spans="1:5" x14ac:dyDescent="0.35">
      <c r="A54" s="116" t="s">
        <v>511</v>
      </c>
      <c r="B54" s="116" t="s">
        <v>512</v>
      </c>
      <c r="C54" s="117">
        <v>873.01499999999999</v>
      </c>
      <c r="D54" s="117">
        <v>573.91099999999994</v>
      </c>
      <c r="E54" s="117">
        <v>1173.5899999999999</v>
      </c>
    </row>
    <row r="55" spans="1:5" x14ac:dyDescent="0.35">
      <c r="A55" s="116" t="s">
        <v>513</v>
      </c>
      <c r="B55" s="116" t="s">
        <v>419</v>
      </c>
      <c r="C55" s="117">
        <v>869.92499999999995</v>
      </c>
      <c r="D55" s="117">
        <v>245.23</v>
      </c>
      <c r="E55" s="117">
        <v>36.697000000000003</v>
      </c>
    </row>
    <row r="56" spans="1:5" x14ac:dyDescent="0.35">
      <c r="A56" s="116" t="s">
        <v>514</v>
      </c>
      <c r="B56" s="116" t="s">
        <v>370</v>
      </c>
      <c r="C56" s="117">
        <v>810.23199999999997</v>
      </c>
      <c r="D56" s="117">
        <v>387.00200000000001</v>
      </c>
      <c r="E56" s="117">
        <v>1235.79</v>
      </c>
    </row>
    <row r="57" spans="1:5" x14ac:dyDescent="0.35">
      <c r="A57" s="116" t="s">
        <v>515</v>
      </c>
      <c r="B57" s="116" t="s">
        <v>516</v>
      </c>
      <c r="C57" s="117">
        <v>791.16200000000003</v>
      </c>
      <c r="D57" s="117">
        <v>700.03800000000001</v>
      </c>
      <c r="E57" s="117">
        <v>196.63200000000001</v>
      </c>
    </row>
    <row r="58" spans="1:5" x14ac:dyDescent="0.35">
      <c r="A58" s="116" t="s">
        <v>517</v>
      </c>
      <c r="B58" s="116" t="s">
        <v>353</v>
      </c>
      <c r="C58" s="117">
        <v>786.67899999999997</v>
      </c>
      <c r="D58" s="117">
        <v>322.17399999999998</v>
      </c>
      <c r="E58" s="117">
        <v>436.56099999999998</v>
      </c>
    </row>
    <row r="59" spans="1:5" x14ac:dyDescent="0.35">
      <c r="A59" s="116" t="s">
        <v>518</v>
      </c>
      <c r="B59" s="116" t="s">
        <v>170</v>
      </c>
      <c r="C59" s="117">
        <v>759</v>
      </c>
      <c r="D59" s="117">
        <v>421.03100000000001</v>
      </c>
      <c r="E59" s="117">
        <v>728.52200000000005</v>
      </c>
    </row>
    <row r="60" spans="1:5" x14ac:dyDescent="0.35">
      <c r="A60" s="116" t="s">
        <v>519</v>
      </c>
      <c r="B60" s="116" t="s">
        <v>520</v>
      </c>
      <c r="C60" s="117">
        <v>741.77599999999995</v>
      </c>
      <c r="D60" s="117">
        <v>-2401.9659999999999</v>
      </c>
      <c r="E60" s="117">
        <v>913.24400000000003</v>
      </c>
    </row>
    <row r="61" spans="1:5" x14ac:dyDescent="0.35">
      <c r="A61" s="116" t="s">
        <v>521</v>
      </c>
      <c r="B61" s="116" t="s">
        <v>522</v>
      </c>
      <c r="C61" s="117">
        <v>732.48087299999997</v>
      </c>
      <c r="D61" s="117">
        <v>408.810766</v>
      </c>
      <c r="E61" s="117">
        <v>575.69477300000005</v>
      </c>
    </row>
    <row r="62" spans="1:5" x14ac:dyDescent="0.35">
      <c r="A62" s="116" t="s">
        <v>523</v>
      </c>
      <c r="B62" s="116" t="s">
        <v>524</v>
      </c>
      <c r="C62" s="117">
        <v>700.47500000000002</v>
      </c>
      <c r="D62" s="117">
        <v>505.41300000000001</v>
      </c>
      <c r="E62" s="117">
        <v>763</v>
      </c>
    </row>
    <row r="63" spans="1:5" x14ac:dyDescent="0.35">
      <c r="A63" s="116" t="s">
        <v>525</v>
      </c>
      <c r="B63" s="116" t="s">
        <v>526</v>
      </c>
      <c r="C63" s="117">
        <v>679.63400000000001</v>
      </c>
      <c r="D63" s="117">
        <v>-212.267</v>
      </c>
      <c r="E63" s="117">
        <v>222.25</v>
      </c>
    </row>
    <row r="64" spans="1:5" x14ac:dyDescent="0.35">
      <c r="A64" s="116" t="s">
        <v>527</v>
      </c>
      <c r="B64" s="116" t="s">
        <v>163</v>
      </c>
      <c r="C64" s="117">
        <v>639.80499999999995</v>
      </c>
      <c r="D64" s="117">
        <v>863.55399999999997</v>
      </c>
      <c r="E64" s="117">
        <v>3174.0520000000001</v>
      </c>
    </row>
    <row r="65" spans="1:5" x14ac:dyDescent="0.35">
      <c r="A65" s="116" t="s">
        <v>528</v>
      </c>
      <c r="B65" s="116" t="s">
        <v>529</v>
      </c>
      <c r="C65" s="117">
        <v>638.92899999999997</v>
      </c>
      <c r="D65" s="117">
        <v>486.10300000000001</v>
      </c>
      <c r="E65" s="117">
        <v>1058.6400000000001</v>
      </c>
    </row>
    <row r="66" spans="1:5" x14ac:dyDescent="0.35">
      <c r="A66" s="116" t="s">
        <v>530</v>
      </c>
      <c r="B66" s="116" t="s">
        <v>531</v>
      </c>
      <c r="C66" s="117">
        <v>616.18844000000001</v>
      </c>
      <c r="D66" s="117">
        <v>172.313852</v>
      </c>
      <c r="E66" s="117">
        <v>450.61364500000002</v>
      </c>
    </row>
    <row r="67" spans="1:5" x14ac:dyDescent="0.35">
      <c r="A67" s="116" t="s">
        <v>532</v>
      </c>
      <c r="B67" s="116" t="s">
        <v>533</v>
      </c>
      <c r="C67" s="117">
        <v>614.79399999999998</v>
      </c>
      <c r="D67" s="117">
        <v>293.07900000000001</v>
      </c>
      <c r="E67" s="117">
        <v>635.76900000000001</v>
      </c>
    </row>
    <row r="68" spans="1:5" x14ac:dyDescent="0.35">
      <c r="A68" s="116" t="s">
        <v>534</v>
      </c>
      <c r="B68" s="116" t="s">
        <v>535</v>
      </c>
      <c r="C68" s="117">
        <v>548.93342900000005</v>
      </c>
      <c r="D68" s="117">
        <v>544.51297999999997</v>
      </c>
      <c r="E68" s="117">
        <v>276.531814</v>
      </c>
    </row>
    <row r="69" spans="1:5" x14ac:dyDescent="0.35">
      <c r="A69" s="116" t="s">
        <v>536</v>
      </c>
      <c r="B69" s="116" t="s">
        <v>537</v>
      </c>
      <c r="C69" s="117">
        <v>547.44899999999996</v>
      </c>
      <c r="D69" s="117">
        <v>-35.682000000000002</v>
      </c>
      <c r="E69" s="117">
        <v>595.62699999999995</v>
      </c>
    </row>
    <row r="70" spans="1:5" x14ac:dyDescent="0.35">
      <c r="A70" s="116" t="s">
        <v>538</v>
      </c>
      <c r="B70" s="116" t="s">
        <v>539</v>
      </c>
      <c r="C70" s="117">
        <v>492.327</v>
      </c>
      <c r="D70" s="117">
        <v>391.60599999999999</v>
      </c>
      <c r="E70" s="117">
        <v>155.22999999999999</v>
      </c>
    </row>
    <row r="71" spans="1:5" x14ac:dyDescent="0.35">
      <c r="A71" s="116" t="s">
        <v>540</v>
      </c>
      <c r="B71" s="116" t="s">
        <v>541</v>
      </c>
      <c r="C71" s="117">
        <v>474.07900000000001</v>
      </c>
      <c r="D71" s="117">
        <v>321.97300000000001</v>
      </c>
      <c r="E71" s="117">
        <v>1145.5999999999999</v>
      </c>
    </row>
    <row r="72" spans="1:5" x14ac:dyDescent="0.35">
      <c r="A72" s="116" t="s">
        <v>542</v>
      </c>
      <c r="B72" s="116" t="s">
        <v>543</v>
      </c>
      <c r="C72" s="117">
        <v>471.86</v>
      </c>
      <c r="D72" s="117">
        <v>198.92</v>
      </c>
      <c r="E72" s="117">
        <v>238.47800000000001</v>
      </c>
    </row>
    <row r="73" spans="1:5" x14ac:dyDescent="0.35">
      <c r="A73" s="116" t="s">
        <v>544</v>
      </c>
      <c r="B73" s="116" t="s">
        <v>545</v>
      </c>
      <c r="C73" s="117">
        <v>434.88299999999998</v>
      </c>
      <c r="D73" s="117">
        <v>468.69</v>
      </c>
      <c r="E73" s="117">
        <v>297.13</v>
      </c>
    </row>
    <row r="74" spans="1:5" x14ac:dyDescent="0.35">
      <c r="A74" s="116" t="s">
        <v>546</v>
      </c>
      <c r="B74" s="116" t="s">
        <v>547</v>
      </c>
      <c r="C74" s="117">
        <v>420.21699999999998</v>
      </c>
      <c r="D74" s="117">
        <v>230.06399999999999</v>
      </c>
      <c r="E74" s="117">
        <v>360.94</v>
      </c>
    </row>
    <row r="75" spans="1:5" x14ac:dyDescent="0.35">
      <c r="A75" s="116" t="s">
        <v>548</v>
      </c>
      <c r="B75" s="116" t="s">
        <v>549</v>
      </c>
      <c r="C75" s="117">
        <v>416.858</v>
      </c>
      <c r="D75" s="117">
        <v>97.393000000000001</v>
      </c>
      <c r="E75" s="117">
        <v>730.98599999999999</v>
      </c>
    </row>
    <row r="76" spans="1:5" x14ac:dyDescent="0.35">
      <c r="A76" s="116" t="s">
        <v>550</v>
      </c>
      <c r="B76" s="116" t="s">
        <v>551</v>
      </c>
      <c r="C76" s="117">
        <v>393.44</v>
      </c>
      <c r="D76" s="117">
        <v>16.585999999999999</v>
      </c>
      <c r="E76" s="117">
        <v>1480.34</v>
      </c>
    </row>
    <row r="77" spans="1:5" x14ac:dyDescent="0.35">
      <c r="A77" s="116" t="s">
        <v>552</v>
      </c>
      <c r="B77" s="116" t="s">
        <v>553</v>
      </c>
      <c r="C77" s="117">
        <v>367.97381300000001</v>
      </c>
      <c r="D77" s="117">
        <v>211.84211999999999</v>
      </c>
      <c r="E77" s="117">
        <v>231.150139</v>
      </c>
    </row>
    <row r="78" spans="1:5" x14ac:dyDescent="0.35">
      <c r="A78" s="116" t="s">
        <v>554</v>
      </c>
      <c r="B78" s="116" t="s">
        <v>555</v>
      </c>
      <c r="C78" s="117">
        <v>321.31562400000001</v>
      </c>
      <c r="D78" s="117">
        <v>89.57</v>
      </c>
      <c r="E78" s="117">
        <v>708.87423799999999</v>
      </c>
    </row>
    <row r="79" spans="1:5" x14ac:dyDescent="0.35">
      <c r="A79" s="116" t="s">
        <v>556</v>
      </c>
      <c r="B79" s="116" t="s">
        <v>340</v>
      </c>
      <c r="C79" s="117">
        <v>316.68700000000001</v>
      </c>
      <c r="D79" s="117">
        <v>602.23099999999999</v>
      </c>
      <c r="E79" s="117">
        <v>100.762</v>
      </c>
    </row>
    <row r="80" spans="1:5" x14ac:dyDescent="0.35">
      <c r="A80" s="116" t="s">
        <v>557</v>
      </c>
      <c r="B80" s="116" t="s">
        <v>558</v>
      </c>
      <c r="C80" s="117">
        <v>312.01756999999998</v>
      </c>
      <c r="D80" s="117">
        <v>225.46</v>
      </c>
      <c r="E80" s="117">
        <v>445.018348</v>
      </c>
    </row>
    <row r="81" spans="1:5" x14ac:dyDescent="0.35">
      <c r="A81" s="116" t="s">
        <v>559</v>
      </c>
      <c r="B81" s="116" t="s">
        <v>560</v>
      </c>
      <c r="C81" s="117">
        <v>305.77699999999999</v>
      </c>
      <c r="D81" s="117">
        <v>175.82</v>
      </c>
      <c r="E81" s="117">
        <v>697.11699999999996</v>
      </c>
    </row>
    <row r="82" spans="1:5" x14ac:dyDescent="0.35">
      <c r="A82" s="116" t="s">
        <v>561</v>
      </c>
      <c r="B82" s="116" t="s">
        <v>109</v>
      </c>
      <c r="C82" s="117">
        <v>284.44253200000003</v>
      </c>
      <c r="D82" s="117">
        <v>206.12</v>
      </c>
      <c r="E82" s="117">
        <v>2444.7800000000002</v>
      </c>
    </row>
    <row r="83" spans="1:5" x14ac:dyDescent="0.35">
      <c r="A83" s="116" t="s">
        <v>562</v>
      </c>
      <c r="B83" s="116" t="s">
        <v>563</v>
      </c>
      <c r="C83" s="117">
        <v>282.459182</v>
      </c>
      <c r="D83" s="117">
        <v>59.76</v>
      </c>
      <c r="E83" s="117">
        <v>115.99223600000001</v>
      </c>
    </row>
    <row r="84" spans="1:5" x14ac:dyDescent="0.35">
      <c r="A84" s="116" t="s">
        <v>564</v>
      </c>
      <c r="B84" s="116" t="s">
        <v>565</v>
      </c>
      <c r="C84" s="117">
        <v>266.97000000000003</v>
      </c>
      <c r="D84" s="117">
        <v>3.8639999999999999</v>
      </c>
      <c r="E84" s="117">
        <v>276.60199999999998</v>
      </c>
    </row>
    <row r="85" spans="1:5" x14ac:dyDescent="0.35">
      <c r="A85" s="116" t="s">
        <v>566</v>
      </c>
      <c r="B85" s="116" t="s">
        <v>567</v>
      </c>
      <c r="C85" s="117">
        <v>264.390129</v>
      </c>
      <c r="D85" s="117">
        <v>231.74981500000001</v>
      </c>
      <c r="E85" s="117">
        <v>265.164421</v>
      </c>
    </row>
    <row r="86" spans="1:5" x14ac:dyDescent="0.35">
      <c r="A86" s="116" t="s">
        <v>568</v>
      </c>
      <c r="B86" s="116" t="s">
        <v>569</v>
      </c>
      <c r="C86" s="117">
        <v>261.36399999999998</v>
      </c>
      <c r="D86" s="117">
        <v>101.736</v>
      </c>
      <c r="E86" s="117">
        <v>157.72300000000001</v>
      </c>
    </row>
    <row r="87" spans="1:5" x14ac:dyDescent="0.35">
      <c r="A87" s="116" t="s">
        <v>570</v>
      </c>
      <c r="B87" s="116" t="s">
        <v>571</v>
      </c>
      <c r="C87" s="117">
        <v>259.00700000000001</v>
      </c>
      <c r="D87" s="117">
        <v>213.53100000000001</v>
      </c>
      <c r="E87" s="117">
        <v>792.85500000000002</v>
      </c>
    </row>
    <row r="88" spans="1:5" x14ac:dyDescent="0.35">
      <c r="A88" s="116" t="s">
        <v>572</v>
      </c>
      <c r="B88" s="116" t="s">
        <v>573</v>
      </c>
      <c r="C88" s="117">
        <v>240.20099999999999</v>
      </c>
      <c r="D88" s="117">
        <v>-93.79</v>
      </c>
      <c r="E88" s="117">
        <v>-3.5419999999999998</v>
      </c>
    </row>
    <row r="89" spans="1:5" x14ac:dyDescent="0.35">
      <c r="A89" s="116" t="s">
        <v>574</v>
      </c>
      <c r="B89" s="116" t="s">
        <v>575</v>
      </c>
      <c r="C89" s="117">
        <v>236.75</v>
      </c>
      <c r="D89" s="117">
        <v>145.97073800000001</v>
      </c>
      <c r="E89" s="117">
        <v>208.83195900000001</v>
      </c>
    </row>
    <row r="90" spans="1:5" x14ac:dyDescent="0.35">
      <c r="A90" s="116" t="s">
        <v>576</v>
      </c>
      <c r="B90" s="116" t="s">
        <v>577</v>
      </c>
      <c r="C90" s="117">
        <v>236.26300000000001</v>
      </c>
      <c r="D90" s="117">
        <v>175.1</v>
      </c>
      <c r="E90" s="117">
        <v>709.31500000000005</v>
      </c>
    </row>
    <row r="91" spans="1:5" x14ac:dyDescent="0.35">
      <c r="A91" s="116" t="s">
        <v>578</v>
      </c>
      <c r="B91" s="116" t="s">
        <v>383</v>
      </c>
      <c r="C91" s="117">
        <v>236</v>
      </c>
      <c r="D91" s="117">
        <v>70.170047999999994</v>
      </c>
      <c r="E91" s="117">
        <v>434.93138099999999</v>
      </c>
    </row>
    <row r="92" spans="1:5" x14ac:dyDescent="0.35">
      <c r="A92" s="116" t="s">
        <v>579</v>
      </c>
      <c r="B92" s="116" t="s">
        <v>580</v>
      </c>
      <c r="C92" s="117">
        <v>206.434</v>
      </c>
      <c r="D92" s="117">
        <v>53.369</v>
      </c>
      <c r="E92" s="117">
        <v>61.317</v>
      </c>
    </row>
    <row r="93" spans="1:5" x14ac:dyDescent="0.35">
      <c r="A93" s="116" t="s">
        <v>581</v>
      </c>
      <c r="B93" s="116" t="s">
        <v>582</v>
      </c>
      <c r="C93" s="117">
        <v>199.90941900000001</v>
      </c>
      <c r="D93" s="117">
        <v>15.750257</v>
      </c>
      <c r="E93" s="117">
        <v>259.471453</v>
      </c>
    </row>
    <row r="94" spans="1:5" x14ac:dyDescent="0.35">
      <c r="A94" s="116" t="s">
        <v>583</v>
      </c>
      <c r="B94" s="116" t="s">
        <v>584</v>
      </c>
      <c r="C94" s="117">
        <v>196.19900000000001</v>
      </c>
      <c r="D94" s="117">
        <v>19.629000000000001</v>
      </c>
      <c r="E94" s="117">
        <v>444.19799999999998</v>
      </c>
    </row>
    <row r="95" spans="1:5" x14ac:dyDescent="0.35">
      <c r="A95" s="116" t="s">
        <v>585</v>
      </c>
      <c r="B95" s="116" t="s">
        <v>586</v>
      </c>
      <c r="C95" s="117">
        <v>185.19499999999999</v>
      </c>
      <c r="D95" s="117">
        <v>96.77</v>
      </c>
      <c r="E95" s="117">
        <v>436.67899999999997</v>
      </c>
    </row>
    <row r="96" spans="1:5" x14ac:dyDescent="0.35">
      <c r="A96" s="116" t="s">
        <v>587</v>
      </c>
      <c r="B96" s="116" t="s">
        <v>588</v>
      </c>
      <c r="C96" s="117">
        <v>174.99299999999999</v>
      </c>
      <c r="D96" s="117">
        <v>184.49</v>
      </c>
      <c r="E96" s="117">
        <v>160.249</v>
      </c>
    </row>
    <row r="97" spans="1:5" x14ac:dyDescent="0.35">
      <c r="A97" s="116" t="s">
        <v>589</v>
      </c>
      <c r="B97" s="116" t="s">
        <v>590</v>
      </c>
      <c r="C97" s="117">
        <v>169.179</v>
      </c>
      <c r="D97" s="117">
        <v>212.46700000000001</v>
      </c>
      <c r="E97" s="117">
        <v>1036.98</v>
      </c>
    </row>
    <row r="98" spans="1:5" x14ac:dyDescent="0.35">
      <c r="A98" s="116" t="s">
        <v>591</v>
      </c>
      <c r="B98" s="116" t="s">
        <v>592</v>
      </c>
      <c r="C98" s="117">
        <v>168.73</v>
      </c>
      <c r="D98" s="117">
        <v>68.561999999999998</v>
      </c>
      <c r="E98" s="117">
        <v>97.27</v>
      </c>
    </row>
    <row r="99" spans="1:5" x14ac:dyDescent="0.35">
      <c r="A99" s="116" t="s">
        <v>593</v>
      </c>
      <c r="B99" s="116" t="s">
        <v>594</v>
      </c>
      <c r="C99" s="117">
        <v>164.63300000000001</v>
      </c>
      <c r="D99" s="117">
        <v>7.3890000000000002</v>
      </c>
      <c r="E99" s="117">
        <v>348.30700000000002</v>
      </c>
    </row>
    <row r="100" spans="1:5" x14ac:dyDescent="0.35">
      <c r="A100" s="116" t="s">
        <v>595</v>
      </c>
      <c r="B100" s="116" t="s">
        <v>596</v>
      </c>
      <c r="C100" s="117">
        <v>160.696</v>
      </c>
      <c r="D100" s="117">
        <v>56.241999999999997</v>
      </c>
      <c r="E100" s="117">
        <v>8.3170000000000002</v>
      </c>
    </row>
    <row r="101" spans="1:5" x14ac:dyDescent="0.35">
      <c r="A101" s="116" t="s">
        <v>597</v>
      </c>
      <c r="B101" s="116" t="s">
        <v>598</v>
      </c>
      <c r="C101" s="117">
        <v>155.56933100000001</v>
      </c>
      <c r="D101" s="117">
        <v>76.682580999999999</v>
      </c>
      <c r="E101" s="117">
        <v>160.897772</v>
      </c>
    </row>
    <row r="102" spans="1:5" x14ac:dyDescent="0.35">
      <c r="A102" s="116" t="s">
        <v>599</v>
      </c>
      <c r="B102" s="116" t="s">
        <v>600</v>
      </c>
      <c r="C102" s="117">
        <v>154.01</v>
      </c>
      <c r="D102" s="117">
        <v>125.636</v>
      </c>
      <c r="E102" s="117">
        <v>273.81599999999997</v>
      </c>
    </row>
    <row r="103" spans="1:5" x14ac:dyDescent="0.35">
      <c r="A103" s="116" t="s">
        <v>601</v>
      </c>
      <c r="B103" s="116" t="s">
        <v>602</v>
      </c>
      <c r="C103" s="117">
        <v>151.99</v>
      </c>
      <c r="D103" s="117">
        <v>62.655999999999999</v>
      </c>
      <c r="E103" s="117">
        <v>162.96799999999999</v>
      </c>
    </row>
    <row r="104" spans="1:5" x14ac:dyDescent="0.35">
      <c r="A104" s="116" t="s">
        <v>603</v>
      </c>
      <c r="B104" s="116" t="s">
        <v>604</v>
      </c>
      <c r="C104" s="117">
        <v>149.40680499999999</v>
      </c>
      <c r="D104" s="117">
        <v>189.09490600000001</v>
      </c>
      <c r="E104" s="117">
        <v>175.20357100000001</v>
      </c>
    </row>
    <row r="105" spans="1:5" x14ac:dyDescent="0.35">
      <c r="A105" s="116" t="s">
        <v>605</v>
      </c>
      <c r="B105" s="116" t="s">
        <v>606</v>
      </c>
      <c r="C105" s="117">
        <v>148.49</v>
      </c>
      <c r="D105" s="117">
        <v>-39.69</v>
      </c>
      <c r="E105" s="117">
        <v>440.50700000000001</v>
      </c>
    </row>
    <row r="106" spans="1:5" x14ac:dyDescent="0.35">
      <c r="A106" s="116" t="s">
        <v>607</v>
      </c>
      <c r="B106" s="116" t="s">
        <v>608</v>
      </c>
      <c r="C106" s="117">
        <v>146.84574699999999</v>
      </c>
      <c r="D106" s="117">
        <v>149.02200199999999</v>
      </c>
      <c r="E106" s="117">
        <v>278.48681599999998</v>
      </c>
    </row>
    <row r="107" spans="1:5" x14ac:dyDescent="0.35">
      <c r="A107" s="116" t="s">
        <v>609</v>
      </c>
      <c r="B107" s="116" t="s">
        <v>610</v>
      </c>
      <c r="C107" s="117">
        <v>139.37299999999999</v>
      </c>
      <c r="D107" s="117">
        <v>-73.119</v>
      </c>
      <c r="E107" s="117">
        <v>-1264.22</v>
      </c>
    </row>
    <row r="108" spans="1:5" x14ac:dyDescent="0.35">
      <c r="A108" s="116" t="s">
        <v>611</v>
      </c>
      <c r="B108" s="116" t="s">
        <v>612</v>
      </c>
      <c r="C108" s="117">
        <v>138.217578</v>
      </c>
      <c r="D108" s="117">
        <v>121.968019</v>
      </c>
      <c r="E108" s="117">
        <v>-458.22950900000001</v>
      </c>
    </row>
    <row r="109" spans="1:5" x14ac:dyDescent="0.35">
      <c r="A109" s="116" t="s">
        <v>613</v>
      </c>
      <c r="B109" s="116" t="s">
        <v>614</v>
      </c>
      <c r="C109" s="117">
        <v>128.489</v>
      </c>
      <c r="D109" s="117">
        <v>-159</v>
      </c>
      <c r="E109" s="117">
        <v>789.41300000000001</v>
      </c>
    </row>
    <row r="110" spans="1:5" x14ac:dyDescent="0.35">
      <c r="A110" s="116" t="s">
        <v>615</v>
      </c>
      <c r="B110" s="116" t="s">
        <v>616</v>
      </c>
      <c r="C110" s="117">
        <v>122.97</v>
      </c>
      <c r="D110" s="117">
        <v>5.4359999999999999</v>
      </c>
      <c r="E110" s="117">
        <v>224.23699999999999</v>
      </c>
    </row>
    <row r="111" spans="1:5" x14ac:dyDescent="0.35">
      <c r="A111" s="116" t="s">
        <v>617</v>
      </c>
      <c r="B111" s="116" t="s">
        <v>618</v>
      </c>
      <c r="C111" s="117">
        <v>121.182</v>
      </c>
      <c r="D111" s="117">
        <v>-50.198</v>
      </c>
      <c r="E111" s="117">
        <v>303.76</v>
      </c>
    </row>
    <row r="112" spans="1:5" x14ac:dyDescent="0.35">
      <c r="A112" s="116" t="s">
        <v>619</v>
      </c>
      <c r="B112" s="116" t="s">
        <v>620</v>
      </c>
      <c r="C112" s="117">
        <v>119.839</v>
      </c>
      <c r="D112" s="117">
        <v>104.58199999999999</v>
      </c>
      <c r="E112" s="117">
        <v>614.28</v>
      </c>
    </row>
    <row r="113" spans="1:5" x14ac:dyDescent="0.35">
      <c r="A113" s="116" t="s">
        <v>621</v>
      </c>
      <c r="B113" s="116" t="s">
        <v>622</v>
      </c>
      <c r="C113" s="117">
        <v>117.672</v>
      </c>
      <c r="D113" s="117">
        <v>91.596999999999994</v>
      </c>
      <c r="E113" s="117">
        <v>85.804000000000002</v>
      </c>
    </row>
    <row r="114" spans="1:5" x14ac:dyDescent="0.35">
      <c r="A114" s="116" t="s">
        <v>623</v>
      </c>
      <c r="B114" s="116" t="s">
        <v>624</v>
      </c>
      <c r="C114" s="117">
        <v>113.099</v>
      </c>
      <c r="D114" s="117">
        <v>62.3</v>
      </c>
      <c r="E114" s="117">
        <v>28.384</v>
      </c>
    </row>
    <row r="115" spans="1:5" x14ac:dyDescent="0.35">
      <c r="A115" s="116" t="s">
        <v>625</v>
      </c>
      <c r="B115" s="116" t="s">
        <v>626</v>
      </c>
      <c r="C115" s="117">
        <v>111.73699999999999</v>
      </c>
      <c r="D115" s="117">
        <v>229.66</v>
      </c>
      <c r="E115" s="117">
        <v>229.62799999999999</v>
      </c>
    </row>
    <row r="116" spans="1:5" x14ac:dyDescent="0.35">
      <c r="A116" s="116" t="s">
        <v>627</v>
      </c>
      <c r="B116" s="116" t="s">
        <v>628</v>
      </c>
      <c r="C116" s="117">
        <v>110.271</v>
      </c>
      <c r="D116" s="117">
        <v>30.3</v>
      </c>
      <c r="E116" s="117">
        <v>-19.800999999999998</v>
      </c>
    </row>
    <row r="117" spans="1:5" x14ac:dyDescent="0.35">
      <c r="A117" s="116" t="s">
        <v>629</v>
      </c>
      <c r="B117" s="116" t="s">
        <v>630</v>
      </c>
      <c r="C117" s="117">
        <v>105.38500000000001</v>
      </c>
      <c r="D117" s="117">
        <v>-53.881999999999998</v>
      </c>
      <c r="E117" s="117">
        <v>413.54899999999998</v>
      </c>
    </row>
    <row r="118" spans="1:5" x14ac:dyDescent="0.35">
      <c r="A118" s="116" t="s">
        <v>631</v>
      </c>
      <c r="B118" s="116" t="s">
        <v>632</v>
      </c>
      <c r="C118" s="117">
        <v>102.595589</v>
      </c>
      <c r="D118" s="117">
        <v>17.328582999999998</v>
      </c>
      <c r="E118" s="117">
        <v>84.844227000000004</v>
      </c>
    </row>
    <row r="119" spans="1:5" x14ac:dyDescent="0.35">
      <c r="A119" s="116" t="s">
        <v>633</v>
      </c>
      <c r="B119" s="116" t="s">
        <v>72</v>
      </c>
      <c r="C119" s="117">
        <v>98.923000000000002</v>
      </c>
      <c r="D119" s="117">
        <v>61.354999999999997</v>
      </c>
      <c r="E119" s="117">
        <v>222.494</v>
      </c>
    </row>
    <row r="120" spans="1:5" x14ac:dyDescent="0.35">
      <c r="A120" s="116" t="s">
        <v>634</v>
      </c>
      <c r="B120" s="116" t="s">
        <v>635</v>
      </c>
      <c r="C120" s="117">
        <v>98.587999999999994</v>
      </c>
      <c r="D120" s="117">
        <v>19.423999999999999</v>
      </c>
      <c r="E120" s="117">
        <v>251.14699999999999</v>
      </c>
    </row>
    <row r="121" spans="1:5" x14ac:dyDescent="0.35">
      <c r="A121" s="116" t="s">
        <v>636</v>
      </c>
      <c r="B121" s="116" t="s">
        <v>342</v>
      </c>
      <c r="C121" s="117">
        <v>94.673000000000002</v>
      </c>
      <c r="D121" s="117">
        <v>186</v>
      </c>
      <c r="E121" s="117">
        <v>105.682</v>
      </c>
    </row>
    <row r="122" spans="1:5" x14ac:dyDescent="0.35">
      <c r="A122" s="116" t="s">
        <v>637</v>
      </c>
      <c r="B122" s="116" t="s">
        <v>638</v>
      </c>
      <c r="C122" s="117">
        <v>92.774000000000001</v>
      </c>
      <c r="D122" s="117">
        <v>116.696</v>
      </c>
      <c r="E122" s="117">
        <v>279.971</v>
      </c>
    </row>
    <row r="123" spans="1:5" x14ac:dyDescent="0.35">
      <c r="A123" s="116" t="s">
        <v>639</v>
      </c>
      <c r="B123" s="116" t="s">
        <v>640</v>
      </c>
      <c r="C123" s="117">
        <v>91.499021999999997</v>
      </c>
      <c r="D123" s="117">
        <v>80.120553999999998</v>
      </c>
      <c r="E123" s="117">
        <v>129.66035199999999</v>
      </c>
    </row>
    <row r="124" spans="1:5" x14ac:dyDescent="0.35">
      <c r="A124" s="116" t="s">
        <v>641</v>
      </c>
      <c r="B124" s="116" t="s">
        <v>642</v>
      </c>
      <c r="C124" s="117">
        <v>82.453000000000003</v>
      </c>
      <c r="D124" s="117">
        <v>-39.362000000000002</v>
      </c>
      <c r="E124" s="117">
        <v>-723.81899999999996</v>
      </c>
    </row>
    <row r="125" spans="1:5" x14ac:dyDescent="0.35">
      <c r="A125" s="116" t="s">
        <v>643</v>
      </c>
      <c r="B125" s="116" t="s">
        <v>282</v>
      </c>
      <c r="C125" s="117">
        <v>80.671000000000006</v>
      </c>
      <c r="D125" s="117">
        <v>-173.53800000000001</v>
      </c>
      <c r="E125" s="117">
        <v>537.12699999999995</v>
      </c>
    </row>
    <row r="126" spans="1:5" x14ac:dyDescent="0.35">
      <c r="A126" s="116" t="s">
        <v>644</v>
      </c>
      <c r="B126" s="116" t="s">
        <v>645</v>
      </c>
      <c r="C126" s="117">
        <v>80.63</v>
      </c>
      <c r="D126" s="117">
        <v>177.1</v>
      </c>
      <c r="E126" s="117">
        <v>742.08</v>
      </c>
    </row>
    <row r="127" spans="1:5" x14ac:dyDescent="0.35">
      <c r="A127" s="116" t="s">
        <v>646</v>
      </c>
      <c r="B127" s="116" t="s">
        <v>647</v>
      </c>
      <c r="C127" s="117">
        <v>80.290000000000006</v>
      </c>
      <c r="D127" s="117">
        <v>67.66</v>
      </c>
      <c r="E127" s="117">
        <v>72.403000000000006</v>
      </c>
    </row>
    <row r="128" spans="1:5" x14ac:dyDescent="0.35">
      <c r="A128" s="116" t="s">
        <v>648</v>
      </c>
      <c r="B128" s="116" t="s">
        <v>649</v>
      </c>
      <c r="C128" s="117">
        <v>78.221999999999994</v>
      </c>
      <c r="D128" s="117">
        <v>116.443</v>
      </c>
      <c r="E128" s="117">
        <v>106.17400000000001</v>
      </c>
    </row>
    <row r="129" spans="1:5" x14ac:dyDescent="0.35">
      <c r="A129" s="116" t="s">
        <v>650</v>
      </c>
      <c r="B129" s="116" t="s">
        <v>651</v>
      </c>
      <c r="C129" s="117">
        <v>77.75</v>
      </c>
      <c r="D129" s="117">
        <v>-4.2960000000000003</v>
      </c>
      <c r="E129" s="117">
        <v>120.273</v>
      </c>
    </row>
    <row r="130" spans="1:5" x14ac:dyDescent="0.35">
      <c r="A130" s="116" t="s">
        <v>652</v>
      </c>
      <c r="B130" s="116" t="s">
        <v>653</v>
      </c>
      <c r="C130" s="117">
        <v>75.153000000000006</v>
      </c>
      <c r="D130" s="117">
        <v>-19.454999999999998</v>
      </c>
      <c r="E130" s="117">
        <v>114.312</v>
      </c>
    </row>
    <row r="131" spans="1:5" x14ac:dyDescent="0.35">
      <c r="A131" s="116" t="s">
        <v>654</v>
      </c>
      <c r="B131" s="116" t="s">
        <v>655</v>
      </c>
      <c r="C131" s="117">
        <v>74.093000000000004</v>
      </c>
      <c r="D131" s="117">
        <v>68.88</v>
      </c>
      <c r="E131" s="117">
        <v>27.391999999999999</v>
      </c>
    </row>
    <row r="132" spans="1:5" x14ac:dyDescent="0.35">
      <c r="A132" s="116" t="s">
        <v>656</v>
      </c>
      <c r="B132" s="116" t="s">
        <v>657</v>
      </c>
      <c r="C132" s="117">
        <v>72.113878999999997</v>
      </c>
      <c r="D132" s="117">
        <v>55.18873</v>
      </c>
      <c r="E132" s="117">
        <v>99.623024000000001</v>
      </c>
    </row>
    <row r="133" spans="1:5" x14ac:dyDescent="0.35">
      <c r="A133" s="116" t="s">
        <v>658</v>
      </c>
      <c r="B133" s="116" t="s">
        <v>659</v>
      </c>
      <c r="C133" s="117">
        <v>71.067999999999998</v>
      </c>
      <c r="D133" s="117">
        <v>-24.46</v>
      </c>
      <c r="E133" s="117">
        <v>133.506</v>
      </c>
    </row>
    <row r="134" spans="1:5" x14ac:dyDescent="0.35">
      <c r="A134" s="116" t="s">
        <v>660</v>
      </c>
      <c r="B134" s="116" t="s">
        <v>661</v>
      </c>
      <c r="C134" s="117">
        <v>69.697000000000003</v>
      </c>
      <c r="D134" s="117">
        <v>-35.68</v>
      </c>
      <c r="E134" s="117">
        <v>34.155000000000001</v>
      </c>
    </row>
    <row r="135" spans="1:5" x14ac:dyDescent="0.35">
      <c r="A135" s="116" t="s">
        <v>662</v>
      </c>
      <c r="B135" s="116" t="s">
        <v>663</v>
      </c>
      <c r="C135" s="117">
        <v>68.862797999999998</v>
      </c>
      <c r="D135" s="117">
        <v>10.062027</v>
      </c>
      <c r="E135" s="117">
        <v>39.124394000000002</v>
      </c>
    </row>
    <row r="136" spans="1:5" x14ac:dyDescent="0.35">
      <c r="A136" s="116" t="s">
        <v>664</v>
      </c>
      <c r="B136" s="116" t="s">
        <v>665</v>
      </c>
      <c r="C136" s="117">
        <v>68.535460999999998</v>
      </c>
      <c r="D136" s="117">
        <v>-65.453048999999993</v>
      </c>
      <c r="E136" s="117">
        <v>31.470780999999999</v>
      </c>
    </row>
    <row r="137" spans="1:5" x14ac:dyDescent="0.35">
      <c r="A137" s="116" t="s">
        <v>666</v>
      </c>
      <c r="B137" s="116" t="s">
        <v>667</v>
      </c>
      <c r="C137" s="117">
        <v>65.98</v>
      </c>
      <c r="D137" s="117">
        <v>62.46</v>
      </c>
      <c r="E137" s="117">
        <v>65.459000000000003</v>
      </c>
    </row>
    <row r="138" spans="1:5" x14ac:dyDescent="0.35">
      <c r="A138" s="116" t="s">
        <v>668</v>
      </c>
      <c r="B138" s="116" t="s">
        <v>669</v>
      </c>
      <c r="C138" s="117">
        <v>63.870711999999997</v>
      </c>
      <c r="D138" s="117">
        <v>28.358129000000002</v>
      </c>
      <c r="E138" s="117">
        <v>155.90518700000001</v>
      </c>
    </row>
    <row r="139" spans="1:5" x14ac:dyDescent="0.35">
      <c r="A139" s="116" t="s">
        <v>670</v>
      </c>
      <c r="B139" s="116" t="s">
        <v>671</v>
      </c>
      <c r="C139" s="117">
        <v>61.567</v>
      </c>
      <c r="D139" s="117">
        <v>34.770000000000003</v>
      </c>
      <c r="E139" s="117">
        <v>79.926000000000002</v>
      </c>
    </row>
    <row r="140" spans="1:5" x14ac:dyDescent="0.35">
      <c r="A140" s="116" t="s">
        <v>672</v>
      </c>
      <c r="B140" s="116" t="s">
        <v>283</v>
      </c>
      <c r="C140" s="117">
        <v>61.424818000000002</v>
      </c>
      <c r="D140" s="117">
        <v>-33.012509999999999</v>
      </c>
      <c r="E140" s="117">
        <v>-33.219732999999998</v>
      </c>
    </row>
    <row r="141" spans="1:5" x14ac:dyDescent="0.35">
      <c r="A141" s="116" t="s">
        <v>673</v>
      </c>
      <c r="B141" s="116" t="s">
        <v>674</v>
      </c>
      <c r="C141" s="117">
        <v>57.965000000000003</v>
      </c>
      <c r="D141" s="117">
        <v>-119.33</v>
      </c>
      <c r="E141" s="117">
        <v>388.91</v>
      </c>
    </row>
    <row r="142" spans="1:5" x14ac:dyDescent="0.35">
      <c r="A142" s="116" t="s">
        <v>675</v>
      </c>
      <c r="B142" s="116" t="s">
        <v>676</v>
      </c>
      <c r="C142" s="117">
        <v>56.804000000000002</v>
      </c>
      <c r="D142" s="117">
        <v>21.481999999999999</v>
      </c>
      <c r="E142" s="117">
        <v>2.9220000000000002</v>
      </c>
    </row>
    <row r="143" spans="1:5" x14ac:dyDescent="0.35">
      <c r="A143" s="116" t="s">
        <v>677</v>
      </c>
      <c r="B143" s="116" t="s">
        <v>678</v>
      </c>
      <c r="C143" s="117">
        <v>53.217680000000001</v>
      </c>
      <c r="D143" s="117">
        <v>25.078084</v>
      </c>
      <c r="E143" s="117">
        <v>230.21673699999999</v>
      </c>
    </row>
    <row r="144" spans="1:5" x14ac:dyDescent="0.35">
      <c r="A144" s="116" t="s">
        <v>679</v>
      </c>
      <c r="B144" s="116" t="s">
        <v>680</v>
      </c>
      <c r="C144" s="117">
        <v>51.459023999999999</v>
      </c>
      <c r="D144" s="117">
        <v>-28.43</v>
      </c>
      <c r="E144" s="117">
        <v>-68.885195999999993</v>
      </c>
    </row>
    <row r="145" spans="1:5" x14ac:dyDescent="0.35">
      <c r="A145" s="116" t="s">
        <v>681</v>
      </c>
      <c r="B145" s="116" t="s">
        <v>281</v>
      </c>
      <c r="C145" s="117">
        <v>48.841999999999999</v>
      </c>
      <c r="D145" s="117">
        <v>-247.91300000000001</v>
      </c>
      <c r="E145" s="117">
        <v>-239.233</v>
      </c>
    </row>
    <row r="146" spans="1:5" x14ac:dyDescent="0.35">
      <c r="A146" s="116" t="s">
        <v>682</v>
      </c>
      <c r="B146" s="116" t="s">
        <v>683</v>
      </c>
      <c r="C146" s="117">
        <v>47.457000000000001</v>
      </c>
      <c r="D146" s="117">
        <v>-54.082000000000001</v>
      </c>
      <c r="E146" s="117">
        <v>-21.152999999999999</v>
      </c>
    </row>
    <row r="147" spans="1:5" x14ac:dyDescent="0.35">
      <c r="A147" s="116" t="s">
        <v>684</v>
      </c>
      <c r="B147" s="116" t="s">
        <v>685</v>
      </c>
      <c r="C147" s="117">
        <v>47.052999999999997</v>
      </c>
      <c r="D147" s="117">
        <v>40.540999999999997</v>
      </c>
      <c r="E147" s="117">
        <v>29.797999999999998</v>
      </c>
    </row>
    <row r="148" spans="1:5" x14ac:dyDescent="0.35">
      <c r="A148" s="116" t="s">
        <v>686</v>
      </c>
      <c r="B148" s="116" t="s">
        <v>687</v>
      </c>
      <c r="C148" s="117">
        <v>46.284999999999997</v>
      </c>
      <c r="D148" s="117">
        <v>-0.13</v>
      </c>
      <c r="E148" s="117">
        <v>159.13200000000001</v>
      </c>
    </row>
    <row r="149" spans="1:5" x14ac:dyDescent="0.35">
      <c r="A149" s="116" t="s">
        <v>688</v>
      </c>
      <c r="B149" s="116" t="s">
        <v>689</v>
      </c>
      <c r="C149" s="117">
        <v>45.885382</v>
      </c>
      <c r="D149" s="117">
        <v>67.424870999999996</v>
      </c>
      <c r="E149" s="117">
        <v>28.544868000000001</v>
      </c>
    </row>
    <row r="150" spans="1:5" x14ac:dyDescent="0.35">
      <c r="A150" s="116" t="s">
        <v>690</v>
      </c>
      <c r="B150" s="116" t="s">
        <v>691</v>
      </c>
      <c r="C150" s="117">
        <v>45.807000000000002</v>
      </c>
      <c r="D150" s="117">
        <v>41.634</v>
      </c>
      <c r="E150" s="117">
        <v>371.404</v>
      </c>
    </row>
    <row r="151" spans="1:5" x14ac:dyDescent="0.35">
      <c r="A151" s="116" t="s">
        <v>692</v>
      </c>
      <c r="B151" s="116" t="s">
        <v>693</v>
      </c>
      <c r="C151" s="117">
        <v>45.274453999999999</v>
      </c>
      <c r="D151" s="117">
        <v>2.1059960000000002</v>
      </c>
      <c r="E151" s="117">
        <v>195.98346599999999</v>
      </c>
    </row>
    <row r="152" spans="1:5" x14ac:dyDescent="0.35">
      <c r="A152" s="116" t="s">
        <v>694</v>
      </c>
      <c r="B152" s="116" t="s">
        <v>695</v>
      </c>
      <c r="C152" s="117">
        <v>44.046999999999997</v>
      </c>
      <c r="D152" s="117">
        <v>77.787000000000006</v>
      </c>
      <c r="E152" s="117">
        <v>18.248999999999999</v>
      </c>
    </row>
    <row r="153" spans="1:5" x14ac:dyDescent="0.35">
      <c r="A153" s="116" t="s">
        <v>696</v>
      </c>
      <c r="B153" s="116" t="s">
        <v>697</v>
      </c>
      <c r="C153" s="117">
        <v>43.377690000000001</v>
      </c>
      <c r="D153" s="117">
        <v>46890.22</v>
      </c>
      <c r="E153" s="117">
        <v>43.782062000000003</v>
      </c>
    </row>
    <row r="154" spans="1:5" x14ac:dyDescent="0.35">
      <c r="A154" s="116" t="s">
        <v>698</v>
      </c>
      <c r="B154" s="116" t="s">
        <v>699</v>
      </c>
      <c r="C154" s="117">
        <v>42.081000000000003</v>
      </c>
      <c r="D154" s="117">
        <v>14.742000000000001</v>
      </c>
      <c r="E154" s="117">
        <v>448.10199999999998</v>
      </c>
    </row>
    <row r="155" spans="1:5" x14ac:dyDescent="0.35">
      <c r="A155" s="116" t="s">
        <v>700</v>
      </c>
      <c r="B155" s="116" t="s">
        <v>701</v>
      </c>
      <c r="C155" s="117">
        <v>41.502000000000002</v>
      </c>
      <c r="D155" s="117">
        <v>38.313000000000002</v>
      </c>
      <c r="E155" s="117">
        <v>66.322000000000003</v>
      </c>
    </row>
    <row r="156" spans="1:5" x14ac:dyDescent="0.35">
      <c r="A156" s="116" t="s">
        <v>702</v>
      </c>
      <c r="B156" s="116" t="s">
        <v>703</v>
      </c>
      <c r="C156" s="117">
        <v>39.825252999999996</v>
      </c>
      <c r="D156" s="117">
        <v>60.789099999999998</v>
      </c>
      <c r="E156" s="117">
        <v>71.982716999999994</v>
      </c>
    </row>
    <row r="157" spans="1:5" x14ac:dyDescent="0.35">
      <c r="A157" s="116" t="s">
        <v>704</v>
      </c>
      <c r="B157" s="116" t="s">
        <v>110</v>
      </c>
      <c r="C157" s="117">
        <v>39.567</v>
      </c>
      <c r="D157" s="117">
        <v>29</v>
      </c>
      <c r="E157" s="117">
        <v>4046.31</v>
      </c>
    </row>
    <row r="158" spans="1:5" x14ac:dyDescent="0.35">
      <c r="A158" s="116" t="s">
        <v>705</v>
      </c>
      <c r="B158" s="116" t="s">
        <v>706</v>
      </c>
      <c r="C158" s="117">
        <v>38.645000000000003</v>
      </c>
      <c r="D158" s="117">
        <v>59.402000000000001</v>
      </c>
      <c r="E158" s="117">
        <v>94.343000000000004</v>
      </c>
    </row>
    <row r="159" spans="1:5" x14ac:dyDescent="0.35">
      <c r="A159" s="116" t="s">
        <v>707</v>
      </c>
      <c r="B159" s="116" t="s">
        <v>708</v>
      </c>
      <c r="C159" s="117">
        <v>38.637</v>
      </c>
      <c r="D159" s="117">
        <v>48.305</v>
      </c>
      <c r="E159" s="117">
        <v>35.325000000000003</v>
      </c>
    </row>
    <row r="160" spans="1:5" x14ac:dyDescent="0.35">
      <c r="A160" s="116" t="s">
        <v>709</v>
      </c>
      <c r="B160" s="116" t="s">
        <v>710</v>
      </c>
      <c r="C160" s="117">
        <v>38.362000000000002</v>
      </c>
      <c r="D160" s="117">
        <v>-30.792000000000002</v>
      </c>
      <c r="E160" s="117">
        <v>67.763999999999996</v>
      </c>
    </row>
    <row r="161" spans="1:5" x14ac:dyDescent="0.35">
      <c r="A161" s="116" t="s">
        <v>711</v>
      </c>
      <c r="B161" s="116" t="s">
        <v>712</v>
      </c>
      <c r="C161" s="117">
        <v>37.590000000000003</v>
      </c>
      <c r="D161" s="117">
        <v>88.177000000000007</v>
      </c>
      <c r="E161" s="117">
        <v>-154.28800000000001</v>
      </c>
    </row>
    <row r="162" spans="1:5" x14ac:dyDescent="0.35">
      <c r="A162" s="116" t="s">
        <v>309</v>
      </c>
      <c r="B162" s="116" t="s">
        <v>713</v>
      </c>
      <c r="C162" s="117">
        <v>37.015923000000001</v>
      </c>
      <c r="D162" s="117">
        <v>3.0053339999999999</v>
      </c>
      <c r="E162" s="117">
        <v>-31.966329000000002</v>
      </c>
    </row>
    <row r="163" spans="1:5" x14ac:dyDescent="0.35">
      <c r="A163" s="116" t="s">
        <v>714</v>
      </c>
      <c r="B163" s="116" t="s">
        <v>715</v>
      </c>
      <c r="C163" s="117">
        <v>33.319467000000003</v>
      </c>
      <c r="D163" s="117">
        <v>26.444973000000001</v>
      </c>
      <c r="E163" s="117">
        <v>64.386809</v>
      </c>
    </row>
    <row r="164" spans="1:5" x14ac:dyDescent="0.35">
      <c r="A164" s="116" t="s">
        <v>716</v>
      </c>
      <c r="B164" s="116" t="s">
        <v>717</v>
      </c>
      <c r="C164" s="117">
        <v>32.762999999999998</v>
      </c>
      <c r="D164" s="117">
        <v>106.718</v>
      </c>
      <c r="E164" s="117">
        <v>-354.45299999999997</v>
      </c>
    </row>
    <row r="165" spans="1:5" x14ac:dyDescent="0.35">
      <c r="A165" s="116" t="s">
        <v>718</v>
      </c>
      <c r="B165" s="116" t="s">
        <v>719</v>
      </c>
      <c r="C165" s="117">
        <v>31.999655000000001</v>
      </c>
      <c r="D165" s="117">
        <v>24.746385</v>
      </c>
      <c r="E165" s="117">
        <v>40.476194999999997</v>
      </c>
    </row>
    <row r="166" spans="1:5" x14ac:dyDescent="0.35">
      <c r="A166" s="116" t="s">
        <v>720</v>
      </c>
      <c r="B166" s="116" t="s">
        <v>289</v>
      </c>
      <c r="C166" s="117">
        <v>31.606000000000002</v>
      </c>
      <c r="D166" s="117">
        <v>-24.669</v>
      </c>
      <c r="E166" s="117">
        <v>-43.256999999999998</v>
      </c>
    </row>
    <row r="167" spans="1:5" x14ac:dyDescent="0.35">
      <c r="A167" s="116" t="s">
        <v>721</v>
      </c>
      <c r="B167" s="116" t="s">
        <v>722</v>
      </c>
      <c r="C167" s="117">
        <v>30.210999999999999</v>
      </c>
      <c r="D167" s="117">
        <v>108.306</v>
      </c>
      <c r="E167" s="117">
        <v>262.69499999999999</v>
      </c>
    </row>
    <row r="168" spans="1:5" x14ac:dyDescent="0.35">
      <c r="A168" s="116" t="s">
        <v>723</v>
      </c>
      <c r="B168" s="116" t="s">
        <v>724</v>
      </c>
      <c r="C168" s="117">
        <v>27.902000000000001</v>
      </c>
      <c r="D168" s="117">
        <v>75.739999999999995</v>
      </c>
      <c r="E168" s="117">
        <v>239.47499999999999</v>
      </c>
    </row>
    <row r="169" spans="1:5" x14ac:dyDescent="0.35">
      <c r="A169" s="116" t="s">
        <v>725</v>
      </c>
      <c r="B169" s="116" t="s">
        <v>726</v>
      </c>
      <c r="C169" s="117">
        <v>23.303000000000001</v>
      </c>
      <c r="D169" s="119">
        <v>-78.427999999999997</v>
      </c>
      <c r="E169" s="117">
        <v>-95.986000000000004</v>
      </c>
    </row>
    <row r="170" spans="1:5" x14ac:dyDescent="0.35">
      <c r="A170" s="116" t="s">
        <v>727</v>
      </c>
      <c r="B170" s="116" t="s">
        <v>728</v>
      </c>
      <c r="C170" s="117">
        <v>22.736999999999998</v>
      </c>
      <c r="D170" s="117">
        <v>11.275</v>
      </c>
      <c r="E170" s="117">
        <v>80.56</v>
      </c>
    </row>
    <row r="171" spans="1:5" x14ac:dyDescent="0.35">
      <c r="A171" s="116" t="s">
        <v>729</v>
      </c>
      <c r="B171" s="116" t="s">
        <v>287</v>
      </c>
      <c r="C171" s="117">
        <v>22.343</v>
      </c>
      <c r="D171" s="117">
        <v>31.86</v>
      </c>
      <c r="E171" s="117">
        <v>-79.918000000000006</v>
      </c>
    </row>
    <row r="172" spans="1:5" x14ac:dyDescent="0.35">
      <c r="A172" s="116" t="s">
        <v>730</v>
      </c>
      <c r="B172" s="116" t="s">
        <v>286</v>
      </c>
      <c r="C172" s="117">
        <v>22.184000000000001</v>
      </c>
      <c r="D172" s="117">
        <v>-6.5659999999999998</v>
      </c>
      <c r="E172" s="117">
        <v>-161.27799999999999</v>
      </c>
    </row>
    <row r="173" spans="1:5" x14ac:dyDescent="0.35">
      <c r="A173" s="116" t="s">
        <v>731</v>
      </c>
      <c r="B173" s="116" t="s">
        <v>732</v>
      </c>
      <c r="C173" s="117">
        <v>21.544</v>
      </c>
      <c r="D173" s="117">
        <v>23.58</v>
      </c>
      <c r="E173" s="117">
        <v>19.846</v>
      </c>
    </row>
    <row r="174" spans="1:5" x14ac:dyDescent="0.35">
      <c r="A174" s="116" t="s">
        <v>733</v>
      </c>
      <c r="B174" s="116" t="s">
        <v>734</v>
      </c>
      <c r="C174" s="117">
        <v>19.347798000000001</v>
      </c>
      <c r="D174" s="117">
        <v>26.604925000000001</v>
      </c>
      <c r="E174" s="117">
        <v>67.961974999999995</v>
      </c>
    </row>
    <row r="175" spans="1:5" x14ac:dyDescent="0.35">
      <c r="A175" s="116" t="s">
        <v>735</v>
      </c>
      <c r="B175" s="116" t="s">
        <v>736</v>
      </c>
      <c r="C175" s="117">
        <v>18.681000000000001</v>
      </c>
      <c r="D175" s="117">
        <v>54.814</v>
      </c>
      <c r="E175" s="117">
        <v>215.803</v>
      </c>
    </row>
    <row r="176" spans="1:5" x14ac:dyDescent="0.35">
      <c r="A176" s="116" t="s">
        <v>737</v>
      </c>
      <c r="B176" s="116" t="s">
        <v>738</v>
      </c>
      <c r="C176" s="117">
        <v>16.821262999999998</v>
      </c>
      <c r="D176" s="117">
        <v>-21.471814999999999</v>
      </c>
      <c r="E176" s="117">
        <v>66.975903000000002</v>
      </c>
    </row>
    <row r="177" spans="1:5" x14ac:dyDescent="0.35">
      <c r="A177" s="116" t="s">
        <v>739</v>
      </c>
      <c r="B177" s="116" t="s">
        <v>740</v>
      </c>
      <c r="C177" s="117">
        <v>16.535263</v>
      </c>
      <c r="D177" s="117">
        <v>12.981147999999999</v>
      </c>
      <c r="E177" s="117">
        <v>7.7473650000000003</v>
      </c>
    </row>
    <row r="178" spans="1:5" x14ac:dyDescent="0.35">
      <c r="A178" s="116" t="s">
        <v>741</v>
      </c>
      <c r="B178" s="116" t="s">
        <v>742</v>
      </c>
      <c r="C178" s="117">
        <v>16.162980999999998</v>
      </c>
      <c r="D178" s="117">
        <v>-1.962016</v>
      </c>
      <c r="E178" s="117">
        <v>-5.5347020000000002</v>
      </c>
    </row>
    <row r="179" spans="1:5" x14ac:dyDescent="0.35">
      <c r="A179" s="116" t="s">
        <v>743</v>
      </c>
      <c r="B179" s="116" t="s">
        <v>744</v>
      </c>
      <c r="C179" s="117">
        <v>15.524005000000001</v>
      </c>
      <c r="D179" s="117">
        <v>-22</v>
      </c>
      <c r="E179" s="117">
        <v>9.331213</v>
      </c>
    </row>
    <row r="180" spans="1:5" x14ac:dyDescent="0.35">
      <c r="A180" s="116" t="s">
        <v>745</v>
      </c>
      <c r="B180" s="116" t="s">
        <v>746</v>
      </c>
      <c r="C180" s="117">
        <v>15.084374</v>
      </c>
      <c r="D180" s="117">
        <v>0.85755899999999996</v>
      </c>
      <c r="E180" s="117">
        <v>2.7083759999999999</v>
      </c>
    </row>
    <row r="181" spans="1:5" x14ac:dyDescent="0.35">
      <c r="A181" s="116" t="s">
        <v>747</v>
      </c>
      <c r="B181" s="116" t="s">
        <v>748</v>
      </c>
      <c r="C181" s="117">
        <v>13</v>
      </c>
      <c r="D181" s="117">
        <v>-70.513999999999996</v>
      </c>
      <c r="E181" s="117">
        <v>-92</v>
      </c>
    </row>
    <row r="182" spans="1:5" x14ac:dyDescent="0.35">
      <c r="A182" s="116" t="s">
        <v>749</v>
      </c>
      <c r="B182" s="116" t="s">
        <v>750</v>
      </c>
      <c r="C182" s="117">
        <v>11.494999999999999</v>
      </c>
      <c r="D182" s="117">
        <v>8.5250000000000004</v>
      </c>
      <c r="E182" s="117">
        <v>17.739999999999998</v>
      </c>
    </row>
    <row r="183" spans="1:5" x14ac:dyDescent="0.35">
      <c r="A183" s="116" t="s">
        <v>751</v>
      </c>
      <c r="B183" s="116" t="s">
        <v>752</v>
      </c>
      <c r="C183" s="117">
        <v>11.441181</v>
      </c>
      <c r="D183" s="117">
        <v>10.158863999999999</v>
      </c>
      <c r="E183" s="117">
        <v>15.701143</v>
      </c>
    </row>
    <row r="184" spans="1:5" x14ac:dyDescent="0.35">
      <c r="A184" s="116" t="s">
        <v>753</v>
      </c>
      <c r="B184" s="116" t="s">
        <v>754</v>
      </c>
      <c r="C184" s="117">
        <v>9.9378240000000009</v>
      </c>
      <c r="D184" s="117">
        <v>9.8800000000000008</v>
      </c>
      <c r="E184" s="117">
        <v>1.32237</v>
      </c>
    </row>
    <row r="185" spans="1:5" x14ac:dyDescent="0.35">
      <c r="A185" s="116" t="s">
        <v>755</v>
      </c>
      <c r="B185" s="116" t="s">
        <v>756</v>
      </c>
      <c r="C185" s="117">
        <v>9.5860000000000003</v>
      </c>
      <c r="D185" s="117">
        <v>3.669</v>
      </c>
      <c r="E185" s="117">
        <v>62.430999999999997</v>
      </c>
    </row>
    <row r="186" spans="1:5" x14ac:dyDescent="0.35">
      <c r="A186" s="116" t="s">
        <v>757</v>
      </c>
      <c r="B186" s="116" t="s">
        <v>758</v>
      </c>
      <c r="C186" s="117">
        <v>8.9377189999999995</v>
      </c>
      <c r="D186" s="117">
        <v>2.6015079999999999</v>
      </c>
      <c r="E186" s="117">
        <v>23.474979999999999</v>
      </c>
    </row>
    <row r="187" spans="1:5" x14ac:dyDescent="0.35">
      <c r="A187" s="116" t="s">
        <v>759</v>
      </c>
      <c r="B187" s="116" t="s">
        <v>760</v>
      </c>
      <c r="C187" s="117">
        <v>7.8714560000000002</v>
      </c>
      <c r="D187" s="117">
        <v>6.698207</v>
      </c>
      <c r="E187" s="117">
        <v>2.380681</v>
      </c>
    </row>
    <row r="188" spans="1:5" x14ac:dyDescent="0.35">
      <c r="A188" s="116" t="s">
        <v>761</v>
      </c>
      <c r="B188" s="116" t="s">
        <v>762</v>
      </c>
      <c r="C188" s="117">
        <v>7.7832119999999998</v>
      </c>
      <c r="D188" s="117">
        <v>-12.22</v>
      </c>
      <c r="E188" s="117">
        <v>11.954299000000001</v>
      </c>
    </row>
    <row r="189" spans="1:5" x14ac:dyDescent="0.35">
      <c r="A189" s="116" t="s">
        <v>763</v>
      </c>
      <c r="B189" s="116" t="s">
        <v>764</v>
      </c>
      <c r="C189" s="117">
        <v>7.75</v>
      </c>
      <c r="D189" s="117">
        <v>9.6159999999999997</v>
      </c>
      <c r="E189" s="117">
        <v>13.65</v>
      </c>
    </row>
    <row r="190" spans="1:5" x14ac:dyDescent="0.35">
      <c r="A190" s="116" t="s">
        <v>765</v>
      </c>
      <c r="B190" s="116" t="s">
        <v>766</v>
      </c>
      <c r="C190" s="117">
        <v>7.3970000000000002</v>
      </c>
      <c r="D190" s="117">
        <v>-102.66257</v>
      </c>
      <c r="E190" s="117">
        <v>-43.616329999999998</v>
      </c>
    </row>
    <row r="191" spans="1:5" x14ac:dyDescent="0.35">
      <c r="A191" s="116" t="s">
        <v>767</v>
      </c>
      <c r="B191" s="116" t="s">
        <v>768</v>
      </c>
      <c r="C191" s="117">
        <v>4.8450610000000003</v>
      </c>
      <c r="D191" s="117">
        <v>5.7835510000000001</v>
      </c>
      <c r="E191" s="117">
        <v>5.93</v>
      </c>
    </row>
    <row r="192" spans="1:5" x14ac:dyDescent="0.35">
      <c r="A192" s="116" t="s">
        <v>769</v>
      </c>
      <c r="B192" s="116" t="s">
        <v>770</v>
      </c>
      <c r="C192" s="117">
        <v>4.7720000000000002</v>
      </c>
      <c r="D192" s="117">
        <v>8.0760000000000005</v>
      </c>
      <c r="E192" s="117">
        <v>23.061</v>
      </c>
    </row>
    <row r="193" spans="1:5" x14ac:dyDescent="0.35">
      <c r="A193" s="116" t="s">
        <v>771</v>
      </c>
      <c r="B193" s="116" t="s">
        <v>772</v>
      </c>
      <c r="C193" s="117">
        <v>4.3254729999999997</v>
      </c>
      <c r="D193" s="117">
        <v>-1.573706</v>
      </c>
      <c r="E193" s="117">
        <v>1.1850020000000001</v>
      </c>
    </row>
    <row r="194" spans="1:5" x14ac:dyDescent="0.35">
      <c r="A194" s="116" t="s">
        <v>773</v>
      </c>
      <c r="B194" s="116" t="s">
        <v>774</v>
      </c>
      <c r="C194" s="117">
        <v>3.81</v>
      </c>
      <c r="D194" s="117">
        <v>3.2629999999999999</v>
      </c>
      <c r="E194" s="117">
        <v>2.92</v>
      </c>
    </row>
    <row r="195" spans="1:5" x14ac:dyDescent="0.35">
      <c r="A195" s="116" t="s">
        <v>775</v>
      </c>
      <c r="B195" s="116" t="s">
        <v>776</v>
      </c>
      <c r="C195" s="117">
        <v>3.3039999999999998</v>
      </c>
      <c r="D195" s="117">
        <v>2.5030000000000001</v>
      </c>
      <c r="E195" s="117">
        <v>2.8359999999999999</v>
      </c>
    </row>
    <row r="196" spans="1:5" x14ac:dyDescent="0.35">
      <c r="A196" s="116" t="s">
        <v>777</v>
      </c>
      <c r="B196" s="116" t="s">
        <v>778</v>
      </c>
      <c r="C196" s="117">
        <v>2.29</v>
      </c>
      <c r="D196" s="117">
        <v>2.294</v>
      </c>
      <c r="E196" s="117">
        <v>54.15</v>
      </c>
    </row>
    <row r="197" spans="1:5" x14ac:dyDescent="0.35">
      <c r="A197" s="116" t="s">
        <v>779</v>
      </c>
      <c r="B197" s="116" t="s">
        <v>780</v>
      </c>
      <c r="C197" s="117">
        <v>2.2323599999999999</v>
      </c>
      <c r="D197" s="117">
        <v>15.965705</v>
      </c>
      <c r="E197" s="117">
        <v>-6.31114</v>
      </c>
    </row>
    <row r="198" spans="1:5" x14ac:dyDescent="0.35">
      <c r="A198" s="116" t="s">
        <v>781</v>
      </c>
      <c r="B198" s="116" t="s">
        <v>284</v>
      </c>
      <c r="C198" s="117">
        <v>1.5189999999999999</v>
      </c>
      <c r="D198" s="117">
        <v>-130.30600000000001</v>
      </c>
      <c r="E198" s="117">
        <v>-171.86699999999999</v>
      </c>
    </row>
    <row r="199" spans="1:5" x14ac:dyDescent="0.35">
      <c r="A199" s="116" t="s">
        <v>782</v>
      </c>
      <c r="B199" s="116" t="s">
        <v>783</v>
      </c>
      <c r="C199" s="117">
        <v>1.04</v>
      </c>
      <c r="D199" s="117">
        <v>-0.377</v>
      </c>
      <c r="E199" s="117">
        <v>0.92700000000000005</v>
      </c>
    </row>
    <row r="200" spans="1:5" x14ac:dyDescent="0.35">
      <c r="A200" s="116" t="s">
        <v>784</v>
      </c>
      <c r="B200" s="116" t="s">
        <v>785</v>
      </c>
      <c r="C200" s="117">
        <v>0.81525400000000003</v>
      </c>
      <c r="D200" s="117">
        <v>4.8753320000000002</v>
      </c>
      <c r="E200" s="117">
        <v>16.443384999999999</v>
      </c>
    </row>
    <row r="201" spans="1:5" x14ac:dyDescent="0.35">
      <c r="A201" s="116" t="s">
        <v>786</v>
      </c>
      <c r="B201" s="116" t="s">
        <v>787</v>
      </c>
      <c r="C201" s="117">
        <v>0.79600000000000004</v>
      </c>
      <c r="D201" s="117">
        <v>-0.69599999999999995</v>
      </c>
      <c r="E201" s="117">
        <v>0.97099999999999997</v>
      </c>
    </row>
    <row r="202" spans="1:5" x14ac:dyDescent="0.35">
      <c r="A202" s="116" t="s">
        <v>788</v>
      </c>
      <c r="B202" s="116" t="s">
        <v>789</v>
      </c>
      <c r="C202" s="117">
        <v>0.754</v>
      </c>
      <c r="D202" s="117">
        <v>-287.03399999999999</v>
      </c>
      <c r="E202" s="117">
        <v>-123.69799999999999</v>
      </c>
    </row>
    <row r="203" spans="1:5" x14ac:dyDescent="0.35">
      <c r="A203" s="116" t="s">
        <v>790</v>
      </c>
      <c r="B203" s="116" t="s">
        <v>791</v>
      </c>
      <c r="C203" s="117">
        <v>0.56876499999999997</v>
      </c>
      <c r="D203" s="117">
        <v>-195.39647600000001</v>
      </c>
      <c r="E203" s="117">
        <v>303.74325900000002</v>
      </c>
    </row>
    <row r="204" spans="1:5" x14ac:dyDescent="0.35">
      <c r="A204" s="116" t="s">
        <v>792</v>
      </c>
      <c r="B204" s="116" t="s">
        <v>793</v>
      </c>
      <c r="C204" s="117">
        <v>0.189</v>
      </c>
      <c r="D204" s="117">
        <v>-50.076000000000001</v>
      </c>
      <c r="E204" s="117">
        <v>101.70399999999999</v>
      </c>
    </row>
    <row r="205" spans="1:5" x14ac:dyDescent="0.35">
      <c r="A205" s="116" t="s">
        <v>794</v>
      </c>
      <c r="B205" s="116" t="s">
        <v>795</v>
      </c>
      <c r="C205" s="117">
        <v>0.179564</v>
      </c>
      <c r="D205" s="117">
        <v>0.31710899999999997</v>
      </c>
      <c r="E205" s="117">
        <v>0.11765100000000001</v>
      </c>
    </row>
    <row r="206" spans="1:5" x14ac:dyDescent="0.35">
      <c r="A206" s="116" t="s">
        <v>796</v>
      </c>
      <c r="B206" s="116" t="s">
        <v>797</v>
      </c>
      <c r="C206" s="117">
        <v>-0.42115599999999997</v>
      </c>
      <c r="D206" s="117">
        <v>-2.3727900000000002</v>
      </c>
      <c r="E206" s="117">
        <v>-6.2666740000000001</v>
      </c>
    </row>
    <row r="207" spans="1:5" x14ac:dyDescent="0.35">
      <c r="A207" s="116" t="s">
        <v>798</v>
      </c>
      <c r="B207" s="116" t="s">
        <v>799</v>
      </c>
      <c r="C207" s="117">
        <v>-0.42699999999999999</v>
      </c>
      <c r="D207" s="117">
        <v>-2.109</v>
      </c>
      <c r="E207" s="117">
        <v>-5.0999999999999997E-2</v>
      </c>
    </row>
    <row r="208" spans="1:5" x14ac:dyDescent="0.35">
      <c r="A208" s="116" t="s">
        <v>800</v>
      </c>
      <c r="B208" s="116" t="s">
        <v>801</v>
      </c>
      <c r="C208" s="117">
        <v>-0.50900000000000001</v>
      </c>
      <c r="D208" s="117">
        <v>-39.338000000000001</v>
      </c>
      <c r="E208" s="117">
        <v>120.431</v>
      </c>
    </row>
    <row r="209" spans="1:5" x14ac:dyDescent="0.35">
      <c r="A209" s="116" t="s">
        <v>802</v>
      </c>
      <c r="B209" s="116" t="s">
        <v>803</v>
      </c>
      <c r="C209" s="117">
        <v>-1.4541269999999999</v>
      </c>
      <c r="D209" s="117">
        <v>43.463234</v>
      </c>
      <c r="E209" s="117">
        <v>-0.956565</v>
      </c>
    </row>
    <row r="210" spans="1:5" x14ac:dyDescent="0.35">
      <c r="A210" s="116" t="s">
        <v>804</v>
      </c>
      <c r="B210" s="116" t="s">
        <v>805</v>
      </c>
      <c r="C210" s="117">
        <v>-2</v>
      </c>
      <c r="D210" s="117">
        <v>1.7450000000000001</v>
      </c>
      <c r="E210" s="117">
        <v>-5</v>
      </c>
    </row>
    <row r="211" spans="1:5" x14ac:dyDescent="0.35">
      <c r="A211" s="116" t="s">
        <v>806</v>
      </c>
      <c r="B211" s="116" t="s">
        <v>807</v>
      </c>
      <c r="C211" s="117">
        <v>-2.9036819999999999</v>
      </c>
      <c r="D211" s="117">
        <v>-1.944283</v>
      </c>
      <c r="E211" s="117">
        <v>-2.5793430000000002</v>
      </c>
    </row>
    <row r="212" spans="1:5" x14ac:dyDescent="0.35">
      <c r="A212" s="116" t="s">
        <v>808</v>
      </c>
      <c r="B212" s="116" t="s">
        <v>809</v>
      </c>
      <c r="C212" s="117">
        <v>-3.5703339999999999</v>
      </c>
      <c r="D212" s="117">
        <v>-11</v>
      </c>
      <c r="E212" s="117">
        <v>-36.380000000000003</v>
      </c>
    </row>
    <row r="213" spans="1:5" x14ac:dyDescent="0.35">
      <c r="A213" s="116" t="s">
        <v>810</v>
      </c>
      <c r="B213" s="116" t="s">
        <v>290</v>
      </c>
      <c r="C213" s="117">
        <v>-3.5910000000000002</v>
      </c>
      <c r="D213" s="117">
        <v>43.351999999999997</v>
      </c>
      <c r="E213" s="117">
        <v>-67.483000000000004</v>
      </c>
    </row>
    <row r="214" spans="1:5" x14ac:dyDescent="0.35">
      <c r="A214" s="116" t="s">
        <v>811</v>
      </c>
      <c r="B214" s="116" t="s">
        <v>812</v>
      </c>
      <c r="C214" s="117">
        <v>-3.7617150000000001</v>
      </c>
      <c r="D214" s="119">
        <v>189.09490600000001</v>
      </c>
      <c r="E214" s="117">
        <v>1.4627460000000001</v>
      </c>
    </row>
    <row r="215" spans="1:5" x14ac:dyDescent="0.35">
      <c r="A215" s="116" t="s">
        <v>813</v>
      </c>
      <c r="B215" s="116" t="s">
        <v>814</v>
      </c>
      <c r="C215" s="117">
        <v>-3.7947959999999998</v>
      </c>
      <c r="D215" s="117">
        <v>1.670374</v>
      </c>
      <c r="E215" s="117">
        <v>0.160054</v>
      </c>
    </row>
    <row r="216" spans="1:5" x14ac:dyDescent="0.35">
      <c r="A216" s="116" t="s">
        <v>815</v>
      </c>
      <c r="B216" s="116" t="s">
        <v>816</v>
      </c>
      <c r="C216" s="117">
        <v>-4.1059999999999999</v>
      </c>
      <c r="D216" s="117">
        <v>107.71</v>
      </c>
      <c r="E216" s="117">
        <v>222.12100000000001</v>
      </c>
    </row>
    <row r="217" spans="1:5" x14ac:dyDescent="0.35">
      <c r="A217" s="116" t="s">
        <v>817</v>
      </c>
      <c r="B217" s="116" t="s">
        <v>818</v>
      </c>
      <c r="C217" s="117">
        <v>-7.48</v>
      </c>
      <c r="D217" s="117">
        <v>-1.173781</v>
      </c>
      <c r="E217" s="117">
        <v>-4.3499999999999996</v>
      </c>
    </row>
    <row r="218" spans="1:5" x14ac:dyDescent="0.35">
      <c r="A218" s="116" t="s">
        <v>819</v>
      </c>
      <c r="B218" s="116" t="s">
        <v>820</v>
      </c>
      <c r="C218" s="117">
        <v>-7.8973979999999999</v>
      </c>
      <c r="D218" s="117">
        <v>-2.48</v>
      </c>
      <c r="E218" s="117">
        <v>-0.393924</v>
      </c>
    </row>
    <row r="219" spans="1:5" x14ac:dyDescent="0.35">
      <c r="A219" s="116" t="s">
        <v>821</v>
      </c>
      <c r="B219" s="116" t="s">
        <v>822</v>
      </c>
      <c r="C219" s="117">
        <v>-10.675293999999999</v>
      </c>
      <c r="D219" s="117">
        <v>-27.3</v>
      </c>
      <c r="E219" s="117">
        <v>-49.505425000000002</v>
      </c>
    </row>
    <row r="220" spans="1:5" x14ac:dyDescent="0.35">
      <c r="A220" s="116" t="s">
        <v>823</v>
      </c>
      <c r="B220" s="116" t="s">
        <v>824</v>
      </c>
      <c r="C220" s="117">
        <v>-11.081372999999999</v>
      </c>
      <c r="D220" s="117">
        <v>-22.813320999999998</v>
      </c>
      <c r="E220" s="117">
        <v>6.0648679999999997</v>
      </c>
    </row>
    <row r="221" spans="1:5" x14ac:dyDescent="0.35">
      <c r="A221" s="116" t="s">
        <v>825</v>
      </c>
      <c r="B221" s="116" t="s">
        <v>288</v>
      </c>
      <c r="C221" s="117">
        <v>-12.412000000000001</v>
      </c>
      <c r="D221" s="117">
        <v>-3.4929999999999999</v>
      </c>
      <c r="E221" s="117">
        <v>-58.277000000000001</v>
      </c>
    </row>
    <row r="222" spans="1:5" x14ac:dyDescent="0.35">
      <c r="A222" s="116" t="s">
        <v>826</v>
      </c>
      <c r="B222" s="116" t="s">
        <v>827</v>
      </c>
      <c r="C222" s="117">
        <v>-14.18</v>
      </c>
      <c r="D222" s="117">
        <v>-62.322000000000003</v>
      </c>
      <c r="E222" s="117">
        <v>-32.706000000000003</v>
      </c>
    </row>
    <row r="223" spans="1:5" x14ac:dyDescent="0.35">
      <c r="A223" s="116" t="s">
        <v>828</v>
      </c>
      <c r="B223" s="116" t="s">
        <v>829</v>
      </c>
      <c r="C223" s="117">
        <v>-14.887226999999999</v>
      </c>
      <c r="D223" s="117">
        <v>-109.34681999999999</v>
      </c>
      <c r="E223" s="117">
        <v>57.980168999999997</v>
      </c>
    </row>
    <row r="224" spans="1:5" x14ac:dyDescent="0.35">
      <c r="A224" s="116" t="s">
        <v>830</v>
      </c>
      <c r="B224" s="116" t="s">
        <v>831</v>
      </c>
      <c r="C224" s="117">
        <v>-16.215</v>
      </c>
      <c r="D224" s="117">
        <v>-2.0110000000000001</v>
      </c>
      <c r="E224" s="117">
        <v>45.158999999999999</v>
      </c>
    </row>
    <row r="225" spans="1:5" x14ac:dyDescent="0.35">
      <c r="A225" s="116" t="s">
        <v>832</v>
      </c>
      <c r="B225" s="116" t="s">
        <v>833</v>
      </c>
      <c r="C225" s="117">
        <v>-17.694085000000001</v>
      </c>
      <c r="D225" s="117">
        <v>-54.582683000000003</v>
      </c>
      <c r="E225" s="117">
        <v>-37.269992999999999</v>
      </c>
    </row>
    <row r="226" spans="1:5" x14ac:dyDescent="0.35">
      <c r="A226" s="116" t="s">
        <v>834</v>
      </c>
      <c r="B226" s="116" t="s">
        <v>835</v>
      </c>
      <c r="C226" s="117">
        <v>-22.035</v>
      </c>
      <c r="D226" s="117">
        <v>-158.245</v>
      </c>
      <c r="E226" s="117">
        <v>16.672000000000001</v>
      </c>
    </row>
    <row r="227" spans="1:5" x14ac:dyDescent="0.35">
      <c r="A227" s="116" t="s">
        <v>836</v>
      </c>
      <c r="B227" s="116" t="s">
        <v>837</v>
      </c>
      <c r="C227" s="117">
        <v>-22.753160000000001</v>
      </c>
      <c r="D227" s="117">
        <v>70.048068000000001</v>
      </c>
      <c r="E227" s="117">
        <v>38.138706999999997</v>
      </c>
    </row>
    <row r="228" spans="1:5" x14ac:dyDescent="0.35">
      <c r="A228" s="116" t="s">
        <v>838</v>
      </c>
      <c r="B228" s="116" t="s">
        <v>839</v>
      </c>
      <c r="C228" s="117">
        <v>-22.984999999999999</v>
      </c>
      <c r="D228" s="117">
        <v>-36</v>
      </c>
      <c r="E228" s="117">
        <v>-27.853000000000002</v>
      </c>
    </row>
    <row r="229" spans="1:5" x14ac:dyDescent="0.35">
      <c r="A229" s="116" t="s">
        <v>840</v>
      </c>
      <c r="B229" s="116" t="s">
        <v>841</v>
      </c>
      <c r="C229" s="117">
        <v>-23.992000000000001</v>
      </c>
      <c r="D229" s="117">
        <v>-47</v>
      </c>
      <c r="E229" s="117">
        <v>-34.261000000000003</v>
      </c>
    </row>
    <row r="230" spans="1:5" x14ac:dyDescent="0.35">
      <c r="A230" s="116" t="s">
        <v>842</v>
      </c>
      <c r="B230" s="116" t="s">
        <v>843</v>
      </c>
      <c r="C230" s="117">
        <v>-25.976229</v>
      </c>
      <c r="D230" s="117">
        <v>-66.906914999999998</v>
      </c>
      <c r="E230" s="117">
        <v>-46.093772000000001</v>
      </c>
    </row>
    <row r="231" spans="1:5" x14ac:dyDescent="0.35">
      <c r="A231" s="116" t="s">
        <v>844</v>
      </c>
      <c r="B231" s="116" t="s">
        <v>845</v>
      </c>
      <c r="C231" s="117">
        <v>-28.369</v>
      </c>
      <c r="D231" s="117">
        <v>-149.06299999999999</v>
      </c>
      <c r="E231" s="117">
        <v>138.227</v>
      </c>
    </row>
    <row r="232" spans="1:5" x14ac:dyDescent="0.35">
      <c r="A232" s="116" t="s">
        <v>846</v>
      </c>
      <c r="B232" s="116" t="s">
        <v>847</v>
      </c>
      <c r="C232" s="117">
        <v>-30.876000000000001</v>
      </c>
      <c r="D232" s="117">
        <v>247.86</v>
      </c>
      <c r="E232" s="117">
        <v>600.68499999999995</v>
      </c>
    </row>
    <row r="233" spans="1:5" x14ac:dyDescent="0.35">
      <c r="A233" s="116" t="s">
        <v>848</v>
      </c>
      <c r="B233" s="116" t="s">
        <v>849</v>
      </c>
      <c r="C233" s="117">
        <v>-34.271000000000001</v>
      </c>
      <c r="D233" s="117">
        <v>-14.420999999999999</v>
      </c>
      <c r="E233" s="117">
        <v>-10.462999999999999</v>
      </c>
    </row>
    <row r="234" spans="1:5" x14ac:dyDescent="0.35">
      <c r="A234" s="116" t="s">
        <v>850</v>
      </c>
      <c r="B234" s="116" t="s">
        <v>851</v>
      </c>
      <c r="C234" s="117">
        <v>-34.343113000000002</v>
      </c>
      <c r="D234" s="117">
        <v>51.90607</v>
      </c>
      <c r="E234" s="117">
        <v>57.383884000000002</v>
      </c>
    </row>
    <row r="235" spans="1:5" x14ac:dyDescent="0.35">
      <c r="A235" s="116" t="s">
        <v>852</v>
      </c>
      <c r="B235" s="116" t="s">
        <v>853</v>
      </c>
      <c r="C235" s="117">
        <v>-34.56</v>
      </c>
      <c r="D235" s="117">
        <v>-96.33</v>
      </c>
      <c r="E235" s="117">
        <v>40.795000000000002</v>
      </c>
    </row>
    <row r="236" spans="1:5" x14ac:dyDescent="0.35">
      <c r="A236" s="116" t="s">
        <v>854</v>
      </c>
      <c r="B236" s="116" t="s">
        <v>855</v>
      </c>
      <c r="C236" s="117">
        <v>-36.421999999999997</v>
      </c>
      <c r="D236" s="117">
        <v>-65.988</v>
      </c>
      <c r="E236" s="117">
        <v>9.9429999999999996</v>
      </c>
    </row>
    <row r="237" spans="1:5" x14ac:dyDescent="0.35">
      <c r="A237" s="116" t="s">
        <v>856</v>
      </c>
      <c r="B237" s="116" t="s">
        <v>857</v>
      </c>
      <c r="C237" s="117">
        <v>-38.457999999999998</v>
      </c>
      <c r="D237" s="117">
        <v>-66.900000000000006</v>
      </c>
      <c r="E237" s="117">
        <v>-79.323999999999998</v>
      </c>
    </row>
    <row r="238" spans="1:5" x14ac:dyDescent="0.35">
      <c r="A238" s="116" t="s">
        <v>858</v>
      </c>
      <c r="B238" s="116" t="s">
        <v>859</v>
      </c>
      <c r="C238" s="117">
        <v>-42.558999999999997</v>
      </c>
      <c r="D238" s="117">
        <v>430.55399999999997</v>
      </c>
      <c r="E238" s="117">
        <v>1456.41</v>
      </c>
    </row>
    <row r="239" spans="1:5" x14ac:dyDescent="0.35">
      <c r="A239" s="116" t="s">
        <v>860</v>
      </c>
      <c r="B239" s="116" t="s">
        <v>861</v>
      </c>
      <c r="C239" s="117">
        <v>-43.555</v>
      </c>
      <c r="D239" s="117">
        <v>-38.979999999999997</v>
      </c>
      <c r="E239" s="117">
        <v>-55.442</v>
      </c>
    </row>
    <row r="240" spans="1:5" x14ac:dyDescent="0.35">
      <c r="A240" s="116" t="s">
        <v>862</v>
      </c>
      <c r="B240" s="116" t="s">
        <v>863</v>
      </c>
      <c r="C240" s="117">
        <v>-62.445</v>
      </c>
      <c r="D240" s="117">
        <v>-29.06</v>
      </c>
      <c r="E240" s="117">
        <v>-54.43</v>
      </c>
    </row>
    <row r="241" spans="1:5" x14ac:dyDescent="0.35">
      <c r="A241" s="116" t="s">
        <v>864</v>
      </c>
      <c r="B241" s="116" t="s">
        <v>865</v>
      </c>
      <c r="C241" s="117">
        <v>-64.427000000000007</v>
      </c>
      <c r="D241" s="117">
        <v>-134.61000000000001</v>
      </c>
      <c r="E241" s="117">
        <v>112.748</v>
      </c>
    </row>
    <row r="242" spans="1:5" x14ac:dyDescent="0.35">
      <c r="A242" s="116" t="s">
        <v>866</v>
      </c>
      <c r="B242" s="116" t="s">
        <v>867</v>
      </c>
      <c r="C242" s="117">
        <v>-66.782949000000002</v>
      </c>
      <c r="D242" s="117">
        <v>59.930444999999999</v>
      </c>
      <c r="E242" s="117">
        <v>-476.61897199999999</v>
      </c>
    </row>
    <row r="243" spans="1:5" x14ac:dyDescent="0.35">
      <c r="A243" s="116" t="s">
        <v>868</v>
      </c>
      <c r="B243" s="116" t="s">
        <v>869</v>
      </c>
      <c r="C243" s="117">
        <v>-67.244</v>
      </c>
      <c r="D243" s="117">
        <v>-90.412999999999997</v>
      </c>
      <c r="E243" s="117">
        <v>60.978999999999999</v>
      </c>
    </row>
    <row r="244" spans="1:5" x14ac:dyDescent="0.35">
      <c r="A244" s="116" t="s">
        <v>870</v>
      </c>
      <c r="B244" s="116" t="s">
        <v>871</v>
      </c>
      <c r="C244" s="117">
        <v>-72.614999999999995</v>
      </c>
      <c r="D244" s="117">
        <v>-67.915000000000006</v>
      </c>
      <c r="E244" s="117">
        <v>2.6520000000000001</v>
      </c>
    </row>
    <row r="245" spans="1:5" x14ac:dyDescent="0.35">
      <c r="A245" s="116" t="s">
        <v>872</v>
      </c>
      <c r="B245" s="116" t="s">
        <v>873</v>
      </c>
      <c r="C245" s="117">
        <v>-79.822000000000003</v>
      </c>
      <c r="D245" s="117">
        <v>-169.386</v>
      </c>
      <c r="E245" s="117">
        <v>93.045000000000002</v>
      </c>
    </row>
    <row r="246" spans="1:5" x14ac:dyDescent="0.35">
      <c r="A246" s="116" t="s">
        <v>874</v>
      </c>
      <c r="B246" s="116" t="s">
        <v>875</v>
      </c>
      <c r="C246" s="117">
        <v>-82.111000000000004</v>
      </c>
      <c r="D246" s="117">
        <v>661</v>
      </c>
      <c r="E246" s="117">
        <v>-308.88900000000001</v>
      </c>
    </row>
    <row r="247" spans="1:5" x14ac:dyDescent="0.35">
      <c r="A247" s="116" t="s">
        <v>876</v>
      </c>
      <c r="B247" s="116" t="s">
        <v>877</v>
      </c>
      <c r="C247" s="117">
        <v>-84.337999999999994</v>
      </c>
      <c r="D247" s="117">
        <v>-131.99100000000001</v>
      </c>
      <c r="E247" s="117">
        <v>917.47199999999998</v>
      </c>
    </row>
    <row r="248" spans="1:5" x14ac:dyDescent="0.35">
      <c r="A248" s="116" t="s">
        <v>878</v>
      </c>
      <c r="B248" s="116" t="s">
        <v>879</v>
      </c>
      <c r="C248" s="117">
        <v>-87.356999999999999</v>
      </c>
      <c r="D248" s="117">
        <v>-68.488</v>
      </c>
      <c r="E248" s="117">
        <v>-32.518000000000001</v>
      </c>
    </row>
    <row r="249" spans="1:5" x14ac:dyDescent="0.35">
      <c r="A249" s="116" t="s">
        <v>880</v>
      </c>
      <c r="B249" s="116" t="s">
        <v>881</v>
      </c>
      <c r="C249" s="117">
        <v>-90.852999999999994</v>
      </c>
      <c r="D249" s="117">
        <v>-247.1</v>
      </c>
      <c r="E249" s="117">
        <v>-211.678</v>
      </c>
    </row>
    <row r="250" spans="1:5" x14ac:dyDescent="0.35">
      <c r="A250" s="116" t="s">
        <v>882</v>
      </c>
      <c r="B250" s="116" t="s">
        <v>883</v>
      </c>
      <c r="C250" s="117">
        <v>-90.921582000000001</v>
      </c>
      <c r="D250" s="117">
        <v>-40.44</v>
      </c>
      <c r="E250" s="117">
        <v>-53.615026</v>
      </c>
    </row>
    <row r="251" spans="1:5" x14ac:dyDescent="0.35">
      <c r="A251" s="116" t="s">
        <v>884</v>
      </c>
      <c r="B251" s="116" t="s">
        <v>885</v>
      </c>
      <c r="C251" s="117">
        <v>-99.341352999999998</v>
      </c>
      <c r="D251" s="117">
        <v>-66.678613999999996</v>
      </c>
      <c r="E251" s="117">
        <v>-102.182569</v>
      </c>
    </row>
    <row r="252" spans="1:5" x14ac:dyDescent="0.35">
      <c r="A252" s="116" t="s">
        <v>886</v>
      </c>
      <c r="B252" s="116" t="s">
        <v>887</v>
      </c>
      <c r="C252" s="117">
        <v>-100.006</v>
      </c>
      <c r="D252" s="117">
        <v>120.33</v>
      </c>
      <c r="E252" s="117">
        <v>-114.307</v>
      </c>
    </row>
    <row r="253" spans="1:5" x14ac:dyDescent="0.35">
      <c r="A253" s="116" t="s">
        <v>888</v>
      </c>
      <c r="B253" s="116" t="s">
        <v>889</v>
      </c>
      <c r="C253" s="117">
        <v>-102.7132</v>
      </c>
      <c r="D253" s="117">
        <v>-108.130895</v>
      </c>
      <c r="E253" s="117">
        <v>-105.70997</v>
      </c>
    </row>
    <row r="254" spans="1:5" x14ac:dyDescent="0.35">
      <c r="A254" s="116" t="s">
        <v>890</v>
      </c>
      <c r="B254" s="116" t="s">
        <v>891</v>
      </c>
      <c r="C254" s="117">
        <v>-136.58996200000001</v>
      </c>
      <c r="D254" s="117">
        <v>816.23731899999996</v>
      </c>
      <c r="E254" s="117">
        <v>130.51745199999999</v>
      </c>
    </row>
    <row r="255" spans="1:5" x14ac:dyDescent="0.35">
      <c r="A255" s="116" t="s">
        <v>892</v>
      </c>
      <c r="B255" s="116" t="s">
        <v>893</v>
      </c>
      <c r="C255" s="117">
        <v>-141.16499999999999</v>
      </c>
      <c r="D255" s="117">
        <v>-144.65899999999999</v>
      </c>
      <c r="E255" s="117">
        <v>-245.85400000000001</v>
      </c>
    </row>
    <row r="256" spans="1:5" x14ac:dyDescent="0.35">
      <c r="A256" s="116" t="s">
        <v>195</v>
      </c>
      <c r="B256" s="116" t="s">
        <v>894</v>
      </c>
      <c r="C256" s="117">
        <v>-144.41</v>
      </c>
      <c r="D256" s="117">
        <v>73.356999999999999</v>
      </c>
      <c r="E256" s="117">
        <v>-110.142</v>
      </c>
    </row>
    <row r="257" spans="1:5" x14ac:dyDescent="0.35">
      <c r="A257" s="116" t="s">
        <v>895</v>
      </c>
      <c r="B257" s="116" t="s">
        <v>896</v>
      </c>
      <c r="C257" s="117">
        <v>-154.29687100000001</v>
      </c>
      <c r="D257" s="117">
        <v>-136.30000000000001</v>
      </c>
      <c r="E257" s="117">
        <v>-204.16473300000001</v>
      </c>
    </row>
    <row r="258" spans="1:5" x14ac:dyDescent="0.35">
      <c r="A258" s="116" t="s">
        <v>897</v>
      </c>
      <c r="B258" s="116" t="s">
        <v>898</v>
      </c>
      <c r="C258" s="117">
        <v>-161.71299999999999</v>
      </c>
      <c r="D258" s="117">
        <v>-133.80000000000001</v>
      </c>
      <c r="E258" s="117">
        <v>251.24700000000001</v>
      </c>
    </row>
    <row r="259" spans="1:5" x14ac:dyDescent="0.35">
      <c r="A259" s="116" t="s">
        <v>899</v>
      </c>
      <c r="B259" s="116" t="s">
        <v>900</v>
      </c>
      <c r="C259" s="117">
        <v>-163.339</v>
      </c>
      <c r="D259" s="117">
        <v>-146.07900000000001</v>
      </c>
      <c r="E259" s="117">
        <v>258.95100000000002</v>
      </c>
    </row>
    <row r="260" spans="1:5" x14ac:dyDescent="0.35">
      <c r="A260" s="116" t="s">
        <v>901</v>
      </c>
      <c r="B260" s="116" t="s">
        <v>902</v>
      </c>
      <c r="C260" s="117">
        <v>-181.553</v>
      </c>
      <c r="D260" s="117">
        <v>-72.209999999999994</v>
      </c>
      <c r="E260" s="117">
        <v>508.00200000000001</v>
      </c>
    </row>
    <row r="261" spans="1:5" x14ac:dyDescent="0.35">
      <c r="A261" s="116" t="s">
        <v>903</v>
      </c>
      <c r="B261" s="116" t="s">
        <v>904</v>
      </c>
      <c r="C261" s="117">
        <v>-182.06299999999999</v>
      </c>
      <c r="D261" s="117">
        <v>-57.75</v>
      </c>
      <c r="E261" s="117">
        <v>41.277000000000001</v>
      </c>
    </row>
    <row r="262" spans="1:5" x14ac:dyDescent="0.35">
      <c r="A262" s="116" t="s">
        <v>905</v>
      </c>
      <c r="B262" s="116" t="s">
        <v>906</v>
      </c>
      <c r="C262" s="117">
        <v>-203.78399999999999</v>
      </c>
      <c r="D262" s="117">
        <v>110.712</v>
      </c>
      <c r="E262" s="117">
        <v>1647.77</v>
      </c>
    </row>
    <row r="263" spans="1:5" x14ac:dyDescent="0.35">
      <c r="A263" s="116" t="s">
        <v>907</v>
      </c>
      <c r="B263" s="116" t="s">
        <v>908</v>
      </c>
      <c r="C263" s="117">
        <v>-219.94684799999999</v>
      </c>
      <c r="D263" s="117">
        <v>-217.76506599999999</v>
      </c>
      <c r="E263" s="117">
        <v>-257.83553899999998</v>
      </c>
    </row>
    <row r="264" spans="1:5" x14ac:dyDescent="0.35">
      <c r="A264" s="116" t="s">
        <v>909</v>
      </c>
      <c r="B264" s="116" t="s">
        <v>910</v>
      </c>
      <c r="C264" s="117">
        <v>-247.12</v>
      </c>
      <c r="D264" s="117">
        <v>-246.41</v>
      </c>
      <c r="E264" s="117">
        <v>-267.14999999999998</v>
      </c>
    </row>
    <row r="265" spans="1:5" x14ac:dyDescent="0.35">
      <c r="A265" s="116" t="s">
        <v>911</v>
      </c>
      <c r="B265" s="116" t="s">
        <v>912</v>
      </c>
      <c r="C265" s="117">
        <v>-293.428</v>
      </c>
      <c r="D265" s="117">
        <v>57.365000000000002</v>
      </c>
      <c r="E265" s="117">
        <v>-257.17200000000003</v>
      </c>
    </row>
    <row r="266" spans="1:5" x14ac:dyDescent="0.35">
      <c r="A266" s="116" t="s">
        <v>913</v>
      </c>
      <c r="B266" s="116" t="s">
        <v>914</v>
      </c>
      <c r="C266" s="117">
        <v>-318.940471</v>
      </c>
      <c r="D266" s="117">
        <v>-639.58000000000004</v>
      </c>
      <c r="E266" s="117">
        <v>-225.994641</v>
      </c>
    </row>
    <row r="267" spans="1:5" x14ac:dyDescent="0.35">
      <c r="A267" s="116" t="s">
        <v>915</v>
      </c>
      <c r="B267" s="116" t="s">
        <v>916</v>
      </c>
      <c r="C267" s="117">
        <v>-385.312568</v>
      </c>
      <c r="D267" s="117">
        <v>-533.10679200000004</v>
      </c>
      <c r="E267" s="117">
        <v>-352.39525300000003</v>
      </c>
    </row>
    <row r="268" spans="1:5" x14ac:dyDescent="0.35">
      <c r="A268" s="116" t="s">
        <v>917</v>
      </c>
      <c r="B268" s="116" t="s">
        <v>918</v>
      </c>
      <c r="C268" s="117">
        <v>-574.13599999999997</v>
      </c>
      <c r="D268" s="117">
        <v>1466.547</v>
      </c>
      <c r="E268" s="117">
        <v>1604.96</v>
      </c>
    </row>
    <row r="269" spans="1:5" x14ac:dyDescent="0.35">
      <c r="A269" s="116" t="s">
        <v>919</v>
      </c>
      <c r="B269" s="116" t="s">
        <v>920</v>
      </c>
      <c r="C269" s="117">
        <v>-580.10400000000004</v>
      </c>
      <c r="D269" s="117">
        <v>1118.626</v>
      </c>
      <c r="E269" s="117">
        <v>1115.74</v>
      </c>
    </row>
    <row r="270" spans="1:5" x14ac:dyDescent="0.35">
      <c r="A270" s="116" t="s">
        <v>921</v>
      </c>
      <c r="B270" s="116" t="s">
        <v>922</v>
      </c>
      <c r="C270" s="117">
        <v>-628.06799999999998</v>
      </c>
      <c r="D270" s="117">
        <v>2.8969999999999998</v>
      </c>
      <c r="E270" s="117">
        <v>-194.268</v>
      </c>
    </row>
    <row r="271" spans="1:5" x14ac:dyDescent="0.35">
      <c r="A271" s="116" t="s">
        <v>923</v>
      </c>
      <c r="B271" s="116" t="s">
        <v>924</v>
      </c>
      <c r="C271" s="117">
        <v>-635.46400000000006</v>
      </c>
      <c r="D271" s="117">
        <v>-893.798</v>
      </c>
      <c r="E271" s="117">
        <v>574.78700000000003</v>
      </c>
    </row>
    <row r="272" spans="1:5" x14ac:dyDescent="0.35">
      <c r="A272" s="116" t="s">
        <v>925</v>
      </c>
      <c r="B272" s="116" t="s">
        <v>925</v>
      </c>
      <c r="C272" s="117">
        <v>-911.31977400000005</v>
      </c>
      <c r="D272" s="117">
        <v>-752.77387299999998</v>
      </c>
      <c r="E272" s="117">
        <v>-644.43090500000005</v>
      </c>
    </row>
    <row r="273" spans="1:5" x14ac:dyDescent="0.35">
      <c r="A273" s="116" t="s">
        <v>926</v>
      </c>
      <c r="B273" s="116" t="s">
        <v>278</v>
      </c>
      <c r="C273" s="117">
        <v>-916.58699999999999</v>
      </c>
      <c r="D273" s="117">
        <v>-953.13599999999997</v>
      </c>
      <c r="E273" s="117">
        <v>-810.33900000000006</v>
      </c>
    </row>
    <row r="274" spans="1:5" x14ac:dyDescent="0.35">
      <c r="A274" s="116" t="s">
        <v>927</v>
      </c>
      <c r="B274" s="116" t="s">
        <v>280</v>
      </c>
      <c r="C274" s="117">
        <v>-1021.66</v>
      </c>
      <c r="D274" s="117">
        <v>-1407.9949999999999</v>
      </c>
      <c r="E274" s="117">
        <v>-1022.19</v>
      </c>
    </row>
    <row r="275" spans="1:5" x14ac:dyDescent="0.35">
      <c r="A275" s="116" t="s">
        <v>928</v>
      </c>
      <c r="B275" s="116" t="s">
        <v>285</v>
      </c>
      <c r="C275" s="117">
        <v>-1114.1400000000001</v>
      </c>
      <c r="D275" s="117">
        <v>-1249.5060000000001</v>
      </c>
      <c r="E275" s="117">
        <v>-1125.04</v>
      </c>
    </row>
    <row r="276" spans="1:5" x14ac:dyDescent="0.35">
      <c r="A276" s="116" t="s">
        <v>929</v>
      </c>
      <c r="B276" s="116" t="s">
        <v>930</v>
      </c>
      <c r="C276" s="117">
        <v>-1178.43</v>
      </c>
      <c r="D276" s="117">
        <v>-1344.4649999999999</v>
      </c>
      <c r="E276" s="117">
        <v>-1207.03</v>
      </c>
    </row>
    <row r="277" spans="1:5" x14ac:dyDescent="0.35">
      <c r="A277" s="116" t="s">
        <v>931</v>
      </c>
      <c r="B277" s="116" t="s">
        <v>932</v>
      </c>
      <c r="C277" s="117">
        <v>-1219.8599999999999</v>
      </c>
      <c r="D277" s="117">
        <v>4108.9549999999999</v>
      </c>
      <c r="E277" s="117">
        <v>1680.31</v>
      </c>
    </row>
    <row r="278" spans="1:5" x14ac:dyDescent="0.35">
      <c r="A278" s="116" t="s">
        <v>933</v>
      </c>
      <c r="B278" s="116" t="s">
        <v>200</v>
      </c>
      <c r="C278" s="117">
        <v>-1516.2507800000001</v>
      </c>
      <c r="D278" s="117">
        <v>-5696.1315480000003</v>
      </c>
      <c r="E278" s="117">
        <v>8978.7241300000005</v>
      </c>
    </row>
    <row r="279" spans="1:5" x14ac:dyDescent="0.35">
      <c r="A279" s="116" t="s">
        <v>934</v>
      </c>
      <c r="B279" s="116" t="s">
        <v>935</v>
      </c>
      <c r="C279" s="117">
        <v>-1544</v>
      </c>
      <c r="D279" s="117">
        <v>-2118</v>
      </c>
      <c r="E279" s="117">
        <v>1428</v>
      </c>
    </row>
    <row r="280" spans="1:5" x14ac:dyDescent="0.35">
      <c r="A280" s="116" t="s">
        <v>936</v>
      </c>
      <c r="B280" s="116" t="s">
        <v>169</v>
      </c>
      <c r="C280" s="117">
        <v>-2648</v>
      </c>
      <c r="D280" s="117">
        <v>-1956.643</v>
      </c>
      <c r="E280" s="117">
        <v>493.20600000000002</v>
      </c>
    </row>
    <row r="281" spans="1:5" x14ac:dyDescent="0.35">
      <c r="A281" s="116" t="s">
        <v>937</v>
      </c>
      <c r="B281" s="116" t="s">
        <v>938</v>
      </c>
      <c r="C281" s="117">
        <v>-6718.73</v>
      </c>
      <c r="D281" s="117">
        <v>-2748.0129999999999</v>
      </c>
      <c r="E281" s="117">
        <v>86.278000000000006</v>
      </c>
    </row>
    <row r="282" spans="1:5" x14ac:dyDescent="0.35">
      <c r="C282" s="120">
        <f>+SUM(C2:C281)</f>
        <v>149891.12621700019</v>
      </c>
      <c r="D282" s="120">
        <f>+SUM(D2:D281)</f>
        <v>108321.94515700005</v>
      </c>
      <c r="E282" s="120">
        <f>+SUM(E2:E281)</f>
        <v>166491.43318100015</v>
      </c>
    </row>
    <row r="283" spans="1:5" x14ac:dyDescent="0.35">
      <c r="C283" s="120"/>
      <c r="D283" s="120"/>
      <c r="E283" s="120"/>
    </row>
    <row r="284" spans="1:5" x14ac:dyDescent="0.35">
      <c r="C284" s="120"/>
      <c r="D284" s="120"/>
      <c r="E284" s="120"/>
    </row>
    <row r="285" spans="1:5" x14ac:dyDescent="0.35">
      <c r="C285" s="120"/>
      <c r="D285" s="120"/>
      <c r="E285" s="120"/>
    </row>
    <row r="286" spans="1:5" x14ac:dyDescent="0.35">
      <c r="C286" s="120"/>
      <c r="D286" s="120"/>
      <c r="E286" s="120"/>
    </row>
    <row r="287" spans="1:5" x14ac:dyDescent="0.35">
      <c r="C287" s="120"/>
      <c r="D287" s="120"/>
      <c r="E287" s="120"/>
    </row>
    <row r="288" spans="1:5" x14ac:dyDescent="0.35">
      <c r="C288" s="120"/>
      <c r="D288" s="120"/>
      <c r="E288" s="120"/>
    </row>
    <row r="289" spans="3:5" x14ac:dyDescent="0.35">
      <c r="C289" s="120"/>
      <c r="D289" s="120"/>
      <c r="E289" s="120"/>
    </row>
    <row r="290" spans="3:5" x14ac:dyDescent="0.35">
      <c r="C290" s="120"/>
      <c r="D290" s="120"/>
      <c r="E290" s="120"/>
    </row>
    <row r="291" spans="3:5" x14ac:dyDescent="0.35">
      <c r="C291" s="120"/>
      <c r="D291" s="120"/>
      <c r="E291" s="120"/>
    </row>
    <row r="292" spans="3:5" x14ac:dyDescent="0.35">
      <c r="C292" s="120"/>
      <c r="D292" s="120"/>
      <c r="E292" s="120"/>
    </row>
    <row r="293" spans="3:5" x14ac:dyDescent="0.35">
      <c r="C293" s="120"/>
      <c r="D293" s="120"/>
      <c r="E293" s="120"/>
    </row>
    <row r="294" spans="3:5" x14ac:dyDescent="0.35">
      <c r="C294" s="120"/>
      <c r="D294" s="120"/>
      <c r="E294" s="120"/>
    </row>
    <row r="295" spans="3:5" x14ac:dyDescent="0.35">
      <c r="C295" s="120"/>
      <c r="D295" s="120"/>
      <c r="E295" s="120"/>
    </row>
    <row r="296" spans="3:5" x14ac:dyDescent="0.35">
      <c r="C296" s="120"/>
      <c r="D296" s="120"/>
      <c r="E296" s="120"/>
    </row>
    <row r="297" spans="3:5" x14ac:dyDescent="0.35">
      <c r="C297" s="120"/>
      <c r="D297" s="120"/>
      <c r="E297" s="120"/>
    </row>
    <row r="298" spans="3:5" x14ac:dyDescent="0.35">
      <c r="C298" s="120"/>
      <c r="D298" s="120"/>
      <c r="E298" s="120"/>
    </row>
    <row r="299" spans="3:5" x14ac:dyDescent="0.35">
      <c r="C299" s="120"/>
      <c r="D299" s="120"/>
      <c r="E299" s="120"/>
    </row>
    <row r="300" spans="3:5" x14ac:dyDescent="0.35">
      <c r="C300" s="120"/>
      <c r="D300" s="120"/>
      <c r="E300" s="120"/>
    </row>
    <row r="301" spans="3:5" x14ac:dyDescent="0.35">
      <c r="C301" s="120"/>
      <c r="D301" s="120"/>
      <c r="E301" s="120"/>
    </row>
    <row r="302" spans="3:5" x14ac:dyDescent="0.35">
      <c r="C302" s="120"/>
      <c r="D302" s="120"/>
      <c r="E302" s="120"/>
    </row>
    <row r="303" spans="3:5" x14ac:dyDescent="0.35">
      <c r="C303" s="120"/>
      <c r="D303" s="120"/>
      <c r="E303" s="120"/>
    </row>
    <row r="304" spans="3:5" x14ac:dyDescent="0.35">
      <c r="C304" s="120"/>
      <c r="D304" s="120"/>
      <c r="E304" s="120"/>
    </row>
    <row r="305" spans="3:5" x14ac:dyDescent="0.35">
      <c r="C305" s="120"/>
      <c r="D305" s="120"/>
      <c r="E305" s="120"/>
    </row>
    <row r="306" spans="3:5" x14ac:dyDescent="0.35">
      <c r="C306" s="120"/>
      <c r="D306" s="120"/>
      <c r="E306" s="120"/>
    </row>
    <row r="307" spans="3:5" x14ac:dyDescent="0.35">
      <c r="C307" s="120"/>
      <c r="D307" s="120"/>
      <c r="E307" s="120"/>
    </row>
    <row r="308" spans="3:5" x14ac:dyDescent="0.35">
      <c r="C308" s="120"/>
      <c r="D308" s="120"/>
      <c r="E308" s="120"/>
    </row>
    <row r="309" spans="3:5" x14ac:dyDescent="0.35">
      <c r="C309" s="120"/>
      <c r="D309" s="120"/>
      <c r="E309" s="120"/>
    </row>
    <row r="310" spans="3:5" x14ac:dyDescent="0.35">
      <c r="C310" s="120"/>
      <c r="D310" s="120"/>
      <c r="E310" s="120"/>
    </row>
    <row r="311" spans="3:5" x14ac:dyDescent="0.35">
      <c r="C311" s="120"/>
      <c r="D311" s="120"/>
      <c r="E311" s="120"/>
    </row>
    <row r="312" spans="3:5" x14ac:dyDescent="0.35">
      <c r="C312" s="120"/>
      <c r="D312" s="120"/>
      <c r="E312" s="120"/>
    </row>
    <row r="313" spans="3:5" x14ac:dyDescent="0.35">
      <c r="C313" s="120"/>
      <c r="D313" s="120"/>
      <c r="E313" s="120"/>
    </row>
    <row r="314" spans="3:5" x14ac:dyDescent="0.35">
      <c r="C314" s="120"/>
      <c r="D314" s="120"/>
      <c r="E314" s="120"/>
    </row>
    <row r="315" spans="3:5" x14ac:dyDescent="0.35">
      <c r="C315" s="120"/>
      <c r="D315" s="120"/>
      <c r="E315" s="120"/>
    </row>
    <row r="316" spans="3:5" x14ac:dyDescent="0.35">
      <c r="C316" s="120"/>
      <c r="D316" s="120"/>
      <c r="E316" s="120"/>
    </row>
    <row r="317" spans="3:5" x14ac:dyDescent="0.35">
      <c r="C317" s="120"/>
      <c r="D317" s="120"/>
      <c r="E317" s="120"/>
    </row>
    <row r="318" spans="3:5" x14ac:dyDescent="0.35">
      <c r="C318" s="120"/>
      <c r="D318" s="120"/>
      <c r="E318" s="120"/>
    </row>
    <row r="319" spans="3:5" x14ac:dyDescent="0.35">
      <c r="C319" s="120"/>
      <c r="D319" s="120"/>
      <c r="E319" s="120"/>
    </row>
    <row r="320" spans="3:5" x14ac:dyDescent="0.35">
      <c r="C320" s="120"/>
      <c r="D320" s="120"/>
      <c r="E320" s="120"/>
    </row>
    <row r="321" spans="3:5" x14ac:dyDescent="0.35">
      <c r="C321" s="120"/>
      <c r="D321" s="120"/>
      <c r="E321" s="120"/>
    </row>
    <row r="322" spans="3:5" x14ac:dyDescent="0.35">
      <c r="C322" s="120"/>
      <c r="D322" s="120"/>
      <c r="E322" s="120"/>
    </row>
    <row r="323" spans="3:5" x14ac:dyDescent="0.35">
      <c r="C323" s="120"/>
      <c r="D323" s="120"/>
      <c r="E323" s="120"/>
    </row>
    <row r="324" spans="3:5" x14ac:dyDescent="0.35">
      <c r="C324" s="120"/>
      <c r="D324" s="120"/>
      <c r="E324" s="120"/>
    </row>
    <row r="325" spans="3:5" x14ac:dyDescent="0.35">
      <c r="C325" s="120"/>
      <c r="D325" s="120"/>
      <c r="E325" s="120"/>
    </row>
    <row r="326" spans="3:5" x14ac:dyDescent="0.35">
      <c r="C326" s="120"/>
      <c r="D326" s="120"/>
      <c r="E326" s="120"/>
    </row>
    <row r="327" spans="3:5" x14ac:dyDescent="0.35">
      <c r="C327" s="120"/>
      <c r="D327" s="120"/>
      <c r="E327" s="120"/>
    </row>
    <row r="328" spans="3:5" x14ac:dyDescent="0.35">
      <c r="C328" s="120"/>
      <c r="D328" s="120"/>
      <c r="E328" s="120"/>
    </row>
    <row r="329" spans="3:5" x14ac:dyDescent="0.35">
      <c r="C329" s="120"/>
      <c r="D329" s="120"/>
      <c r="E329" s="120"/>
    </row>
    <row r="330" spans="3:5" x14ac:dyDescent="0.35">
      <c r="C330" s="120"/>
      <c r="D330" s="120"/>
      <c r="E330" s="120"/>
    </row>
    <row r="331" spans="3:5" x14ac:dyDescent="0.35">
      <c r="C331" s="120"/>
      <c r="D331" s="120"/>
      <c r="E331" s="120"/>
    </row>
    <row r="332" spans="3:5" x14ac:dyDescent="0.35">
      <c r="C332" s="120"/>
      <c r="D332" s="120"/>
      <c r="E332" s="120"/>
    </row>
    <row r="333" spans="3:5" x14ac:dyDescent="0.35">
      <c r="C333" s="120"/>
      <c r="D333" s="120"/>
      <c r="E333" s="120"/>
    </row>
    <row r="334" spans="3:5" x14ac:dyDescent="0.35">
      <c r="C334" s="120"/>
      <c r="D334" s="120"/>
      <c r="E334" s="120"/>
    </row>
    <row r="335" spans="3:5" x14ac:dyDescent="0.35">
      <c r="C335" s="120"/>
      <c r="D335" s="120"/>
      <c r="E335" s="120"/>
    </row>
    <row r="336" spans="3:5" x14ac:dyDescent="0.35">
      <c r="C336" s="120"/>
      <c r="D336" s="120"/>
      <c r="E336" s="120"/>
    </row>
    <row r="337" spans="3:5" x14ac:dyDescent="0.35">
      <c r="C337" s="120"/>
      <c r="D337" s="120"/>
      <c r="E337" s="120"/>
    </row>
    <row r="338" spans="3:5" x14ac:dyDescent="0.35">
      <c r="C338" s="120"/>
      <c r="D338" s="120"/>
      <c r="E338" s="120"/>
    </row>
    <row r="339" spans="3:5" x14ac:dyDescent="0.35">
      <c r="C339" s="120"/>
      <c r="D339" s="120"/>
      <c r="E339" s="120"/>
    </row>
    <row r="340" spans="3:5" x14ac:dyDescent="0.35">
      <c r="C340" s="120"/>
      <c r="D340" s="120"/>
      <c r="E340" s="120"/>
    </row>
    <row r="341" spans="3:5" x14ac:dyDescent="0.35">
      <c r="C341" s="120"/>
      <c r="D341" s="120"/>
      <c r="E341" s="120"/>
    </row>
    <row r="342" spans="3:5" x14ac:dyDescent="0.35">
      <c r="C342" s="120"/>
      <c r="D342" s="120"/>
      <c r="E342" s="120"/>
    </row>
    <row r="343" spans="3:5" x14ac:dyDescent="0.35">
      <c r="C343" s="120"/>
      <c r="D343" s="120"/>
      <c r="E343" s="120"/>
    </row>
    <row r="344" spans="3:5" x14ac:dyDescent="0.35">
      <c r="C344" s="120"/>
      <c r="D344" s="120"/>
      <c r="E344" s="120"/>
    </row>
    <row r="345" spans="3:5" x14ac:dyDescent="0.35">
      <c r="C345" s="120"/>
      <c r="D345" s="120"/>
      <c r="E345" s="120"/>
    </row>
    <row r="346" spans="3:5" x14ac:dyDescent="0.35">
      <c r="C346" s="120"/>
      <c r="D346" s="120"/>
      <c r="E346" s="120"/>
    </row>
    <row r="347" spans="3:5" x14ac:dyDescent="0.35">
      <c r="C347" s="120"/>
      <c r="D347" s="120"/>
      <c r="E347" s="120"/>
    </row>
    <row r="348" spans="3:5" x14ac:dyDescent="0.35">
      <c r="C348" s="120"/>
      <c r="D348" s="120"/>
      <c r="E348" s="120"/>
    </row>
    <row r="349" spans="3:5" x14ac:dyDescent="0.35">
      <c r="C349" s="120"/>
      <c r="D349" s="120"/>
      <c r="E349" s="120"/>
    </row>
    <row r="350" spans="3:5" x14ac:dyDescent="0.35">
      <c r="C350" s="120"/>
      <c r="D350" s="120"/>
      <c r="E350" s="120"/>
    </row>
    <row r="351" spans="3:5" x14ac:dyDescent="0.35">
      <c r="C351" s="120"/>
      <c r="D351" s="120"/>
      <c r="E351" s="120"/>
    </row>
    <row r="352" spans="3:5" x14ac:dyDescent="0.35">
      <c r="C352" s="120"/>
      <c r="D352" s="120"/>
      <c r="E352" s="120"/>
    </row>
    <row r="353" spans="3:5" x14ac:dyDescent="0.35">
      <c r="C353" s="120"/>
      <c r="D353" s="120"/>
      <c r="E353" s="120"/>
    </row>
    <row r="354" spans="3:5" x14ac:dyDescent="0.35">
      <c r="C354" s="120"/>
      <c r="D354" s="120"/>
      <c r="E354" s="120"/>
    </row>
    <row r="355" spans="3:5" x14ac:dyDescent="0.35">
      <c r="C355" s="120"/>
      <c r="D355" s="120"/>
      <c r="E355" s="120"/>
    </row>
    <row r="356" spans="3:5" x14ac:dyDescent="0.35">
      <c r="C356" s="120"/>
      <c r="D356" s="120"/>
      <c r="E356" s="120"/>
    </row>
    <row r="357" spans="3:5" x14ac:dyDescent="0.35">
      <c r="C357" s="120"/>
      <c r="D357" s="120"/>
      <c r="E357" s="120"/>
    </row>
    <row r="358" spans="3:5" x14ac:dyDescent="0.35">
      <c r="C358" s="120"/>
      <c r="D358" s="120"/>
      <c r="E358" s="120"/>
    </row>
    <row r="359" spans="3:5" x14ac:dyDescent="0.35">
      <c r="C359" s="120"/>
      <c r="D359" s="120"/>
      <c r="E359" s="120"/>
    </row>
    <row r="360" spans="3:5" x14ac:dyDescent="0.35">
      <c r="C360" s="120"/>
      <c r="D360" s="120"/>
      <c r="E360" s="120"/>
    </row>
    <row r="361" spans="3:5" x14ac:dyDescent="0.35">
      <c r="C361" s="120"/>
      <c r="D361" s="120"/>
      <c r="E361" s="120"/>
    </row>
    <row r="362" spans="3:5" x14ac:dyDescent="0.35">
      <c r="C362" s="120"/>
      <c r="D362" s="120"/>
      <c r="E362" s="120"/>
    </row>
    <row r="363" spans="3:5" x14ac:dyDescent="0.35">
      <c r="C363" s="120"/>
      <c r="D363" s="120"/>
      <c r="E363" s="120"/>
    </row>
    <row r="364" spans="3:5" x14ac:dyDescent="0.35">
      <c r="C364" s="120"/>
      <c r="D364" s="120"/>
      <c r="E364" s="120"/>
    </row>
    <row r="365" spans="3:5" x14ac:dyDescent="0.35">
      <c r="C365" s="120"/>
      <c r="D365" s="120"/>
      <c r="E365" s="120"/>
    </row>
    <row r="366" spans="3:5" x14ac:dyDescent="0.35">
      <c r="C366" s="120"/>
      <c r="D366" s="120"/>
      <c r="E366" s="120"/>
    </row>
    <row r="367" spans="3:5" x14ac:dyDescent="0.35">
      <c r="C367" s="120"/>
      <c r="D367" s="120"/>
      <c r="E367" s="120"/>
    </row>
    <row r="368" spans="3:5" x14ac:dyDescent="0.35">
      <c r="C368" s="120"/>
      <c r="D368" s="120"/>
      <c r="E368" s="120"/>
    </row>
    <row r="369" spans="3:5" x14ac:dyDescent="0.35">
      <c r="C369" s="120"/>
      <c r="D369" s="120"/>
      <c r="E369" s="120"/>
    </row>
    <row r="370" spans="3:5" x14ac:dyDescent="0.35">
      <c r="C370" s="120"/>
      <c r="D370" s="120"/>
      <c r="E370" s="120"/>
    </row>
    <row r="371" spans="3:5" x14ac:dyDescent="0.35">
      <c r="C371" s="120"/>
      <c r="D371" s="120"/>
      <c r="E371" s="120"/>
    </row>
    <row r="372" spans="3:5" x14ac:dyDescent="0.35">
      <c r="C372" s="120"/>
      <c r="D372" s="120"/>
      <c r="E372" s="120"/>
    </row>
    <row r="373" spans="3:5" x14ac:dyDescent="0.35">
      <c r="D373" s="120"/>
    </row>
    <row r="374" spans="3:5" x14ac:dyDescent="0.35">
      <c r="D374" s="120"/>
    </row>
    <row r="375" spans="3:5" x14ac:dyDescent="0.35">
      <c r="D375" s="120"/>
    </row>
    <row r="376" spans="3:5" x14ac:dyDescent="0.35">
      <c r="D376" s="120"/>
    </row>
    <row r="377" spans="3:5" x14ac:dyDescent="0.35">
      <c r="D377" s="120"/>
    </row>
    <row r="378" spans="3:5" x14ac:dyDescent="0.35">
      <c r="D378" s="120"/>
    </row>
    <row r="379" spans="3:5" x14ac:dyDescent="0.35">
      <c r="D379" s="120"/>
    </row>
    <row r="380" spans="3:5" x14ac:dyDescent="0.35">
      <c r="D380" s="120"/>
    </row>
    <row r="381" spans="3:5" x14ac:dyDescent="0.35">
      <c r="D381" s="120"/>
    </row>
    <row r="382" spans="3:5" x14ac:dyDescent="0.35">
      <c r="D382" s="120"/>
    </row>
    <row r="383" spans="3:5" x14ac:dyDescent="0.35">
      <c r="D383" s="120"/>
    </row>
    <row r="384" spans="3:5" x14ac:dyDescent="0.35">
      <c r="D384" s="120"/>
    </row>
    <row r="385" spans="4:4" x14ac:dyDescent="0.35">
      <c r="D385" s="120"/>
    </row>
    <row r="386" spans="4:4" x14ac:dyDescent="0.35">
      <c r="D386" s="120"/>
    </row>
    <row r="387" spans="4:4" x14ac:dyDescent="0.35">
      <c r="D387" s="120"/>
    </row>
    <row r="388" spans="4:4" x14ac:dyDescent="0.35">
      <c r="D388" s="120"/>
    </row>
    <row r="389" spans="4:4" x14ac:dyDescent="0.35">
      <c r="D389" s="120"/>
    </row>
    <row r="390" spans="4:4" x14ac:dyDescent="0.35">
      <c r="D390" s="120"/>
    </row>
    <row r="391" spans="4:4" x14ac:dyDescent="0.35">
      <c r="D391" s="120"/>
    </row>
    <row r="392" spans="4:4" x14ac:dyDescent="0.35">
      <c r="D392" s="120"/>
    </row>
    <row r="393" spans="4:4" x14ac:dyDescent="0.35">
      <c r="D393" s="120"/>
    </row>
    <row r="394" spans="4:4" x14ac:dyDescent="0.35">
      <c r="D394" s="120"/>
    </row>
    <row r="395" spans="4:4" x14ac:dyDescent="0.35">
      <c r="D395" s="120"/>
    </row>
    <row r="396" spans="4:4" x14ac:dyDescent="0.35">
      <c r="D396" s="120"/>
    </row>
    <row r="397" spans="4:4" x14ac:dyDescent="0.35">
      <c r="D397" s="120"/>
    </row>
    <row r="398" spans="4:4" x14ac:dyDescent="0.35">
      <c r="D398" s="120"/>
    </row>
    <row r="399" spans="4:4" x14ac:dyDescent="0.35">
      <c r="D399" s="120"/>
    </row>
    <row r="400" spans="4:4" x14ac:dyDescent="0.35">
      <c r="D400" s="120"/>
    </row>
    <row r="401" spans="4:4" x14ac:dyDescent="0.35">
      <c r="D401" s="120"/>
    </row>
    <row r="402" spans="4:4" x14ac:dyDescent="0.35">
      <c r="D402" s="120"/>
    </row>
    <row r="403" spans="4:4" x14ac:dyDescent="0.35">
      <c r="D403" s="120"/>
    </row>
    <row r="404" spans="4:4" x14ac:dyDescent="0.35">
      <c r="D404" s="120"/>
    </row>
    <row r="405" spans="4:4" x14ac:dyDescent="0.35">
      <c r="D405" s="120"/>
    </row>
    <row r="406" spans="4:4" x14ac:dyDescent="0.35">
      <c r="D406" s="120"/>
    </row>
    <row r="407" spans="4:4" x14ac:dyDescent="0.35">
      <c r="D407" s="120"/>
    </row>
    <row r="408" spans="4:4" x14ac:dyDescent="0.35">
      <c r="D408" s="120"/>
    </row>
    <row r="409" spans="4:4" x14ac:dyDescent="0.35">
      <c r="D409" s="120"/>
    </row>
    <row r="410" spans="4:4" x14ac:dyDescent="0.35">
      <c r="D410" s="120"/>
    </row>
    <row r="411" spans="4:4" x14ac:dyDescent="0.35">
      <c r="D411" s="120"/>
    </row>
    <row r="412" spans="4:4" x14ac:dyDescent="0.35">
      <c r="D412" s="120"/>
    </row>
    <row r="413" spans="4:4" x14ac:dyDescent="0.35">
      <c r="D413" s="120"/>
    </row>
    <row r="414" spans="4:4" x14ac:dyDescent="0.35">
      <c r="D414" s="120"/>
    </row>
    <row r="415" spans="4:4" x14ac:dyDescent="0.35">
      <c r="D415" s="120"/>
    </row>
    <row r="416" spans="4:4" x14ac:dyDescent="0.35">
      <c r="D416" s="120"/>
    </row>
    <row r="417" spans="4:4" x14ac:dyDescent="0.35">
      <c r="D417" s="120"/>
    </row>
    <row r="418" spans="4:4" x14ac:dyDescent="0.35">
      <c r="D418" s="120"/>
    </row>
    <row r="419" spans="4:4" x14ac:dyDescent="0.35">
      <c r="D419" s="120"/>
    </row>
    <row r="420" spans="4:4" x14ac:dyDescent="0.35">
      <c r="D420" s="120"/>
    </row>
    <row r="421" spans="4:4" x14ac:dyDescent="0.35">
      <c r="D421" s="120"/>
    </row>
    <row r="422" spans="4:4" x14ac:dyDescent="0.35">
      <c r="D422" s="120"/>
    </row>
    <row r="423" spans="4:4" x14ac:dyDescent="0.35">
      <c r="D423" s="120"/>
    </row>
    <row r="424" spans="4:4" x14ac:dyDescent="0.35">
      <c r="D424" s="120"/>
    </row>
    <row r="425" spans="4:4" x14ac:dyDescent="0.35">
      <c r="D425" s="120"/>
    </row>
    <row r="426" spans="4:4" x14ac:dyDescent="0.35">
      <c r="D426" s="120"/>
    </row>
    <row r="427" spans="4:4" x14ac:dyDescent="0.35">
      <c r="D427" s="120"/>
    </row>
    <row r="428" spans="4:4" x14ac:dyDescent="0.35">
      <c r="D428" s="120"/>
    </row>
    <row r="429" spans="4:4" x14ac:dyDescent="0.35">
      <c r="D429" s="120"/>
    </row>
    <row r="430" spans="4:4" x14ac:dyDescent="0.35">
      <c r="D430" s="120"/>
    </row>
    <row r="431" spans="4:4" x14ac:dyDescent="0.35">
      <c r="D431" s="120"/>
    </row>
    <row r="432" spans="4:4" x14ac:dyDescent="0.35">
      <c r="D432" s="120"/>
    </row>
    <row r="433" spans="4:4" x14ac:dyDescent="0.35">
      <c r="D433" s="120"/>
    </row>
    <row r="434" spans="4:4" x14ac:dyDescent="0.35">
      <c r="D434" s="120"/>
    </row>
    <row r="435" spans="4:4" x14ac:dyDescent="0.35">
      <c r="D435" s="120"/>
    </row>
    <row r="436" spans="4:4" x14ac:dyDescent="0.35">
      <c r="D436" s="120"/>
    </row>
    <row r="437" spans="4:4" x14ac:dyDescent="0.35">
      <c r="D437" s="120"/>
    </row>
    <row r="438" spans="4:4" x14ac:dyDescent="0.35">
      <c r="D438" s="120"/>
    </row>
    <row r="439" spans="4:4" x14ac:dyDescent="0.35">
      <c r="D439" s="120"/>
    </row>
    <row r="440" spans="4:4" x14ac:dyDescent="0.35">
      <c r="D440" s="120"/>
    </row>
    <row r="441" spans="4:4" x14ac:dyDescent="0.35">
      <c r="D441" s="120"/>
    </row>
    <row r="442" spans="4:4" x14ac:dyDescent="0.35">
      <c r="D442" s="120"/>
    </row>
    <row r="443" spans="4:4" x14ac:dyDescent="0.35">
      <c r="D443" s="120"/>
    </row>
    <row r="444" spans="4:4" x14ac:dyDescent="0.35">
      <c r="D444" s="120"/>
    </row>
    <row r="445" spans="4:4" x14ac:dyDescent="0.35">
      <c r="D445" s="120"/>
    </row>
    <row r="446" spans="4:4" x14ac:dyDescent="0.35">
      <c r="D446" s="120"/>
    </row>
    <row r="447" spans="4:4" x14ac:dyDescent="0.35">
      <c r="D447" s="120"/>
    </row>
    <row r="448" spans="4:4" x14ac:dyDescent="0.35">
      <c r="D448" s="120"/>
    </row>
    <row r="449" spans="4:4" x14ac:dyDescent="0.35">
      <c r="D449" s="120"/>
    </row>
    <row r="450" spans="4:4" x14ac:dyDescent="0.35">
      <c r="D450" s="120"/>
    </row>
    <row r="451" spans="4:4" x14ac:dyDescent="0.35">
      <c r="D451" s="120"/>
    </row>
    <row r="452" spans="4:4" x14ac:dyDescent="0.35">
      <c r="D452" s="120"/>
    </row>
    <row r="453" spans="4:4" x14ac:dyDescent="0.35">
      <c r="D453" s="120"/>
    </row>
    <row r="454" spans="4:4" x14ac:dyDescent="0.35">
      <c r="D454" s="120"/>
    </row>
    <row r="455" spans="4:4" x14ac:dyDescent="0.35">
      <c r="D455" s="120"/>
    </row>
    <row r="456" spans="4:4" x14ac:dyDescent="0.35">
      <c r="D456" s="120"/>
    </row>
    <row r="457" spans="4:4" x14ac:dyDescent="0.35">
      <c r="D457" s="120"/>
    </row>
    <row r="458" spans="4:4" x14ac:dyDescent="0.35">
      <c r="D458" s="120"/>
    </row>
    <row r="459" spans="4:4" x14ac:dyDescent="0.35">
      <c r="D459" s="120"/>
    </row>
    <row r="460" spans="4:4" x14ac:dyDescent="0.35">
      <c r="D460" s="120"/>
    </row>
    <row r="461" spans="4:4" x14ac:dyDescent="0.35">
      <c r="D461" s="120"/>
    </row>
    <row r="462" spans="4:4" x14ac:dyDescent="0.35">
      <c r="D462" s="120"/>
    </row>
    <row r="463" spans="4:4" x14ac:dyDescent="0.35">
      <c r="D463" s="120"/>
    </row>
    <row r="464" spans="4:4" x14ac:dyDescent="0.35">
      <c r="D464" s="120"/>
    </row>
    <row r="465" spans="4:4" x14ac:dyDescent="0.35">
      <c r="D465" s="120"/>
    </row>
    <row r="466" spans="4:4" x14ac:dyDescent="0.35">
      <c r="D466" s="120"/>
    </row>
    <row r="467" spans="4:4" x14ac:dyDescent="0.35">
      <c r="D467" s="120"/>
    </row>
    <row r="468" spans="4:4" x14ac:dyDescent="0.35">
      <c r="D468" s="120"/>
    </row>
    <row r="469" spans="4:4" x14ac:dyDescent="0.35">
      <c r="D469" s="120"/>
    </row>
    <row r="470" spans="4:4" x14ac:dyDescent="0.35">
      <c r="D470" s="120"/>
    </row>
    <row r="471" spans="4:4" x14ac:dyDescent="0.35">
      <c r="D471" s="120"/>
    </row>
    <row r="472" spans="4:4" x14ac:dyDescent="0.35">
      <c r="D472" s="120"/>
    </row>
    <row r="473" spans="4:4" x14ac:dyDescent="0.35">
      <c r="D473" s="120"/>
    </row>
    <row r="474" spans="4:4" x14ac:dyDescent="0.35">
      <c r="D474" s="120"/>
    </row>
    <row r="475" spans="4:4" x14ac:dyDescent="0.35">
      <c r="D475" s="120"/>
    </row>
    <row r="476" spans="4:4" x14ac:dyDescent="0.35">
      <c r="D476" s="120"/>
    </row>
    <row r="477" spans="4:4" x14ac:dyDescent="0.35">
      <c r="D477" s="120"/>
    </row>
    <row r="478" spans="4:4" x14ac:dyDescent="0.35">
      <c r="D478" s="120"/>
    </row>
    <row r="479" spans="4:4" x14ac:dyDescent="0.35">
      <c r="D479" s="120"/>
    </row>
    <row r="480" spans="4:4" x14ac:dyDescent="0.35">
      <c r="D480" s="120"/>
    </row>
    <row r="481" spans="4:4" x14ac:dyDescent="0.35">
      <c r="D481" s="120"/>
    </row>
    <row r="482" spans="4:4" x14ac:dyDescent="0.35">
      <c r="D482" s="120"/>
    </row>
    <row r="483" spans="4:4" x14ac:dyDescent="0.35">
      <c r="D483" s="120"/>
    </row>
    <row r="484" spans="4:4" x14ac:dyDescent="0.35">
      <c r="D484" s="120"/>
    </row>
    <row r="485" spans="4:4" x14ac:dyDescent="0.35">
      <c r="D485" s="120"/>
    </row>
    <row r="486" spans="4:4" x14ac:dyDescent="0.35">
      <c r="D486" s="120"/>
    </row>
    <row r="487" spans="4:4" x14ac:dyDescent="0.35">
      <c r="D487" s="120"/>
    </row>
    <row r="488" spans="4:4" x14ac:dyDescent="0.35">
      <c r="D488" s="120"/>
    </row>
    <row r="489" spans="4:4" x14ac:dyDescent="0.35">
      <c r="D489" s="120"/>
    </row>
    <row r="490" spans="4:4" x14ac:dyDescent="0.35">
      <c r="D490" s="120"/>
    </row>
    <row r="491" spans="4:4" x14ac:dyDescent="0.35">
      <c r="D491" s="120"/>
    </row>
    <row r="492" spans="4:4" x14ac:dyDescent="0.35">
      <c r="D492" s="120"/>
    </row>
    <row r="493" spans="4:4" x14ac:dyDescent="0.35">
      <c r="D493" s="120"/>
    </row>
    <row r="494" spans="4:4" x14ac:dyDescent="0.35">
      <c r="D494" s="120"/>
    </row>
    <row r="495" spans="4:4" x14ac:dyDescent="0.35">
      <c r="D495" s="120"/>
    </row>
    <row r="496" spans="4:4" x14ac:dyDescent="0.35">
      <c r="D496" s="120"/>
    </row>
    <row r="497" spans="4:4" x14ac:dyDescent="0.35">
      <c r="D497" s="120"/>
    </row>
    <row r="498" spans="4:4" x14ac:dyDescent="0.35">
      <c r="D498" s="120"/>
    </row>
    <row r="499" spans="4:4" x14ac:dyDescent="0.35">
      <c r="D499" s="120"/>
    </row>
    <row r="500" spans="4:4" x14ac:dyDescent="0.35">
      <c r="D500" s="120"/>
    </row>
    <row r="501" spans="4:4" x14ac:dyDescent="0.35">
      <c r="D501" s="120"/>
    </row>
    <row r="502" spans="4:4" x14ac:dyDescent="0.35">
      <c r="D502" s="120"/>
    </row>
    <row r="503" spans="4:4" x14ac:dyDescent="0.35">
      <c r="D503" s="120"/>
    </row>
    <row r="504" spans="4:4" x14ac:dyDescent="0.35">
      <c r="D504" s="120"/>
    </row>
    <row r="505" spans="4:4" x14ac:dyDescent="0.35">
      <c r="D505" s="120"/>
    </row>
    <row r="506" spans="4:4" x14ac:dyDescent="0.35">
      <c r="D506" s="120"/>
    </row>
    <row r="507" spans="4:4" x14ac:dyDescent="0.35">
      <c r="D507" s="120"/>
    </row>
    <row r="508" spans="4:4" x14ac:dyDescent="0.35">
      <c r="D508" s="120"/>
    </row>
    <row r="509" spans="4:4" x14ac:dyDescent="0.35">
      <c r="D509" s="120"/>
    </row>
    <row r="510" spans="4:4" x14ac:dyDescent="0.35">
      <c r="D510" s="120"/>
    </row>
    <row r="511" spans="4:4" x14ac:dyDescent="0.35">
      <c r="D511" s="120"/>
    </row>
    <row r="512" spans="4:4" x14ac:dyDescent="0.35">
      <c r="D512" s="120"/>
    </row>
    <row r="513" spans="4:4" x14ac:dyDescent="0.35">
      <c r="D513" s="120"/>
    </row>
    <row r="514" spans="4:4" x14ac:dyDescent="0.35">
      <c r="D514" s="120"/>
    </row>
    <row r="515" spans="4:4" x14ac:dyDescent="0.35">
      <c r="D515" s="120"/>
    </row>
    <row r="516" spans="4:4" x14ac:dyDescent="0.35">
      <c r="D516" s="120"/>
    </row>
    <row r="517" spans="4:4" x14ac:dyDescent="0.35">
      <c r="D517" s="120"/>
    </row>
    <row r="518" spans="4:4" x14ac:dyDescent="0.35">
      <c r="D518" s="120"/>
    </row>
    <row r="519" spans="4:4" x14ac:dyDescent="0.35">
      <c r="D519" s="120"/>
    </row>
    <row r="520" spans="4:4" x14ac:dyDescent="0.35">
      <c r="D520" s="120"/>
    </row>
    <row r="521" spans="4:4" x14ac:dyDescent="0.35">
      <c r="D521" s="120"/>
    </row>
    <row r="522" spans="4:4" x14ac:dyDescent="0.35">
      <c r="D522" s="120"/>
    </row>
    <row r="523" spans="4:4" x14ac:dyDescent="0.35">
      <c r="D523" s="120"/>
    </row>
    <row r="524" spans="4:4" x14ac:dyDescent="0.35">
      <c r="D524" s="120"/>
    </row>
    <row r="525" spans="4:4" x14ac:dyDescent="0.35">
      <c r="D525" s="120"/>
    </row>
    <row r="526" spans="4:4" x14ac:dyDescent="0.35">
      <c r="D526" s="120"/>
    </row>
    <row r="527" spans="4:4" x14ac:dyDescent="0.35">
      <c r="D527" s="120"/>
    </row>
    <row r="528" spans="4:4" x14ac:dyDescent="0.35">
      <c r="D528" s="120"/>
    </row>
    <row r="529" spans="4:4" x14ac:dyDescent="0.35">
      <c r="D529" s="120"/>
    </row>
    <row r="530" spans="4:4" x14ac:dyDescent="0.35">
      <c r="D530" s="120"/>
    </row>
    <row r="531" spans="4:4" x14ac:dyDescent="0.35">
      <c r="D531" s="120"/>
    </row>
    <row r="532" spans="4:4" x14ac:dyDescent="0.35">
      <c r="D532" s="120"/>
    </row>
    <row r="533" spans="4:4" x14ac:dyDescent="0.35">
      <c r="D533" s="120"/>
    </row>
    <row r="534" spans="4:4" x14ac:dyDescent="0.35">
      <c r="D534" s="120"/>
    </row>
    <row r="535" spans="4:4" x14ac:dyDescent="0.35">
      <c r="D535" s="120"/>
    </row>
    <row r="536" spans="4:4" x14ac:dyDescent="0.35">
      <c r="D536" s="120"/>
    </row>
    <row r="537" spans="4:4" x14ac:dyDescent="0.35">
      <c r="D537" s="120"/>
    </row>
    <row r="538" spans="4:4" x14ac:dyDescent="0.35">
      <c r="D538" s="120"/>
    </row>
    <row r="539" spans="4:4" x14ac:dyDescent="0.35">
      <c r="D539" s="120"/>
    </row>
    <row r="540" spans="4:4" x14ac:dyDescent="0.35">
      <c r="D540" s="120"/>
    </row>
    <row r="541" spans="4:4" x14ac:dyDescent="0.35">
      <c r="D541" s="120"/>
    </row>
    <row r="542" spans="4:4" x14ac:dyDescent="0.35">
      <c r="D542" s="120"/>
    </row>
    <row r="543" spans="4:4" x14ac:dyDescent="0.35">
      <c r="D543" s="120"/>
    </row>
    <row r="544" spans="4:4" x14ac:dyDescent="0.35">
      <c r="D544" s="120"/>
    </row>
    <row r="545" spans="4:4" x14ac:dyDescent="0.35">
      <c r="D545" s="120"/>
    </row>
    <row r="546" spans="4:4" x14ac:dyDescent="0.35">
      <c r="D546" s="120"/>
    </row>
    <row r="547" spans="4:4" x14ac:dyDescent="0.35">
      <c r="D547" s="120"/>
    </row>
    <row r="548" spans="4:4" x14ac:dyDescent="0.35">
      <c r="D548" s="120"/>
    </row>
    <row r="549" spans="4:4" x14ac:dyDescent="0.35">
      <c r="D549" s="120"/>
    </row>
    <row r="550" spans="4:4" x14ac:dyDescent="0.35">
      <c r="D550" s="120"/>
    </row>
    <row r="551" spans="4:4" x14ac:dyDescent="0.35">
      <c r="D551" s="120"/>
    </row>
    <row r="552" spans="4:4" x14ac:dyDescent="0.35">
      <c r="D552" s="120"/>
    </row>
    <row r="553" spans="4:4" x14ac:dyDescent="0.35">
      <c r="D553" s="120"/>
    </row>
    <row r="554" spans="4:4" x14ac:dyDescent="0.35">
      <c r="D554" s="120"/>
    </row>
    <row r="555" spans="4:4" x14ac:dyDescent="0.35">
      <c r="D555" s="120"/>
    </row>
    <row r="556" spans="4:4" x14ac:dyDescent="0.35">
      <c r="D556" s="120"/>
    </row>
    <row r="557" spans="4:4" x14ac:dyDescent="0.35">
      <c r="D557" s="120"/>
    </row>
    <row r="558" spans="4:4" x14ac:dyDescent="0.35">
      <c r="D558" s="120"/>
    </row>
    <row r="559" spans="4:4" x14ac:dyDescent="0.35">
      <c r="D559" s="120"/>
    </row>
    <row r="560" spans="4:4" x14ac:dyDescent="0.35">
      <c r="D560" s="120"/>
    </row>
    <row r="561" spans="4:4" x14ac:dyDescent="0.35">
      <c r="D561" s="120"/>
    </row>
    <row r="562" spans="4:4" x14ac:dyDescent="0.35">
      <c r="D562" s="120"/>
    </row>
    <row r="563" spans="4:4" x14ac:dyDescent="0.35">
      <c r="D563" s="120"/>
    </row>
    <row r="564" spans="4:4" x14ac:dyDescent="0.35">
      <c r="D564" s="120"/>
    </row>
    <row r="565" spans="4:4" x14ac:dyDescent="0.35">
      <c r="D565" s="120"/>
    </row>
    <row r="566" spans="4:4" x14ac:dyDescent="0.35">
      <c r="D566" s="120"/>
    </row>
    <row r="567" spans="4:4" x14ac:dyDescent="0.35">
      <c r="D567" s="120"/>
    </row>
    <row r="568" spans="4:4" x14ac:dyDescent="0.35">
      <c r="D568" s="120"/>
    </row>
    <row r="569" spans="4:4" x14ac:dyDescent="0.35">
      <c r="D569" s="120"/>
    </row>
    <row r="570" spans="4:4" x14ac:dyDescent="0.35">
      <c r="D570" s="120"/>
    </row>
    <row r="571" spans="4:4" x14ac:dyDescent="0.35">
      <c r="D571" s="120"/>
    </row>
    <row r="572" spans="4:4" x14ac:dyDescent="0.35">
      <c r="D572" s="120"/>
    </row>
    <row r="573" spans="4:4" x14ac:dyDescent="0.35">
      <c r="D573" s="120"/>
    </row>
    <row r="574" spans="4:4" x14ac:dyDescent="0.35">
      <c r="D574" s="120"/>
    </row>
    <row r="575" spans="4:4" x14ac:dyDescent="0.35">
      <c r="D575" s="120"/>
    </row>
    <row r="576" spans="4:4" x14ac:dyDescent="0.35">
      <c r="D576" s="120"/>
    </row>
    <row r="577" spans="4:4" x14ac:dyDescent="0.35">
      <c r="D577" s="120"/>
    </row>
    <row r="578" spans="4:4" x14ac:dyDescent="0.35">
      <c r="D578" s="120"/>
    </row>
    <row r="579" spans="4:4" x14ac:dyDescent="0.35">
      <c r="D579" s="120"/>
    </row>
    <row r="580" spans="4:4" x14ac:dyDescent="0.35">
      <c r="D580" s="120"/>
    </row>
    <row r="581" spans="4:4" x14ac:dyDescent="0.35">
      <c r="D581" s="120"/>
    </row>
    <row r="582" spans="4:4" x14ac:dyDescent="0.35">
      <c r="D582" s="120"/>
    </row>
    <row r="583" spans="4:4" x14ac:dyDescent="0.35">
      <c r="D583" s="120"/>
    </row>
    <row r="584" spans="4:4" x14ac:dyDescent="0.35">
      <c r="D584" s="120"/>
    </row>
    <row r="585" spans="4:4" x14ac:dyDescent="0.35">
      <c r="D585" s="120"/>
    </row>
    <row r="586" spans="4:4" x14ac:dyDescent="0.35">
      <c r="D586" s="120"/>
    </row>
    <row r="587" spans="4:4" x14ac:dyDescent="0.35">
      <c r="D587" s="120"/>
    </row>
    <row r="588" spans="4:4" x14ac:dyDescent="0.35">
      <c r="D588" s="120"/>
    </row>
    <row r="589" spans="4:4" x14ac:dyDescent="0.35">
      <c r="D589" s="120"/>
    </row>
    <row r="590" spans="4:4" x14ac:dyDescent="0.35">
      <c r="D590" s="120"/>
    </row>
    <row r="591" spans="4:4" x14ac:dyDescent="0.35">
      <c r="D591" s="120"/>
    </row>
    <row r="592" spans="4:4" x14ac:dyDescent="0.35">
      <c r="D592" s="120"/>
    </row>
    <row r="593" spans="4:4" x14ac:dyDescent="0.35">
      <c r="D593" s="120"/>
    </row>
    <row r="594" spans="4:4" x14ac:dyDescent="0.35">
      <c r="D594" s="120"/>
    </row>
    <row r="595" spans="4:4" x14ac:dyDescent="0.35">
      <c r="D595" s="120"/>
    </row>
    <row r="596" spans="4:4" x14ac:dyDescent="0.35">
      <c r="D596" s="120"/>
    </row>
    <row r="597" spans="4:4" x14ac:dyDescent="0.35">
      <c r="D597" s="120"/>
    </row>
    <row r="598" spans="4:4" x14ac:dyDescent="0.35">
      <c r="D598" s="120"/>
    </row>
    <row r="599" spans="4:4" x14ac:dyDescent="0.35">
      <c r="D599" s="120"/>
    </row>
    <row r="600" spans="4:4" x14ac:dyDescent="0.35">
      <c r="D600" s="120"/>
    </row>
    <row r="601" spans="4:4" x14ac:dyDescent="0.35">
      <c r="D601" s="120"/>
    </row>
    <row r="602" spans="4:4" x14ac:dyDescent="0.35">
      <c r="D602" s="120"/>
    </row>
    <row r="603" spans="4:4" x14ac:dyDescent="0.35">
      <c r="D603" s="120"/>
    </row>
    <row r="604" spans="4:4" x14ac:dyDescent="0.35">
      <c r="D604" s="120"/>
    </row>
    <row r="605" spans="4:4" x14ac:dyDescent="0.35">
      <c r="D605" s="120"/>
    </row>
    <row r="606" spans="4:4" x14ac:dyDescent="0.35">
      <c r="D606" s="120"/>
    </row>
    <row r="607" spans="4:4" x14ac:dyDescent="0.35">
      <c r="D607" s="120"/>
    </row>
    <row r="608" spans="4:4" x14ac:dyDescent="0.35">
      <c r="D608" s="120"/>
    </row>
    <row r="609" spans="4:4" x14ac:dyDescent="0.35">
      <c r="D609" s="120"/>
    </row>
    <row r="610" spans="4:4" x14ac:dyDescent="0.35">
      <c r="D610" s="120"/>
    </row>
    <row r="611" spans="4:4" x14ac:dyDescent="0.35">
      <c r="D611" s="120"/>
    </row>
    <row r="612" spans="4:4" x14ac:dyDescent="0.35">
      <c r="D612" s="120"/>
    </row>
    <row r="613" spans="4:4" x14ac:dyDescent="0.35">
      <c r="D613" s="120"/>
    </row>
    <row r="614" spans="4:4" x14ac:dyDescent="0.35">
      <c r="D614" s="120"/>
    </row>
    <row r="615" spans="4:4" x14ac:dyDescent="0.35">
      <c r="D615" s="120"/>
    </row>
    <row r="616" spans="4:4" x14ac:dyDescent="0.35">
      <c r="D616" s="120"/>
    </row>
    <row r="617" spans="4:4" x14ac:dyDescent="0.35">
      <c r="D617" s="120"/>
    </row>
    <row r="618" spans="4:4" x14ac:dyDescent="0.35">
      <c r="D618" s="120"/>
    </row>
    <row r="619" spans="4:4" x14ac:dyDescent="0.35">
      <c r="D619" s="120"/>
    </row>
    <row r="620" spans="4:4" x14ac:dyDescent="0.35">
      <c r="D620" s="120"/>
    </row>
    <row r="621" spans="4:4" x14ac:dyDescent="0.35">
      <c r="D621" s="120"/>
    </row>
    <row r="622" spans="4:4" x14ac:dyDescent="0.35">
      <c r="D622" s="120"/>
    </row>
    <row r="623" spans="4:4" x14ac:dyDescent="0.35">
      <c r="D623" s="120"/>
    </row>
    <row r="624" spans="4:4" x14ac:dyDescent="0.35">
      <c r="D624" s="120"/>
    </row>
    <row r="625" spans="4:4" x14ac:dyDescent="0.35">
      <c r="D625" s="120"/>
    </row>
    <row r="626" spans="4:4" x14ac:dyDescent="0.35">
      <c r="D626" s="120"/>
    </row>
    <row r="627" spans="4:4" x14ac:dyDescent="0.35">
      <c r="D627" s="120"/>
    </row>
    <row r="628" spans="4:4" x14ac:dyDescent="0.35">
      <c r="D628" s="120"/>
    </row>
    <row r="629" spans="4:4" x14ac:dyDescent="0.35">
      <c r="D629" s="120"/>
    </row>
    <row r="630" spans="4:4" x14ac:dyDescent="0.35">
      <c r="D630" s="120"/>
    </row>
    <row r="631" spans="4:4" x14ac:dyDescent="0.35">
      <c r="D631" s="120"/>
    </row>
    <row r="632" spans="4:4" x14ac:dyDescent="0.35">
      <c r="D632" s="120"/>
    </row>
    <row r="633" spans="4:4" x14ac:dyDescent="0.35">
      <c r="D633" s="120"/>
    </row>
    <row r="634" spans="4:4" x14ac:dyDescent="0.35">
      <c r="D634" s="120"/>
    </row>
    <row r="635" spans="4:4" x14ac:dyDescent="0.35">
      <c r="D635" s="120"/>
    </row>
    <row r="636" spans="4:4" x14ac:dyDescent="0.35">
      <c r="D636" s="120"/>
    </row>
    <row r="637" spans="4:4" x14ac:dyDescent="0.35">
      <c r="D637" s="120"/>
    </row>
    <row r="638" spans="4:4" x14ac:dyDescent="0.35">
      <c r="D638" s="120"/>
    </row>
    <row r="639" spans="4:4" x14ac:dyDescent="0.35">
      <c r="D639" s="120"/>
    </row>
    <row r="640" spans="4:4" x14ac:dyDescent="0.35">
      <c r="D640" s="120"/>
    </row>
    <row r="641" spans="4:4" x14ac:dyDescent="0.35">
      <c r="D641" s="120"/>
    </row>
    <row r="642" spans="4:4" x14ac:dyDescent="0.35">
      <c r="D642" s="120"/>
    </row>
    <row r="643" spans="4:4" x14ac:dyDescent="0.35">
      <c r="D643" s="120"/>
    </row>
    <row r="644" spans="4:4" x14ac:dyDescent="0.35">
      <c r="D644" s="120"/>
    </row>
    <row r="645" spans="4:4" x14ac:dyDescent="0.35">
      <c r="D645" s="120"/>
    </row>
    <row r="646" spans="4:4" x14ac:dyDescent="0.35">
      <c r="D646" s="120"/>
    </row>
    <row r="647" spans="4:4" x14ac:dyDescent="0.35">
      <c r="D647" s="120"/>
    </row>
    <row r="648" spans="4:4" x14ac:dyDescent="0.35">
      <c r="D648" s="120"/>
    </row>
    <row r="649" spans="4:4" x14ac:dyDescent="0.35">
      <c r="D649" s="120"/>
    </row>
    <row r="650" spans="4:4" x14ac:dyDescent="0.35">
      <c r="D650" s="120"/>
    </row>
    <row r="651" spans="4:4" x14ac:dyDescent="0.35">
      <c r="D651" s="120"/>
    </row>
    <row r="652" spans="4:4" x14ac:dyDescent="0.35">
      <c r="D652" s="120"/>
    </row>
    <row r="653" spans="4:4" x14ac:dyDescent="0.35">
      <c r="D653" s="120"/>
    </row>
    <row r="654" spans="4:4" x14ac:dyDescent="0.35">
      <c r="D654" s="120"/>
    </row>
    <row r="655" spans="4:4" x14ac:dyDescent="0.35">
      <c r="D655" s="120"/>
    </row>
    <row r="656" spans="4:4" x14ac:dyDescent="0.35">
      <c r="D656" s="120"/>
    </row>
    <row r="657" spans="4:4" x14ac:dyDescent="0.35">
      <c r="D657" s="120"/>
    </row>
    <row r="658" spans="4:4" x14ac:dyDescent="0.35">
      <c r="D658" s="120"/>
    </row>
    <row r="659" spans="4:4" x14ac:dyDescent="0.35">
      <c r="D659" s="120"/>
    </row>
    <row r="660" spans="4:4" x14ac:dyDescent="0.35">
      <c r="D660" s="120"/>
    </row>
    <row r="661" spans="4:4" x14ac:dyDescent="0.35">
      <c r="D661" s="120"/>
    </row>
    <row r="662" spans="4:4" x14ac:dyDescent="0.35">
      <c r="D662" s="120"/>
    </row>
    <row r="663" spans="4:4" x14ac:dyDescent="0.35">
      <c r="D663" s="120"/>
    </row>
    <row r="664" spans="4:4" x14ac:dyDescent="0.35">
      <c r="D664" s="120"/>
    </row>
    <row r="665" spans="4:4" x14ac:dyDescent="0.35">
      <c r="D665" s="120"/>
    </row>
    <row r="666" spans="4:4" x14ac:dyDescent="0.35">
      <c r="D666" s="120"/>
    </row>
    <row r="667" spans="4:4" x14ac:dyDescent="0.35">
      <c r="D667" s="120"/>
    </row>
    <row r="668" spans="4:4" x14ac:dyDescent="0.35">
      <c r="D668" s="120"/>
    </row>
    <row r="669" spans="4:4" x14ac:dyDescent="0.35">
      <c r="D669" s="120"/>
    </row>
    <row r="670" spans="4:4" x14ac:dyDescent="0.35">
      <c r="D670" s="120"/>
    </row>
    <row r="671" spans="4:4" x14ac:dyDescent="0.35">
      <c r="D671" s="120"/>
    </row>
    <row r="672" spans="4:4" x14ac:dyDescent="0.35">
      <c r="D672" s="120"/>
    </row>
    <row r="673" spans="4:4" x14ac:dyDescent="0.35">
      <c r="D673" s="120"/>
    </row>
    <row r="674" spans="4:4" x14ac:dyDescent="0.35">
      <c r="D674" s="120"/>
    </row>
    <row r="675" spans="4:4" x14ac:dyDescent="0.35">
      <c r="D675" s="120"/>
    </row>
    <row r="676" spans="4:4" x14ac:dyDescent="0.35">
      <c r="D676" s="120"/>
    </row>
    <row r="677" spans="4:4" x14ac:dyDescent="0.35">
      <c r="D677" s="120"/>
    </row>
    <row r="678" spans="4:4" x14ac:dyDescent="0.35">
      <c r="D678" s="120"/>
    </row>
    <row r="679" spans="4:4" x14ac:dyDescent="0.35">
      <c r="D679" s="120"/>
    </row>
    <row r="680" spans="4:4" x14ac:dyDescent="0.35">
      <c r="D680" s="120"/>
    </row>
    <row r="681" spans="4:4" x14ac:dyDescent="0.35">
      <c r="D681" s="120"/>
    </row>
    <row r="682" spans="4:4" x14ac:dyDescent="0.35">
      <c r="D682" s="120"/>
    </row>
    <row r="683" spans="4:4" x14ac:dyDescent="0.35">
      <c r="D683" s="120"/>
    </row>
    <row r="684" spans="4:4" x14ac:dyDescent="0.35">
      <c r="D684" s="120"/>
    </row>
    <row r="685" spans="4:4" x14ac:dyDescent="0.35">
      <c r="D685" s="120"/>
    </row>
    <row r="686" spans="4:4" x14ac:dyDescent="0.35">
      <c r="D686" s="120"/>
    </row>
    <row r="687" spans="4:4" x14ac:dyDescent="0.35">
      <c r="D687" s="120"/>
    </row>
    <row r="688" spans="4:4" x14ac:dyDescent="0.35">
      <c r="D688" s="120"/>
    </row>
    <row r="689" spans="4:4" x14ac:dyDescent="0.35">
      <c r="D689" s="120"/>
    </row>
    <row r="690" spans="4:4" x14ac:dyDescent="0.35">
      <c r="D690" s="120"/>
    </row>
    <row r="691" spans="4:4" x14ac:dyDescent="0.35">
      <c r="D691" s="120"/>
    </row>
    <row r="692" spans="4:4" x14ac:dyDescent="0.35">
      <c r="D692" s="120"/>
    </row>
    <row r="693" spans="4:4" x14ac:dyDescent="0.35">
      <c r="D693" s="120"/>
    </row>
    <row r="694" spans="4:4" x14ac:dyDescent="0.35">
      <c r="D694" s="120"/>
    </row>
    <row r="695" spans="4:4" x14ac:dyDescent="0.35">
      <c r="D695" s="120"/>
    </row>
    <row r="696" spans="4:4" x14ac:dyDescent="0.35">
      <c r="D696" s="120"/>
    </row>
    <row r="697" spans="4:4" x14ac:dyDescent="0.35">
      <c r="D697" s="120"/>
    </row>
    <row r="698" spans="4:4" x14ac:dyDescent="0.35">
      <c r="D698" s="120"/>
    </row>
    <row r="699" spans="4:4" x14ac:dyDescent="0.35">
      <c r="D699" s="120"/>
    </row>
    <row r="700" spans="4:4" x14ac:dyDescent="0.35">
      <c r="D700" s="120"/>
    </row>
    <row r="701" spans="4:4" x14ac:dyDescent="0.35">
      <c r="D701" s="120"/>
    </row>
    <row r="702" spans="4:4" x14ac:dyDescent="0.35">
      <c r="D702" s="120"/>
    </row>
    <row r="703" spans="4:4" x14ac:dyDescent="0.35">
      <c r="D703" s="120"/>
    </row>
    <row r="704" spans="4:4" x14ac:dyDescent="0.35">
      <c r="D704" s="120"/>
    </row>
    <row r="705" spans="4:4" x14ac:dyDescent="0.35">
      <c r="D705" s="120"/>
    </row>
    <row r="706" spans="4:4" x14ac:dyDescent="0.35">
      <c r="D706" s="120"/>
    </row>
    <row r="707" spans="4:4" x14ac:dyDescent="0.35">
      <c r="D707" s="120"/>
    </row>
    <row r="708" spans="4:4" x14ac:dyDescent="0.35">
      <c r="D708" s="120"/>
    </row>
    <row r="709" spans="4:4" x14ac:dyDescent="0.35">
      <c r="D709" s="120"/>
    </row>
    <row r="710" spans="4:4" x14ac:dyDescent="0.35">
      <c r="D710" s="120"/>
    </row>
    <row r="711" spans="4:4" x14ac:dyDescent="0.35">
      <c r="D711" s="120"/>
    </row>
    <row r="712" spans="4:4" x14ac:dyDescent="0.35">
      <c r="D712" s="120"/>
    </row>
    <row r="713" spans="4:4" x14ac:dyDescent="0.35">
      <c r="D713" s="120"/>
    </row>
    <row r="714" spans="4:4" x14ac:dyDescent="0.35">
      <c r="D714" s="120"/>
    </row>
    <row r="715" spans="4:4" x14ac:dyDescent="0.35">
      <c r="D715" s="120"/>
    </row>
    <row r="716" spans="4:4" x14ac:dyDescent="0.35">
      <c r="D716" s="120"/>
    </row>
    <row r="717" spans="4:4" x14ac:dyDescent="0.35">
      <c r="D717" s="120"/>
    </row>
    <row r="718" spans="4:4" x14ac:dyDescent="0.35">
      <c r="D718" s="120"/>
    </row>
    <row r="719" spans="4:4" x14ac:dyDescent="0.35">
      <c r="D719" s="120"/>
    </row>
    <row r="720" spans="4:4" x14ac:dyDescent="0.35">
      <c r="D720" s="120"/>
    </row>
    <row r="721" spans="4:4" x14ac:dyDescent="0.35">
      <c r="D721" s="120"/>
    </row>
    <row r="722" spans="4:4" x14ac:dyDescent="0.35">
      <c r="D722" s="120"/>
    </row>
    <row r="723" spans="4:4" x14ac:dyDescent="0.35">
      <c r="D723" s="120"/>
    </row>
    <row r="724" spans="4:4" x14ac:dyDescent="0.35">
      <c r="D724" s="120"/>
    </row>
    <row r="725" spans="4:4" x14ac:dyDescent="0.35">
      <c r="D725" s="120"/>
    </row>
    <row r="726" spans="4:4" x14ac:dyDescent="0.35">
      <c r="D726" s="120"/>
    </row>
    <row r="727" spans="4:4" x14ac:dyDescent="0.35">
      <c r="D727" s="120"/>
    </row>
    <row r="728" spans="4:4" x14ac:dyDescent="0.35">
      <c r="D728" s="120"/>
    </row>
    <row r="729" spans="4:4" x14ac:dyDescent="0.35">
      <c r="D729" s="120"/>
    </row>
    <row r="730" spans="4:4" x14ac:dyDescent="0.35">
      <c r="D730" s="120"/>
    </row>
    <row r="731" spans="4:4" x14ac:dyDescent="0.35">
      <c r="D731" s="120"/>
    </row>
    <row r="732" spans="4:4" x14ac:dyDescent="0.35">
      <c r="D732" s="120"/>
    </row>
    <row r="733" spans="4:4" x14ac:dyDescent="0.35">
      <c r="D733" s="120"/>
    </row>
    <row r="734" spans="4:4" x14ac:dyDescent="0.35">
      <c r="D734" s="120"/>
    </row>
    <row r="735" spans="4:4" x14ac:dyDescent="0.35">
      <c r="D735" s="120"/>
    </row>
    <row r="736" spans="4:4" x14ac:dyDescent="0.35">
      <c r="D736" s="120"/>
    </row>
    <row r="737" spans="4:4" x14ac:dyDescent="0.35">
      <c r="D737" s="120"/>
    </row>
    <row r="738" spans="4:4" x14ac:dyDescent="0.35">
      <c r="D738" s="120"/>
    </row>
    <row r="739" spans="4:4" x14ac:dyDescent="0.35">
      <c r="D739" s="120"/>
    </row>
    <row r="740" spans="4:4" x14ac:dyDescent="0.35">
      <c r="D740" s="120"/>
    </row>
    <row r="741" spans="4:4" x14ac:dyDescent="0.35">
      <c r="D741" s="120"/>
    </row>
    <row r="742" spans="4:4" x14ac:dyDescent="0.35">
      <c r="D742" s="120"/>
    </row>
    <row r="743" spans="4:4" x14ac:dyDescent="0.35">
      <c r="D743" s="120"/>
    </row>
    <row r="744" spans="4:4" x14ac:dyDescent="0.35">
      <c r="D744" s="120"/>
    </row>
    <row r="745" spans="4:4" x14ac:dyDescent="0.35">
      <c r="D745" s="120"/>
    </row>
    <row r="746" spans="4:4" x14ac:dyDescent="0.35">
      <c r="D746" s="120"/>
    </row>
    <row r="747" spans="4:4" x14ac:dyDescent="0.35">
      <c r="D747" s="120"/>
    </row>
    <row r="748" spans="4:4" x14ac:dyDescent="0.35">
      <c r="D748" s="120"/>
    </row>
    <row r="749" spans="4:4" x14ac:dyDescent="0.35">
      <c r="D749" s="120"/>
    </row>
    <row r="750" spans="4:4" x14ac:dyDescent="0.35">
      <c r="D750" s="120"/>
    </row>
    <row r="751" spans="4:4" x14ac:dyDescent="0.35">
      <c r="D751" s="120"/>
    </row>
    <row r="752" spans="4:4" x14ac:dyDescent="0.35">
      <c r="D752" s="120"/>
    </row>
    <row r="753" spans="4:4" x14ac:dyDescent="0.35">
      <c r="D753" s="120"/>
    </row>
    <row r="754" spans="4:4" x14ac:dyDescent="0.35">
      <c r="D754" s="120"/>
    </row>
    <row r="755" spans="4:4" x14ac:dyDescent="0.35">
      <c r="D755" s="120"/>
    </row>
    <row r="756" spans="4:4" x14ac:dyDescent="0.35">
      <c r="D756" s="120"/>
    </row>
    <row r="757" spans="4:4" x14ac:dyDescent="0.35">
      <c r="D757" s="120"/>
    </row>
    <row r="758" spans="4:4" x14ac:dyDescent="0.35">
      <c r="D758" s="120"/>
    </row>
    <row r="759" spans="4:4" x14ac:dyDescent="0.35">
      <c r="D759" s="120"/>
    </row>
    <row r="760" spans="4:4" x14ac:dyDescent="0.35">
      <c r="D760" s="120"/>
    </row>
    <row r="761" spans="4:4" x14ac:dyDescent="0.35">
      <c r="D761" s="120"/>
    </row>
    <row r="762" spans="4:4" x14ac:dyDescent="0.35">
      <c r="D762" s="120"/>
    </row>
    <row r="763" spans="4:4" x14ac:dyDescent="0.35">
      <c r="D763" s="120"/>
    </row>
    <row r="764" spans="4:4" x14ac:dyDescent="0.35">
      <c r="D764" s="120"/>
    </row>
    <row r="765" spans="4:4" x14ac:dyDescent="0.35">
      <c r="D765" s="120"/>
    </row>
    <row r="766" spans="4:4" x14ac:dyDescent="0.35">
      <c r="D766" s="120"/>
    </row>
    <row r="767" spans="4:4" x14ac:dyDescent="0.35">
      <c r="D767" s="120"/>
    </row>
    <row r="768" spans="4:4" x14ac:dyDescent="0.35">
      <c r="D768" s="120"/>
    </row>
    <row r="769" spans="4:4" x14ac:dyDescent="0.35">
      <c r="D769" s="120"/>
    </row>
    <row r="770" spans="4:4" x14ac:dyDescent="0.35">
      <c r="D770" s="120"/>
    </row>
    <row r="771" spans="4:4" x14ac:dyDescent="0.35">
      <c r="D771" s="120"/>
    </row>
    <row r="772" spans="4:4" x14ac:dyDescent="0.35">
      <c r="D772" s="120"/>
    </row>
    <row r="773" spans="4:4" x14ac:dyDescent="0.35">
      <c r="D773" s="120"/>
    </row>
    <row r="774" spans="4:4" x14ac:dyDescent="0.35">
      <c r="D774" s="120"/>
    </row>
    <row r="775" spans="4:4" x14ac:dyDescent="0.35">
      <c r="D775" s="120"/>
    </row>
    <row r="776" spans="4:4" x14ac:dyDescent="0.35">
      <c r="D776" s="120"/>
    </row>
    <row r="777" spans="4:4" x14ac:dyDescent="0.35">
      <c r="D777" s="120"/>
    </row>
    <row r="778" spans="4:4" x14ac:dyDescent="0.35">
      <c r="D778" s="120"/>
    </row>
    <row r="779" spans="4:4" x14ac:dyDescent="0.35">
      <c r="D779" s="120"/>
    </row>
    <row r="780" spans="4:4" x14ac:dyDescent="0.35">
      <c r="D780" s="120"/>
    </row>
    <row r="781" spans="4:4" x14ac:dyDescent="0.35">
      <c r="D781" s="120"/>
    </row>
    <row r="782" spans="4:4" x14ac:dyDescent="0.35">
      <c r="D782" s="120"/>
    </row>
    <row r="783" spans="4:4" x14ac:dyDescent="0.35">
      <c r="D783" s="120"/>
    </row>
    <row r="784" spans="4:4" x14ac:dyDescent="0.35">
      <c r="D784" s="120"/>
    </row>
    <row r="785" spans="4:4" x14ac:dyDescent="0.35">
      <c r="D785" s="120"/>
    </row>
    <row r="786" spans="4:4" x14ac:dyDescent="0.35">
      <c r="D786" s="120"/>
    </row>
    <row r="787" spans="4:4" x14ac:dyDescent="0.35">
      <c r="D787" s="120"/>
    </row>
    <row r="788" spans="4:4" x14ac:dyDescent="0.35">
      <c r="D788" s="120"/>
    </row>
    <row r="789" spans="4:4" x14ac:dyDescent="0.35">
      <c r="D789" s="120"/>
    </row>
    <row r="790" spans="4:4" x14ac:dyDescent="0.35">
      <c r="D790" s="120"/>
    </row>
    <row r="791" spans="4:4" x14ac:dyDescent="0.35">
      <c r="D791" s="120"/>
    </row>
    <row r="792" spans="4:4" x14ac:dyDescent="0.35">
      <c r="D792" s="120"/>
    </row>
    <row r="793" spans="4:4" x14ac:dyDescent="0.35">
      <c r="D793" s="120"/>
    </row>
    <row r="794" spans="4:4" x14ac:dyDescent="0.35">
      <c r="D794" s="120"/>
    </row>
    <row r="795" spans="4:4" x14ac:dyDescent="0.35">
      <c r="D795" s="120"/>
    </row>
    <row r="796" spans="4:4" x14ac:dyDescent="0.35">
      <c r="D796" s="120"/>
    </row>
    <row r="797" spans="4:4" x14ac:dyDescent="0.35">
      <c r="D797" s="120"/>
    </row>
    <row r="798" spans="4:4" x14ac:dyDescent="0.35">
      <c r="D798" s="120"/>
    </row>
    <row r="799" spans="4:4" x14ac:dyDescent="0.35">
      <c r="D799" s="120"/>
    </row>
    <row r="800" spans="4:4" x14ac:dyDescent="0.35">
      <c r="D800" s="120"/>
    </row>
    <row r="801" spans="4:4" x14ac:dyDescent="0.35">
      <c r="D801" s="120"/>
    </row>
    <row r="802" spans="4:4" x14ac:dyDescent="0.35">
      <c r="D802" s="120"/>
    </row>
    <row r="803" spans="4:4" x14ac:dyDescent="0.35">
      <c r="D803" s="120"/>
    </row>
    <row r="804" spans="4:4" x14ac:dyDescent="0.35">
      <c r="D804" s="120"/>
    </row>
    <row r="805" spans="4:4" x14ac:dyDescent="0.35">
      <c r="D805" s="120"/>
    </row>
    <row r="806" spans="4:4" x14ac:dyDescent="0.35">
      <c r="D806" s="120"/>
    </row>
    <row r="807" spans="4:4" x14ac:dyDescent="0.35">
      <c r="D807" s="120"/>
    </row>
    <row r="808" spans="4:4" x14ac:dyDescent="0.35">
      <c r="D808" s="120"/>
    </row>
    <row r="809" spans="4:4" x14ac:dyDescent="0.35">
      <c r="D809" s="120"/>
    </row>
    <row r="810" spans="4:4" x14ac:dyDescent="0.35">
      <c r="D810" s="120"/>
    </row>
    <row r="811" spans="4:4" x14ac:dyDescent="0.35">
      <c r="D811" s="120"/>
    </row>
    <row r="812" spans="4:4" x14ac:dyDescent="0.35">
      <c r="D812" s="120"/>
    </row>
    <row r="813" spans="4:4" x14ac:dyDescent="0.35">
      <c r="D813" s="120"/>
    </row>
    <row r="814" spans="4:4" x14ac:dyDescent="0.35">
      <c r="D814" s="120"/>
    </row>
    <row r="815" spans="4:4" x14ac:dyDescent="0.35">
      <c r="D815" s="120"/>
    </row>
    <row r="816" spans="4:4" x14ac:dyDescent="0.35">
      <c r="D816" s="120"/>
    </row>
    <row r="817" spans="4:4" x14ac:dyDescent="0.35">
      <c r="D817" s="120"/>
    </row>
    <row r="818" spans="4:4" x14ac:dyDescent="0.35">
      <c r="D818" s="120"/>
    </row>
    <row r="819" spans="4:4" x14ac:dyDescent="0.35">
      <c r="D819" s="120"/>
    </row>
    <row r="820" spans="4:4" x14ac:dyDescent="0.35">
      <c r="D820" s="120"/>
    </row>
    <row r="821" spans="4:4" x14ac:dyDescent="0.35">
      <c r="D821" s="120"/>
    </row>
    <row r="822" spans="4:4" x14ac:dyDescent="0.35">
      <c r="D822" s="120"/>
    </row>
    <row r="823" spans="4:4" x14ac:dyDescent="0.35">
      <c r="D823" s="120"/>
    </row>
    <row r="824" spans="4:4" x14ac:dyDescent="0.35">
      <c r="D824" s="120"/>
    </row>
    <row r="825" spans="4:4" x14ac:dyDescent="0.35">
      <c r="D825" s="120"/>
    </row>
    <row r="826" spans="4:4" x14ac:dyDescent="0.35">
      <c r="D826" s="120"/>
    </row>
    <row r="827" spans="4:4" x14ac:dyDescent="0.35">
      <c r="D827" s="120"/>
    </row>
    <row r="828" spans="4:4" x14ac:dyDescent="0.35">
      <c r="D828" s="120"/>
    </row>
    <row r="829" spans="4:4" x14ac:dyDescent="0.35">
      <c r="D829" s="120"/>
    </row>
    <row r="830" spans="4:4" x14ac:dyDescent="0.35">
      <c r="D830" s="120"/>
    </row>
    <row r="831" spans="4:4" x14ac:dyDescent="0.35">
      <c r="D831" s="120"/>
    </row>
    <row r="832" spans="4:4" x14ac:dyDescent="0.35">
      <c r="D832" s="120"/>
    </row>
    <row r="833" spans="4:4" x14ac:dyDescent="0.35">
      <c r="D833" s="120"/>
    </row>
    <row r="834" spans="4:4" x14ac:dyDescent="0.35">
      <c r="D834" s="120"/>
    </row>
    <row r="835" spans="4:4" x14ac:dyDescent="0.35">
      <c r="D835" s="120"/>
    </row>
    <row r="836" spans="4:4" x14ac:dyDescent="0.35">
      <c r="D836" s="120"/>
    </row>
    <row r="837" spans="4:4" x14ac:dyDescent="0.35">
      <c r="D837" s="120"/>
    </row>
    <row r="838" spans="4:4" x14ac:dyDescent="0.35">
      <c r="D838" s="120"/>
    </row>
    <row r="839" spans="4:4" x14ac:dyDescent="0.35">
      <c r="D839" s="120"/>
    </row>
    <row r="840" spans="4:4" x14ac:dyDescent="0.35">
      <c r="D840" s="120"/>
    </row>
    <row r="841" spans="4:4" x14ac:dyDescent="0.35">
      <c r="D841" s="120"/>
    </row>
    <row r="842" spans="4:4" x14ac:dyDescent="0.35">
      <c r="D842" s="120"/>
    </row>
    <row r="843" spans="4:4" x14ac:dyDescent="0.35">
      <c r="D843" s="120"/>
    </row>
    <row r="844" spans="4:4" x14ac:dyDescent="0.35">
      <c r="D844" s="120"/>
    </row>
    <row r="845" spans="4:4" x14ac:dyDescent="0.35">
      <c r="D845" s="120"/>
    </row>
    <row r="846" spans="4:4" x14ac:dyDescent="0.35">
      <c r="D846" s="120"/>
    </row>
    <row r="847" spans="4:4" x14ac:dyDescent="0.35">
      <c r="D847" s="120"/>
    </row>
    <row r="848" spans="4:4" x14ac:dyDescent="0.35">
      <c r="D848" s="120"/>
    </row>
    <row r="849" spans="4:4" x14ac:dyDescent="0.35">
      <c r="D849" s="120"/>
    </row>
    <row r="850" spans="4:4" x14ac:dyDescent="0.35">
      <c r="D850" s="120"/>
    </row>
    <row r="851" spans="4:4" x14ac:dyDescent="0.35">
      <c r="D851" s="120"/>
    </row>
    <row r="852" spans="4:4" x14ac:dyDescent="0.35">
      <c r="D852" s="120"/>
    </row>
    <row r="853" spans="4:4" x14ac:dyDescent="0.35">
      <c r="D853" s="120"/>
    </row>
    <row r="854" spans="4:4" x14ac:dyDescent="0.35">
      <c r="D854" s="120"/>
    </row>
    <row r="855" spans="4:4" x14ac:dyDescent="0.35">
      <c r="D855" s="120"/>
    </row>
    <row r="856" spans="4:4" x14ac:dyDescent="0.35">
      <c r="D856" s="120"/>
    </row>
    <row r="857" spans="4:4" x14ac:dyDescent="0.35">
      <c r="D857" s="120"/>
    </row>
    <row r="858" spans="4:4" x14ac:dyDescent="0.35">
      <c r="D858" s="120"/>
    </row>
    <row r="859" spans="4:4" x14ac:dyDescent="0.35">
      <c r="D859" s="120"/>
    </row>
    <row r="860" spans="4:4" x14ac:dyDescent="0.35">
      <c r="D860" s="120"/>
    </row>
    <row r="861" spans="4:4" x14ac:dyDescent="0.35">
      <c r="D861" s="120"/>
    </row>
    <row r="862" spans="4:4" x14ac:dyDescent="0.35">
      <c r="D862" s="120"/>
    </row>
    <row r="863" spans="4:4" x14ac:dyDescent="0.35">
      <c r="D863" s="120"/>
    </row>
    <row r="864" spans="4:4" x14ac:dyDescent="0.35">
      <c r="D864" s="120"/>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DB51-F50D-4E23-A768-6D730C51DD9D}">
  <sheetPr codeName="Sheet16">
    <tabColor rgb="FF92D050"/>
  </sheetPr>
  <dimension ref="C3:F8"/>
  <sheetViews>
    <sheetView workbookViewId="0">
      <selection activeCell="H27" sqref="H27"/>
    </sheetView>
  </sheetViews>
  <sheetFormatPr defaultColWidth="8.85546875" defaultRowHeight="15" x14ac:dyDescent="0.25"/>
  <cols>
    <col min="1" max="2" width="8.85546875" style="50"/>
    <col min="3" max="3" width="18.7109375" style="50" bestFit="1" customWidth="1"/>
    <col min="4" max="4" width="19.7109375" style="50" bestFit="1" customWidth="1"/>
    <col min="5" max="5" width="13.7109375" style="50" bestFit="1" customWidth="1"/>
    <col min="6" max="6" width="15.5703125" style="50" bestFit="1" customWidth="1"/>
    <col min="7" max="16384" width="8.85546875" style="50"/>
  </cols>
  <sheetData>
    <row r="3" spans="3:6" x14ac:dyDescent="0.25">
      <c r="C3" s="49" t="s">
        <v>111</v>
      </c>
      <c r="D3" s="49" t="s">
        <v>112</v>
      </c>
      <c r="E3" s="49" t="s">
        <v>113</v>
      </c>
      <c r="F3" s="49" t="s">
        <v>56</v>
      </c>
    </row>
    <row r="4" spans="3:6" x14ac:dyDescent="0.25">
      <c r="C4" s="50" t="s">
        <v>114</v>
      </c>
      <c r="D4" s="50" t="s">
        <v>115</v>
      </c>
      <c r="E4" s="50" t="s">
        <v>116</v>
      </c>
      <c r="F4" s="51">
        <v>2750</v>
      </c>
    </row>
    <row r="5" spans="3:6" x14ac:dyDescent="0.25">
      <c r="C5" s="50" t="s">
        <v>117</v>
      </c>
      <c r="D5" s="50" t="s">
        <v>118</v>
      </c>
      <c r="E5" s="50" t="s">
        <v>119</v>
      </c>
      <c r="F5" s="51">
        <v>2511</v>
      </c>
    </row>
    <row r="6" spans="3:6" x14ac:dyDescent="0.25">
      <c r="C6" s="50" t="s">
        <v>120</v>
      </c>
      <c r="D6" s="50" t="s">
        <v>121</v>
      </c>
      <c r="E6" s="50" t="s">
        <v>116</v>
      </c>
      <c r="F6" s="51">
        <v>26408</v>
      </c>
    </row>
    <row r="7" spans="3:6" x14ac:dyDescent="0.25">
      <c r="C7" s="50" t="s">
        <v>122</v>
      </c>
      <c r="D7" s="50" t="s">
        <v>123</v>
      </c>
      <c r="E7" s="50" t="s">
        <v>124</v>
      </c>
      <c r="F7" s="51">
        <v>2877</v>
      </c>
    </row>
    <row r="8" spans="3:6" x14ac:dyDescent="0.25">
      <c r="C8" s="50" t="s">
        <v>125</v>
      </c>
      <c r="D8" s="50" t="s">
        <v>126</v>
      </c>
      <c r="E8" s="50" t="s">
        <v>124</v>
      </c>
      <c r="F8" s="51">
        <v>2400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F213A-C47C-4DE2-86E1-61545327B74C}">
  <sheetPr>
    <tabColor rgb="FF92D050"/>
  </sheetPr>
  <dimension ref="A2:N11"/>
  <sheetViews>
    <sheetView workbookViewId="0">
      <selection activeCell="B27" sqref="B27"/>
    </sheetView>
  </sheetViews>
  <sheetFormatPr defaultColWidth="8.85546875" defaultRowHeight="15" x14ac:dyDescent="0.25"/>
  <cols>
    <col min="1" max="1" width="31.85546875" style="50" customWidth="1"/>
    <col min="2" max="8" width="8.85546875" style="50"/>
    <col min="9" max="13" width="9.140625" style="50" bestFit="1" customWidth="1"/>
    <col min="14" max="16384" width="8.85546875" style="50"/>
  </cols>
  <sheetData>
    <row r="2" spans="1:14" x14ac:dyDescent="0.25">
      <c r="A2" s="49"/>
      <c r="B2" s="122">
        <v>44896</v>
      </c>
      <c r="C2" s="122">
        <v>44927</v>
      </c>
      <c r="D2" s="122">
        <v>44958</v>
      </c>
      <c r="E2" s="122">
        <v>44986</v>
      </c>
      <c r="F2" s="122">
        <v>45017</v>
      </c>
      <c r="G2" s="122">
        <v>45047</v>
      </c>
      <c r="H2" s="122">
        <v>45078</v>
      </c>
      <c r="I2" s="122">
        <v>45108</v>
      </c>
      <c r="J2" s="122">
        <v>45139</v>
      </c>
      <c r="K2" s="122">
        <v>45170</v>
      </c>
      <c r="L2" s="122">
        <v>45200</v>
      </c>
      <c r="M2" s="122">
        <v>45231</v>
      </c>
      <c r="N2" s="126" t="s">
        <v>945</v>
      </c>
    </row>
    <row r="3" spans="1:14" x14ac:dyDescent="0.25">
      <c r="A3" s="50" t="s">
        <v>70</v>
      </c>
      <c r="B3" s="121">
        <v>8489.66</v>
      </c>
      <c r="C3" s="121">
        <v>8865.0499999999993</v>
      </c>
      <c r="D3" s="121">
        <v>9188.48</v>
      </c>
      <c r="E3" s="121">
        <v>9301.1</v>
      </c>
      <c r="F3" s="121">
        <v>8983.2099999999991</v>
      </c>
      <c r="G3" s="121">
        <v>8555.17</v>
      </c>
      <c r="H3" s="121">
        <v>9442.9500000000007</v>
      </c>
      <c r="I3" s="121">
        <v>11386.72</v>
      </c>
      <c r="J3" s="121">
        <v>11114.17</v>
      </c>
      <c r="K3" s="121">
        <v>11335.61</v>
      </c>
      <c r="L3" s="121">
        <v>10647.3</v>
      </c>
      <c r="M3" s="121">
        <v>10593.9</v>
      </c>
      <c r="N3" s="121">
        <v>10593.9</v>
      </c>
    </row>
    <row r="4" spans="1:14" x14ac:dyDescent="0.25">
      <c r="A4" s="50" t="s">
        <v>944</v>
      </c>
      <c r="B4" s="121"/>
      <c r="C4" s="124">
        <f>+C3/B3-1</f>
        <v>4.4217318479185197E-2</v>
      </c>
      <c r="D4" s="124">
        <f t="shared" ref="D4:M4" si="0">+D3/C3-1</f>
        <v>3.6483719775974199E-2</v>
      </c>
      <c r="E4" s="124">
        <f t="shared" si="0"/>
        <v>1.2256651807480701E-2</v>
      </c>
      <c r="F4" s="125">
        <f t="shared" si="0"/>
        <v>-3.4177677909064674E-2</v>
      </c>
      <c r="G4" s="125">
        <f t="shared" si="0"/>
        <v>-4.7648891654542114E-2</v>
      </c>
      <c r="H4" s="124">
        <f t="shared" si="0"/>
        <v>0.10377116994752877</v>
      </c>
      <c r="I4" s="124">
        <f t="shared" si="0"/>
        <v>0.20584351288527403</v>
      </c>
      <c r="J4" s="125">
        <f t="shared" si="0"/>
        <v>-2.3935777818370862E-2</v>
      </c>
      <c r="K4" s="124">
        <f t="shared" si="0"/>
        <v>1.9924114891170408E-2</v>
      </c>
      <c r="L4" s="125">
        <f t="shared" si="0"/>
        <v>-6.0721037509229858E-2</v>
      </c>
      <c r="M4" s="125">
        <f t="shared" si="0"/>
        <v>-5.015356005747873E-3</v>
      </c>
      <c r="N4" s="124">
        <f>+N3/B3-1</f>
        <v>0.24785916043752043</v>
      </c>
    </row>
    <row r="5" spans="1:14" x14ac:dyDescent="0.25">
      <c r="A5" s="50" t="s">
        <v>942</v>
      </c>
      <c r="B5" s="121">
        <v>947.5</v>
      </c>
      <c r="C5" s="121">
        <v>1001.7</v>
      </c>
      <c r="D5" s="121">
        <v>1036.2</v>
      </c>
      <c r="E5" s="121">
        <v>1068</v>
      </c>
      <c r="F5" s="121">
        <v>1052.2</v>
      </c>
      <c r="G5" s="121">
        <v>1035.2</v>
      </c>
      <c r="H5" s="121">
        <v>1119.5</v>
      </c>
      <c r="I5" s="121">
        <v>1295.8</v>
      </c>
      <c r="J5" s="121">
        <v>1341.2</v>
      </c>
      <c r="K5" s="121">
        <v>1368.9</v>
      </c>
      <c r="L5" s="121">
        <v>1293.5999999999999</v>
      </c>
      <c r="M5" s="121">
        <v>1287.5</v>
      </c>
      <c r="N5" s="121">
        <v>1287.5</v>
      </c>
    </row>
    <row r="6" spans="1:14" x14ac:dyDescent="0.25">
      <c r="A6" s="50" t="s">
        <v>944</v>
      </c>
      <c r="B6" s="121"/>
      <c r="C6" s="124">
        <f>+C5/B5-1</f>
        <v>5.7203166226913016E-2</v>
      </c>
      <c r="D6" s="124">
        <f t="shared" ref="D6" si="1">+D5/C5-1</f>
        <v>3.4441449535789204E-2</v>
      </c>
      <c r="E6" s="124">
        <f t="shared" ref="E6" si="2">+E5/D5-1</f>
        <v>3.0689056166763207E-2</v>
      </c>
      <c r="F6" s="125">
        <f t="shared" ref="F6" si="3">+F5/E5-1</f>
        <v>-1.479400749063664E-2</v>
      </c>
      <c r="G6" s="125">
        <f t="shared" ref="G6" si="4">+G5/F5-1</f>
        <v>-1.6156624215928561E-2</v>
      </c>
      <c r="H6" s="124">
        <f t="shared" ref="H6" si="5">+H5/G5-1</f>
        <v>8.1433539412673728E-2</v>
      </c>
      <c r="I6" s="124">
        <f t="shared" ref="I6" si="6">+I5/H5-1</f>
        <v>0.15748101831174632</v>
      </c>
      <c r="J6" s="124">
        <f t="shared" ref="J6" si="7">+J5/I5-1</f>
        <v>3.5036271029480037E-2</v>
      </c>
      <c r="K6" s="124">
        <f t="shared" ref="K6" si="8">+K5/J5-1</f>
        <v>2.0653146436027559E-2</v>
      </c>
      <c r="L6" s="125">
        <f t="shared" ref="L6" si="9">+L5/K5-1</f>
        <v>-5.5007670392285934E-2</v>
      </c>
      <c r="M6" s="125">
        <f t="shared" ref="M6" si="10">+M5/L5-1</f>
        <v>-4.7155225726653871E-3</v>
      </c>
      <c r="N6" s="124">
        <f>+N5/B5-1</f>
        <v>0.35883905013192607</v>
      </c>
    </row>
    <row r="7" spans="1:14" x14ac:dyDescent="0.25">
      <c r="A7" s="50" t="s">
        <v>943</v>
      </c>
      <c r="B7" s="121"/>
      <c r="C7" s="121">
        <v>4.4000000000000004</v>
      </c>
      <c r="D7" s="121">
        <v>7.8</v>
      </c>
      <c r="E7" s="121">
        <v>5.7</v>
      </c>
      <c r="F7" s="121">
        <v>6.5</v>
      </c>
      <c r="G7" s="121">
        <v>-0.7</v>
      </c>
      <c r="H7" s="121">
        <v>6.7</v>
      </c>
      <c r="I7" s="121">
        <v>21.2</v>
      </c>
      <c r="J7" s="121">
        <v>19.600000000000001</v>
      </c>
      <c r="K7" s="121">
        <v>7.04736707</v>
      </c>
      <c r="L7" s="121">
        <v>19.277743990000001</v>
      </c>
      <c r="M7" s="121">
        <v>4.47156252</v>
      </c>
      <c r="N7" s="121">
        <f>+SUM(C7:M7)</f>
        <v>101.99667358000001</v>
      </c>
    </row>
    <row r="9" spans="1:14" x14ac:dyDescent="0.25">
      <c r="B9" s="122">
        <v>44896</v>
      </c>
      <c r="C9" s="122">
        <v>44927</v>
      </c>
      <c r="D9" s="122">
        <v>44958</v>
      </c>
      <c r="E9" s="122">
        <v>44986</v>
      </c>
      <c r="F9" s="122">
        <v>45017</v>
      </c>
      <c r="G9" s="122">
        <v>45047</v>
      </c>
      <c r="H9" s="122">
        <v>45078</v>
      </c>
      <c r="I9" s="122">
        <v>45108</v>
      </c>
      <c r="J9" s="122">
        <v>45139</v>
      </c>
      <c r="K9" s="122">
        <v>45170</v>
      </c>
      <c r="L9" s="122">
        <v>45200</v>
      </c>
      <c r="M9" s="122">
        <v>45231</v>
      </c>
      <c r="N9" s="122">
        <v>45231</v>
      </c>
    </row>
    <row r="10" spans="1:14" x14ac:dyDescent="0.25">
      <c r="A10" s="50" t="s">
        <v>70</v>
      </c>
      <c r="B10" s="123">
        <v>100</v>
      </c>
      <c r="C10" s="123">
        <f>+C3/$B$3*100</f>
        <v>104.42173184791852</v>
      </c>
      <c r="D10" s="123">
        <f t="shared" ref="D10:M10" si="11">+D3/$B$3*100</f>
        <v>108.23142505117991</v>
      </c>
      <c r="E10" s="123">
        <f t="shared" si="11"/>
        <v>109.55797994265966</v>
      </c>
      <c r="F10" s="123">
        <f t="shared" si="11"/>
        <v>105.81354259181168</v>
      </c>
      <c r="G10" s="123">
        <f t="shared" si="11"/>
        <v>100.77164456527117</v>
      </c>
      <c r="H10" s="123">
        <f t="shared" si="11"/>
        <v>111.22883601934591</v>
      </c>
      <c r="I10" s="123">
        <f t="shared" si="11"/>
        <v>134.12457035970814</v>
      </c>
      <c r="J10" s="123">
        <f t="shared" si="11"/>
        <v>130.91419444359374</v>
      </c>
      <c r="K10" s="123">
        <f t="shared" si="11"/>
        <v>133.52254389457295</v>
      </c>
      <c r="L10" s="123">
        <f t="shared" si="11"/>
        <v>125.41491649842278</v>
      </c>
      <c r="M10" s="123">
        <f t="shared" si="11"/>
        <v>124.78591604375204</v>
      </c>
      <c r="N10" s="123">
        <f t="shared" ref="N10" si="12">+N3/$B$3*100</f>
        <v>124.78591604375204</v>
      </c>
    </row>
    <row r="11" spans="1:14" x14ac:dyDescent="0.25">
      <c r="A11" s="50" t="s">
        <v>942</v>
      </c>
      <c r="B11" s="123">
        <v>100</v>
      </c>
      <c r="C11" s="123">
        <f>+C5/$B$5*100</f>
        <v>105.7203166226913</v>
      </c>
      <c r="D11" s="123">
        <f t="shared" ref="D11:M11" si="13">+D5/$B$5*100</f>
        <v>109.36147757255937</v>
      </c>
      <c r="E11" s="123">
        <f t="shared" si="13"/>
        <v>112.71767810026385</v>
      </c>
      <c r="F11" s="123">
        <f t="shared" si="13"/>
        <v>111.05013192612138</v>
      </c>
      <c r="G11" s="123">
        <f t="shared" si="13"/>
        <v>109.25593667546174</v>
      </c>
      <c r="H11" s="123">
        <f t="shared" si="13"/>
        <v>118.15303430079156</v>
      </c>
      <c r="I11" s="123">
        <f t="shared" si="13"/>
        <v>136.7598944591029</v>
      </c>
      <c r="J11" s="123">
        <f t="shared" si="13"/>
        <v>141.55145118733509</v>
      </c>
      <c r="K11" s="123">
        <f t="shared" si="13"/>
        <v>144.47493403693932</v>
      </c>
      <c r="L11" s="123">
        <f t="shared" si="13"/>
        <v>136.52770448548813</v>
      </c>
      <c r="M11" s="123">
        <f t="shared" si="13"/>
        <v>135.88390501319262</v>
      </c>
      <c r="N11" s="123">
        <f t="shared" ref="N11" si="14">+N5/$B$5*100</f>
        <v>135.88390501319262</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B5339-087B-4C3C-914B-027172E2C41A}">
  <dimension ref="B1:AB28"/>
  <sheetViews>
    <sheetView topLeftCell="B1" workbookViewId="0">
      <pane xSplit="1" topLeftCell="C1" activePane="topRight" state="frozen"/>
      <selection activeCell="B1" sqref="B1"/>
      <selection pane="topRight" activeCell="F12" sqref="F12"/>
    </sheetView>
  </sheetViews>
  <sheetFormatPr defaultColWidth="8.85546875" defaultRowHeight="15" x14ac:dyDescent="0.25"/>
  <cols>
    <col min="1" max="1" width="8.85546875" style="50"/>
    <col min="2" max="2" width="26" style="50" customWidth="1"/>
    <col min="3" max="3" width="33.28515625" style="50" bestFit="1" customWidth="1"/>
    <col min="4" max="6" width="15.7109375" style="50" customWidth="1"/>
    <col min="7" max="7" width="15.28515625" style="50" bestFit="1" customWidth="1"/>
    <col min="8" max="16384" width="8.85546875" style="50"/>
  </cols>
  <sheetData>
    <row r="1" spans="2:28" x14ac:dyDescent="0.25">
      <c r="D1" s="51">
        <v>1000000</v>
      </c>
    </row>
    <row r="2" spans="2:28" ht="51" customHeight="1" x14ac:dyDescent="0.25">
      <c r="B2" s="164" t="s">
        <v>1040</v>
      </c>
      <c r="C2" s="164" t="s">
        <v>1041</v>
      </c>
      <c r="D2" s="164" t="s">
        <v>1042</v>
      </c>
      <c r="E2" s="164" t="s">
        <v>1043</v>
      </c>
      <c r="F2" s="164" t="s">
        <v>1044</v>
      </c>
      <c r="G2" s="164" t="s">
        <v>1045</v>
      </c>
      <c r="I2" s="165" t="s">
        <v>993</v>
      </c>
      <c r="J2" s="165" t="s">
        <v>185</v>
      </c>
      <c r="K2" s="165" t="s">
        <v>1046</v>
      </c>
      <c r="L2" s="165" t="s">
        <v>1047</v>
      </c>
      <c r="M2" s="165" t="s">
        <v>197</v>
      </c>
      <c r="N2" s="165" t="s">
        <v>1048</v>
      </c>
      <c r="O2" s="165" t="s">
        <v>188</v>
      </c>
      <c r="P2" s="165" t="s">
        <v>196</v>
      </c>
      <c r="Q2" s="165" t="s">
        <v>252</v>
      </c>
      <c r="R2" s="165" t="s">
        <v>999</v>
      </c>
      <c r="T2" s="165" t="s">
        <v>185</v>
      </c>
      <c r="U2" s="165" t="s">
        <v>1046</v>
      </c>
      <c r="V2" s="165" t="s">
        <v>1047</v>
      </c>
      <c r="W2" s="165" t="s">
        <v>197</v>
      </c>
      <c r="X2" s="165" t="s">
        <v>1048</v>
      </c>
      <c r="Y2" s="165" t="s">
        <v>188</v>
      </c>
      <c r="Z2" s="165" t="s">
        <v>196</v>
      </c>
      <c r="AA2" s="165" t="s">
        <v>252</v>
      </c>
      <c r="AB2" s="165" t="s">
        <v>999</v>
      </c>
    </row>
    <row r="3" spans="2:28" x14ac:dyDescent="0.25">
      <c r="B3" s="50" t="s">
        <v>917</v>
      </c>
      <c r="C3" s="50" t="s">
        <v>1049</v>
      </c>
      <c r="D3" s="51">
        <v>304987</v>
      </c>
      <c r="E3" s="166">
        <v>7.01</v>
      </c>
      <c r="F3" s="166">
        <f>+I3/R3</f>
        <v>17.29867916489135</v>
      </c>
      <c r="G3" s="167">
        <f>+AB3/I3</f>
        <v>1.3177339901477831E-2</v>
      </c>
      <c r="I3" s="50">
        <v>203</v>
      </c>
      <c r="J3" s="50">
        <v>12.4</v>
      </c>
      <c r="M3" s="50">
        <v>12.41</v>
      </c>
      <c r="O3" s="50">
        <v>9.3000000000000007</v>
      </c>
      <c r="P3" s="50">
        <v>12.83</v>
      </c>
      <c r="R3" s="91">
        <f>+AVERAGE(J3:Q3)</f>
        <v>11.734999999999999</v>
      </c>
      <c r="T3" s="91">
        <v>2</v>
      </c>
      <c r="W3" s="50">
        <v>3.5</v>
      </c>
      <c r="Y3" s="50">
        <v>3.7</v>
      </c>
      <c r="Z3" s="50">
        <v>1.5</v>
      </c>
      <c r="AB3" s="91">
        <f>+AVERAGE(T3:AA3)</f>
        <v>2.6749999999999998</v>
      </c>
    </row>
    <row r="4" spans="2:28" x14ac:dyDescent="0.25">
      <c r="B4" s="50" t="s">
        <v>1050</v>
      </c>
      <c r="C4" s="50" t="s">
        <v>1051</v>
      </c>
      <c r="D4" s="51">
        <v>90649.768748000002</v>
      </c>
      <c r="E4" s="166">
        <v>2.08</v>
      </c>
      <c r="F4" s="166">
        <f>+I4/R4</f>
        <v>0.53854202999651213</v>
      </c>
      <c r="G4" s="167">
        <f t="shared" ref="G4:G13" si="0">+AB4/I4</f>
        <v>8.937823834196891E-2</v>
      </c>
      <c r="I4" s="50">
        <v>77.2</v>
      </c>
      <c r="J4" s="50">
        <v>145.30000000000001</v>
      </c>
      <c r="K4" s="50">
        <v>146.44999999999999</v>
      </c>
      <c r="O4" s="50">
        <v>138.30000000000001</v>
      </c>
      <c r="R4" s="91">
        <f t="shared" ref="R4:R13" si="1">+AVERAGE(J4:Q4)</f>
        <v>143.35</v>
      </c>
      <c r="T4" s="50">
        <v>7.1</v>
      </c>
      <c r="Y4" s="50">
        <v>6.7</v>
      </c>
      <c r="AB4" s="91">
        <f>+AVERAGE(T4:AA4)</f>
        <v>6.9</v>
      </c>
    </row>
    <row r="5" spans="2:28" x14ac:dyDescent="0.25">
      <c r="B5" s="50" t="s">
        <v>1052</v>
      </c>
      <c r="C5" s="50" t="s">
        <v>1051</v>
      </c>
      <c r="D5" s="51">
        <v>35247.169625000002</v>
      </c>
      <c r="E5" s="166">
        <v>0.81</v>
      </c>
      <c r="F5" s="166">
        <f>+I5/R5</f>
        <v>0.56490792000903856</v>
      </c>
      <c r="G5" s="167">
        <f t="shared" si="0"/>
        <v>4.1333333333333333E-2</v>
      </c>
      <c r="I5" s="50">
        <v>125</v>
      </c>
      <c r="K5" s="50">
        <v>219.6</v>
      </c>
      <c r="L5" s="50">
        <v>226.6</v>
      </c>
      <c r="O5" s="50">
        <v>208.7</v>
      </c>
      <c r="P5" s="50">
        <v>230.2</v>
      </c>
      <c r="R5" s="91">
        <f t="shared" si="1"/>
        <v>221.27499999999998</v>
      </c>
      <c r="V5" s="50">
        <v>5.9</v>
      </c>
      <c r="Y5" s="50">
        <v>3.3</v>
      </c>
      <c r="Z5" s="50">
        <v>6.3</v>
      </c>
      <c r="AB5" s="91">
        <f t="shared" ref="AB5:AB13" si="2">+AVERAGE(T5:AA5)</f>
        <v>5.166666666666667</v>
      </c>
    </row>
    <row r="6" spans="2:28" x14ac:dyDescent="0.25">
      <c r="B6" s="50" t="s">
        <v>503</v>
      </c>
      <c r="C6" s="50" t="s">
        <v>1053</v>
      </c>
      <c r="D6" s="51">
        <v>18696.679919999999</v>
      </c>
      <c r="E6" s="166">
        <v>0.43</v>
      </c>
      <c r="F6" s="166">
        <f t="shared" ref="F6:F12" si="3">+I6/R6</f>
        <v>5.253940455341505</v>
      </c>
      <c r="G6" s="167">
        <f t="shared" si="0"/>
        <v>6.1111111111111109E-2</v>
      </c>
      <c r="I6" s="50">
        <v>45</v>
      </c>
      <c r="O6" s="50">
        <v>9.9</v>
      </c>
      <c r="P6" s="50">
        <v>7.23</v>
      </c>
      <c r="R6" s="91">
        <f t="shared" si="1"/>
        <v>8.5650000000000013</v>
      </c>
      <c r="Y6" s="50">
        <v>3</v>
      </c>
      <c r="Z6" s="50">
        <v>2.5</v>
      </c>
      <c r="AB6" s="91">
        <f t="shared" si="2"/>
        <v>2.75</v>
      </c>
    </row>
    <row r="7" spans="2:28" x14ac:dyDescent="0.25">
      <c r="B7" s="50" t="s">
        <v>704</v>
      </c>
      <c r="C7" s="50" t="s">
        <v>1049</v>
      </c>
      <c r="D7" s="51">
        <v>74925</v>
      </c>
      <c r="E7" s="166">
        <v>1.72</v>
      </c>
      <c r="F7" s="166">
        <f t="shared" si="3"/>
        <v>5.5598885793871871</v>
      </c>
      <c r="G7" s="167">
        <f t="shared" si="0"/>
        <v>5.3607214428857713E-2</v>
      </c>
      <c r="I7" s="50">
        <v>99.8</v>
      </c>
      <c r="Q7" s="50">
        <v>17.95</v>
      </c>
      <c r="R7" s="91">
        <f t="shared" si="1"/>
        <v>17.95</v>
      </c>
      <c r="AA7" s="50">
        <v>5.35</v>
      </c>
      <c r="AB7" s="91">
        <f t="shared" si="2"/>
        <v>5.35</v>
      </c>
    </row>
    <row r="8" spans="2:28" x14ac:dyDescent="0.25">
      <c r="B8" s="50" t="s">
        <v>1054</v>
      </c>
      <c r="C8" s="50" t="s">
        <v>1055</v>
      </c>
      <c r="D8" s="51">
        <v>25852.508999999998</v>
      </c>
      <c r="E8" s="166">
        <v>0.59</v>
      </c>
      <c r="F8" s="166">
        <f t="shared" si="3"/>
        <v>0.49377593360995847</v>
      </c>
      <c r="G8" s="167">
        <f t="shared" si="0"/>
        <v>3.3613445378151259E-2</v>
      </c>
      <c r="I8" s="50">
        <v>11.9</v>
      </c>
      <c r="L8" s="50">
        <v>24.1</v>
      </c>
      <c r="R8" s="91">
        <f t="shared" si="1"/>
        <v>24.1</v>
      </c>
      <c r="V8" s="50">
        <v>0.4</v>
      </c>
      <c r="AB8" s="91">
        <f t="shared" si="2"/>
        <v>0.4</v>
      </c>
    </row>
    <row r="9" spans="2:28" x14ac:dyDescent="0.25">
      <c r="B9" s="50" t="s">
        <v>484</v>
      </c>
      <c r="C9" s="50" t="s">
        <v>1056</v>
      </c>
      <c r="D9" s="51">
        <v>48588.181122000002</v>
      </c>
      <c r="E9" s="166">
        <v>1.1200000000000001</v>
      </c>
      <c r="F9" s="166">
        <f t="shared" si="3"/>
        <v>6.5646395489327425</v>
      </c>
      <c r="G9" s="167">
        <f t="shared" si="0"/>
        <v>5.0153374233128836E-2</v>
      </c>
      <c r="I9" s="50">
        <v>81.5</v>
      </c>
      <c r="J9" s="50">
        <v>12.6</v>
      </c>
      <c r="L9" s="50">
        <v>12.97</v>
      </c>
      <c r="M9" s="50">
        <v>11.99</v>
      </c>
      <c r="O9" s="50">
        <v>12.1</v>
      </c>
      <c r="R9" s="91">
        <f t="shared" si="1"/>
        <v>12.415000000000001</v>
      </c>
      <c r="T9" s="50">
        <v>4</v>
      </c>
      <c r="V9" s="50">
        <v>4.3499999999999996</v>
      </c>
      <c r="W9" s="50">
        <v>4</v>
      </c>
      <c r="Y9" s="50">
        <v>4</v>
      </c>
      <c r="AB9" s="91">
        <f t="shared" si="2"/>
        <v>4.0875000000000004</v>
      </c>
    </row>
    <row r="10" spans="2:28" x14ac:dyDescent="0.25">
      <c r="B10" s="50" t="s">
        <v>432</v>
      </c>
      <c r="C10" s="50" t="s">
        <v>1057</v>
      </c>
      <c r="D10" s="51">
        <v>231719</v>
      </c>
      <c r="E10" s="166">
        <v>5.32</v>
      </c>
      <c r="F10" s="166">
        <f t="shared" si="3"/>
        <v>7.715078054404386</v>
      </c>
      <c r="G10" s="167">
        <f t="shared" si="0"/>
        <v>0.12567245557350565</v>
      </c>
      <c r="I10" s="50">
        <v>1238</v>
      </c>
      <c r="J10" s="50">
        <v>149.4</v>
      </c>
      <c r="L10" s="50">
        <v>158.07</v>
      </c>
      <c r="M10" s="50">
        <v>156.09</v>
      </c>
      <c r="O10" s="50">
        <v>178.3</v>
      </c>
      <c r="R10" s="91">
        <f t="shared" si="1"/>
        <v>160.46500000000003</v>
      </c>
      <c r="T10" s="50">
        <v>149.4</v>
      </c>
      <c r="V10" s="50">
        <v>158</v>
      </c>
      <c r="W10" s="50">
        <v>154.53</v>
      </c>
      <c r="Y10" s="50">
        <v>160.4</v>
      </c>
      <c r="AB10" s="91">
        <f t="shared" si="2"/>
        <v>155.58249999999998</v>
      </c>
    </row>
    <row r="11" spans="2:28" x14ac:dyDescent="0.25">
      <c r="B11" s="50" t="s">
        <v>440</v>
      </c>
      <c r="C11" s="50" t="s">
        <v>172</v>
      </c>
      <c r="D11" s="51">
        <v>23200</v>
      </c>
      <c r="E11" s="166">
        <v>0.53</v>
      </c>
      <c r="F11" s="166">
        <f t="shared" si="3"/>
        <v>4.9361702127659575</v>
      </c>
      <c r="G11" s="167">
        <f t="shared" si="0"/>
        <v>3.2327586206896554E-2</v>
      </c>
      <c r="I11" s="50">
        <v>23.2</v>
      </c>
      <c r="K11" s="50">
        <v>4.7</v>
      </c>
      <c r="R11" s="91">
        <f t="shared" si="1"/>
        <v>4.7</v>
      </c>
      <c r="U11" s="50">
        <v>0.75</v>
      </c>
      <c r="AB11" s="91">
        <f t="shared" si="2"/>
        <v>0.75</v>
      </c>
    </row>
    <row r="12" spans="2:28" x14ac:dyDescent="0.25">
      <c r="B12" s="50" t="s">
        <v>487</v>
      </c>
      <c r="C12" s="50" t="s">
        <v>1058</v>
      </c>
      <c r="D12" s="51">
        <v>27555.686416</v>
      </c>
      <c r="E12" s="166">
        <v>0.63</v>
      </c>
      <c r="F12" s="166">
        <f t="shared" si="3"/>
        <v>13.533333333333333</v>
      </c>
      <c r="G12" s="167">
        <f t="shared" si="0"/>
        <v>5.9113300492610835E-2</v>
      </c>
      <c r="I12" s="50">
        <v>20.3</v>
      </c>
      <c r="J12" s="50">
        <v>1.5</v>
      </c>
      <c r="R12" s="91">
        <f t="shared" si="1"/>
        <v>1.5</v>
      </c>
      <c r="T12" s="50">
        <v>1.2</v>
      </c>
      <c r="AB12" s="91">
        <f t="shared" si="2"/>
        <v>1.2</v>
      </c>
    </row>
    <row r="13" spans="2:28" x14ac:dyDescent="0.25">
      <c r="B13" s="50" t="s">
        <v>1059</v>
      </c>
      <c r="C13" s="50" t="s">
        <v>1051</v>
      </c>
      <c r="D13" s="51">
        <v>89369.820903999993</v>
      </c>
      <c r="E13" s="166">
        <v>2.0499999999999998</v>
      </c>
      <c r="F13" s="166">
        <f>+I13/R13</f>
        <v>0.47571660882017419</v>
      </c>
      <c r="G13" s="167">
        <f t="shared" si="0"/>
        <v>4.8979591836734698E-2</v>
      </c>
      <c r="I13" s="50">
        <v>196</v>
      </c>
      <c r="J13" s="50">
        <v>410.5</v>
      </c>
      <c r="K13" s="50">
        <v>412.5</v>
      </c>
      <c r="M13" s="50">
        <v>405.23</v>
      </c>
      <c r="O13" s="50">
        <v>390.5</v>
      </c>
      <c r="P13" s="50">
        <v>441.32</v>
      </c>
      <c r="R13" s="91">
        <f t="shared" si="1"/>
        <v>412.01000000000005</v>
      </c>
      <c r="T13" s="50">
        <v>10.6</v>
      </c>
      <c r="W13" s="50">
        <v>8</v>
      </c>
      <c r="Y13" s="50">
        <v>6.8</v>
      </c>
      <c r="Z13" s="50">
        <v>13</v>
      </c>
      <c r="AB13" s="91">
        <f t="shared" si="2"/>
        <v>9.6000000000000014</v>
      </c>
    </row>
    <row r="14" spans="2:28" x14ac:dyDescent="0.25">
      <c r="D14" s="51"/>
      <c r="F14" s="97"/>
      <c r="G14" s="97"/>
    </row>
    <row r="15" spans="2:28" x14ac:dyDescent="0.25">
      <c r="B15" s="50" t="s">
        <v>1060</v>
      </c>
      <c r="C15" s="50" t="s">
        <v>1051</v>
      </c>
      <c r="D15" s="51">
        <f>(114817000000+5974871441)/1000000</f>
        <v>120791.871441</v>
      </c>
      <c r="E15" s="50">
        <f>2.62+0.14</f>
        <v>2.7600000000000002</v>
      </c>
      <c r="F15" s="97"/>
      <c r="G15" s="97"/>
    </row>
    <row r="16" spans="2:28" x14ac:dyDescent="0.25">
      <c r="B16" s="50" t="s">
        <v>450</v>
      </c>
      <c r="C16" s="50" t="s">
        <v>1061</v>
      </c>
      <c r="D16" s="51">
        <v>91548.807384999993</v>
      </c>
      <c r="E16" s="50">
        <v>2.09</v>
      </c>
      <c r="F16" s="97"/>
      <c r="G16" s="97"/>
    </row>
    <row r="17" spans="2:7" x14ac:dyDescent="0.25">
      <c r="B17" s="50" t="s">
        <v>500</v>
      </c>
      <c r="C17" s="50" t="s">
        <v>1053</v>
      </c>
      <c r="D17" s="51">
        <v>24297.485152000001</v>
      </c>
      <c r="E17" s="50">
        <v>0.55000000000000004</v>
      </c>
      <c r="F17" s="97"/>
      <c r="G17" s="97"/>
    </row>
    <row r="18" spans="2:7" x14ac:dyDescent="0.25">
      <c r="B18" s="50" t="s">
        <v>1062</v>
      </c>
      <c r="C18" s="50" t="s">
        <v>1063</v>
      </c>
      <c r="D18" s="51">
        <f>(15503400000+7083450000)/1000000</f>
        <v>22586.85</v>
      </c>
      <c r="E18" s="50">
        <f>0.35+0.16</f>
        <v>0.51</v>
      </c>
      <c r="F18" s="97"/>
      <c r="G18" s="97"/>
    </row>
    <row r="19" spans="2:7" x14ac:dyDescent="0.25">
      <c r="B19" s="50" t="s">
        <v>459</v>
      </c>
      <c r="C19" s="50" t="s">
        <v>1055</v>
      </c>
      <c r="D19" s="51">
        <v>37565.073819999998</v>
      </c>
      <c r="E19" s="50">
        <v>0.86</v>
      </c>
      <c r="F19" s="97"/>
      <c r="G19" s="97"/>
    </row>
    <row r="20" spans="2:7" x14ac:dyDescent="0.25">
      <c r="B20" s="50" t="s">
        <v>470</v>
      </c>
      <c r="C20" s="50" t="s">
        <v>1064</v>
      </c>
      <c r="D20" s="51">
        <v>25336.641893</v>
      </c>
      <c r="E20" s="50">
        <v>0.57999999999999996</v>
      </c>
      <c r="F20" s="97"/>
      <c r="G20" s="97"/>
    </row>
    <row r="21" spans="2:7" x14ac:dyDescent="0.25">
      <c r="B21" s="50" t="s">
        <v>491</v>
      </c>
      <c r="C21" s="50" t="s">
        <v>1065</v>
      </c>
      <c r="D21" s="51">
        <v>19740.956928</v>
      </c>
      <c r="E21" s="50">
        <v>0.45</v>
      </c>
      <c r="F21" s="97"/>
      <c r="G21" s="97"/>
    </row>
    <row r="22" spans="2:7" x14ac:dyDescent="0.25">
      <c r="B22" s="50" t="s">
        <v>499</v>
      </c>
      <c r="C22" s="50" t="s">
        <v>86</v>
      </c>
      <c r="D22" s="51">
        <v>21392.91</v>
      </c>
      <c r="E22" s="50">
        <v>0.49</v>
      </c>
      <c r="F22" s="97"/>
      <c r="G22" s="97"/>
    </row>
    <row r="23" spans="2:7" x14ac:dyDescent="0.25">
      <c r="B23" s="50" t="s">
        <v>1066</v>
      </c>
      <c r="C23" s="50" t="s">
        <v>1067</v>
      </c>
      <c r="D23" s="51">
        <v>23540.3007</v>
      </c>
      <c r="E23" s="50">
        <v>0.54</v>
      </c>
      <c r="F23" s="97"/>
      <c r="G23" s="97"/>
    </row>
    <row r="24" spans="2:7" x14ac:dyDescent="0.25">
      <c r="B24" s="50" t="s">
        <v>1068</v>
      </c>
      <c r="C24" s="50" t="s">
        <v>355</v>
      </c>
      <c r="D24" s="51">
        <v>23562.134784000002</v>
      </c>
      <c r="E24" s="50">
        <v>0.54</v>
      </c>
      <c r="F24" s="97"/>
      <c r="G24" s="97"/>
    </row>
    <row r="25" spans="2:7" x14ac:dyDescent="0.25">
      <c r="B25" s="50" t="s">
        <v>534</v>
      </c>
      <c r="C25" s="50" t="s">
        <v>1069</v>
      </c>
      <c r="D25" s="51">
        <v>28438.339899999999</v>
      </c>
      <c r="E25" s="50">
        <v>0.65</v>
      </c>
      <c r="F25" s="97"/>
      <c r="G25" s="97"/>
    </row>
    <row r="26" spans="2:7" x14ac:dyDescent="0.25">
      <c r="B26" s="50" t="s">
        <v>514</v>
      </c>
      <c r="C26" s="50" t="s">
        <v>1070</v>
      </c>
      <c r="D26" s="51">
        <v>13129.976474999999</v>
      </c>
      <c r="E26" s="50">
        <v>0.3</v>
      </c>
      <c r="F26" s="97"/>
      <c r="G26" s="97"/>
    </row>
    <row r="27" spans="2:7" x14ac:dyDescent="0.25">
      <c r="B27" s="50" t="s">
        <v>1071</v>
      </c>
      <c r="C27" s="50" t="s">
        <v>1057</v>
      </c>
      <c r="D27" s="51">
        <v>104420</v>
      </c>
      <c r="E27" s="50">
        <v>2.38</v>
      </c>
      <c r="F27" s="97"/>
      <c r="G27" s="97"/>
    </row>
    <row r="28" spans="2:7" x14ac:dyDescent="0.25">
      <c r="B28" s="50" t="s">
        <v>1072</v>
      </c>
    </row>
  </sheetData>
  <pageMargins left="0.7" right="0.7" top="0.75" bottom="0.75" header="0.3" footer="0.3"/>
  <ignoredErrors>
    <ignoredError sqref="R3:R13"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Sheet1</vt:lpstr>
      <vt:lpstr>Valuation Sheet</vt:lpstr>
      <vt:lpstr>MGT</vt:lpstr>
      <vt:lpstr>TJL</vt:lpstr>
      <vt:lpstr>BPPL</vt:lpstr>
      <vt:lpstr>HAYL</vt:lpstr>
      <vt:lpstr>HAYC</vt:lpstr>
      <vt:lpstr>HELA</vt:lpstr>
      <vt:lpstr>EXPO</vt:lpstr>
      <vt:lpstr>GLAS</vt:lpstr>
      <vt:lpstr>TKYO</vt:lpstr>
      <vt:lpstr>TILE</vt:lpstr>
      <vt:lpstr>JAT</vt:lpstr>
      <vt:lpstr>CARG</vt:lpstr>
      <vt:lpstr>CCS</vt:lpstr>
      <vt:lpstr>LMF</vt:lpstr>
      <vt:lpstr>LLUB</vt:lpstr>
      <vt:lpstr>LIOC</vt:lpstr>
      <vt:lpstr>CTC</vt:lpstr>
      <vt:lpstr>DIST</vt:lpstr>
      <vt:lpstr>HHL</vt:lpstr>
      <vt:lpstr>SUN</vt:lpstr>
      <vt:lpstr>DIAL</vt:lpstr>
      <vt:lpstr>PLR</vt:lpstr>
      <vt:lpstr>SAMP</vt:lpstr>
      <vt:lpstr>AAIC</vt:lpstr>
      <vt:lpstr>KHL</vt:lpstr>
      <vt:lpstr>AHUN</vt:lpstr>
      <vt:lpstr>AGPL</vt:lpstr>
      <vt:lpstr>WATA</vt:lpstr>
      <vt:lpstr>HBS - Valuation Guide</vt:lpstr>
      <vt:lpstr>High Frequency Data</vt:lpstr>
      <vt:lpstr>Leisure</vt:lpstr>
      <vt:lpstr>Banks - 3Q2023E</vt:lpstr>
      <vt:lpstr>Banks - 4Q2023</vt:lpstr>
      <vt:lpstr>FBX</vt:lpstr>
      <vt:lpstr>Cotton</vt:lpstr>
      <vt:lpstr>Auto Fuel Prices</vt:lpstr>
      <vt:lpstr>Commodities</vt:lpstr>
      <vt:lpstr>Total Market Earnings</vt:lpstr>
      <vt:lpstr>Corporate Earnings</vt:lpstr>
      <vt:lpstr>Additional</vt:lpstr>
      <vt:lpstr>HNB Retirement Fund</vt:lpstr>
      <vt:lpstr>Top 10 Holdings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mohammedu iflam</cp:lastModifiedBy>
  <cp:lastPrinted>2024-07-25T06:59:10Z</cp:lastPrinted>
  <dcterms:created xsi:type="dcterms:W3CDTF">2015-06-05T18:17:20Z</dcterms:created>
  <dcterms:modified xsi:type="dcterms:W3CDTF">2025-01-12T13:09:08Z</dcterms:modified>
</cp:coreProperties>
</file>