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suke\Desktop\CFI\FMVA\Financial Moellin and valuation in One Excel\"/>
    </mc:Choice>
  </mc:AlternateContent>
  <xr:revisionPtr revIDLastSave="0" documentId="13_ncr:1_{CE424F26-4BA6-4321-8E95-80B757252B11}" xr6:coauthVersionLast="47" xr6:coauthVersionMax="47" xr10:uidLastSave="{00000000-0000-0000-0000-000000000000}"/>
  <bookViews>
    <workbookView xWindow="-120" yWindow="-120" windowWidth="20730" windowHeight="11160" xr2:uid="{ED326665-48AC-4FA7-94CD-E65A51D355DD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1" i="1" l="1"/>
  <c r="F312" i="1"/>
  <c r="F313" i="1"/>
  <c r="F310" i="1"/>
  <c r="F277" i="1" l="1"/>
  <c r="F278" i="1" s="1"/>
  <c r="F275" i="1"/>
  <c r="F274" i="1" s="1"/>
  <c r="H273" i="1"/>
  <c r="I273" i="1" s="1"/>
  <c r="J273" i="1" s="1"/>
  <c r="K273" i="1" s="1"/>
  <c r="L273" i="1" s="1"/>
  <c r="F8" i="2" l="1"/>
  <c r="F12" i="2"/>
  <c r="F13" i="2" s="1"/>
  <c r="F10" i="2"/>
  <c r="F9" i="2"/>
  <c r="H8" i="2"/>
  <c r="I8" i="2" s="1"/>
  <c r="J8" i="2" s="1"/>
  <c r="K8" i="2" s="1"/>
  <c r="L8" i="2" s="1"/>
  <c r="E245" i="1" l="1"/>
  <c r="O330" i="1"/>
  <c r="Q330" i="1" s="1"/>
  <c r="O329" i="1"/>
  <c r="Q329" i="1" s="1"/>
  <c r="O328" i="1"/>
  <c r="Q328" i="1" s="1"/>
  <c r="F631" i="1"/>
  <c r="D631" i="1"/>
  <c r="F630" i="1"/>
  <c r="D630" i="1"/>
  <c r="F629" i="1"/>
  <c r="D629" i="1"/>
  <c r="F628" i="1"/>
  <c r="D628" i="1"/>
  <c r="F627" i="1"/>
  <c r="D627" i="1"/>
  <c r="F626" i="1"/>
  <c r="D626" i="1"/>
  <c r="F625" i="1"/>
  <c r="D625" i="1"/>
  <c r="F624" i="1"/>
  <c r="D624" i="1"/>
  <c r="F623" i="1"/>
  <c r="D623" i="1"/>
  <c r="F622" i="1"/>
  <c r="D622" i="1"/>
  <c r="F621" i="1"/>
  <c r="D621" i="1"/>
  <c r="F620" i="1"/>
  <c r="D620" i="1"/>
  <c r="F619" i="1"/>
  <c r="D619" i="1"/>
  <c r="F618" i="1"/>
  <c r="D618" i="1"/>
  <c r="F617" i="1"/>
  <c r="D617" i="1"/>
  <c r="F616" i="1"/>
  <c r="D616" i="1"/>
  <c r="F615" i="1"/>
  <c r="D615" i="1"/>
  <c r="F614" i="1"/>
  <c r="D614" i="1"/>
  <c r="F613" i="1"/>
  <c r="D613" i="1"/>
  <c r="F612" i="1"/>
  <c r="D612" i="1"/>
  <c r="F611" i="1"/>
  <c r="D611" i="1"/>
  <c r="F610" i="1"/>
  <c r="D610" i="1"/>
  <c r="F609" i="1"/>
  <c r="D609" i="1"/>
  <c r="F608" i="1"/>
  <c r="D608" i="1"/>
  <c r="F607" i="1"/>
  <c r="D607" i="1"/>
  <c r="F606" i="1"/>
  <c r="D606" i="1"/>
  <c r="F605" i="1"/>
  <c r="D605" i="1"/>
  <c r="F604" i="1"/>
  <c r="D604" i="1"/>
  <c r="F603" i="1"/>
  <c r="D603" i="1"/>
  <c r="F602" i="1"/>
  <c r="D602" i="1"/>
  <c r="F601" i="1"/>
  <c r="D601" i="1"/>
  <c r="F600" i="1"/>
  <c r="D600" i="1"/>
  <c r="F599" i="1"/>
  <c r="D599" i="1"/>
  <c r="F598" i="1"/>
  <c r="D598" i="1"/>
  <c r="F597" i="1"/>
  <c r="D597" i="1"/>
  <c r="F596" i="1"/>
  <c r="D596" i="1"/>
  <c r="F595" i="1"/>
  <c r="D595" i="1"/>
  <c r="F594" i="1"/>
  <c r="D594" i="1"/>
  <c r="F593" i="1"/>
  <c r="D593" i="1"/>
  <c r="F592" i="1"/>
  <c r="D592" i="1"/>
  <c r="F591" i="1"/>
  <c r="D591" i="1"/>
  <c r="F590" i="1"/>
  <c r="D590" i="1"/>
  <c r="F589" i="1"/>
  <c r="D589" i="1"/>
  <c r="F588" i="1"/>
  <c r="D588" i="1"/>
  <c r="F587" i="1"/>
  <c r="D587" i="1"/>
  <c r="F586" i="1"/>
  <c r="D586" i="1"/>
  <c r="F585" i="1"/>
  <c r="D585" i="1"/>
  <c r="F584" i="1"/>
  <c r="D584" i="1"/>
  <c r="F583" i="1"/>
  <c r="D583" i="1"/>
  <c r="F582" i="1"/>
  <c r="D582" i="1"/>
  <c r="F581" i="1"/>
  <c r="D581" i="1"/>
  <c r="F580" i="1"/>
  <c r="D580" i="1"/>
  <c r="F579" i="1"/>
  <c r="D579" i="1"/>
  <c r="F578" i="1"/>
  <c r="D578" i="1"/>
  <c r="F577" i="1"/>
  <c r="D577" i="1"/>
  <c r="F576" i="1"/>
  <c r="D576" i="1"/>
  <c r="F575" i="1"/>
  <c r="D575" i="1"/>
  <c r="F574" i="1"/>
  <c r="D574" i="1"/>
  <c r="F573" i="1"/>
  <c r="D573" i="1"/>
  <c r="F572" i="1"/>
  <c r="D572" i="1"/>
  <c r="F571" i="1"/>
  <c r="D571" i="1"/>
  <c r="F570" i="1"/>
  <c r="D570" i="1"/>
  <c r="F569" i="1"/>
  <c r="D569" i="1"/>
  <c r="F568" i="1"/>
  <c r="D568" i="1"/>
  <c r="F567" i="1"/>
  <c r="D567" i="1"/>
  <c r="F566" i="1"/>
  <c r="D566" i="1"/>
  <c r="F565" i="1"/>
  <c r="D565" i="1"/>
  <c r="F564" i="1"/>
  <c r="D564" i="1"/>
  <c r="F563" i="1"/>
  <c r="D563" i="1"/>
  <c r="F562" i="1"/>
  <c r="D562" i="1"/>
  <c r="F561" i="1"/>
  <c r="D561" i="1"/>
  <c r="F560" i="1"/>
  <c r="D560" i="1"/>
  <c r="F559" i="1"/>
  <c r="D559" i="1"/>
  <c r="F558" i="1"/>
  <c r="D558" i="1"/>
  <c r="F557" i="1"/>
  <c r="D557" i="1"/>
  <c r="F556" i="1"/>
  <c r="D556" i="1"/>
  <c r="F555" i="1"/>
  <c r="D555" i="1"/>
  <c r="F554" i="1"/>
  <c r="D554" i="1"/>
  <c r="F553" i="1"/>
  <c r="D553" i="1"/>
  <c r="F552" i="1"/>
  <c r="D552" i="1"/>
  <c r="F551" i="1"/>
  <c r="D551" i="1"/>
  <c r="F550" i="1"/>
  <c r="D550" i="1"/>
  <c r="F549" i="1"/>
  <c r="D549" i="1"/>
  <c r="F548" i="1"/>
  <c r="D548" i="1"/>
  <c r="F547" i="1"/>
  <c r="D547" i="1"/>
  <c r="F546" i="1"/>
  <c r="D546" i="1"/>
  <c r="F545" i="1"/>
  <c r="D545" i="1"/>
  <c r="F544" i="1"/>
  <c r="D544" i="1"/>
  <c r="F543" i="1"/>
  <c r="D543" i="1"/>
  <c r="F542" i="1"/>
  <c r="D542" i="1"/>
  <c r="F541" i="1"/>
  <c r="D541" i="1"/>
  <c r="F540" i="1"/>
  <c r="D540" i="1"/>
  <c r="F539" i="1"/>
  <c r="D539" i="1"/>
  <c r="F538" i="1"/>
  <c r="D538" i="1"/>
  <c r="F537" i="1"/>
  <c r="D537" i="1"/>
  <c r="F536" i="1"/>
  <c r="D536" i="1"/>
  <c r="F535" i="1"/>
  <c r="D535" i="1"/>
  <c r="F534" i="1"/>
  <c r="D534" i="1"/>
  <c r="F533" i="1"/>
  <c r="D533" i="1"/>
  <c r="F532" i="1"/>
  <c r="D532" i="1"/>
  <c r="F531" i="1"/>
  <c r="D531" i="1"/>
  <c r="F530" i="1"/>
  <c r="D530" i="1"/>
  <c r="F529" i="1"/>
  <c r="D529" i="1"/>
  <c r="F528" i="1"/>
  <c r="D528" i="1"/>
  <c r="F527" i="1"/>
  <c r="D527" i="1"/>
  <c r="F526" i="1"/>
  <c r="D526" i="1"/>
  <c r="F525" i="1"/>
  <c r="D525" i="1"/>
  <c r="F524" i="1"/>
  <c r="D524" i="1"/>
  <c r="F523" i="1"/>
  <c r="D523" i="1"/>
  <c r="F522" i="1"/>
  <c r="D522" i="1"/>
  <c r="F521" i="1"/>
  <c r="D521" i="1"/>
  <c r="F520" i="1"/>
  <c r="D520" i="1"/>
  <c r="F519" i="1"/>
  <c r="D519" i="1"/>
  <c r="F518" i="1"/>
  <c r="D518" i="1"/>
  <c r="F517" i="1"/>
  <c r="D517" i="1"/>
  <c r="F516" i="1"/>
  <c r="D516" i="1"/>
  <c r="F515" i="1"/>
  <c r="D515" i="1"/>
  <c r="F514" i="1"/>
  <c r="D514" i="1"/>
  <c r="F513" i="1"/>
  <c r="D513" i="1"/>
  <c r="F512" i="1"/>
  <c r="D512" i="1"/>
  <c r="F511" i="1"/>
  <c r="D511" i="1"/>
  <c r="F510" i="1"/>
  <c r="D510" i="1"/>
  <c r="F509" i="1"/>
  <c r="D509" i="1"/>
  <c r="F508" i="1"/>
  <c r="D508" i="1"/>
  <c r="F507" i="1"/>
  <c r="D507" i="1"/>
  <c r="F506" i="1"/>
  <c r="D506" i="1"/>
  <c r="F505" i="1"/>
  <c r="D505" i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F495" i="1"/>
  <c r="D495" i="1"/>
  <c r="F494" i="1"/>
  <c r="D494" i="1"/>
  <c r="F493" i="1"/>
  <c r="D493" i="1"/>
  <c r="F492" i="1"/>
  <c r="D492" i="1"/>
  <c r="F491" i="1"/>
  <c r="D491" i="1"/>
  <c r="F490" i="1"/>
  <c r="D490" i="1"/>
  <c r="F489" i="1"/>
  <c r="D489" i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F481" i="1"/>
  <c r="D481" i="1"/>
  <c r="F480" i="1"/>
  <c r="D480" i="1"/>
  <c r="F479" i="1"/>
  <c r="D479" i="1"/>
  <c r="F478" i="1"/>
  <c r="D478" i="1"/>
  <c r="F477" i="1"/>
  <c r="D477" i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F469" i="1"/>
  <c r="D469" i="1"/>
  <c r="F468" i="1"/>
  <c r="D468" i="1"/>
  <c r="F467" i="1"/>
  <c r="D467" i="1"/>
  <c r="F466" i="1"/>
  <c r="D466" i="1"/>
  <c r="F465" i="1"/>
  <c r="D465" i="1"/>
  <c r="F464" i="1"/>
  <c r="D464" i="1"/>
  <c r="F463" i="1"/>
  <c r="D463" i="1"/>
  <c r="F462" i="1"/>
  <c r="D462" i="1"/>
  <c r="F461" i="1"/>
  <c r="D461" i="1"/>
  <c r="F460" i="1"/>
  <c r="D460" i="1"/>
  <c r="F459" i="1"/>
  <c r="D459" i="1"/>
  <c r="F458" i="1"/>
  <c r="D458" i="1"/>
  <c r="F457" i="1"/>
  <c r="D457" i="1"/>
  <c r="F456" i="1"/>
  <c r="D456" i="1"/>
  <c r="F455" i="1"/>
  <c r="D455" i="1"/>
  <c r="F454" i="1"/>
  <c r="D454" i="1"/>
  <c r="F453" i="1"/>
  <c r="D453" i="1"/>
  <c r="F452" i="1"/>
  <c r="D452" i="1"/>
  <c r="F451" i="1"/>
  <c r="D451" i="1"/>
  <c r="F450" i="1"/>
  <c r="D450" i="1"/>
  <c r="F449" i="1"/>
  <c r="D449" i="1"/>
  <c r="F448" i="1"/>
  <c r="D448" i="1"/>
  <c r="F447" i="1"/>
  <c r="D447" i="1"/>
  <c r="F446" i="1"/>
  <c r="D446" i="1"/>
  <c r="F445" i="1"/>
  <c r="D445" i="1"/>
  <c r="F444" i="1"/>
  <c r="D444" i="1"/>
  <c r="F443" i="1"/>
  <c r="D443" i="1"/>
  <c r="F442" i="1"/>
  <c r="D442" i="1"/>
  <c r="F441" i="1"/>
  <c r="D441" i="1"/>
  <c r="F440" i="1"/>
  <c r="D440" i="1"/>
  <c r="F439" i="1"/>
  <c r="D439" i="1"/>
  <c r="F438" i="1"/>
  <c r="D438" i="1"/>
  <c r="F437" i="1"/>
  <c r="D437" i="1"/>
  <c r="F436" i="1"/>
  <c r="D436" i="1"/>
  <c r="F435" i="1"/>
  <c r="D435" i="1"/>
  <c r="F434" i="1"/>
  <c r="D434" i="1"/>
  <c r="F433" i="1"/>
  <c r="D433" i="1"/>
  <c r="F432" i="1"/>
  <c r="D432" i="1"/>
  <c r="F431" i="1"/>
  <c r="D431" i="1"/>
  <c r="F430" i="1"/>
  <c r="D430" i="1"/>
  <c r="F429" i="1"/>
  <c r="D429" i="1"/>
  <c r="F428" i="1"/>
  <c r="D428" i="1"/>
  <c r="F427" i="1"/>
  <c r="D427" i="1"/>
  <c r="F426" i="1"/>
  <c r="D426" i="1"/>
  <c r="F425" i="1"/>
  <c r="D425" i="1"/>
  <c r="F424" i="1"/>
  <c r="D424" i="1"/>
  <c r="F423" i="1"/>
  <c r="D423" i="1"/>
  <c r="F422" i="1"/>
  <c r="D422" i="1"/>
  <c r="F421" i="1"/>
  <c r="D421" i="1"/>
  <c r="F420" i="1"/>
  <c r="D420" i="1"/>
  <c r="F419" i="1"/>
  <c r="D419" i="1"/>
  <c r="F418" i="1"/>
  <c r="D418" i="1"/>
  <c r="F417" i="1"/>
  <c r="D417" i="1"/>
  <c r="F416" i="1"/>
  <c r="D416" i="1"/>
  <c r="F415" i="1"/>
  <c r="D415" i="1"/>
  <c r="F414" i="1"/>
  <c r="D414" i="1"/>
  <c r="F413" i="1"/>
  <c r="D413" i="1"/>
  <c r="F412" i="1"/>
  <c r="D412" i="1"/>
  <c r="F411" i="1"/>
  <c r="D411" i="1"/>
  <c r="F410" i="1"/>
  <c r="D410" i="1"/>
  <c r="F409" i="1"/>
  <c r="D409" i="1"/>
  <c r="F408" i="1"/>
  <c r="D408" i="1"/>
  <c r="F407" i="1"/>
  <c r="D407" i="1"/>
  <c r="F406" i="1"/>
  <c r="D406" i="1"/>
  <c r="F405" i="1"/>
  <c r="D405" i="1"/>
  <c r="F404" i="1"/>
  <c r="D404" i="1"/>
  <c r="F403" i="1"/>
  <c r="D403" i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D395" i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D378" i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D370" i="1"/>
  <c r="F369" i="1"/>
  <c r="D369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B321" i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I322" i="1" l="1"/>
  <c r="I321" i="1"/>
  <c r="Q332" i="1"/>
  <c r="K336" i="1" s="1"/>
  <c r="E235" i="1" s="1"/>
  <c r="E237" i="1" s="1"/>
  <c r="K222" i="1" l="1"/>
  <c r="J222" i="1"/>
  <c r="I222" i="1"/>
  <c r="H222" i="1"/>
  <c r="G222" i="1"/>
  <c r="K214" i="1"/>
  <c r="J214" i="1"/>
  <c r="I214" i="1"/>
  <c r="H214" i="1"/>
  <c r="G214" i="1"/>
  <c r="F192" i="1"/>
  <c r="G292" i="1" l="1"/>
  <c r="P292" i="1" s="1"/>
  <c r="G293" i="1"/>
  <c r="P293" i="1" s="1"/>
  <c r="G294" i="1"/>
  <c r="P294" i="1" s="1"/>
  <c r="G295" i="1"/>
  <c r="P295" i="1" s="1"/>
  <c r="G296" i="1"/>
  <c r="P296" i="1" s="1"/>
  <c r="G297" i="1"/>
  <c r="P297" i="1" s="1"/>
  <c r="G298" i="1"/>
  <c r="P298" i="1" s="1"/>
  <c r="G299" i="1"/>
  <c r="P299" i="1" s="1"/>
  <c r="G300" i="1"/>
  <c r="P300" i="1" s="1"/>
  <c r="G291" i="1"/>
  <c r="Q291" i="1" s="1"/>
  <c r="K255" i="1"/>
  <c r="J255" i="1"/>
  <c r="I255" i="1"/>
  <c r="H255" i="1"/>
  <c r="G255" i="1"/>
  <c r="E242" i="1"/>
  <c r="E246" i="1"/>
  <c r="K205" i="1"/>
  <c r="J205" i="1"/>
  <c r="I205" i="1"/>
  <c r="H205" i="1"/>
  <c r="G205" i="1"/>
  <c r="F198" i="1"/>
  <c r="F191" i="1"/>
  <c r="K189" i="1"/>
  <c r="J189" i="1"/>
  <c r="I189" i="1"/>
  <c r="H189" i="1"/>
  <c r="G189" i="1"/>
  <c r="F189" i="1"/>
  <c r="F157" i="1"/>
  <c r="F182" i="1"/>
  <c r="G179" i="1" s="1"/>
  <c r="E182" i="1"/>
  <c r="D182" i="1"/>
  <c r="F176" i="1"/>
  <c r="F181" i="1" s="1"/>
  <c r="E176" i="1"/>
  <c r="E181" i="1" s="1"/>
  <c r="D176" i="1"/>
  <c r="D107" i="1" s="1"/>
  <c r="D109" i="1" s="1"/>
  <c r="K173" i="1"/>
  <c r="K171" i="1" s="1"/>
  <c r="J173" i="1"/>
  <c r="J171" i="1" s="1"/>
  <c r="I173" i="1"/>
  <c r="I171" i="1" s="1"/>
  <c r="H173" i="1"/>
  <c r="G173" i="1"/>
  <c r="G77" i="1" s="1"/>
  <c r="F173" i="1"/>
  <c r="F171" i="1" s="1"/>
  <c r="E173" i="1"/>
  <c r="E171" i="1" s="1"/>
  <c r="D173" i="1"/>
  <c r="D172" i="1"/>
  <c r="K165" i="1"/>
  <c r="J165" i="1"/>
  <c r="I165" i="1"/>
  <c r="H165" i="1"/>
  <c r="G165" i="1"/>
  <c r="K163" i="1"/>
  <c r="K161" i="1" s="1"/>
  <c r="J163" i="1"/>
  <c r="J73" i="1" s="1"/>
  <c r="I163" i="1"/>
  <c r="H163" i="1"/>
  <c r="H73" i="1" s="1"/>
  <c r="G163" i="1"/>
  <c r="G161" i="1" s="1"/>
  <c r="F163" i="1"/>
  <c r="F200" i="1" s="1"/>
  <c r="E163" i="1"/>
  <c r="E161" i="1" s="1"/>
  <c r="D163" i="1"/>
  <c r="D162" i="1"/>
  <c r="K157" i="1"/>
  <c r="J157" i="1"/>
  <c r="I157" i="1"/>
  <c r="H157" i="1"/>
  <c r="G157" i="1"/>
  <c r="E157" i="1"/>
  <c r="D157" i="1"/>
  <c r="D152" i="1"/>
  <c r="F151" i="1"/>
  <c r="E151" i="1"/>
  <c r="D151" i="1"/>
  <c r="F150" i="1"/>
  <c r="E150" i="1"/>
  <c r="D150" i="1"/>
  <c r="K146" i="1"/>
  <c r="J146" i="1"/>
  <c r="I146" i="1"/>
  <c r="H146" i="1"/>
  <c r="G146" i="1"/>
  <c r="K145" i="1"/>
  <c r="J145" i="1"/>
  <c r="I145" i="1"/>
  <c r="H145" i="1"/>
  <c r="G145" i="1"/>
  <c r="D142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K129" i="1"/>
  <c r="J129" i="1"/>
  <c r="I129" i="1"/>
  <c r="H129" i="1"/>
  <c r="G129" i="1"/>
  <c r="K128" i="1"/>
  <c r="J128" i="1"/>
  <c r="I128" i="1"/>
  <c r="H128" i="1"/>
  <c r="G128" i="1"/>
  <c r="K127" i="1"/>
  <c r="J127" i="1"/>
  <c r="I127" i="1"/>
  <c r="H127" i="1"/>
  <c r="G127" i="1"/>
  <c r="K126" i="1"/>
  <c r="J126" i="1"/>
  <c r="I126" i="1"/>
  <c r="H126" i="1"/>
  <c r="G126" i="1"/>
  <c r="F124" i="1"/>
  <c r="E124" i="1"/>
  <c r="D124" i="1"/>
  <c r="F123" i="1"/>
  <c r="E123" i="1"/>
  <c r="D123" i="1"/>
  <c r="F122" i="1"/>
  <c r="F144" i="1" s="1"/>
  <c r="E122" i="1"/>
  <c r="E144" i="1" s="1"/>
  <c r="D122" i="1"/>
  <c r="D144" i="1" s="1"/>
  <c r="K121" i="1"/>
  <c r="J121" i="1"/>
  <c r="I121" i="1"/>
  <c r="H121" i="1"/>
  <c r="G121" i="1"/>
  <c r="F121" i="1"/>
  <c r="E121" i="1"/>
  <c r="D121" i="1"/>
  <c r="K119" i="1"/>
  <c r="J119" i="1"/>
  <c r="I119" i="1"/>
  <c r="H119" i="1"/>
  <c r="G119" i="1"/>
  <c r="F119" i="1"/>
  <c r="E119" i="1"/>
  <c r="D119" i="1"/>
  <c r="F103" i="1"/>
  <c r="E103" i="1"/>
  <c r="D103" i="1"/>
  <c r="D98" i="1"/>
  <c r="D97" i="1"/>
  <c r="D96" i="1"/>
  <c r="D95" i="1"/>
  <c r="F93" i="1"/>
  <c r="E93" i="1"/>
  <c r="D93" i="1"/>
  <c r="K89" i="1"/>
  <c r="J89" i="1"/>
  <c r="I89" i="1"/>
  <c r="H89" i="1"/>
  <c r="G89" i="1"/>
  <c r="F89" i="1"/>
  <c r="E89" i="1"/>
  <c r="D89" i="1"/>
  <c r="F79" i="1"/>
  <c r="E79" i="1"/>
  <c r="D79" i="1"/>
  <c r="F71" i="1"/>
  <c r="F74" i="1" s="1"/>
  <c r="E71" i="1"/>
  <c r="E74" i="1" s="1"/>
  <c r="D71" i="1"/>
  <c r="D74" i="1" s="1"/>
  <c r="K56" i="1"/>
  <c r="J56" i="1"/>
  <c r="I56" i="1"/>
  <c r="H56" i="1"/>
  <c r="G56" i="1"/>
  <c r="F56" i="1"/>
  <c r="E56" i="1"/>
  <c r="D56" i="1"/>
  <c r="K39" i="1"/>
  <c r="J39" i="1"/>
  <c r="I39" i="1"/>
  <c r="H39" i="1"/>
  <c r="G39" i="1"/>
  <c r="F36" i="1"/>
  <c r="F42" i="1" s="1"/>
  <c r="E36" i="1"/>
  <c r="E42" i="1" s="1"/>
  <c r="E45" i="1" s="1"/>
  <c r="D36" i="1"/>
  <c r="D42" i="1" s="1"/>
  <c r="D45" i="1" s="1"/>
  <c r="G34" i="1"/>
  <c r="G122" i="1" s="1"/>
  <c r="G144" i="1" s="1"/>
  <c r="K32" i="1"/>
  <c r="J32" i="1"/>
  <c r="I32" i="1"/>
  <c r="H32" i="1"/>
  <c r="G32" i="1"/>
  <c r="F32" i="1"/>
  <c r="E32" i="1"/>
  <c r="D32" i="1"/>
  <c r="F25" i="1"/>
  <c r="E25" i="1"/>
  <c r="D25" i="1"/>
  <c r="F24" i="1"/>
  <c r="E24" i="1"/>
  <c r="D24" i="1"/>
  <c r="F23" i="1"/>
  <c r="F129" i="1" s="1"/>
  <c r="E23" i="1"/>
  <c r="E129" i="1" s="1"/>
  <c r="D23" i="1"/>
  <c r="D129" i="1" s="1"/>
  <c r="F22" i="1"/>
  <c r="F128" i="1" s="1"/>
  <c r="E22" i="1"/>
  <c r="E128" i="1" s="1"/>
  <c r="D22" i="1"/>
  <c r="D128" i="1" s="1"/>
  <c r="F21" i="1"/>
  <c r="F127" i="1" s="1"/>
  <c r="E21" i="1"/>
  <c r="E127" i="1" s="1"/>
  <c r="D21" i="1"/>
  <c r="D127" i="1" s="1"/>
  <c r="F20" i="1"/>
  <c r="F126" i="1" s="1"/>
  <c r="E20" i="1"/>
  <c r="E126" i="1" s="1"/>
  <c r="D20" i="1"/>
  <c r="D126" i="1" s="1"/>
  <c r="F19" i="1"/>
  <c r="F145" i="1" s="1"/>
  <c r="E19" i="1"/>
  <c r="E145" i="1" s="1"/>
  <c r="D19" i="1"/>
  <c r="D145" i="1" s="1"/>
  <c r="F15" i="1"/>
  <c r="F165" i="1" s="1"/>
  <c r="E15" i="1"/>
  <c r="E165" i="1" s="1"/>
  <c r="D15" i="1"/>
  <c r="D165" i="1" s="1"/>
  <c r="F14" i="1"/>
  <c r="F146" i="1" s="1"/>
  <c r="E14" i="1"/>
  <c r="E146" i="1" s="1"/>
  <c r="D14" i="1"/>
  <c r="D146" i="1" s="1"/>
  <c r="F13" i="1"/>
  <c r="E13" i="1"/>
  <c r="D13" i="1"/>
  <c r="F12" i="1"/>
  <c r="E12" i="1"/>
  <c r="D12" i="1"/>
  <c r="F11" i="1"/>
  <c r="E11" i="1"/>
  <c r="D11" i="1"/>
  <c r="F9" i="1"/>
  <c r="E9" i="1"/>
  <c r="E247" i="1" l="1"/>
  <c r="F45" i="1"/>
  <c r="F193" i="1" s="1"/>
  <c r="F194" i="1" s="1"/>
  <c r="F195" i="1"/>
  <c r="G73" i="1"/>
  <c r="I291" i="1"/>
  <c r="O291" i="1" s="1"/>
  <c r="K73" i="1"/>
  <c r="H161" i="1"/>
  <c r="H167" i="1" s="1"/>
  <c r="Q298" i="1"/>
  <c r="I297" i="1"/>
  <c r="N297" i="1" s="1"/>
  <c r="Q296" i="1"/>
  <c r="I293" i="1"/>
  <c r="N293" i="1" s="1"/>
  <c r="Q294" i="1"/>
  <c r="Q300" i="1"/>
  <c r="Q292" i="1"/>
  <c r="I299" i="1"/>
  <c r="I295" i="1"/>
  <c r="N291" i="1"/>
  <c r="P291" i="1"/>
  <c r="Q299" i="1"/>
  <c r="Q297" i="1"/>
  <c r="Q295" i="1"/>
  <c r="Q293" i="1"/>
  <c r="I298" i="1"/>
  <c r="I294" i="1"/>
  <c r="I300" i="1"/>
  <c r="I296" i="1"/>
  <c r="I292" i="1"/>
  <c r="K77" i="1"/>
  <c r="F161" i="1"/>
  <c r="F167" i="1" s="1"/>
  <c r="F168" i="1" s="1"/>
  <c r="D161" i="1"/>
  <c r="D167" i="1" s="1"/>
  <c r="D168" i="1" s="1"/>
  <c r="G167" i="1"/>
  <c r="G168" i="1" s="1"/>
  <c r="J161" i="1"/>
  <c r="J167" i="1" s="1"/>
  <c r="D149" i="1"/>
  <c r="E10" i="1"/>
  <c r="G35" i="1"/>
  <c r="G123" i="1" s="1"/>
  <c r="G133" i="1" s="1"/>
  <c r="G139" i="1" s="1"/>
  <c r="G96" i="1" s="1"/>
  <c r="E141" i="1"/>
  <c r="E98" i="1" s="1"/>
  <c r="E139" i="1"/>
  <c r="E96" i="1" s="1"/>
  <c r="G36" i="1"/>
  <c r="F10" i="1"/>
  <c r="J77" i="1"/>
  <c r="E140" i="1"/>
  <c r="E97" i="1" s="1"/>
  <c r="E149" i="1"/>
  <c r="E152" i="1" s="1"/>
  <c r="F149" i="1" s="1"/>
  <c r="F152" i="1" s="1"/>
  <c r="G149" i="1" s="1"/>
  <c r="G171" i="1"/>
  <c r="D171" i="1"/>
  <c r="D10" i="1"/>
  <c r="E167" i="1"/>
  <c r="E168" i="1" s="1"/>
  <c r="H34" i="1"/>
  <c r="H122" i="1" s="1"/>
  <c r="H144" i="1" s="1"/>
  <c r="H152" i="1" s="1"/>
  <c r="F107" i="1"/>
  <c r="F109" i="1" s="1"/>
  <c r="K167" i="1"/>
  <c r="D81" i="1"/>
  <c r="I77" i="1"/>
  <c r="E81" i="1"/>
  <c r="F141" i="1"/>
  <c r="F98" i="1" s="1"/>
  <c r="F81" i="1"/>
  <c r="E107" i="1"/>
  <c r="E109" i="1" s="1"/>
  <c r="E138" i="1"/>
  <c r="E95" i="1" s="1"/>
  <c r="F140" i="1"/>
  <c r="F97" i="1" s="1"/>
  <c r="E16" i="1"/>
  <c r="E48" i="1"/>
  <c r="F16" i="1"/>
  <c r="F48" i="1"/>
  <c r="F190" i="1" s="1"/>
  <c r="L312" i="1" s="1"/>
  <c r="D48" i="1"/>
  <c r="D16" i="1"/>
  <c r="G41" i="1"/>
  <c r="I161" i="1"/>
  <c r="I167" i="1" s="1"/>
  <c r="I73" i="1"/>
  <c r="H171" i="1"/>
  <c r="H77" i="1"/>
  <c r="G38" i="1"/>
  <c r="G132" i="1"/>
  <c r="F138" i="1"/>
  <c r="F139" i="1"/>
  <c r="F96" i="1" s="1"/>
  <c r="G152" i="1"/>
  <c r="G151" i="1"/>
  <c r="G40" i="1"/>
  <c r="D181" i="1"/>
  <c r="C251" i="1" l="1"/>
  <c r="C267" i="1" s="1"/>
  <c r="F196" i="1"/>
  <c r="O293" i="1"/>
  <c r="O297" i="1"/>
  <c r="H168" i="1"/>
  <c r="H44" i="1"/>
  <c r="H192" i="1" s="1"/>
  <c r="Q303" i="1"/>
  <c r="N299" i="1"/>
  <c r="O299" i="1"/>
  <c r="N294" i="1"/>
  <c r="O294" i="1"/>
  <c r="Q304" i="1"/>
  <c r="Q313" i="1" s="1"/>
  <c r="N300" i="1"/>
  <c r="O300" i="1"/>
  <c r="N292" i="1"/>
  <c r="O292" i="1"/>
  <c r="N298" i="1"/>
  <c r="O298" i="1"/>
  <c r="Q305" i="1"/>
  <c r="N296" i="1"/>
  <c r="O296" i="1"/>
  <c r="P306" i="1"/>
  <c r="P305" i="1"/>
  <c r="P304" i="1"/>
  <c r="P312" i="1" s="1"/>
  <c r="I312" i="1" s="1"/>
  <c r="P303" i="1"/>
  <c r="N295" i="1"/>
  <c r="O295" i="1"/>
  <c r="Q306" i="1"/>
  <c r="G44" i="1"/>
  <c r="G192" i="1" s="1"/>
  <c r="H40" i="1"/>
  <c r="H35" i="1"/>
  <c r="H123" i="1" s="1"/>
  <c r="H134" i="1" s="1"/>
  <c r="H69" i="1" s="1"/>
  <c r="G93" i="1"/>
  <c r="G191" i="1"/>
  <c r="F197" i="1"/>
  <c r="J310" i="1" s="1"/>
  <c r="G134" i="1"/>
  <c r="G140" i="1" s="1"/>
  <c r="G97" i="1" s="1"/>
  <c r="I34" i="1"/>
  <c r="I36" i="1" s="1"/>
  <c r="H151" i="1"/>
  <c r="H41" i="1"/>
  <c r="E142" i="1"/>
  <c r="H132" i="1"/>
  <c r="H60" i="1" s="1"/>
  <c r="H38" i="1"/>
  <c r="H36" i="1"/>
  <c r="K168" i="1"/>
  <c r="K44" i="1"/>
  <c r="K192" i="1" s="1"/>
  <c r="G42" i="1"/>
  <c r="G195" i="1" s="1"/>
  <c r="G206" i="1" s="1"/>
  <c r="I44" i="1"/>
  <c r="I192" i="1" s="1"/>
  <c r="I168" i="1"/>
  <c r="H149" i="1"/>
  <c r="G150" i="1"/>
  <c r="G102" i="1" s="1"/>
  <c r="G64" i="1"/>
  <c r="G60" i="1"/>
  <c r="I149" i="1"/>
  <c r="H64" i="1"/>
  <c r="G138" i="1"/>
  <c r="F26" i="1"/>
  <c r="F92" i="1"/>
  <c r="J168" i="1"/>
  <c r="J44" i="1"/>
  <c r="J192" i="1" s="1"/>
  <c r="G61" i="1"/>
  <c r="E92" i="1"/>
  <c r="E26" i="1"/>
  <c r="F95" i="1"/>
  <c r="F142" i="1"/>
  <c r="F199" i="1" s="1"/>
  <c r="D92" i="1"/>
  <c r="D26" i="1"/>
  <c r="H140" i="1" l="1"/>
  <c r="H97" i="1" s="1"/>
  <c r="H150" i="1"/>
  <c r="H102" i="1" s="1"/>
  <c r="H103" i="1" s="1"/>
  <c r="H138" i="1"/>
  <c r="H95" i="1" s="1"/>
  <c r="H133" i="1"/>
  <c r="H61" i="1" s="1"/>
  <c r="G209" i="1"/>
  <c r="G216" i="1"/>
  <c r="G223" i="1" s="1"/>
  <c r="N305" i="1"/>
  <c r="N303" i="1"/>
  <c r="N304" i="1"/>
  <c r="N310" i="1" s="1"/>
  <c r="I310" i="1" s="1"/>
  <c r="N306" i="1"/>
  <c r="O306" i="1"/>
  <c r="O305" i="1"/>
  <c r="O304" i="1"/>
  <c r="O311" i="1" s="1"/>
  <c r="O303" i="1"/>
  <c r="G69" i="1"/>
  <c r="I40" i="1"/>
  <c r="I41" i="1"/>
  <c r="I93" i="1" s="1"/>
  <c r="J34" i="1"/>
  <c r="J41" i="1" s="1"/>
  <c r="I38" i="1"/>
  <c r="I35" i="1"/>
  <c r="I123" i="1" s="1"/>
  <c r="I134" i="1" s="1"/>
  <c r="I122" i="1"/>
  <c r="I132" i="1" s="1"/>
  <c r="G103" i="1"/>
  <c r="G198" i="1"/>
  <c r="G210" i="1" s="1"/>
  <c r="G45" i="1"/>
  <c r="G47" i="1" s="1"/>
  <c r="G193" i="1" s="1"/>
  <c r="G197" i="1"/>
  <c r="K311" i="1" s="1"/>
  <c r="H93" i="1"/>
  <c r="H191" i="1"/>
  <c r="H42" i="1"/>
  <c r="G95" i="1"/>
  <c r="D99" i="1"/>
  <c r="D112" i="1" s="1"/>
  <c r="D113" i="1" s="1"/>
  <c r="D175" i="1"/>
  <c r="D180" i="1" s="1"/>
  <c r="D179" i="1" s="1"/>
  <c r="F175" i="1"/>
  <c r="F180" i="1" s="1"/>
  <c r="F179" i="1" s="1"/>
  <c r="F99" i="1"/>
  <c r="F112" i="1" s="1"/>
  <c r="E99" i="1"/>
  <c r="E112" i="1" s="1"/>
  <c r="E175" i="1"/>
  <c r="E180" i="1" s="1"/>
  <c r="E179" i="1" s="1"/>
  <c r="H198" i="1" l="1"/>
  <c r="H210" i="1" s="1"/>
  <c r="K34" i="1"/>
  <c r="K38" i="1" s="1"/>
  <c r="H139" i="1"/>
  <c r="H96" i="1" s="1"/>
  <c r="I311" i="1"/>
  <c r="H225" i="1"/>
  <c r="H218" i="1"/>
  <c r="H209" i="1"/>
  <c r="H216" i="1"/>
  <c r="G218" i="1"/>
  <c r="G225" i="1"/>
  <c r="I191" i="1"/>
  <c r="I133" i="1"/>
  <c r="I139" i="1" s="1"/>
  <c r="I96" i="1" s="1"/>
  <c r="I42" i="1"/>
  <c r="I195" i="1" s="1"/>
  <c r="I206" i="1" s="1"/>
  <c r="G48" i="1"/>
  <c r="G92" i="1" s="1"/>
  <c r="G175" i="1" s="1"/>
  <c r="G180" i="1" s="1"/>
  <c r="I144" i="1"/>
  <c r="I152" i="1" s="1"/>
  <c r="J93" i="1"/>
  <c r="J191" i="1"/>
  <c r="J38" i="1"/>
  <c r="J35" i="1"/>
  <c r="J123" i="1" s="1"/>
  <c r="J134" i="1" s="1"/>
  <c r="G124" i="1"/>
  <c r="G135" i="1" s="1"/>
  <c r="J122" i="1"/>
  <c r="J144" i="1" s="1"/>
  <c r="J36" i="1"/>
  <c r="H45" i="1"/>
  <c r="H47" i="1" s="1"/>
  <c r="H195" i="1"/>
  <c r="H206" i="1" s="1"/>
  <c r="J40" i="1"/>
  <c r="K122" i="1"/>
  <c r="K40" i="1"/>
  <c r="K36" i="1"/>
  <c r="K35" i="1"/>
  <c r="K123" i="1" s="1"/>
  <c r="I140" i="1"/>
  <c r="I97" i="1" s="1"/>
  <c r="I69" i="1"/>
  <c r="E111" i="1"/>
  <c r="E113" i="1" s="1"/>
  <c r="D59" i="1"/>
  <c r="D62" i="1" s="1"/>
  <c r="D66" i="1" s="1"/>
  <c r="D83" i="1" s="1"/>
  <c r="I60" i="1"/>
  <c r="I138" i="1"/>
  <c r="I61" i="1" l="1"/>
  <c r="K41" i="1"/>
  <c r="I209" i="1"/>
  <c r="I216" i="1"/>
  <c r="I223" i="1" s="1"/>
  <c r="J209" i="1"/>
  <c r="J216" i="1"/>
  <c r="H223" i="1"/>
  <c r="I45" i="1"/>
  <c r="I47" i="1" s="1"/>
  <c r="I193" i="1" s="1"/>
  <c r="I194" i="1" s="1"/>
  <c r="I217" i="1" s="1"/>
  <c r="J132" i="1"/>
  <c r="J138" i="1" s="1"/>
  <c r="J95" i="1" s="1"/>
  <c r="I151" i="1"/>
  <c r="I150" i="1" s="1"/>
  <c r="I102" i="1" s="1"/>
  <c r="J42" i="1"/>
  <c r="J195" i="1" s="1"/>
  <c r="J133" i="1"/>
  <c r="J139" i="1" s="1"/>
  <c r="J96" i="1" s="1"/>
  <c r="H48" i="1"/>
  <c r="H190" i="1" s="1"/>
  <c r="H215" i="1" s="1"/>
  <c r="G190" i="1"/>
  <c r="G50" i="1"/>
  <c r="G176" i="1" s="1"/>
  <c r="I197" i="1"/>
  <c r="K93" i="1"/>
  <c r="K191" i="1"/>
  <c r="H197" i="1"/>
  <c r="G196" i="1"/>
  <c r="G207" i="1" s="1"/>
  <c r="G194" i="1"/>
  <c r="G217" i="1" s="1"/>
  <c r="H124" i="1"/>
  <c r="H135" i="1" s="1"/>
  <c r="H193" i="1"/>
  <c r="H194" i="1" s="1"/>
  <c r="H217" i="1" s="1"/>
  <c r="G70" i="1"/>
  <c r="G71" i="1" s="1"/>
  <c r="G74" i="1" s="1"/>
  <c r="G141" i="1"/>
  <c r="K42" i="1"/>
  <c r="J152" i="1"/>
  <c r="J151" i="1"/>
  <c r="I95" i="1"/>
  <c r="F111" i="1"/>
  <c r="F113" i="1" s="1"/>
  <c r="E59" i="1"/>
  <c r="E62" i="1" s="1"/>
  <c r="E66" i="1" s="1"/>
  <c r="E83" i="1" s="1"/>
  <c r="K133" i="1"/>
  <c r="K61" i="1" s="1"/>
  <c r="K134" i="1"/>
  <c r="J140" i="1"/>
  <c r="J97" i="1" s="1"/>
  <c r="J69" i="1"/>
  <c r="K144" i="1"/>
  <c r="K132" i="1"/>
  <c r="K60" i="1" s="1"/>
  <c r="J149" i="1"/>
  <c r="I64" i="1"/>
  <c r="I48" i="1" l="1"/>
  <c r="I190" i="1" s="1"/>
  <c r="I215" i="1" s="1"/>
  <c r="J61" i="1"/>
  <c r="I124" i="1"/>
  <c r="I135" i="1" s="1"/>
  <c r="I70" i="1" s="1"/>
  <c r="I71" i="1" s="1"/>
  <c r="I74" i="1" s="1"/>
  <c r="K216" i="1"/>
  <c r="K209" i="1"/>
  <c r="J197" i="1"/>
  <c r="J206" i="1"/>
  <c r="M313" i="1"/>
  <c r="I313" i="1" s="1"/>
  <c r="G215" i="1"/>
  <c r="G224" i="1"/>
  <c r="G208" i="1"/>
  <c r="J60" i="1"/>
  <c r="J45" i="1"/>
  <c r="J47" i="1" s="1"/>
  <c r="J193" i="1" s="1"/>
  <c r="H50" i="1"/>
  <c r="H176" i="1" s="1"/>
  <c r="H107" i="1" s="1"/>
  <c r="H109" i="1" s="1"/>
  <c r="H92" i="1"/>
  <c r="H175" i="1" s="1"/>
  <c r="H180" i="1" s="1"/>
  <c r="G181" i="1"/>
  <c r="G182" i="1" s="1"/>
  <c r="H179" i="1" s="1"/>
  <c r="G107" i="1"/>
  <c r="G109" i="1" s="1"/>
  <c r="I196" i="1"/>
  <c r="I207" i="1" s="1"/>
  <c r="H196" i="1"/>
  <c r="H207" i="1" s="1"/>
  <c r="I103" i="1"/>
  <c r="I198" i="1"/>
  <c r="I210" i="1" s="1"/>
  <c r="K45" i="1"/>
  <c r="K47" i="1" s="1"/>
  <c r="K195" i="1"/>
  <c r="H141" i="1"/>
  <c r="H70" i="1"/>
  <c r="H71" i="1" s="1"/>
  <c r="H74" i="1" s="1"/>
  <c r="G98" i="1"/>
  <c r="G99" i="1" s="1"/>
  <c r="G142" i="1"/>
  <c r="G199" i="1" s="1"/>
  <c r="G211" i="1" s="1"/>
  <c r="J48" i="1"/>
  <c r="J190" i="1" s="1"/>
  <c r="J215" i="1" s="1"/>
  <c r="G111" i="1"/>
  <c r="F59" i="1"/>
  <c r="I50" i="1"/>
  <c r="I176" i="1" s="1"/>
  <c r="K138" i="1"/>
  <c r="K152" i="1"/>
  <c r="K151" i="1"/>
  <c r="K139" i="1"/>
  <c r="K96" i="1" s="1"/>
  <c r="K140" i="1"/>
  <c r="K97" i="1" s="1"/>
  <c r="K69" i="1"/>
  <c r="K149" i="1"/>
  <c r="J64" i="1"/>
  <c r="J150" i="1"/>
  <c r="J102" i="1" s="1"/>
  <c r="I92" i="1" l="1"/>
  <c r="J124" i="1"/>
  <c r="J135" i="1" s="1"/>
  <c r="J141" i="1" s="1"/>
  <c r="I141" i="1"/>
  <c r="G78" i="1"/>
  <c r="G79" i="1" s="1"/>
  <c r="G81" i="1" s="1"/>
  <c r="I225" i="1"/>
  <c r="I218" i="1"/>
  <c r="G212" i="1"/>
  <c r="G256" i="1" s="1"/>
  <c r="G263" i="1" s="1"/>
  <c r="G265" i="1" s="1"/>
  <c r="G270" i="1" s="1"/>
  <c r="I224" i="1"/>
  <c r="I208" i="1"/>
  <c r="G226" i="1"/>
  <c r="G227" i="1" s="1"/>
  <c r="G219" i="1"/>
  <c r="G220" i="1" s="1"/>
  <c r="K197" i="1"/>
  <c r="K206" i="1"/>
  <c r="H224" i="1"/>
  <c r="H208" i="1"/>
  <c r="J223" i="1"/>
  <c r="H181" i="1"/>
  <c r="H182" i="1" s="1"/>
  <c r="J92" i="1"/>
  <c r="J70" i="1"/>
  <c r="J71" i="1" s="1"/>
  <c r="J74" i="1" s="1"/>
  <c r="G112" i="1"/>
  <c r="G113" i="1" s="1"/>
  <c r="H142" i="1"/>
  <c r="H199" i="1" s="1"/>
  <c r="H211" i="1" s="1"/>
  <c r="H98" i="1"/>
  <c r="H99" i="1" s="1"/>
  <c r="H112" i="1" s="1"/>
  <c r="F62" i="1"/>
  <c r="F66" i="1" s="1"/>
  <c r="F83" i="1" s="1"/>
  <c r="F201" i="1"/>
  <c r="D275" i="1" s="1"/>
  <c r="J103" i="1"/>
  <c r="J198" i="1"/>
  <c r="J210" i="1" s="1"/>
  <c r="K124" i="1"/>
  <c r="K135" i="1" s="1"/>
  <c r="K193" i="1"/>
  <c r="J50" i="1"/>
  <c r="J176" i="1" s="1"/>
  <c r="J181" i="1" s="1"/>
  <c r="K48" i="1"/>
  <c r="K50" i="1" s="1"/>
  <c r="K176" i="1" s="1"/>
  <c r="J196" i="1"/>
  <c r="J207" i="1" s="1"/>
  <c r="J194" i="1"/>
  <c r="J217" i="1" s="1"/>
  <c r="K150" i="1"/>
  <c r="K102" i="1" s="1"/>
  <c r="K64" i="1"/>
  <c r="K95" i="1"/>
  <c r="I181" i="1"/>
  <c r="I107" i="1"/>
  <c r="I109" i="1" s="1"/>
  <c r="J175" i="1"/>
  <c r="J180" i="1" s="1"/>
  <c r="I175" i="1"/>
  <c r="I180" i="1" s="1"/>
  <c r="H312" i="1" l="1"/>
  <c r="G312" i="1" s="1"/>
  <c r="E312" i="1" s="1"/>
  <c r="H313" i="1"/>
  <c r="G313" i="1" s="1"/>
  <c r="E313" i="1" s="1"/>
  <c r="H310" i="1"/>
  <c r="G310" i="1" s="1"/>
  <c r="E310" i="1" s="1"/>
  <c r="H311" i="1"/>
  <c r="G311" i="1" s="1"/>
  <c r="E311" i="1" s="1"/>
  <c r="J98" i="1"/>
  <c r="J99" i="1" s="1"/>
  <c r="J142" i="1"/>
  <c r="J199" i="1" s="1"/>
  <c r="J211" i="1" s="1"/>
  <c r="J219" i="1" s="1"/>
  <c r="I98" i="1"/>
  <c r="I99" i="1" s="1"/>
  <c r="I112" i="1" s="1"/>
  <c r="I142" i="1"/>
  <c r="I199" i="1" s="1"/>
  <c r="I211" i="1" s="1"/>
  <c r="K223" i="1"/>
  <c r="J226" i="1"/>
  <c r="J224" i="1"/>
  <c r="J208" i="1"/>
  <c r="H226" i="1"/>
  <c r="H227" i="1" s="1"/>
  <c r="H219" i="1"/>
  <c r="H220" i="1" s="1"/>
  <c r="J225" i="1"/>
  <c r="J218" i="1"/>
  <c r="H212" i="1"/>
  <c r="H256" i="1" s="1"/>
  <c r="H263" i="1" s="1"/>
  <c r="H265" i="1" s="1"/>
  <c r="H270" i="1" s="1"/>
  <c r="G59" i="1"/>
  <c r="G62" i="1" s="1"/>
  <c r="G66" i="1" s="1"/>
  <c r="G83" i="1" s="1"/>
  <c r="H111" i="1"/>
  <c r="J107" i="1"/>
  <c r="J109" i="1" s="1"/>
  <c r="K107" i="1"/>
  <c r="K109" i="1" s="1"/>
  <c r="K181" i="1"/>
  <c r="K196" i="1"/>
  <c r="K207" i="1" s="1"/>
  <c r="K194" i="1"/>
  <c r="K217" i="1" s="1"/>
  <c r="K103" i="1"/>
  <c r="K198" i="1"/>
  <c r="K210" i="1" s="1"/>
  <c r="K141" i="1"/>
  <c r="K70" i="1"/>
  <c r="K71" i="1" s="1"/>
  <c r="K74" i="1" s="1"/>
  <c r="K92" i="1"/>
  <c r="K190" i="1"/>
  <c r="K215" i="1" s="1"/>
  <c r="H113" i="1"/>
  <c r="I179" i="1"/>
  <c r="I182" i="1" s="1"/>
  <c r="H78" i="1"/>
  <c r="H79" i="1" s="1"/>
  <c r="H81" i="1" s="1"/>
  <c r="J112" i="1" l="1"/>
  <c r="J212" i="1"/>
  <c r="J256" i="1" s="1"/>
  <c r="J263" i="1" s="1"/>
  <c r="J265" i="1" s="1"/>
  <c r="J270" i="1" s="1"/>
  <c r="I219" i="1"/>
  <c r="I220" i="1" s="1"/>
  <c r="I226" i="1"/>
  <c r="I227" i="1" s="1"/>
  <c r="J220" i="1"/>
  <c r="I212" i="1"/>
  <c r="I256" i="1" s="1"/>
  <c r="I263" i="1" s="1"/>
  <c r="I265" i="1" s="1"/>
  <c r="I270" i="1" s="1"/>
  <c r="J227" i="1"/>
  <c r="K224" i="1"/>
  <c r="K225" i="1"/>
  <c r="K218" i="1"/>
  <c r="K208" i="1"/>
  <c r="K175" i="1"/>
  <c r="K180" i="1" s="1"/>
  <c r="K98" i="1"/>
  <c r="K99" i="1" s="1"/>
  <c r="K112" i="1" s="1"/>
  <c r="K142" i="1"/>
  <c r="K199" i="1" s="1"/>
  <c r="K211" i="1" s="1"/>
  <c r="I78" i="1"/>
  <c r="I79" i="1" s="1"/>
  <c r="I81" i="1" s="1"/>
  <c r="J179" i="1"/>
  <c r="J182" i="1" s="1"/>
  <c r="I111" i="1"/>
  <c r="I113" i="1" s="1"/>
  <c r="H59" i="1"/>
  <c r="H62" i="1" s="1"/>
  <c r="H66" i="1" s="1"/>
  <c r="H83" i="1" s="1"/>
  <c r="K212" i="1" l="1"/>
  <c r="K256" i="1" s="1"/>
  <c r="K226" i="1"/>
  <c r="K227" i="1" s="1"/>
  <c r="K219" i="1"/>
  <c r="K220" i="1" s="1"/>
  <c r="I59" i="1"/>
  <c r="I62" i="1" s="1"/>
  <c r="I66" i="1" s="1"/>
  <c r="I83" i="1" s="1"/>
  <c r="J111" i="1"/>
  <c r="J113" i="1" s="1"/>
  <c r="K179" i="1"/>
  <c r="K182" i="1" s="1"/>
  <c r="K78" i="1" s="1"/>
  <c r="K79" i="1" s="1"/>
  <c r="K81" i="1" s="1"/>
  <c r="J78" i="1"/>
  <c r="J79" i="1" s="1"/>
  <c r="J81" i="1" s="1"/>
  <c r="K257" i="1" l="1"/>
  <c r="K258" i="1" s="1"/>
  <c r="K264" i="1" s="1"/>
  <c r="K263" i="1"/>
  <c r="K111" i="1"/>
  <c r="K113" i="1" s="1"/>
  <c r="K59" i="1" s="1"/>
  <c r="K62" i="1" s="1"/>
  <c r="K66" i="1" s="1"/>
  <c r="K83" i="1" s="1"/>
  <c r="J59" i="1"/>
  <c r="J62" i="1" s="1"/>
  <c r="J66" i="1" s="1"/>
  <c r="J83" i="1" s="1"/>
  <c r="K265" i="1" l="1"/>
  <c r="K270" i="1" s="1"/>
  <c r="D274" i="1" s="1"/>
  <c r="D276" i="1" s="1"/>
  <c r="E279" i="1" s="1"/>
  <c r="E281" i="1" s="1"/>
  <c r="F273" i="1" s="1"/>
  <c r="E283" i="1" l="1"/>
</calcChain>
</file>

<file path=xl/sharedStrings.xml><?xml version="1.0" encoding="utf-8"?>
<sst xmlns="http://schemas.openxmlformats.org/spreadsheetml/2006/main" count="318" uniqueCount="213">
  <si>
    <t>Assumptions &amp; Drivers</t>
  </si>
  <si>
    <t>All figures in USD thousands unless stated</t>
  </si>
  <si>
    <t>Days in Period</t>
  </si>
  <si>
    <t>Income Statement</t>
  </si>
  <si>
    <t>Sales Growth</t>
  </si>
  <si>
    <t>Gross Margin</t>
  </si>
  <si>
    <t>Distribution Expense (Percent of Sales)</t>
  </si>
  <si>
    <t>Marketing &amp; Admin Expense (Fixed Cost)</t>
  </si>
  <si>
    <t>Research Expense (Percent of Sales)</t>
  </si>
  <si>
    <t>Depreciation (Percent of Sales)</t>
  </si>
  <si>
    <t>Long-Term Debt Interest Rate (Average Debt)</t>
  </si>
  <si>
    <t>Tax Rate (Percent of EBT)</t>
  </si>
  <si>
    <t>Balance Sheet</t>
  </si>
  <si>
    <t>Capital Asset Turnover Ratio</t>
  </si>
  <si>
    <t>(x)</t>
  </si>
  <si>
    <t>Receivable Days (Sales Basis)</t>
  </si>
  <si>
    <t>(Days)</t>
  </si>
  <si>
    <t>Inventory Days (COGS Basis)</t>
  </si>
  <si>
    <t>Payable Days (COGS Basis)</t>
  </si>
  <si>
    <t>Income Tax Payable (Percent of Taxes)</t>
  </si>
  <si>
    <t>Long Term Debt</t>
  </si>
  <si>
    <t>Common Share Capital</t>
  </si>
  <si>
    <t xml:space="preserve">Dividend Payout Ratio </t>
  </si>
  <si>
    <t>Revenues</t>
  </si>
  <si>
    <t>Cost of Goods Sold</t>
  </si>
  <si>
    <t>Gross Profit</t>
  </si>
  <si>
    <t>Distribution Expenses</t>
  </si>
  <si>
    <t>Marketing and Administration</t>
  </si>
  <si>
    <t>Research and Development</t>
  </si>
  <si>
    <t>Depreciation</t>
  </si>
  <si>
    <t>EBIT (Operating Profit)</t>
  </si>
  <si>
    <t>Interest</t>
  </si>
  <si>
    <t>Earnings Before Taxes</t>
  </si>
  <si>
    <t>Taxes</t>
  </si>
  <si>
    <t>Net Income</t>
  </si>
  <si>
    <t>Common Dividends</t>
  </si>
  <si>
    <t>ASSETS</t>
  </si>
  <si>
    <t>Cash</t>
  </si>
  <si>
    <t>Trade and Other Receivables</t>
  </si>
  <si>
    <t>Inventories</t>
  </si>
  <si>
    <t>Total Current Assets</t>
  </si>
  <si>
    <t>Property Plant and Equipment</t>
  </si>
  <si>
    <t>TOTAL ASSETS</t>
  </si>
  <si>
    <t>LIABILITIES</t>
  </si>
  <si>
    <t>Trade and Other Payables</t>
  </si>
  <si>
    <t>Income Taxes Payable</t>
  </si>
  <si>
    <t>Total Current Liabilities</t>
  </si>
  <si>
    <t>Long-Term Debt</t>
  </si>
  <si>
    <t>Total Liabilities</t>
  </si>
  <si>
    <t>EQUITY</t>
  </si>
  <si>
    <t>Common Stock and Additional Paid-In Capital</t>
  </si>
  <si>
    <t>Retained Earnings</t>
  </si>
  <si>
    <t>Total Shareholders' Equity</t>
  </si>
  <si>
    <t>Total Liabilities &amp; Equity</t>
  </si>
  <si>
    <t>Balance Sheet Check</t>
  </si>
  <si>
    <t>Cash Flow Statement</t>
  </si>
  <si>
    <t>Cash Flows from Operating Activities</t>
  </si>
  <si>
    <t>Changes in Operating Assets and Liabilities:</t>
  </si>
  <si>
    <t>Investing Activities</t>
  </si>
  <si>
    <t>Acquisitions of Property and Equipment</t>
  </si>
  <si>
    <t>Cash Flows from Investing Activities</t>
  </si>
  <si>
    <t>Financing Activities</t>
  </si>
  <si>
    <t>Issuance of Common Stock</t>
  </si>
  <si>
    <t>Dividends (current year)</t>
  </si>
  <si>
    <t>Increase/(Decrease) in Long-Term Debt</t>
  </si>
  <si>
    <t>Cash Flows from Financing Activities</t>
  </si>
  <si>
    <t>Cash and Equivalents, Beginning of the Year</t>
  </si>
  <si>
    <t>Increase/(Decrease) in Cash and Equivalents</t>
  </si>
  <si>
    <t>Cash and Equivalents, End of the Year</t>
  </si>
  <si>
    <t>Working Capital and PP&amp;E Schedule</t>
  </si>
  <si>
    <t>Revenue</t>
  </si>
  <si>
    <t>Inventory</t>
  </si>
  <si>
    <t>Working Capital</t>
  </si>
  <si>
    <t>Income Tax Payable</t>
  </si>
  <si>
    <t>Cash Changes from Working Capital</t>
  </si>
  <si>
    <t>Cash from Working Capital Items</t>
  </si>
  <si>
    <t>Property, Plant &amp; Equipment (PP&amp;E)</t>
  </si>
  <si>
    <t>Beginning of Period</t>
  </si>
  <si>
    <t>Capital Expenditures/Additions (Disposals)</t>
  </si>
  <si>
    <t>Depreciation Expense</t>
  </si>
  <si>
    <t>Net PP&amp;E, End of Period</t>
  </si>
  <si>
    <t>Capital Structure Schedules</t>
  </si>
  <si>
    <t/>
  </si>
  <si>
    <t>Long Term Debt (LTD)</t>
  </si>
  <si>
    <t>Additions (Repayments)</t>
  </si>
  <si>
    <t>LTD, End of Period</t>
  </si>
  <si>
    <t>Long-Term Debt Interest (Average Debt)</t>
  </si>
  <si>
    <t>Long Term Debt Interest</t>
  </si>
  <si>
    <t>Total Interest</t>
  </si>
  <si>
    <t>Common Stock, End of Period</t>
  </si>
  <si>
    <t>Dividends</t>
  </si>
  <si>
    <t>Retained Earnings (RE)</t>
  </si>
  <si>
    <t>RE, End of Period</t>
  </si>
  <si>
    <t>DCF Valuation</t>
  </si>
  <si>
    <t>Excerpts Provided from Financial Statement</t>
  </si>
  <si>
    <t>Tax Rate</t>
  </si>
  <si>
    <t>After-tax Interest Expense (Int Exp * (1-Tax))</t>
  </si>
  <si>
    <t>EBIT</t>
  </si>
  <si>
    <t>Unlevered Taxes</t>
  </si>
  <si>
    <t>EBITDA</t>
  </si>
  <si>
    <t>Capital Expenditures</t>
  </si>
  <si>
    <t>Change in working capital</t>
  </si>
  <si>
    <t>Long term debt</t>
  </si>
  <si>
    <t xml:space="preserve"> Extracted Data</t>
  </si>
  <si>
    <t>Net Interest Expenss</t>
  </si>
  <si>
    <t>Unlevered Free Cashflow (UFCF)</t>
  </si>
  <si>
    <t>UFCF Using EBIT</t>
  </si>
  <si>
    <t>Less: Unlevered Taxes</t>
  </si>
  <si>
    <t>Net Operating Profit After Taxes (NOPAT)</t>
  </si>
  <si>
    <t>Capex Investment</t>
  </si>
  <si>
    <t>Unlevered Free Cash Flow (UFCF) using EBIT</t>
  </si>
  <si>
    <t>UFCF Using Net Income</t>
  </si>
  <si>
    <t>Unlevered Free Cash Flow (UFCF) using Net Income</t>
  </si>
  <si>
    <t>UFCF Using EBITDA</t>
  </si>
  <si>
    <t>Unlevered Free Cash Flow (UFCF) using EBITDA</t>
  </si>
  <si>
    <t>WACC Calculation</t>
  </si>
  <si>
    <t>Using the Capital Asset Pricing Model (CAPM) to calculate the Cost of Equity</t>
  </si>
  <si>
    <t>Risk free rate</t>
  </si>
  <si>
    <t>Beta</t>
  </si>
  <si>
    <t>Equity Risk Premium</t>
  </si>
  <si>
    <t>Cost of Equity</t>
  </si>
  <si>
    <t>Calculation of Weighted Average Cost of Capital (WACC)</t>
  </si>
  <si>
    <t>Target Debt Weight (% of Total Capital Structure)</t>
  </si>
  <si>
    <t>Target Equity Weight (% of Total Capital Structure)</t>
  </si>
  <si>
    <t>Cost of Debt</t>
  </si>
  <si>
    <t>After-tax Cost of Debt</t>
  </si>
  <si>
    <t>WACC</t>
  </si>
  <si>
    <t>Terminal Growth</t>
  </si>
  <si>
    <t>Terminal Growth Rate</t>
  </si>
  <si>
    <t>Unlevered Free Cash Flow (UFCF)</t>
  </si>
  <si>
    <t>Terminal Value using a Perpetual Growth Rate</t>
  </si>
  <si>
    <t>Discount The Cashflow</t>
  </si>
  <si>
    <t>Terminal Value</t>
  </si>
  <si>
    <t>Total Cash Flows</t>
  </si>
  <si>
    <t>Discounting Period</t>
  </si>
  <si>
    <t>Present Value of Cash Flows</t>
  </si>
  <si>
    <r>
      <t xml:space="preserve">EQUITY VALUE </t>
    </r>
    <r>
      <rPr>
        <b/>
        <vertAlign val="superscript"/>
        <sz val="10"/>
        <rFont val="Open Sans"/>
        <family val="2"/>
      </rPr>
      <t>1</t>
    </r>
  </si>
  <si>
    <t>Enterprise Value</t>
  </si>
  <si>
    <t>Less: Net Debt</t>
  </si>
  <si>
    <t>Equity Value</t>
  </si>
  <si>
    <t>EQUITY VALUE PER SHARE</t>
  </si>
  <si>
    <t>Shares Outstanding</t>
  </si>
  <si>
    <t>(FD 000)</t>
  </si>
  <si>
    <t>($/sh)</t>
  </si>
  <si>
    <t>Current Price</t>
  </si>
  <si>
    <t>Upside/(Downside)</t>
  </si>
  <si>
    <t>Comparable Analysis</t>
  </si>
  <si>
    <t xml:space="preserve"> </t>
  </si>
  <si>
    <t>Share</t>
  </si>
  <si>
    <t>Shares</t>
  </si>
  <si>
    <t>Market</t>
  </si>
  <si>
    <t>Net</t>
  </si>
  <si>
    <t>Enterprise</t>
  </si>
  <si>
    <t>EV / EBITDA</t>
  </si>
  <si>
    <r>
      <t xml:space="preserve">P / E </t>
    </r>
    <r>
      <rPr>
        <b/>
        <vertAlign val="superscript"/>
        <sz val="10"/>
        <color rgb="FF000000"/>
        <rFont val="Open Sans"/>
        <family val="2"/>
      </rPr>
      <t>2</t>
    </r>
  </si>
  <si>
    <t>Peer Companies</t>
  </si>
  <si>
    <t>Industry</t>
  </si>
  <si>
    <t>Location</t>
  </si>
  <si>
    <t>Price</t>
  </si>
  <si>
    <t>Outstand.</t>
  </si>
  <si>
    <t>Cap</t>
  </si>
  <si>
    <t>Debt</t>
  </si>
  <si>
    <r>
      <t xml:space="preserve">Value </t>
    </r>
    <r>
      <rPr>
        <b/>
        <vertAlign val="superscript"/>
        <sz val="10"/>
        <rFont val="Open Sans"/>
        <family val="2"/>
      </rPr>
      <t>1</t>
    </r>
  </si>
  <si>
    <t>$</t>
  </si>
  <si>
    <t>mm</t>
  </si>
  <si>
    <t>x</t>
  </si>
  <si>
    <t>Alpha.com</t>
  </si>
  <si>
    <t>Supermarkets</t>
  </si>
  <si>
    <t>Canada</t>
  </si>
  <si>
    <t>Big Bucks Company</t>
  </si>
  <si>
    <t>USA</t>
  </si>
  <si>
    <t>Centibillions Inc.</t>
  </si>
  <si>
    <t>Deep Pockets Ltd.</t>
  </si>
  <si>
    <t>Evergreen Co.</t>
  </si>
  <si>
    <t>Fat Cat Inc.</t>
  </si>
  <si>
    <t>Nav Inc.</t>
  </si>
  <si>
    <t>JJ Co.</t>
  </si>
  <si>
    <t>LRM Ltd.</t>
  </si>
  <si>
    <t>Ghana</t>
  </si>
  <si>
    <t>Zhao Ltd.</t>
  </si>
  <si>
    <t>China</t>
  </si>
  <si>
    <t>Average</t>
  </si>
  <si>
    <t>Median</t>
  </si>
  <si>
    <t>Maximum</t>
  </si>
  <si>
    <t>Minimum</t>
  </si>
  <si>
    <t>Target Company Value at Median Multiples</t>
  </si>
  <si>
    <t>2024 A "EV/EBITDA"</t>
  </si>
  <si>
    <t>2025F "EV/EBITDA"</t>
  </si>
  <si>
    <t>2024A "P/E"</t>
  </si>
  <si>
    <t>2025F "P/E"</t>
  </si>
  <si>
    <t>Index</t>
  </si>
  <si>
    <t>% Change</t>
  </si>
  <si>
    <t>Stock</t>
  </si>
  <si>
    <t>Date</t>
  </si>
  <si>
    <t>Close Price</t>
  </si>
  <si>
    <t>Weekly</t>
  </si>
  <si>
    <t>Debt/</t>
  </si>
  <si>
    <t>Levered</t>
  </si>
  <si>
    <t>Unlevered</t>
  </si>
  <si>
    <t>Name</t>
  </si>
  <si>
    <t>Region</t>
  </si>
  <si>
    <t>Equity</t>
  </si>
  <si>
    <r>
      <t xml:space="preserve">Beta </t>
    </r>
    <r>
      <rPr>
        <b/>
        <vertAlign val="superscript"/>
        <sz val="10"/>
        <color theme="1"/>
        <rFont val="Open Sans"/>
        <family val="2"/>
      </rPr>
      <t>1</t>
    </r>
  </si>
  <si>
    <r>
      <t xml:space="preserve">Beta </t>
    </r>
    <r>
      <rPr>
        <b/>
        <vertAlign val="superscript"/>
        <sz val="10"/>
        <color theme="1"/>
        <rFont val="Open Sans"/>
        <family val="2"/>
      </rPr>
      <t>2</t>
    </r>
  </si>
  <si>
    <t>North America</t>
  </si>
  <si>
    <t>Target Company Debt/Equity Ratio</t>
  </si>
  <si>
    <t>Target Company Tax Rate</t>
  </si>
  <si>
    <t>Stock Price Beta</t>
  </si>
  <si>
    <t>R_Square</t>
  </si>
  <si>
    <t>Levered  Beta</t>
  </si>
  <si>
    <t xml:space="preserve">Levered Beta </t>
  </si>
  <si>
    <t>Other Findings</t>
  </si>
  <si>
    <t>Share price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</si>
</sst>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3" formatCode="_(* #,##0.00_);_(* \(#,##0.00\);_(* &quot;-&quot;??_);_(@_)"/>
    <numFmt numFmtId="164" formatCode="#,##0_);\(#,##0\);\-"/>
    <numFmt numFmtId="165" formatCode="_-* #,##0.00_-;\-* #,##0.00_-;_-* &quot;-&quot;??_-;_-@_-"/>
    <numFmt numFmtId="166" formatCode="_-* #,##0_-;\(#,##0\)_-;_-* &quot;-&quot;_-;_-@_-"/>
    <numFmt numFmtId="167" formatCode="&quot;Year &quot;0;&quot;Year &quot;\-0"/>
    <numFmt numFmtId="168" formatCode="_(#,##0_);\(#,##0\);_(&quot;–&quot;_);_(@_)"/>
    <numFmt numFmtId="169" formatCode="0.0%"/>
    <numFmt numFmtId="170" formatCode="_(#,##0.0%_);\(#,##0.0%\);_(&quot;–&quot;_);_(@_)"/>
    <numFmt numFmtId="171" formatCode="_(0.00\x_);\(0.00\x\);_(&quot;–&quot;_);_(@_)"/>
    <numFmt numFmtId="172" formatCode="[Blue]#,##0;[Blue]\(#,##0\);\-"/>
    <numFmt numFmtId="173" formatCode="0&quot;A&quot;"/>
    <numFmt numFmtId="174" formatCode="0&quot;F&quot;"/>
    <numFmt numFmtId="175" formatCode="_(#,##0%_);\(#,##0%\);_(&quot;–&quot;_)_%;_(@_)_%"/>
    <numFmt numFmtId="176" formatCode="0.00_);\(0.00\)"/>
    <numFmt numFmtId="177" formatCode="_(#,##0.0%_);\(#,##0.0%\);_(&quot;–&quot;_)_%;_(@_)_%"/>
    <numFmt numFmtId="178" formatCode="_(#,##0.0_);\(#,##0.0\);_(&quot;–&quot;_);_(@_)"/>
    <numFmt numFmtId="179" formatCode="_(#,##0_)_%;\(#,##0\)_%;_(&quot;–&quot;_)_%;_(@_)_%"/>
    <numFmt numFmtId="180" formatCode="_(#,##0.00_);\(#,##0.00\);_(&quot;–&quot;_);_(@_)"/>
    <numFmt numFmtId="181" formatCode="_(0.0\x_);\(0.0\x\);_(&quot;–&quot;_);_(@_)"/>
    <numFmt numFmtId="182" formatCode="@\⁽\³\⁾"/>
    <numFmt numFmtId="183" formatCode="0000\A"/>
    <numFmt numFmtId="184" formatCode="0000\F"/>
    <numFmt numFmtId="185" formatCode="0.0\x"/>
    <numFmt numFmtId="186" formatCode="#,##0.00_);\(#,##0.00\);\-"/>
    <numFmt numFmtId="187" formatCode="_(#,##0_)\⁽\¹\⁾;\(#,##0\)\⁽\¹\⁾;_(&quot;–&quot;_)\⁽\¹\⁾;_(@_)\⁽\¹\⁾"/>
    <numFmt numFmtId="188" formatCode="_(#,##0_)\⁽\²\⁾;\(#,##0\)\⁽\²\⁾;_(&quot;–&quot;_)\⁽\²\⁾;_(@_)\⁽\²\⁾"/>
    <numFmt numFmtId="189" formatCode="_(0.00\x_)_)_';_(\(0.00\x\)_'_';_(&quot;–&quot;_);_(@_)"/>
    <numFmt numFmtId="190" formatCode="_-* #,##0.00_-;\(#,##0.00\)_-;_-* &quot;-&quot;_-;_-@_-"/>
  </numFmts>
  <fonts count="4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4"/>
      <color theme="0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sz val="10"/>
      <name val="Bookman"/>
      <family val="1"/>
    </font>
    <font>
      <i/>
      <sz val="9"/>
      <color rgb="FF000000"/>
      <name val="Open Sans"/>
      <family val="2"/>
    </font>
    <font>
      <b/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1"/>
      <name val="Open Sans"/>
      <family val="2"/>
    </font>
    <font>
      <sz val="10"/>
      <name val="Bookman"/>
    </font>
    <font>
      <sz val="10"/>
      <color theme="8" tint="-0.499984740745262"/>
      <name val="Open Sans"/>
      <family val="2"/>
    </font>
    <font>
      <sz val="10"/>
      <color theme="8" tint="-0.499984740745262"/>
      <name val="Arial"/>
      <family val="2"/>
    </font>
    <font>
      <sz val="10"/>
      <color theme="1"/>
      <name val="Arial"/>
      <family val="2"/>
    </font>
    <font>
      <i/>
      <sz val="8"/>
      <name val="Open Sans"/>
      <family val="2"/>
    </font>
    <font>
      <sz val="10"/>
      <color rgb="FF000000"/>
      <name val="Open Sans"/>
      <family val="2"/>
    </font>
    <font>
      <sz val="10"/>
      <color rgb="FF3271D2"/>
      <name val="Open Sans"/>
      <family val="2"/>
    </font>
    <font>
      <b/>
      <sz val="14"/>
      <color rgb="FF3271D2"/>
      <name val="Open Sans"/>
      <family val="2"/>
    </font>
    <font>
      <b/>
      <sz val="10"/>
      <color rgb="FF000000"/>
      <name val="Open Sans"/>
      <family val="2"/>
    </font>
    <font>
      <b/>
      <sz val="10"/>
      <color theme="8" tint="-0.499984740745262"/>
      <name val="Open Sans"/>
      <family val="2"/>
    </font>
    <font>
      <sz val="10"/>
      <color rgb="FF0000FF"/>
      <name val="Open Sans"/>
      <family val="2"/>
    </font>
    <font>
      <i/>
      <sz val="10"/>
      <name val="Open Sans"/>
      <family val="2"/>
    </font>
    <font>
      <b/>
      <sz val="10"/>
      <color rgb="FF00B050"/>
      <name val="Open Sans"/>
      <family val="2"/>
    </font>
    <font>
      <sz val="10"/>
      <color rgb="FF00B050"/>
      <name val="Open Sans"/>
      <family val="2"/>
    </font>
    <font>
      <sz val="11"/>
      <color theme="1"/>
      <name val="Open Sans"/>
      <family val="2"/>
    </font>
    <font>
      <b/>
      <sz val="12"/>
      <color theme="0"/>
      <name val="Open Sans"/>
      <family val="2"/>
    </font>
    <font>
      <sz val="9"/>
      <color theme="1"/>
      <name val="Open Sans"/>
      <family val="2"/>
    </font>
    <font>
      <sz val="8"/>
      <color theme="1"/>
      <name val="Open Sans"/>
      <family val="2"/>
    </font>
    <font>
      <sz val="8"/>
      <color rgb="FF000000"/>
      <name val="Open Sans"/>
      <family val="2"/>
    </font>
    <font>
      <sz val="8"/>
      <color theme="1"/>
      <name val="Aptos Narrow"/>
      <family val="2"/>
      <scheme val="minor"/>
    </font>
    <font>
      <b/>
      <sz val="16"/>
      <color theme="0"/>
      <name val="Calibri"/>
      <family val="2"/>
    </font>
    <font>
      <b/>
      <sz val="11"/>
      <color rgb="FF000000"/>
      <name val="Open Sans"/>
      <family val="2"/>
    </font>
    <font>
      <sz val="11"/>
      <color theme="0"/>
      <name val="Open Sans"/>
      <family val="2"/>
    </font>
    <font>
      <i/>
      <sz val="9"/>
      <name val="Open Sans"/>
      <family val="2"/>
    </font>
    <font>
      <b/>
      <vertAlign val="superscript"/>
      <sz val="10"/>
      <name val="Open Sans"/>
      <family val="2"/>
    </font>
    <font>
      <i/>
      <sz val="10"/>
      <color theme="1"/>
      <name val="Open Sans"/>
      <family val="2"/>
    </font>
    <font>
      <i/>
      <sz val="11"/>
      <color theme="1"/>
      <name val="Open Sans"/>
      <family val="2"/>
    </font>
    <font>
      <b/>
      <vertAlign val="superscript"/>
      <sz val="10"/>
      <color rgb="FF000000"/>
      <name val="Open Sans"/>
      <family val="2"/>
    </font>
    <font>
      <sz val="10"/>
      <color rgb="FFC00000"/>
      <name val="Open Sans"/>
      <family val="2"/>
    </font>
    <font>
      <sz val="10"/>
      <color rgb="FF289A72"/>
      <name val="Open Sans"/>
      <family val="2"/>
    </font>
    <font>
      <b/>
      <sz val="11"/>
      <color rgb="FF3271D2"/>
      <name val="Open Sans"/>
      <family val="2"/>
    </font>
    <font>
      <b/>
      <sz val="10"/>
      <color rgb="FF3271D2"/>
      <name val="Open Sans"/>
      <family val="2"/>
    </font>
    <font>
      <b/>
      <vertAlign val="superscript"/>
      <sz val="10"/>
      <color theme="1"/>
      <name val="Open Sans"/>
      <family val="2"/>
    </font>
    <font>
      <b/>
      <sz val="14"/>
      <color theme="0"/>
      <name val="Aptos Narrow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rgb="FF0000FF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" fillId="0" borderId="0"/>
    <xf numFmtId="0" fontId="2" fillId="0" borderId="0"/>
  </cellStyleXfs>
  <cellXfs count="315">
    <xf numFmtId="0" fontId="0" fillId="0" borderId="0" xfId="0"/>
    <xf numFmtId="37" fontId="3" fillId="2" borderId="0" xfId="3" applyNumberFormat="1" applyFont="1" applyFill="1" applyAlignment="1">
      <alignment vertical="center"/>
    </xf>
    <xf numFmtId="0" fontId="4" fillId="0" borderId="0" xfId="3" applyFont="1"/>
    <xf numFmtId="0" fontId="5" fillId="0" borderId="0" xfId="3" applyFont="1"/>
    <xf numFmtId="164" fontId="5" fillId="0" borderId="0" xfId="3" applyNumberFormat="1" applyFont="1"/>
    <xf numFmtId="166" fontId="7" fillId="0" borderId="0" xfId="4" applyNumberFormat="1" applyFont="1" applyFill="1" applyAlignment="1" applyProtection="1">
      <alignment horizontal="left"/>
      <protection locked="0"/>
    </xf>
    <xf numFmtId="167" fontId="8" fillId="3" borderId="1" xfId="3" applyNumberFormat="1" applyFont="1" applyFill="1" applyBorder="1" applyAlignment="1">
      <alignment horizontal="right" vertical="center"/>
    </xf>
    <xf numFmtId="167" fontId="9" fillId="4" borderId="2" xfId="3" applyNumberFormat="1" applyFont="1" applyFill="1" applyBorder="1" applyAlignment="1">
      <alignment horizontal="right" vertical="center"/>
    </xf>
    <xf numFmtId="168" fontId="9" fillId="4" borderId="0" xfId="3" applyNumberFormat="1" applyFont="1" applyFill="1"/>
    <xf numFmtId="169" fontId="5" fillId="0" borderId="0" xfId="3" applyNumberFormat="1" applyFont="1"/>
    <xf numFmtId="0" fontId="5" fillId="0" borderId="0" xfId="3" applyFont="1" applyAlignment="1">
      <alignment horizontal="left" indent="1"/>
    </xf>
    <xf numFmtId="0" fontId="10" fillId="0" borderId="0" xfId="3" applyFont="1" applyAlignment="1">
      <alignment horizontal="left" indent="1"/>
    </xf>
    <xf numFmtId="170" fontId="10" fillId="0" borderId="0" xfId="5" applyNumberFormat="1" applyFont="1" applyFill="1"/>
    <xf numFmtId="170" fontId="12" fillId="5" borderId="0" xfId="5" applyNumberFormat="1" applyFont="1" applyFill="1"/>
    <xf numFmtId="164" fontId="10" fillId="0" borderId="0" xfId="3" applyNumberFormat="1" applyFont="1"/>
    <xf numFmtId="164" fontId="12" fillId="5" borderId="0" xfId="3" applyNumberFormat="1" applyFont="1" applyFill="1"/>
    <xf numFmtId="0" fontId="10" fillId="0" borderId="0" xfId="3" applyFont="1"/>
    <xf numFmtId="0" fontId="13" fillId="5" borderId="0" xfId="3" applyFont="1" applyFill="1"/>
    <xf numFmtId="0" fontId="14" fillId="0" borderId="0" xfId="3" applyFont="1"/>
    <xf numFmtId="0" fontId="15" fillId="0" borderId="0" xfId="3" applyFont="1" applyAlignment="1">
      <alignment horizontal="center"/>
    </xf>
    <xf numFmtId="171" fontId="10" fillId="0" borderId="0" xfId="3" applyNumberFormat="1" applyFont="1"/>
    <xf numFmtId="171" fontId="12" fillId="5" borderId="0" xfId="3" applyNumberFormat="1" applyFont="1" applyFill="1"/>
    <xf numFmtId="168" fontId="10" fillId="0" borderId="0" xfId="3" applyNumberFormat="1" applyFont="1"/>
    <xf numFmtId="168" fontId="12" fillId="5" borderId="0" xfId="3" applyNumberFormat="1" applyFont="1" applyFill="1"/>
    <xf numFmtId="170" fontId="16" fillId="0" borderId="0" xfId="5" applyNumberFormat="1" applyFont="1"/>
    <xf numFmtId="170" fontId="17" fillId="0" borderId="0" xfId="5" applyNumberFormat="1" applyFont="1"/>
    <xf numFmtId="0" fontId="5" fillId="0" borderId="3" xfId="3" applyFont="1" applyBorder="1"/>
    <xf numFmtId="172" fontId="5" fillId="0" borderId="3" xfId="3" applyNumberFormat="1" applyFont="1" applyBorder="1" applyProtection="1">
      <protection locked="0"/>
    </xf>
    <xf numFmtId="37" fontId="18" fillId="0" borderId="0" xfId="3" applyNumberFormat="1" applyFont="1" applyAlignment="1">
      <alignment vertical="center"/>
    </xf>
    <xf numFmtId="167" fontId="19" fillId="0" borderId="1" xfId="3" applyNumberFormat="1" applyFont="1" applyBorder="1" applyAlignment="1">
      <alignment horizontal="right" vertical="center"/>
    </xf>
    <xf numFmtId="168" fontId="12" fillId="6" borderId="0" xfId="3" applyNumberFormat="1" applyFont="1" applyFill="1"/>
    <xf numFmtId="168" fontId="10" fillId="0" borderId="0" xfId="3" applyNumberFormat="1" applyFont="1" applyAlignment="1">
      <alignment horizontal="right"/>
    </xf>
    <xf numFmtId="168" fontId="12" fillId="6" borderId="0" xfId="3" applyNumberFormat="1" applyFont="1" applyFill="1" applyAlignment="1">
      <alignment horizontal="right"/>
    </xf>
    <xf numFmtId="0" fontId="4" fillId="0" borderId="0" xfId="3" applyFont="1" applyAlignment="1">
      <alignment horizontal="left" indent="1"/>
    </xf>
    <xf numFmtId="168" fontId="8" fillId="0" borderId="4" xfId="3" applyNumberFormat="1" applyFont="1" applyBorder="1"/>
    <xf numFmtId="168" fontId="20" fillId="6" borderId="4" xfId="3" applyNumberFormat="1" applyFont="1" applyFill="1" applyBorder="1"/>
    <xf numFmtId="168" fontId="8" fillId="0" borderId="0" xfId="3" applyNumberFormat="1" applyFont="1"/>
    <xf numFmtId="168" fontId="20" fillId="5" borderId="0" xfId="3" applyNumberFormat="1" applyFont="1" applyFill="1"/>
    <xf numFmtId="168" fontId="8" fillId="0" borderId="4" xfId="3" applyNumberFormat="1" applyFont="1" applyBorder="1" applyAlignment="1">
      <alignment horizontal="right"/>
    </xf>
    <xf numFmtId="168" fontId="20" fillId="6" borderId="4" xfId="3" applyNumberFormat="1" applyFont="1" applyFill="1" applyBorder="1" applyAlignment="1">
      <alignment horizontal="right"/>
    </xf>
    <xf numFmtId="168" fontId="12" fillId="5" borderId="0" xfId="3" applyNumberFormat="1" applyFont="1" applyFill="1" applyAlignment="1">
      <alignment horizontal="right"/>
    </xf>
    <xf numFmtId="168" fontId="8" fillId="0" borderId="5" xfId="3" applyNumberFormat="1" applyFont="1" applyBorder="1"/>
    <xf numFmtId="168" fontId="20" fillId="6" borderId="5" xfId="3" applyNumberFormat="1" applyFont="1" applyFill="1" applyBorder="1"/>
    <xf numFmtId="168" fontId="9" fillId="7" borderId="0" xfId="3" applyNumberFormat="1" applyFont="1" applyFill="1"/>
    <xf numFmtId="168" fontId="17" fillId="0" borderId="0" xfId="3" applyNumberFormat="1" applyFont="1"/>
    <xf numFmtId="168" fontId="16" fillId="0" borderId="0" xfId="3" applyNumberFormat="1" applyFont="1"/>
    <xf numFmtId="164" fontId="21" fillId="0" borderId="3" xfId="3" applyNumberFormat="1" applyFont="1" applyBorder="1"/>
    <xf numFmtId="164" fontId="5" fillId="0" borderId="3" xfId="3" applyNumberFormat="1" applyFont="1" applyBorder="1"/>
    <xf numFmtId="173" fontId="19" fillId="0" borderId="0" xfId="3" applyNumberFormat="1" applyFont="1" applyAlignment="1">
      <alignment horizontal="right" vertical="center"/>
    </xf>
    <xf numFmtId="174" fontId="19" fillId="0" borderId="0" xfId="3" applyNumberFormat="1" applyFont="1" applyAlignment="1">
      <alignment horizontal="right" vertical="center"/>
    </xf>
    <xf numFmtId="0" fontId="21" fillId="0" borderId="0" xfId="3" applyFont="1"/>
    <xf numFmtId="168" fontId="10" fillId="0" borderId="4" xfId="3" applyNumberFormat="1" applyFont="1" applyBorder="1"/>
    <xf numFmtId="168" fontId="12" fillId="6" borderId="4" xfId="3" applyNumberFormat="1" applyFont="1" applyFill="1" applyBorder="1"/>
    <xf numFmtId="0" fontId="5" fillId="0" borderId="0" xfId="3" applyFont="1" applyAlignment="1">
      <alignment horizontal="left"/>
    </xf>
    <xf numFmtId="168" fontId="5" fillId="0" borderId="0" xfId="3" applyNumberFormat="1" applyFont="1"/>
    <xf numFmtId="0" fontId="22" fillId="0" borderId="0" xfId="3" applyFont="1" applyAlignment="1">
      <alignment horizontal="left" indent="1"/>
    </xf>
    <xf numFmtId="0" fontId="22" fillId="0" borderId="0" xfId="3" applyFont="1"/>
    <xf numFmtId="0" fontId="22" fillId="0" borderId="3" xfId="3" applyFont="1" applyBorder="1"/>
    <xf numFmtId="168" fontId="16" fillId="0" borderId="3" xfId="3" applyNumberFormat="1" applyFont="1" applyBorder="1"/>
    <xf numFmtId="168" fontId="18" fillId="0" borderId="0" xfId="3" applyNumberFormat="1" applyFont="1" applyAlignment="1">
      <alignment vertical="center"/>
    </xf>
    <xf numFmtId="168" fontId="19" fillId="0" borderId="0" xfId="3" applyNumberFormat="1" applyFont="1" applyAlignment="1">
      <alignment horizontal="right" vertical="center"/>
    </xf>
    <xf numFmtId="168" fontId="21" fillId="0" borderId="0" xfId="3" applyNumberFormat="1" applyFont="1" applyAlignment="1">
      <alignment horizontal="right"/>
    </xf>
    <xf numFmtId="168" fontId="5" fillId="0" borderId="0" xfId="3" applyNumberFormat="1" applyFont="1" applyAlignment="1">
      <alignment horizontal="right"/>
    </xf>
    <xf numFmtId="0" fontId="5" fillId="0" borderId="0" xfId="3" applyFont="1" applyAlignment="1">
      <alignment horizontal="left" indent="2"/>
    </xf>
    <xf numFmtId="168" fontId="19" fillId="0" borderId="0" xfId="3" applyNumberFormat="1" applyFont="1"/>
    <xf numFmtId="168" fontId="5" fillId="0" borderId="3" xfId="3" applyNumberFormat="1" applyFont="1" applyBorder="1"/>
    <xf numFmtId="168" fontId="10" fillId="0" borderId="6" xfId="3" applyNumberFormat="1" applyFont="1" applyBorder="1"/>
    <xf numFmtId="168" fontId="12" fillId="6" borderId="6" xfId="3" applyNumberFormat="1" applyFont="1" applyFill="1" applyBorder="1"/>
    <xf numFmtId="168" fontId="10" fillId="0" borderId="7" xfId="5" applyNumberFormat="1" applyFont="1" applyFill="1" applyBorder="1"/>
    <xf numFmtId="168" fontId="12" fillId="6" borderId="7" xfId="5" applyNumberFormat="1" applyFont="1" applyFill="1" applyBorder="1"/>
    <xf numFmtId="168" fontId="10" fillId="0" borderId="8" xfId="5" applyNumberFormat="1" applyFont="1" applyFill="1" applyBorder="1"/>
    <xf numFmtId="168" fontId="12" fillId="6" borderId="8" xfId="5" applyNumberFormat="1" applyFont="1" applyFill="1" applyBorder="1"/>
    <xf numFmtId="168" fontId="10" fillId="0" borderId="0" xfId="5" applyNumberFormat="1" applyFont="1" applyFill="1"/>
    <xf numFmtId="168" fontId="12" fillId="5" borderId="0" xfId="5" applyNumberFormat="1" applyFont="1" applyFill="1"/>
    <xf numFmtId="169" fontId="10" fillId="0" borderId="0" xfId="2" applyNumberFormat="1" applyFont="1" applyFill="1"/>
    <xf numFmtId="169" fontId="12" fillId="6" borderId="0" xfId="2" applyNumberFormat="1" applyFont="1" applyFill="1"/>
    <xf numFmtId="168" fontId="12" fillId="6" borderId="0" xfId="5" applyNumberFormat="1" applyFont="1" applyFill="1"/>
    <xf numFmtId="0" fontId="19" fillId="0" borderId="0" xfId="3" applyFont="1" applyAlignment="1">
      <alignment horizontal="left"/>
    </xf>
    <xf numFmtId="168" fontId="10" fillId="0" borderId="0" xfId="5" applyNumberFormat="1" applyFont="1" applyFill="1" applyBorder="1"/>
    <xf numFmtId="168" fontId="10" fillId="0" borderId="0" xfId="5" applyNumberFormat="1" applyFont="1" applyFill="1" applyBorder="1" applyAlignment="1">
      <alignment horizontal="right"/>
    </xf>
    <xf numFmtId="168" fontId="12" fillId="6" borderId="0" xfId="5" applyNumberFormat="1" applyFont="1" applyFill="1" applyBorder="1" applyAlignment="1">
      <alignment horizontal="right"/>
    </xf>
    <xf numFmtId="168" fontId="10" fillId="0" borderId="5" xfId="5" applyNumberFormat="1" applyFont="1" applyFill="1" applyBorder="1"/>
    <xf numFmtId="168" fontId="12" fillId="6" borderId="5" xfId="5" applyNumberFormat="1" applyFont="1" applyFill="1" applyBorder="1"/>
    <xf numFmtId="168" fontId="12" fillId="5" borderId="0" xfId="5" applyNumberFormat="1" applyFont="1" applyFill="1" applyBorder="1"/>
    <xf numFmtId="168" fontId="10" fillId="0" borderId="6" xfId="3" applyNumberFormat="1" applyFont="1" applyBorder="1" applyAlignment="1">
      <alignment horizontal="right" vertical="center"/>
    </xf>
    <xf numFmtId="168" fontId="12" fillId="6" borderId="6" xfId="3" applyNumberFormat="1" applyFont="1" applyFill="1" applyBorder="1" applyAlignment="1">
      <alignment horizontal="right" vertical="center"/>
    </xf>
    <xf numFmtId="171" fontId="10" fillId="0" borderId="7" xfId="3" applyNumberFormat="1" applyFont="1" applyBorder="1" applyAlignment="1">
      <alignment horizontal="right" vertical="center"/>
    </xf>
    <xf numFmtId="171" fontId="12" fillId="6" borderId="7" xfId="3" applyNumberFormat="1" applyFont="1" applyFill="1" applyBorder="1" applyAlignment="1">
      <alignment horizontal="right" vertical="center"/>
    </xf>
    <xf numFmtId="170" fontId="10" fillId="0" borderId="8" xfId="3" applyNumberFormat="1" applyFont="1" applyBorder="1" applyAlignment="1">
      <alignment horizontal="right" vertical="center"/>
    </xf>
    <xf numFmtId="170" fontId="12" fillId="6" borderId="8" xfId="3" applyNumberFormat="1" applyFont="1" applyFill="1" applyBorder="1" applyAlignment="1">
      <alignment horizontal="right" vertical="center"/>
    </xf>
    <xf numFmtId="166" fontId="7" fillId="0" borderId="0" xfId="4" applyNumberFormat="1" applyFont="1" applyFill="1" applyAlignment="1" applyProtection="1">
      <alignment horizontal="left" indent="1"/>
      <protection locked="0"/>
    </xf>
    <xf numFmtId="168" fontId="23" fillId="0" borderId="0" xfId="3" applyNumberFormat="1" applyFont="1" applyAlignment="1">
      <alignment horizontal="right" vertical="center"/>
    </xf>
    <xf numFmtId="168" fontId="20" fillId="5" borderId="0" xfId="3" applyNumberFormat="1" applyFont="1" applyFill="1" applyAlignment="1">
      <alignment horizontal="right" vertical="center"/>
    </xf>
    <xf numFmtId="168" fontId="24" fillId="0" borderId="0" xfId="3" applyNumberFormat="1" applyFont="1"/>
    <xf numFmtId="168" fontId="8" fillId="0" borderId="9" xfId="3" applyNumberFormat="1" applyFont="1" applyBorder="1"/>
    <xf numFmtId="168" fontId="20" fillId="6" borderId="9" xfId="3" applyNumberFormat="1" applyFont="1" applyFill="1" applyBorder="1"/>
    <xf numFmtId="0" fontId="16" fillId="0" borderId="3" xfId="3" applyFont="1" applyBorder="1"/>
    <xf numFmtId="168" fontId="8" fillId="0" borderId="0" xfId="3" applyNumberFormat="1" applyFont="1" applyAlignment="1">
      <alignment horizontal="right" vertical="center"/>
    </xf>
    <xf numFmtId="168" fontId="4" fillId="0" borderId="0" xfId="3" applyNumberFormat="1" applyFont="1"/>
    <xf numFmtId="170" fontId="10" fillId="0" borderId="10" xfId="3" applyNumberFormat="1" applyFont="1" applyBorder="1"/>
    <xf numFmtId="170" fontId="12" fillId="6" borderId="10" xfId="3" applyNumberFormat="1" applyFont="1" applyFill="1" applyBorder="1"/>
    <xf numFmtId="170" fontId="10" fillId="0" borderId="0" xfId="3" applyNumberFormat="1" applyFont="1"/>
    <xf numFmtId="170" fontId="12" fillId="5" borderId="0" xfId="3" applyNumberFormat="1" applyFont="1" applyFill="1"/>
    <xf numFmtId="168" fontId="10" fillId="0" borderId="8" xfId="3" applyNumberFormat="1" applyFont="1" applyBorder="1"/>
    <xf numFmtId="168" fontId="12" fillId="6" borderId="8" xfId="3" applyNumberFormat="1" applyFont="1" applyFill="1" applyBorder="1"/>
    <xf numFmtId="0" fontId="0" fillId="3" borderId="0" xfId="0" applyFill="1"/>
    <xf numFmtId="0" fontId="25" fillId="0" borderId="0" xfId="0" applyFont="1"/>
    <xf numFmtId="0" fontId="8" fillId="0" borderId="0" xfId="0" applyFont="1"/>
    <xf numFmtId="0" fontId="10" fillId="0" borderId="0" xfId="0" applyFont="1"/>
    <xf numFmtId="168" fontId="10" fillId="0" borderId="0" xfId="0" applyNumberFormat="1" applyFont="1"/>
    <xf numFmtId="168" fontId="10" fillId="0" borderId="0" xfId="0" applyNumberFormat="1" applyFont="1" applyAlignment="1">
      <alignment vertical="center"/>
    </xf>
    <xf numFmtId="0" fontId="10" fillId="0" borderId="0" xfId="0" applyFont="1" applyAlignment="1">
      <alignment horizontal="left" indent="1"/>
    </xf>
    <xf numFmtId="168" fontId="16" fillId="0" borderId="0" xfId="0" applyNumberFormat="1" applyFont="1" applyAlignment="1">
      <alignment vertical="center"/>
    </xf>
    <xf numFmtId="175" fontId="16" fillId="0" borderId="0" xfId="0" applyNumberFormat="1" applyFont="1" applyAlignment="1">
      <alignment vertical="center"/>
    </xf>
    <xf numFmtId="168" fontId="28" fillId="0" borderId="0" xfId="0" applyNumberFormat="1" applyFont="1"/>
    <xf numFmtId="175" fontId="29" fillId="0" borderId="0" xfId="0" applyNumberFormat="1" applyFont="1" applyAlignment="1">
      <alignment vertical="center"/>
    </xf>
    <xf numFmtId="2" fontId="28" fillId="0" borderId="0" xfId="0" applyNumberFormat="1" applyFont="1"/>
    <xf numFmtId="176" fontId="28" fillId="0" borderId="0" xfId="0" applyNumberFormat="1" applyFont="1"/>
    <xf numFmtId="168" fontId="0" fillId="3" borderId="0" xfId="0" applyNumberFormat="1" applyFill="1"/>
    <xf numFmtId="168" fontId="28" fillId="3" borderId="0" xfId="0" applyNumberFormat="1" applyFont="1" applyFill="1"/>
    <xf numFmtId="0" fontId="30" fillId="9" borderId="0" xfId="0" applyFont="1" applyFill="1"/>
    <xf numFmtId="0" fontId="0" fillId="9" borderId="0" xfId="0" applyFill="1"/>
    <xf numFmtId="164" fontId="16" fillId="10" borderId="0" xfId="0" applyNumberFormat="1" applyFont="1" applyFill="1" applyAlignment="1">
      <alignment vertical="center"/>
    </xf>
    <xf numFmtId="164" fontId="16" fillId="10" borderId="5" xfId="0" applyNumberFormat="1" applyFont="1" applyFill="1" applyBorder="1" applyAlignment="1">
      <alignment vertical="center"/>
    </xf>
    <xf numFmtId="168" fontId="16" fillId="10" borderId="0" xfId="0" applyNumberFormat="1" applyFont="1" applyFill="1" applyAlignment="1">
      <alignment vertical="center"/>
    </xf>
    <xf numFmtId="168" fontId="16" fillId="10" borderId="5" xfId="0" applyNumberFormat="1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25" fillId="0" borderId="4" xfId="0" applyFont="1" applyBorder="1"/>
    <xf numFmtId="0" fontId="5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25" fillId="0" borderId="3" xfId="0" applyFont="1" applyBorder="1"/>
    <xf numFmtId="0" fontId="4" fillId="0" borderId="0" xfId="0" applyFont="1" applyAlignment="1">
      <alignment horizontal="left" indent="1"/>
    </xf>
    <xf numFmtId="177" fontId="32" fillId="0" borderId="0" xfId="0" applyNumberFormat="1" applyFont="1"/>
    <xf numFmtId="177" fontId="9" fillId="7" borderId="13" xfId="0" applyNumberFormat="1" applyFont="1" applyFill="1" applyBorder="1"/>
    <xf numFmtId="177" fontId="10" fillId="0" borderId="11" xfId="0" applyNumberFormat="1" applyFont="1" applyBorder="1"/>
    <xf numFmtId="178" fontId="10" fillId="0" borderId="12" xfId="0" applyNumberFormat="1" applyFont="1" applyBorder="1"/>
    <xf numFmtId="177" fontId="10" fillId="0" borderId="12" xfId="0" applyNumberFormat="1" applyFont="1" applyBorder="1"/>
    <xf numFmtId="0" fontId="9" fillId="4" borderId="8" xfId="0" applyFont="1" applyFill="1" applyBorder="1" applyAlignment="1">
      <alignment horizontal="left"/>
    </xf>
    <xf numFmtId="0" fontId="33" fillId="4" borderId="3" xfId="0" applyFont="1" applyFill="1" applyBorder="1"/>
    <xf numFmtId="177" fontId="16" fillId="0" borderId="11" xfId="0" applyNumberFormat="1" applyFont="1" applyBorder="1"/>
    <xf numFmtId="0" fontId="5" fillId="0" borderId="8" xfId="0" applyFont="1" applyBorder="1" applyAlignment="1">
      <alignment horizontal="left"/>
    </xf>
    <xf numFmtId="179" fontId="34" fillId="0" borderId="0" xfId="0" applyNumberFormat="1" applyFont="1" applyAlignment="1">
      <alignment vertical="center"/>
    </xf>
    <xf numFmtId="177" fontId="16" fillId="0" borderId="0" xfId="2" applyNumberFormat="1" applyFont="1" applyFill="1" applyBorder="1" applyAlignment="1">
      <alignment horizontal="right" vertical="center"/>
    </xf>
    <xf numFmtId="168" fontId="16" fillId="0" borderId="0" xfId="0" applyNumberFormat="1" applyFont="1"/>
    <xf numFmtId="0" fontId="19" fillId="0" borderId="0" xfId="0" applyFont="1" applyAlignment="1">
      <alignment horizontal="left" indent="1"/>
    </xf>
    <xf numFmtId="0" fontId="10" fillId="0" borderId="10" xfId="0" applyFont="1" applyBorder="1" applyAlignment="1">
      <alignment horizontal="left" indent="1"/>
    </xf>
    <xf numFmtId="177" fontId="16" fillId="0" borderId="14" xfId="0" applyNumberFormat="1" applyFont="1" applyBorder="1"/>
    <xf numFmtId="169" fontId="10" fillId="0" borderId="0" xfId="0" applyNumberFormat="1" applyFont="1"/>
    <xf numFmtId="178" fontId="16" fillId="10" borderId="3" xfId="0" applyNumberFormat="1" applyFont="1" applyFill="1" applyBorder="1" applyAlignment="1">
      <alignment vertical="center"/>
    </xf>
    <xf numFmtId="164" fontId="16" fillId="0" borderId="0" xfId="0" applyNumberFormat="1" applyFont="1"/>
    <xf numFmtId="0" fontId="5" fillId="0" borderId="6" xfId="0" applyFont="1" applyBorder="1" applyAlignment="1">
      <alignment horizontal="left" indent="1"/>
    </xf>
    <xf numFmtId="168" fontId="16" fillId="10" borderId="11" xfId="0" applyNumberFormat="1" applyFont="1" applyFill="1" applyBorder="1"/>
    <xf numFmtId="0" fontId="16" fillId="0" borderId="7" xfId="0" applyFont="1" applyBorder="1" applyAlignment="1">
      <alignment horizontal="left" indent="1"/>
    </xf>
    <xf numFmtId="168" fontId="16" fillId="10" borderId="13" xfId="0" applyNumberFormat="1" applyFont="1" applyFill="1" applyBorder="1"/>
    <xf numFmtId="0" fontId="5" fillId="0" borderId="8" xfId="0" applyFont="1" applyBorder="1" applyAlignment="1">
      <alignment horizontal="left" indent="1"/>
    </xf>
    <xf numFmtId="0" fontId="5" fillId="0" borderId="7" xfId="0" applyFont="1" applyBorder="1" applyAlignment="1">
      <alignment horizontal="left" indent="1"/>
    </xf>
    <xf numFmtId="0" fontId="15" fillId="0" borderId="0" xfId="0" quotePrefix="1" applyFont="1" applyAlignment="1">
      <alignment horizontal="right"/>
    </xf>
    <xf numFmtId="168" fontId="17" fillId="0" borderId="12" xfId="0" applyNumberFormat="1" applyFont="1" applyBorder="1"/>
    <xf numFmtId="0" fontId="15" fillId="0" borderId="0" xfId="0" applyFont="1" applyAlignment="1">
      <alignment horizontal="right"/>
    </xf>
    <xf numFmtId="180" fontId="16" fillId="10" borderId="12" xfId="0" applyNumberFormat="1" applyFont="1" applyFill="1" applyBorder="1"/>
    <xf numFmtId="180" fontId="17" fillId="0" borderId="12" xfId="0" applyNumberFormat="1" applyFont="1" applyBorder="1"/>
    <xf numFmtId="0" fontId="36" fillId="0" borderId="8" xfId="0" applyFont="1" applyBorder="1" applyAlignment="1">
      <alignment horizontal="left" indent="1"/>
    </xf>
    <xf numFmtId="0" fontId="37" fillId="0" borderId="3" xfId="0" applyFont="1" applyBorder="1"/>
    <xf numFmtId="175" fontId="36" fillId="10" borderId="13" xfId="0" applyNumberFormat="1" applyFont="1" applyFill="1" applyBorder="1"/>
    <xf numFmtId="177" fontId="10" fillId="0" borderId="15" xfId="0" applyNumberFormat="1" applyFont="1" applyBorder="1"/>
    <xf numFmtId="177" fontId="17" fillId="0" borderId="15" xfId="0" applyNumberFormat="1" applyFont="1" applyBorder="1"/>
    <xf numFmtId="0" fontId="16" fillId="0" borderId="0" xfId="6" applyFont="1" applyAlignment="1">
      <alignment horizontal="center" vertical="center"/>
    </xf>
    <xf numFmtId="0" fontId="19" fillId="0" borderId="0" xfId="6" applyFont="1" applyAlignment="1">
      <alignment horizontal="right" vertical="center"/>
    </xf>
    <xf numFmtId="0" fontId="19" fillId="0" borderId="0" xfId="7" applyFont="1" applyAlignment="1">
      <alignment horizontal="centerContinuous"/>
    </xf>
    <xf numFmtId="182" fontId="19" fillId="0" borderId="0" xfId="7" applyNumberFormat="1" applyFont="1" applyAlignment="1">
      <alignment horizontal="centerContinuous"/>
    </xf>
    <xf numFmtId="0" fontId="4" fillId="0" borderId="0" xfId="7" applyFont="1" applyAlignment="1">
      <alignment horizontal="left"/>
    </xf>
    <xf numFmtId="0" fontId="4" fillId="0" borderId="0" xfId="6" applyFont="1" applyAlignment="1">
      <alignment horizontal="left"/>
    </xf>
    <xf numFmtId="0" fontId="4" fillId="0" borderId="0" xfId="7" applyFont="1" applyAlignment="1">
      <alignment horizontal="right"/>
    </xf>
    <xf numFmtId="183" fontId="8" fillId="0" borderId="0" xfId="0" applyNumberFormat="1" applyFont="1" applyAlignment="1">
      <alignment horizontal="right"/>
    </xf>
    <xf numFmtId="184" fontId="8" fillId="0" borderId="0" xfId="0" applyNumberFormat="1" applyFont="1" applyAlignment="1">
      <alignment horizontal="right"/>
    </xf>
    <xf numFmtId="0" fontId="5" fillId="0" borderId="0" xfId="6" applyFont="1" applyAlignment="1">
      <alignment horizontal="center"/>
    </xf>
    <xf numFmtId="0" fontId="34" fillId="0" borderId="0" xfId="6" applyFont="1" applyAlignment="1">
      <alignment horizontal="right"/>
    </xf>
    <xf numFmtId="0" fontId="22" fillId="0" borderId="0" xfId="6" applyFont="1" applyAlignment="1">
      <alignment horizontal="center" vertical="center"/>
    </xf>
    <xf numFmtId="37" fontId="16" fillId="0" borderId="0" xfId="6" applyNumberFormat="1" applyFont="1" applyAlignment="1">
      <alignment vertical="center"/>
    </xf>
    <xf numFmtId="164" fontId="16" fillId="10" borderId="0" xfId="0" applyNumberFormat="1" applyFont="1" applyFill="1" applyAlignment="1">
      <alignment horizontal="right"/>
    </xf>
    <xf numFmtId="164" fontId="17" fillId="0" borderId="0" xfId="0" applyNumberFormat="1" applyFont="1" applyAlignment="1">
      <alignment horizontal="right"/>
    </xf>
    <xf numFmtId="0" fontId="5" fillId="0" borderId="0" xfId="6" applyFont="1"/>
    <xf numFmtId="0" fontId="16" fillId="0" borderId="0" xfId="6" applyFont="1" applyAlignment="1">
      <alignment horizontal="left" vertical="center" indent="1"/>
    </xf>
    <xf numFmtId="0" fontId="17" fillId="0" borderId="0" xfId="6" applyFont="1" applyAlignment="1">
      <alignment horizontal="left" vertical="center" indent="1"/>
    </xf>
    <xf numFmtId="168" fontId="16" fillId="0" borderId="0" xfId="6" applyNumberFormat="1" applyFont="1" applyAlignment="1">
      <alignment horizontal="right" vertical="center"/>
    </xf>
    <xf numFmtId="164" fontId="16" fillId="0" borderId="0" xfId="0" applyNumberFormat="1" applyFont="1" applyAlignment="1">
      <alignment horizontal="right"/>
    </xf>
    <xf numFmtId="181" fontId="16" fillId="0" borderId="0" xfId="0" applyNumberFormat="1" applyFont="1" applyAlignment="1">
      <alignment horizontal="right"/>
    </xf>
    <xf numFmtId="0" fontId="10" fillId="0" borderId="0" xfId="6" applyFont="1"/>
    <xf numFmtId="185" fontId="10" fillId="0" borderId="0" xfId="6" applyNumberFormat="1" applyFont="1" applyAlignment="1">
      <alignment vertical="center"/>
    </xf>
    <xf numFmtId="37" fontId="19" fillId="0" borderId="0" xfId="6" applyNumberFormat="1" applyFont="1" applyAlignment="1">
      <alignment horizontal="left" vertical="center"/>
    </xf>
    <xf numFmtId="37" fontId="16" fillId="0" borderId="0" xfId="6" applyNumberFormat="1" applyFont="1" applyAlignment="1">
      <alignment horizontal="left" vertical="center" indent="1"/>
    </xf>
    <xf numFmtId="186" fontId="16" fillId="10" borderId="0" xfId="0" applyNumberFormat="1" applyFont="1" applyFill="1" applyAlignment="1">
      <alignment horizontal="right"/>
    </xf>
    <xf numFmtId="164" fontId="40" fillId="10" borderId="0" xfId="0" applyNumberFormat="1" applyFont="1" applyFill="1" applyAlignment="1">
      <alignment horizontal="right"/>
    </xf>
    <xf numFmtId="168" fontId="40" fillId="10" borderId="0" xfId="6" applyNumberFormat="1" applyFont="1" applyFill="1"/>
    <xf numFmtId="168" fontId="40" fillId="10" borderId="0" xfId="6" applyNumberFormat="1" applyFont="1" applyFill="1" applyAlignment="1">
      <alignment horizontal="right" vertical="center"/>
    </xf>
    <xf numFmtId="168" fontId="10" fillId="10" borderId="0" xfId="6" applyNumberFormat="1" applyFont="1" applyFill="1"/>
    <xf numFmtId="37" fontId="10" fillId="0" borderId="0" xfId="6" applyNumberFormat="1" applyFont="1" applyAlignment="1">
      <alignment horizontal="center" vertical="center"/>
    </xf>
    <xf numFmtId="37" fontId="10" fillId="0" borderId="0" xfId="6" applyNumberFormat="1" applyFont="1" applyAlignment="1">
      <alignment vertical="center"/>
    </xf>
    <xf numFmtId="2" fontId="10" fillId="0" borderId="0" xfId="6" applyNumberFormat="1" applyFont="1"/>
    <xf numFmtId="168" fontId="10" fillId="0" borderId="0" xfId="6" applyNumberFormat="1" applyFont="1"/>
    <xf numFmtId="164" fontId="10" fillId="10" borderId="0" xfId="0" applyNumberFormat="1" applyFont="1" applyFill="1" applyAlignment="1">
      <alignment horizontal="right"/>
    </xf>
    <xf numFmtId="164" fontId="10" fillId="0" borderId="0" xfId="6" applyNumberFormat="1" applyFont="1"/>
    <xf numFmtId="164" fontId="10" fillId="0" borderId="0" xfId="0" applyNumberFormat="1" applyFont="1" applyAlignment="1">
      <alignment horizontal="right"/>
    </xf>
    <xf numFmtId="177" fontId="10" fillId="0" borderId="0" xfId="2" applyNumberFormat="1" applyFont="1"/>
    <xf numFmtId="14" fontId="10" fillId="0" borderId="0" xfId="0" applyNumberFormat="1" applyFont="1"/>
    <xf numFmtId="180" fontId="10" fillId="0" borderId="0" xfId="1" applyNumberFormat="1" applyFont="1"/>
    <xf numFmtId="0" fontId="25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41" fillId="0" borderId="0" xfId="0" applyFont="1" applyAlignment="1">
      <alignment horizontal="right"/>
    </xf>
    <xf numFmtId="0" fontId="42" fillId="0" borderId="0" xfId="0" applyFont="1" applyAlignment="1">
      <alignment horizontal="right"/>
    </xf>
    <xf numFmtId="0" fontId="16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37" fontId="17" fillId="0" borderId="0" xfId="0" applyNumberFormat="1" applyFont="1" applyAlignment="1">
      <alignment horizontal="left" vertical="center"/>
    </xf>
    <xf numFmtId="168" fontId="17" fillId="0" borderId="0" xfId="0" applyNumberFormat="1" applyFont="1" applyAlignment="1">
      <alignment horizontal="right" vertical="center"/>
    </xf>
    <xf numFmtId="180" fontId="1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77" fontId="17" fillId="0" borderId="0" xfId="0" applyNumberFormat="1" applyFont="1" applyAlignment="1">
      <alignment vertical="center"/>
    </xf>
    <xf numFmtId="189" fontId="16" fillId="0" borderId="0" xfId="0" applyNumberFormat="1" applyFont="1" applyAlignment="1">
      <alignment horizontal="center" vertical="center"/>
    </xf>
    <xf numFmtId="180" fontId="17" fillId="0" borderId="0" xfId="0" applyNumberFormat="1" applyFont="1" applyAlignment="1">
      <alignment horizontal="right" vertical="center"/>
    </xf>
    <xf numFmtId="37" fontId="9" fillId="0" borderId="0" xfId="0" applyNumberFormat="1" applyFont="1" applyAlignment="1">
      <alignment vertical="center"/>
    </xf>
    <xf numFmtId="173" fontId="4" fillId="0" borderId="0" xfId="0" applyNumberFormat="1" applyFont="1" applyAlignment="1">
      <alignment horizontal="right"/>
    </xf>
    <xf numFmtId="43" fontId="10" fillId="0" borderId="0" xfId="1" applyFont="1"/>
    <xf numFmtId="169" fontId="10" fillId="0" borderId="0" xfId="2" applyNumberFormat="1" applyFont="1"/>
    <xf numFmtId="180" fontId="16" fillId="0" borderId="0" xfId="0" applyNumberFormat="1" applyFont="1" applyAlignment="1">
      <alignment horizontal="right" vertical="center"/>
    </xf>
    <xf numFmtId="169" fontId="10" fillId="0" borderId="0" xfId="2" applyNumberFormat="1" applyFont="1" applyBorder="1"/>
    <xf numFmtId="168" fontId="4" fillId="0" borderId="0" xfId="0" applyNumberFormat="1" applyFont="1" applyAlignment="1">
      <alignment horizontal="center"/>
    </xf>
    <xf numFmtId="168" fontId="19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right"/>
    </xf>
    <xf numFmtId="37" fontId="10" fillId="0" borderId="0" xfId="0" applyNumberFormat="1" applyFont="1" applyAlignment="1">
      <alignment horizontal="left" vertical="center"/>
    </xf>
    <xf numFmtId="168" fontId="10" fillId="0" borderId="0" xfId="0" applyNumberFormat="1" applyFont="1" applyAlignment="1">
      <alignment horizontal="right" vertical="center"/>
    </xf>
    <xf numFmtId="177" fontId="10" fillId="0" borderId="0" xfId="0" applyNumberFormat="1" applyFont="1" applyAlignment="1">
      <alignment horizontal="center" vertical="center"/>
    </xf>
    <xf numFmtId="169" fontId="10" fillId="0" borderId="0" xfId="2" applyNumberFormat="1" applyFont="1" applyFill="1" applyBorder="1" applyAlignment="1">
      <alignment horizontal="center" vertical="center"/>
    </xf>
    <xf numFmtId="180" fontId="10" fillId="0" borderId="0" xfId="0" applyNumberFormat="1" applyFont="1" applyAlignment="1">
      <alignment horizontal="center" vertical="center"/>
    </xf>
    <xf numFmtId="170" fontId="27" fillId="0" borderId="0" xfId="1" applyNumberFormat="1" applyFont="1"/>
    <xf numFmtId="170" fontId="27" fillId="0" borderId="0" xfId="0" applyNumberFormat="1" applyFont="1"/>
    <xf numFmtId="49" fontId="16" fillId="0" borderId="17" xfId="0" applyNumberFormat="1" applyFont="1" applyBorder="1" applyAlignment="1">
      <alignment horizontal="left"/>
    </xf>
    <xf numFmtId="43" fontId="10" fillId="0" borderId="18" xfId="1" applyFont="1" applyBorder="1"/>
    <xf numFmtId="169" fontId="10" fillId="0" borderId="18" xfId="2" applyNumberFormat="1" applyFont="1" applyBorder="1"/>
    <xf numFmtId="180" fontId="10" fillId="0" borderId="19" xfId="1" applyNumberFormat="1" applyFont="1" applyFill="1" applyBorder="1"/>
    <xf numFmtId="0" fontId="0" fillId="3" borderId="17" xfId="0" applyFill="1" applyBorder="1"/>
    <xf numFmtId="0" fontId="0" fillId="3" borderId="19" xfId="0" applyFill="1" applyBorder="1"/>
    <xf numFmtId="37" fontId="26" fillId="7" borderId="0" xfId="6" applyNumberFormat="1" applyFont="1" applyFill="1" applyAlignment="1">
      <alignment horizontal="center" vertical="center"/>
    </xf>
    <xf numFmtId="0" fontId="19" fillId="0" borderId="0" xfId="0" applyFont="1" applyAlignment="1">
      <alignment horizontal="left"/>
    </xf>
    <xf numFmtId="168" fontId="19" fillId="0" borderId="0" xfId="0" applyNumberFormat="1" applyFont="1" applyAlignment="1">
      <alignment horizontal="right"/>
    </xf>
    <xf numFmtId="187" fontId="19" fillId="0" borderId="0" xfId="0" applyNumberFormat="1" applyFont="1" applyAlignment="1">
      <alignment horizontal="right"/>
    </xf>
    <xf numFmtId="188" fontId="19" fillId="0" borderId="0" xfId="0" applyNumberFormat="1" applyFont="1" applyAlignment="1">
      <alignment horizontal="center"/>
    </xf>
    <xf numFmtId="0" fontId="19" fillId="0" borderId="20" xfId="0" applyFont="1" applyBorder="1" applyAlignment="1">
      <alignment horizontal="left"/>
    </xf>
    <xf numFmtId="0" fontId="19" fillId="0" borderId="21" xfId="0" applyFont="1" applyBorder="1" applyAlignment="1">
      <alignment horizontal="left"/>
    </xf>
    <xf numFmtId="49" fontId="19" fillId="0" borderId="21" xfId="0" applyNumberFormat="1" applyFont="1" applyBorder="1" applyAlignment="1">
      <alignment horizontal="left"/>
    </xf>
    <xf numFmtId="168" fontId="19" fillId="0" borderId="21" xfId="0" applyNumberFormat="1" applyFont="1" applyBorder="1" applyAlignment="1">
      <alignment horizontal="right"/>
    </xf>
    <xf numFmtId="0" fontId="8" fillId="0" borderId="21" xfId="0" applyFont="1" applyBorder="1" applyAlignment="1">
      <alignment horizontal="center"/>
    </xf>
    <xf numFmtId="168" fontId="19" fillId="0" borderId="21" xfId="0" applyNumberFormat="1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73" fontId="4" fillId="0" borderId="20" xfId="0" applyNumberFormat="1" applyFont="1" applyBorder="1" applyAlignment="1">
      <alignment horizontal="left"/>
    </xf>
    <xf numFmtId="177" fontId="16" fillId="0" borderId="21" xfId="0" applyNumberFormat="1" applyFont="1" applyBorder="1" applyAlignment="1">
      <alignment horizontal="center" vertical="center"/>
    </xf>
    <xf numFmtId="177" fontId="16" fillId="0" borderId="21" xfId="2" applyNumberFormat="1" applyFont="1" applyFill="1" applyBorder="1" applyAlignment="1">
      <alignment horizontal="center" vertical="center"/>
    </xf>
    <xf numFmtId="180" fontId="16" fillId="0" borderId="21" xfId="0" applyNumberFormat="1" applyFont="1" applyBorder="1" applyAlignment="1">
      <alignment horizontal="center" vertical="center"/>
    </xf>
    <xf numFmtId="180" fontId="16" fillId="0" borderId="22" xfId="0" applyNumberFormat="1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25" fillId="0" borderId="23" xfId="0" applyFont="1" applyBorder="1" applyAlignment="1">
      <alignment vertical="center"/>
    </xf>
    <xf numFmtId="37" fontId="10" fillId="0" borderId="23" xfId="0" applyNumberFormat="1" applyFont="1" applyBorder="1" applyAlignment="1">
      <alignment horizontal="left" vertical="center"/>
    </xf>
    <xf numFmtId="37" fontId="17" fillId="0" borderId="23" xfId="0" applyNumberFormat="1" applyFont="1" applyBorder="1" applyAlignment="1">
      <alignment horizontal="left" vertical="center"/>
    </xf>
    <xf numFmtId="168" fontId="10" fillId="0" borderId="23" xfId="0" applyNumberFormat="1" applyFont="1" applyBorder="1" applyAlignment="1">
      <alignment horizontal="right" vertical="center"/>
    </xf>
    <xf numFmtId="177" fontId="10" fillId="0" borderId="23" xfId="0" applyNumberFormat="1" applyFont="1" applyBorder="1" applyAlignment="1">
      <alignment horizontal="center" vertical="center"/>
    </xf>
    <xf numFmtId="169" fontId="10" fillId="0" borderId="23" xfId="2" applyNumberFormat="1" applyFont="1" applyFill="1" applyBorder="1" applyAlignment="1">
      <alignment horizontal="center" vertical="center"/>
    </xf>
    <xf numFmtId="180" fontId="10" fillId="0" borderId="23" xfId="0" applyNumberFormat="1" applyFont="1" applyBorder="1" applyAlignment="1">
      <alignment horizontal="center" vertical="center"/>
    </xf>
    <xf numFmtId="0" fontId="31" fillId="3" borderId="0" xfId="0" applyFont="1" applyFill="1"/>
    <xf numFmtId="0" fontId="19" fillId="3" borderId="0" xfId="7" applyFont="1" applyFill="1" applyAlignment="1">
      <alignment horizontal="centerContinuous"/>
    </xf>
    <xf numFmtId="182" fontId="19" fillId="3" borderId="0" xfId="7" applyNumberFormat="1" applyFont="1" applyFill="1" applyAlignment="1">
      <alignment horizontal="centerContinuous"/>
    </xf>
    <xf numFmtId="183" fontId="8" fillId="3" borderId="0" xfId="0" applyNumberFormat="1" applyFont="1" applyFill="1" applyAlignment="1">
      <alignment horizontal="right"/>
    </xf>
    <xf numFmtId="184" fontId="8" fillId="3" borderId="0" xfId="0" applyNumberFormat="1" applyFont="1" applyFill="1" applyAlignment="1">
      <alignment horizontal="right"/>
    </xf>
    <xf numFmtId="0" fontId="22" fillId="3" borderId="0" xfId="6" applyFont="1" applyFill="1" applyAlignment="1">
      <alignment horizontal="center" vertical="center"/>
    </xf>
    <xf numFmtId="0" fontId="34" fillId="3" borderId="0" xfId="6" applyFont="1" applyFill="1" applyAlignment="1">
      <alignment horizontal="right" vertical="center"/>
    </xf>
    <xf numFmtId="164" fontId="10" fillId="3" borderId="0" xfId="0" applyNumberFormat="1" applyFont="1" applyFill="1" applyAlignment="1">
      <alignment horizontal="right"/>
    </xf>
    <xf numFmtId="181" fontId="16" fillId="12" borderId="0" xfId="6" applyNumberFormat="1" applyFont="1" applyFill="1" applyAlignment="1">
      <alignment horizontal="right" vertical="center"/>
    </xf>
    <xf numFmtId="164" fontId="17" fillId="3" borderId="0" xfId="0" applyNumberFormat="1" applyFont="1" applyFill="1" applyAlignment="1">
      <alignment horizontal="right"/>
    </xf>
    <xf numFmtId="181" fontId="5" fillId="3" borderId="0" xfId="6" applyNumberFormat="1" applyFont="1" applyFill="1" applyAlignment="1">
      <alignment horizontal="right" vertical="center"/>
    </xf>
    <xf numFmtId="0" fontId="39" fillId="3" borderId="0" xfId="6" applyFont="1" applyFill="1"/>
    <xf numFmtId="0" fontId="5" fillId="3" borderId="0" xfId="6" applyFont="1" applyFill="1"/>
    <xf numFmtId="164" fontId="16" fillId="3" borderId="0" xfId="0" applyNumberFormat="1" applyFont="1" applyFill="1" applyAlignment="1">
      <alignment horizontal="right"/>
    </xf>
    <xf numFmtId="181" fontId="16" fillId="3" borderId="0" xfId="6" applyNumberFormat="1" applyFont="1" applyFill="1" applyAlignment="1">
      <alignment horizontal="right" vertical="center"/>
    </xf>
    <xf numFmtId="181" fontId="5" fillId="12" borderId="0" xfId="6" applyNumberFormat="1" applyFont="1" applyFill="1" applyAlignment="1">
      <alignment horizontal="right" vertical="center"/>
    </xf>
    <xf numFmtId="0" fontId="10" fillId="3" borderId="0" xfId="6" applyFont="1" applyFill="1"/>
    <xf numFmtId="181" fontId="10" fillId="12" borderId="0" xfId="6" applyNumberFormat="1" applyFont="1" applyFill="1"/>
    <xf numFmtId="168" fontId="40" fillId="12" borderId="0" xfId="6" applyNumberFormat="1" applyFont="1" applyFill="1" applyAlignment="1">
      <alignment horizontal="right" vertical="center"/>
    </xf>
    <xf numFmtId="0" fontId="31" fillId="11" borderId="0" xfId="0" applyFont="1" applyFill="1"/>
    <xf numFmtId="177" fontId="10" fillId="0" borderId="13" xfId="0" applyNumberFormat="1" applyFont="1" applyBorder="1"/>
    <xf numFmtId="177" fontId="10" fillId="13" borderId="12" xfId="0" applyNumberFormat="1" applyFont="1" applyFill="1" applyBorder="1"/>
    <xf numFmtId="168" fontId="16" fillId="13" borderId="0" xfId="0" applyNumberFormat="1" applyFont="1" applyFill="1"/>
    <xf numFmtId="168" fontId="19" fillId="13" borderId="0" xfId="0" applyNumberFormat="1" applyFont="1" applyFill="1"/>
    <xf numFmtId="168" fontId="16" fillId="13" borderId="0" xfId="0" applyNumberFormat="1" applyFont="1" applyFill="1" applyAlignment="1">
      <alignment vertical="center"/>
    </xf>
    <xf numFmtId="168" fontId="16" fillId="13" borderId="4" xfId="0" applyNumberFormat="1" applyFont="1" applyFill="1" applyBorder="1" applyAlignment="1">
      <alignment vertical="center"/>
    </xf>
    <xf numFmtId="9" fontId="45" fillId="0" borderId="0" xfId="2" applyFont="1" applyBorder="1" applyProtection="1">
      <protection locked="0"/>
    </xf>
    <xf numFmtId="190" fontId="45" fillId="0" borderId="0" xfId="1" applyNumberFormat="1" applyFont="1" applyProtection="1">
      <protection locked="0"/>
    </xf>
    <xf numFmtId="190" fontId="45" fillId="5" borderId="0" xfId="1" applyNumberFormat="1" applyFont="1" applyFill="1" applyBorder="1" applyProtection="1">
      <protection locked="0"/>
    </xf>
    <xf numFmtId="190" fontId="45" fillId="14" borderId="0" xfId="1" applyNumberFormat="1" applyFont="1" applyFill="1" applyBorder="1" applyProtection="1">
      <protection locked="0"/>
    </xf>
    <xf numFmtId="190" fontId="45" fillId="0" borderId="0" xfId="0" applyNumberFormat="1" applyFont="1" applyProtection="1">
      <protection locked="0"/>
    </xf>
    <xf numFmtId="9" fontId="46" fillId="0" borderId="16" xfId="2" applyFont="1" applyBorder="1" applyAlignment="1" applyProtection="1">
      <protection locked="0"/>
    </xf>
    <xf numFmtId="9" fontId="47" fillId="0" borderId="24" xfId="2" applyFont="1" applyBorder="1" applyAlignment="1" applyProtection="1">
      <alignment horizontal="center"/>
      <protection locked="0"/>
    </xf>
    <xf numFmtId="169" fontId="46" fillId="0" borderId="24" xfId="0" applyNumberFormat="1" applyFont="1" applyBorder="1" applyAlignment="1" applyProtection="1">
      <alignment horizontal="center"/>
      <protection locked="0"/>
    </xf>
    <xf numFmtId="0" fontId="44" fillId="4" borderId="17" xfId="0" applyFont="1" applyFill="1" applyBorder="1" applyAlignment="1">
      <alignment horizontal="center"/>
    </xf>
    <xf numFmtId="0" fontId="44" fillId="4" borderId="18" xfId="0" applyFont="1" applyFill="1" applyBorder="1" applyAlignment="1">
      <alignment horizontal="center"/>
    </xf>
    <xf numFmtId="0" fontId="44" fillId="4" borderId="19" xfId="0" applyFont="1" applyFill="1" applyBorder="1" applyAlignment="1">
      <alignment horizontal="center"/>
    </xf>
    <xf numFmtId="0" fontId="31" fillId="8" borderId="0" xfId="0" applyFont="1" applyFill="1" applyAlignment="1">
      <alignment horizontal="left"/>
    </xf>
    <xf numFmtId="9" fontId="0" fillId="0" borderId="0" xfId="0" applyNumberFormat="1"/>
    <xf numFmtId="0" fontId="5" fillId="0" borderId="0" xfId="6" applyFont="1" applyAlignment="1">
      <alignment horizontal="left"/>
    </xf>
    <xf numFmtId="37" fontId="16" fillId="0" borderId="0" xfId="6" applyNumberFormat="1" applyFont="1" applyAlignment="1">
      <alignment horizontal="left" vertical="center"/>
    </xf>
    <xf numFmtId="0" fontId="0" fillId="3" borderId="0" xfId="0" applyFill="1" applyBorder="1"/>
    <xf numFmtId="0" fontId="0" fillId="3" borderId="25" xfId="0" applyFill="1" applyBorder="1"/>
    <xf numFmtId="0" fontId="0" fillId="3" borderId="1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9" fontId="0" fillId="3" borderId="24" xfId="0" applyNumberFormat="1" applyFill="1" applyBorder="1" applyAlignment="1">
      <alignment horizontal="center"/>
    </xf>
    <xf numFmtId="180" fontId="0" fillId="3" borderId="0" xfId="0" applyNumberFormat="1" applyFill="1"/>
  </cellXfs>
  <cellStyles count="8">
    <cellStyle name="Comma" xfId="1" builtinId="3"/>
    <cellStyle name="Comma 2" xfId="4" xr:uid="{1578617C-0278-4F7D-B14C-C77590AF19C2}"/>
    <cellStyle name="Normal" xfId="0" builtinId="0"/>
    <cellStyle name="Normal 2" xfId="3" xr:uid="{DE826779-95D5-472E-9E09-B14D62121B1C}"/>
    <cellStyle name="Normal 2 2 2" xfId="6" xr:uid="{2696E765-5888-4F36-BE51-7173A7AA01FF}"/>
    <cellStyle name="Normal_Master Junior Database v2" xfId="7" xr:uid="{EF4D126B-F8B1-4F61-A7F7-F12CDE3EC28A}"/>
    <cellStyle name="Percent" xfId="2" builtinId="5"/>
    <cellStyle name="Percent 2" xfId="5" xr:uid="{049C2D5D-148B-433C-B974-3F74ADDD0AA0}"/>
  </cellStyles>
  <dxfs count="1">
    <dxf>
      <font>
        <b/>
        <i val="0"/>
        <strike val="0"/>
        <color theme="0"/>
      </font>
      <fill>
        <patternFill>
          <bgColor rgb="FF9471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419101</xdr:colOff>
      <xdr:row>274</xdr:row>
      <xdr:rowOff>95249</xdr:rowOff>
    </xdr:from>
    <xdr:to>
      <xdr:col>5</xdr:col>
      <xdr:colOff>152400</xdr:colOff>
      <xdr:row>275</xdr:row>
      <xdr:rowOff>133349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11BABF-B814-4A9A-B5FB-81D5941F9C2E}"/>
            </a:ext>
          </a:extLst>
        </xdr:cNvPr>
        <xdr:cNvSpPr txBox="1"/>
      </xdr:nvSpPr>
      <xdr:spPr>
        <a:xfrm>
          <a:off x="6334126" y="56378474"/>
          <a:ext cx="695324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WACC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3048000</xdr:colOff>
      <xdr:row>9</xdr:row>
      <xdr:rowOff>200024</xdr:rowOff>
    </xdr:from>
    <xdr:to>
      <xdr:col>5</xdr:col>
      <xdr:colOff>295275</xdr:colOff>
      <xdr:row>11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904461-7AD5-41C5-9B08-C6794ADEF25E}"/>
            </a:ext>
          </a:extLst>
        </xdr:cNvPr>
        <xdr:cNvSpPr txBox="1"/>
      </xdr:nvSpPr>
      <xdr:spPr>
        <a:xfrm>
          <a:off x="3657600" y="59836049"/>
          <a:ext cx="60007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WACC</a:t>
          </a:r>
        </a:p>
      </xdr:txBody>
    </xdr:sp>
    <xdr:clientData/>
  </xdr:twoCellAnchor>
  <xdr:twoCellAnchor>
    <xdr:from>
      <xdr:col>5</xdr:col>
      <xdr:colOff>2362200</xdr:colOff>
      <xdr:row>9</xdr:row>
      <xdr:rowOff>180974</xdr:rowOff>
    </xdr:from>
    <xdr:to>
      <xdr:col>5</xdr:col>
      <xdr:colOff>2962275</xdr:colOff>
      <xdr:row>11</xdr:row>
      <xdr:rowOff>9524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CE8C74-5C25-4F5B-8116-EAC49C4B677D}"/>
            </a:ext>
          </a:extLst>
        </xdr:cNvPr>
        <xdr:cNvSpPr txBox="1"/>
      </xdr:nvSpPr>
      <xdr:spPr>
        <a:xfrm>
          <a:off x="4838700" y="59816999"/>
          <a:ext cx="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WACC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7C6E0-2F10-4549-AEA5-5C1A0D52B21F}">
  <dimension ref="B2:Q633"/>
  <sheetViews>
    <sheetView showGridLines="0" tabSelected="1" workbookViewId="0">
      <selection activeCell="B289" sqref="B289:P299"/>
    </sheetView>
  </sheetViews>
  <sheetFormatPr defaultRowHeight="15" outlineLevelRow="1"/>
  <cols>
    <col min="1" max="1" width="9.140625" style="105"/>
    <col min="2" max="2" width="50.28515625" style="105" bestFit="1" customWidth="1"/>
    <col min="3" max="3" width="13.140625" style="105" bestFit="1" customWidth="1"/>
    <col min="4" max="4" width="16.140625" style="105" bestFit="1" customWidth="1"/>
    <col min="5" max="5" width="14.42578125" style="105" bestFit="1" customWidth="1"/>
    <col min="6" max="6" width="16.140625" style="105" bestFit="1" customWidth="1"/>
    <col min="7" max="7" width="13.42578125" style="105" customWidth="1"/>
    <col min="8" max="8" width="8.5703125" style="105" bestFit="1" customWidth="1"/>
    <col min="9" max="9" width="10.7109375" style="105" bestFit="1" customWidth="1"/>
    <col min="10" max="10" width="9.140625" style="105"/>
    <col min="11" max="11" width="8.7109375" style="105" bestFit="1" customWidth="1"/>
    <col min="12" max="16384" width="9.140625" style="105"/>
  </cols>
  <sheetData>
    <row r="2" spans="2:11" ht="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2:11" ht="15.75" hidden="1" outlineLevel="1">
      <c r="B3" s="2"/>
      <c r="C3" s="2"/>
      <c r="D3" s="3"/>
      <c r="E3" s="3"/>
      <c r="F3" s="3"/>
      <c r="G3" s="4"/>
      <c r="H3" s="4"/>
      <c r="I3" s="4"/>
      <c r="J3" s="4"/>
      <c r="K3" s="4"/>
    </row>
    <row r="4" spans="2:11" ht="16.5" hidden="1" outlineLevel="1" thickBot="1">
      <c r="B4" s="5"/>
      <c r="C4" s="5"/>
      <c r="D4" s="6">
        <v>22</v>
      </c>
      <c r="E4" s="6">
        <v>23</v>
      </c>
      <c r="F4" s="6">
        <v>24</v>
      </c>
      <c r="G4" s="7">
        <v>25</v>
      </c>
      <c r="H4" s="7">
        <v>26</v>
      </c>
      <c r="I4" s="7">
        <v>27</v>
      </c>
      <c r="J4" s="7">
        <v>28</v>
      </c>
      <c r="K4" s="7">
        <v>29</v>
      </c>
    </row>
    <row r="5" spans="2:11" ht="15.75" hidden="1" outlineLevel="1">
      <c r="B5" s="5" t="s">
        <v>1</v>
      </c>
      <c r="C5" s="2"/>
      <c r="D5" s="3"/>
      <c r="E5" s="3"/>
      <c r="F5" s="3"/>
      <c r="G5" s="4"/>
      <c r="H5" s="4"/>
      <c r="I5" s="4"/>
      <c r="J5" s="4"/>
      <c r="K5" s="4"/>
    </row>
    <row r="6" spans="2:11" ht="15.75" hidden="1" outlineLevel="1">
      <c r="B6" s="2" t="s">
        <v>2</v>
      </c>
      <c r="C6" s="2"/>
      <c r="D6" s="8">
        <v>365</v>
      </c>
      <c r="E6" s="8">
        <v>365</v>
      </c>
      <c r="F6" s="8">
        <v>365</v>
      </c>
      <c r="G6" s="8">
        <v>365</v>
      </c>
      <c r="H6" s="8">
        <v>365</v>
      </c>
      <c r="I6" s="8">
        <v>365</v>
      </c>
      <c r="J6" s="8">
        <v>365</v>
      </c>
      <c r="K6" s="8">
        <v>365</v>
      </c>
    </row>
    <row r="7" spans="2:11" ht="15.75" hidden="1" outlineLevel="1">
      <c r="B7" s="3"/>
      <c r="C7" s="3"/>
      <c r="D7" s="3"/>
      <c r="E7" s="3"/>
      <c r="F7" s="3"/>
      <c r="G7" s="3"/>
      <c r="H7" s="3"/>
      <c r="I7" s="3"/>
      <c r="J7" s="3"/>
      <c r="K7" s="3"/>
    </row>
    <row r="8" spans="2:11" ht="15.75" hidden="1" outlineLevel="1">
      <c r="B8" s="2" t="s">
        <v>3</v>
      </c>
      <c r="C8" s="2"/>
      <c r="D8" s="3"/>
      <c r="E8" s="9"/>
      <c r="F8" s="3"/>
      <c r="G8" s="4"/>
      <c r="H8" s="4"/>
      <c r="I8" s="4"/>
      <c r="J8" s="4"/>
      <c r="K8" s="4"/>
    </row>
    <row r="9" spans="2:11" ht="15.75" hidden="1" outlineLevel="1">
      <c r="B9" s="10" t="s">
        <v>4</v>
      </c>
      <c r="C9" s="10"/>
      <c r="D9" s="11"/>
      <c r="E9" s="12">
        <f>E34/D34-1</f>
        <v>6.4798211785512594E-2</v>
      </c>
      <c r="F9" s="12">
        <f>F34/E34-1</f>
        <v>7.3680131029550733E-2</v>
      </c>
      <c r="G9" s="13">
        <v>0.06</v>
      </c>
      <c r="H9" s="13">
        <v>0.06</v>
      </c>
      <c r="I9" s="13">
        <v>0.06</v>
      </c>
      <c r="J9" s="13">
        <v>0.06</v>
      </c>
      <c r="K9" s="13">
        <v>0.06</v>
      </c>
    </row>
    <row r="10" spans="2:11" ht="15.75" hidden="1" outlineLevel="1">
      <c r="B10" s="10" t="s">
        <v>5</v>
      </c>
      <c r="C10" s="10"/>
      <c r="D10" s="12">
        <f>D36/D34</f>
        <v>0.53180958463314587</v>
      </c>
      <c r="E10" s="12">
        <f t="shared" ref="E10:F10" si="0">E36/E34</f>
        <v>0.56451129207132811</v>
      </c>
      <c r="F10" s="12">
        <f t="shared" si="0"/>
        <v>0.57417121730117726</v>
      </c>
      <c r="G10" s="13">
        <v>0.55000000000000004</v>
      </c>
      <c r="H10" s="13">
        <v>0.55000000000000004</v>
      </c>
      <c r="I10" s="13">
        <v>0.55000000000000004</v>
      </c>
      <c r="J10" s="13">
        <v>0.55000000000000004</v>
      </c>
      <c r="K10" s="13">
        <v>0.55000000000000004</v>
      </c>
    </row>
    <row r="11" spans="2:11" ht="15.75" hidden="1" outlineLevel="1">
      <c r="B11" s="10" t="s">
        <v>6</v>
      </c>
      <c r="C11" s="10"/>
      <c r="D11" s="12">
        <f>-D38/D34</f>
        <v>7.2265481073911231E-2</v>
      </c>
      <c r="E11" s="12">
        <f t="shared" ref="E11:F11" si="1">-E38/E34</f>
        <v>7.4061685390666446E-2</v>
      </c>
      <c r="F11" s="12">
        <f t="shared" si="1"/>
        <v>6.624003286426132E-2</v>
      </c>
      <c r="G11" s="13">
        <v>7.4999999999999997E-2</v>
      </c>
      <c r="H11" s="13">
        <v>7.4999999999999997E-2</v>
      </c>
      <c r="I11" s="13">
        <v>7.4999999999999997E-2</v>
      </c>
      <c r="J11" s="13">
        <v>7.4999999999999997E-2</v>
      </c>
      <c r="K11" s="13">
        <v>7.4999999999999997E-2</v>
      </c>
    </row>
    <row r="12" spans="2:11" ht="15.75" hidden="1" outlineLevel="1">
      <c r="B12" s="10" t="s">
        <v>7</v>
      </c>
      <c r="C12" s="10"/>
      <c r="D12" s="14">
        <f>-D39</f>
        <v>23507</v>
      </c>
      <c r="E12" s="14">
        <f t="shared" ref="E12:F12" si="2">-E39</f>
        <v>26569</v>
      </c>
      <c r="F12" s="14">
        <f t="shared" si="2"/>
        <v>30830.072</v>
      </c>
      <c r="G12" s="15">
        <v>32063</v>
      </c>
      <c r="H12" s="15">
        <v>33346</v>
      </c>
      <c r="I12" s="15">
        <v>34680</v>
      </c>
      <c r="J12" s="15">
        <v>36067</v>
      </c>
      <c r="K12" s="15">
        <v>37509</v>
      </c>
    </row>
    <row r="13" spans="2:11" ht="15.75" hidden="1" outlineLevel="1">
      <c r="B13" s="10" t="s">
        <v>8</v>
      </c>
      <c r="C13" s="10"/>
      <c r="D13" s="12">
        <f>D37-D40/D34</f>
        <v>2.1664906290683107E-2</v>
      </c>
      <c r="E13" s="12">
        <f t="shared" ref="E13:F13" si="3">E37-E40/E34</f>
        <v>2.2272716787007773E-2</v>
      </c>
      <c r="F13" s="12">
        <f t="shared" si="3"/>
        <v>2.176458222682872E-2</v>
      </c>
      <c r="G13" s="13">
        <v>2.3E-2</v>
      </c>
      <c r="H13" s="13">
        <v>2.3E-2</v>
      </c>
      <c r="I13" s="13">
        <v>2.3E-2</v>
      </c>
      <c r="J13" s="13">
        <v>2.3E-2</v>
      </c>
      <c r="K13" s="13">
        <v>2.3E-2</v>
      </c>
    </row>
    <row r="14" spans="2:11" ht="15.75" hidden="1" outlineLevel="1">
      <c r="B14" s="10" t="s">
        <v>9</v>
      </c>
      <c r="C14" s="10"/>
      <c r="D14" s="12">
        <f>-D41/D34</f>
        <v>3.6353811009309525E-2</v>
      </c>
      <c r="E14" s="12">
        <f t="shared" ref="E14:F14" si="4">-E41/E34</f>
        <v>3.2330618930079123E-2</v>
      </c>
      <c r="F14" s="12">
        <f t="shared" si="4"/>
        <v>3.1227444064580338E-2</v>
      </c>
      <c r="G14" s="13">
        <v>3.2000000000000001E-2</v>
      </c>
      <c r="H14" s="13">
        <v>3.2000000000000001E-2</v>
      </c>
      <c r="I14" s="13">
        <v>3.2000000000000001E-2</v>
      </c>
      <c r="J14" s="13">
        <v>3.2000000000000001E-2</v>
      </c>
      <c r="K14" s="13">
        <v>3.2000000000000001E-2</v>
      </c>
    </row>
    <row r="15" spans="2:11" ht="15.75" hidden="1" outlineLevel="1">
      <c r="B15" s="10" t="s">
        <v>10</v>
      </c>
      <c r="C15" s="10"/>
      <c r="D15" s="12">
        <f>-D44/AVERAGE(D73,C73)</f>
        <v>6.2E-2</v>
      </c>
      <c r="E15" s="12">
        <f t="shared" ref="E15:F15" si="5">-E44/AVERAGE(E73,D73)</f>
        <v>6.2E-2</v>
      </c>
      <c r="F15" s="12">
        <f t="shared" si="5"/>
        <v>6.2E-2</v>
      </c>
      <c r="G15" s="13">
        <v>6.2E-2</v>
      </c>
      <c r="H15" s="13">
        <v>6.2E-2</v>
      </c>
      <c r="I15" s="13">
        <v>6.2E-2</v>
      </c>
      <c r="J15" s="13">
        <v>6.2E-2</v>
      </c>
      <c r="K15" s="13">
        <v>6.2E-2</v>
      </c>
    </row>
    <row r="16" spans="2:11" ht="15.75" hidden="1" outlineLevel="1">
      <c r="B16" s="10" t="s">
        <v>11</v>
      </c>
      <c r="C16" s="10"/>
      <c r="D16" s="12">
        <f>-D47/D45</f>
        <v>0.347470425371256</v>
      </c>
      <c r="E16" s="12">
        <f>-E47/E45</f>
        <v>0.24343555822810181</v>
      </c>
      <c r="F16" s="12">
        <f>-F47/F45</f>
        <v>0.15276420725750778</v>
      </c>
      <c r="G16" s="13">
        <v>0.3</v>
      </c>
      <c r="H16" s="13">
        <v>0.3</v>
      </c>
      <c r="I16" s="13">
        <v>0.3</v>
      </c>
      <c r="J16" s="13">
        <v>0.3</v>
      </c>
      <c r="K16" s="13">
        <v>0.3</v>
      </c>
    </row>
    <row r="17" spans="2:11" ht="15.75" hidden="1" outlineLevel="1">
      <c r="B17" s="3"/>
      <c r="C17" s="3"/>
      <c r="D17" s="16"/>
      <c r="E17" s="16"/>
      <c r="F17" s="16"/>
      <c r="G17" s="17"/>
      <c r="H17" s="17"/>
      <c r="I17" s="17"/>
      <c r="J17" s="17"/>
      <c r="K17" s="17"/>
    </row>
    <row r="18" spans="2:11" ht="15.75" hidden="1" outlineLevel="1">
      <c r="B18" s="2" t="s">
        <v>12</v>
      </c>
      <c r="C18" s="2"/>
      <c r="D18" s="18"/>
      <c r="E18" s="16"/>
      <c r="F18" s="16"/>
      <c r="G18" s="17"/>
      <c r="H18" s="17"/>
      <c r="I18" s="17"/>
      <c r="J18" s="17"/>
      <c r="K18" s="17"/>
    </row>
    <row r="19" spans="2:11" ht="15.75" hidden="1" outlineLevel="1">
      <c r="B19" s="10" t="s">
        <v>13</v>
      </c>
      <c r="C19" s="19" t="s">
        <v>14</v>
      </c>
      <c r="D19" s="20">
        <f>D34/D64</f>
        <v>4.2268597830036869</v>
      </c>
      <c r="E19" s="20">
        <f t="shared" ref="E19:F19" si="6">E34/E64</f>
        <v>4.2559520887536202</v>
      </c>
      <c r="F19" s="20">
        <f t="shared" si="6"/>
        <v>4.3960292798110974</v>
      </c>
      <c r="G19" s="21">
        <v>4.25</v>
      </c>
      <c r="H19" s="21">
        <v>4.25</v>
      </c>
      <c r="I19" s="21">
        <v>4.25</v>
      </c>
      <c r="J19" s="21">
        <v>4.25</v>
      </c>
      <c r="K19" s="21">
        <v>4.25</v>
      </c>
    </row>
    <row r="20" spans="2:11" ht="15.75" hidden="1" outlineLevel="1">
      <c r="B20" s="10" t="s">
        <v>15</v>
      </c>
      <c r="C20" s="19" t="s">
        <v>16</v>
      </c>
      <c r="D20" s="22">
        <f>(D60/D34)*365</f>
        <v>56.864545208911593</v>
      </c>
      <c r="E20" s="22">
        <f t="shared" ref="E20:F20" si="7">(E60/E34)*365</f>
        <v>59.251770513737341</v>
      </c>
      <c r="F20" s="22">
        <f t="shared" si="7"/>
        <v>57.723457210284863</v>
      </c>
      <c r="G20" s="23">
        <v>60</v>
      </c>
      <c r="H20" s="23">
        <v>60</v>
      </c>
      <c r="I20" s="23">
        <v>60</v>
      </c>
      <c r="J20" s="23">
        <v>60</v>
      </c>
      <c r="K20" s="23">
        <v>60</v>
      </c>
    </row>
    <row r="21" spans="2:11" ht="15.75" hidden="1" outlineLevel="1">
      <c r="B21" s="10" t="s">
        <v>17</v>
      </c>
      <c r="C21" s="19" t="s">
        <v>16</v>
      </c>
      <c r="D21" s="22">
        <f>(D61/-D35)*365</f>
        <v>68.631987618373074</v>
      </c>
      <c r="E21" s="22">
        <f t="shared" ref="E21:F21" si="8">(E61/-E35)*365</f>
        <v>74.351493802309562</v>
      </c>
      <c r="F21" s="22">
        <f t="shared" si="8"/>
        <v>74</v>
      </c>
      <c r="G21" s="23">
        <v>75</v>
      </c>
      <c r="H21" s="23">
        <v>75</v>
      </c>
      <c r="I21" s="23">
        <v>75</v>
      </c>
      <c r="J21" s="23">
        <v>75</v>
      </c>
      <c r="K21" s="23">
        <v>75</v>
      </c>
    </row>
    <row r="22" spans="2:11" ht="15.75" hidden="1" outlineLevel="1">
      <c r="B22" s="10" t="s">
        <v>18</v>
      </c>
      <c r="C22" s="19" t="s">
        <v>16</v>
      </c>
      <c r="D22" s="22">
        <f>(D69/-D35)*365</f>
        <v>95.757325358726149</v>
      </c>
      <c r="E22" s="22">
        <f t="shared" ref="E22:F22" si="9">(E69/-E35)*365</f>
        <v>101.54571458840979</v>
      </c>
      <c r="F22" s="22">
        <f t="shared" si="9"/>
        <v>102</v>
      </c>
      <c r="G22" s="23">
        <v>100</v>
      </c>
      <c r="H22" s="23">
        <v>100</v>
      </c>
      <c r="I22" s="23">
        <v>100</v>
      </c>
      <c r="J22" s="23">
        <v>100</v>
      </c>
      <c r="K22" s="23">
        <v>100</v>
      </c>
    </row>
    <row r="23" spans="2:11" ht="15.75" hidden="1" outlineLevel="1">
      <c r="B23" s="10" t="s">
        <v>19</v>
      </c>
      <c r="C23" s="10"/>
      <c r="D23" s="12">
        <f>D70/-D47</f>
        <v>0.39406012314378847</v>
      </c>
      <c r="E23" s="12">
        <f t="shared" ref="E23:F23" si="10">E70/-E47</f>
        <v>0.36805269658295597</v>
      </c>
      <c r="F23" s="12">
        <f t="shared" si="10"/>
        <v>0.37002475352237196</v>
      </c>
      <c r="G23" s="13">
        <v>0.37</v>
      </c>
      <c r="H23" s="13">
        <v>0.37</v>
      </c>
      <c r="I23" s="13">
        <v>0.37</v>
      </c>
      <c r="J23" s="13">
        <v>0.37</v>
      </c>
      <c r="K23" s="13">
        <v>0.37</v>
      </c>
    </row>
    <row r="24" spans="2:11" ht="15.75" hidden="1" outlineLevel="1">
      <c r="B24" s="10" t="s">
        <v>20</v>
      </c>
      <c r="C24" s="10"/>
      <c r="D24" s="22">
        <f>D73</f>
        <v>20000</v>
      </c>
      <c r="E24" s="22">
        <f t="shared" ref="E24:F24" si="11">E73</f>
        <v>20000</v>
      </c>
      <c r="F24" s="22">
        <f t="shared" si="11"/>
        <v>20000</v>
      </c>
      <c r="G24" s="23">
        <v>20000</v>
      </c>
      <c r="H24" s="23">
        <v>20000</v>
      </c>
      <c r="I24" s="23">
        <v>20000</v>
      </c>
      <c r="J24" s="23">
        <v>20000</v>
      </c>
      <c r="K24" s="23">
        <v>20000</v>
      </c>
    </row>
    <row r="25" spans="2:11" ht="15.75" hidden="1" outlineLevel="1">
      <c r="B25" s="10" t="s">
        <v>21</v>
      </c>
      <c r="C25" s="10"/>
      <c r="D25" s="22">
        <f>D77</f>
        <v>7627</v>
      </c>
      <c r="E25" s="22">
        <f t="shared" ref="E25:F25" si="12">E77</f>
        <v>7627</v>
      </c>
      <c r="F25" s="22">
        <f t="shared" si="12"/>
        <v>7627</v>
      </c>
      <c r="G25" s="23">
        <v>7627</v>
      </c>
      <c r="H25" s="23">
        <v>7627</v>
      </c>
      <c r="I25" s="23">
        <v>7627</v>
      </c>
      <c r="J25" s="23">
        <v>7627</v>
      </c>
      <c r="K25" s="23">
        <v>7627</v>
      </c>
    </row>
    <row r="26" spans="2:11" ht="15.75" hidden="1" outlineLevel="1">
      <c r="B26" s="10" t="s">
        <v>22</v>
      </c>
      <c r="C26" s="10"/>
      <c r="D26" s="12">
        <f>D50/D48</f>
        <v>0.83162970106075218</v>
      </c>
      <c r="E26" s="12">
        <f t="shared" ref="E26:F26" si="13">E50/E48</f>
        <v>0.55755729235660356</v>
      </c>
      <c r="F26" s="12">
        <f t="shared" si="13"/>
        <v>0.33657673104707847</v>
      </c>
      <c r="G26" s="13">
        <v>0.7</v>
      </c>
      <c r="H26" s="13">
        <v>0.7</v>
      </c>
      <c r="I26" s="13">
        <v>0.7</v>
      </c>
      <c r="J26" s="13">
        <v>0.7</v>
      </c>
      <c r="K26" s="13">
        <v>0.7</v>
      </c>
    </row>
    <row r="27" spans="2:11" ht="15.75" hidden="1" outlineLevel="1">
      <c r="B27" s="10"/>
      <c r="C27" s="10"/>
      <c r="D27" s="24"/>
      <c r="E27" s="24"/>
      <c r="F27" s="24"/>
      <c r="G27" s="25"/>
      <c r="H27" s="25"/>
      <c r="I27" s="25"/>
      <c r="J27" s="25"/>
      <c r="K27" s="25"/>
    </row>
    <row r="28" spans="2:11" ht="15.75" hidden="1" outlineLevel="1">
      <c r="B28" s="26"/>
      <c r="C28" s="26"/>
      <c r="D28" s="27"/>
      <c r="E28" s="27"/>
      <c r="F28" s="27"/>
      <c r="G28" s="27"/>
      <c r="H28" s="27"/>
      <c r="I28" s="27"/>
      <c r="J28" s="27"/>
      <c r="K28" s="27"/>
    </row>
    <row r="29" spans="2:11" ht="15.75" collapsed="1">
      <c r="B29" s="3"/>
      <c r="C29" s="3"/>
      <c r="D29" s="3"/>
      <c r="E29" s="3"/>
      <c r="F29" s="3"/>
      <c r="G29" s="4"/>
      <c r="H29" s="4"/>
      <c r="I29" s="4"/>
      <c r="J29" s="4"/>
      <c r="K29" s="4"/>
    </row>
    <row r="30" spans="2:11" ht="21">
      <c r="B30" s="1" t="s">
        <v>3</v>
      </c>
      <c r="C30" s="1"/>
      <c r="D30" s="1"/>
      <c r="E30" s="1"/>
      <c r="F30" s="1"/>
      <c r="G30" s="1"/>
      <c r="H30" s="1"/>
      <c r="I30" s="1"/>
      <c r="J30" s="1"/>
      <c r="K30" s="1"/>
    </row>
    <row r="31" spans="2:11" ht="21" hidden="1" outlineLevel="1">
      <c r="B31" s="28"/>
      <c r="C31" s="28"/>
      <c r="D31" s="28"/>
      <c r="E31" s="28"/>
      <c r="F31" s="28"/>
      <c r="G31" s="28"/>
      <c r="H31" s="28"/>
      <c r="I31" s="28"/>
      <c r="J31" s="28"/>
      <c r="K31" s="28"/>
    </row>
    <row r="32" spans="2:11" ht="16.5" hidden="1" outlineLevel="1" thickBot="1">
      <c r="B32" s="5" t="s">
        <v>1</v>
      </c>
      <c r="C32" s="5"/>
      <c r="D32" s="29">
        <f t="shared" ref="D32:K32" si="14">+D$4</f>
        <v>22</v>
      </c>
      <c r="E32" s="29">
        <f t="shared" si="14"/>
        <v>23</v>
      </c>
      <c r="F32" s="29">
        <f t="shared" si="14"/>
        <v>24</v>
      </c>
      <c r="G32" s="7">
        <f t="shared" si="14"/>
        <v>25</v>
      </c>
      <c r="H32" s="7">
        <f t="shared" si="14"/>
        <v>26</v>
      </c>
      <c r="I32" s="7">
        <f t="shared" si="14"/>
        <v>27</v>
      </c>
      <c r="J32" s="7">
        <f t="shared" si="14"/>
        <v>28</v>
      </c>
      <c r="K32" s="7">
        <f t="shared" si="14"/>
        <v>29</v>
      </c>
    </row>
    <row r="33" spans="2:11" ht="15.75" hidden="1" outlineLevel="1">
      <c r="B33" s="2"/>
      <c r="C33" s="2"/>
      <c r="D33" s="3"/>
      <c r="E33" s="3"/>
      <c r="F33" s="3"/>
      <c r="G33" s="4"/>
      <c r="H33" s="4"/>
      <c r="I33" s="4"/>
      <c r="J33" s="4"/>
      <c r="K33" s="4"/>
    </row>
    <row r="34" spans="2:11" ht="15.75" hidden="1" outlineLevel="1">
      <c r="B34" s="10" t="s">
        <v>23</v>
      </c>
      <c r="C34" s="10"/>
      <c r="D34" s="22">
        <v>81422</v>
      </c>
      <c r="E34" s="22">
        <v>86698</v>
      </c>
      <c r="F34" s="22">
        <v>93085.92</v>
      </c>
      <c r="G34" s="30">
        <f>F34+(F34*G9)</f>
        <v>98671.075199999992</v>
      </c>
      <c r="H34" s="30">
        <f t="shared" ref="H34:J34" si="15">G34+(G34*H9)</f>
        <v>104591.33971199999</v>
      </c>
      <c r="I34" s="30">
        <f t="shared" si="15"/>
        <v>110866.82009471998</v>
      </c>
      <c r="J34" s="30">
        <f t="shared" si="15"/>
        <v>117518.82930040317</v>
      </c>
      <c r="K34" s="30">
        <f>J34+(J34*K9)</f>
        <v>124569.95905842737</v>
      </c>
    </row>
    <row r="35" spans="2:11" ht="15.75" hidden="1" outlineLevel="1">
      <c r="B35" s="10" t="s">
        <v>24</v>
      </c>
      <c r="C35" s="10"/>
      <c r="D35" s="31">
        <v>-38121</v>
      </c>
      <c r="E35" s="31">
        <v>-37756</v>
      </c>
      <c r="F35" s="31">
        <v>-39638.663999999997</v>
      </c>
      <c r="G35" s="32">
        <f>-((1-G10)*G34)</f>
        <v>-44401.983839999994</v>
      </c>
      <c r="H35" s="32">
        <f t="shared" ref="H35:K35" si="16">-((1-H10)*H34)</f>
        <v>-47066.102870399991</v>
      </c>
      <c r="I35" s="32">
        <f t="shared" si="16"/>
        <v>-49890.069042623989</v>
      </c>
      <c r="J35" s="32">
        <f t="shared" si="16"/>
        <v>-52883.473185181421</v>
      </c>
      <c r="K35" s="32">
        <f t="shared" si="16"/>
        <v>-56056.48157629231</v>
      </c>
    </row>
    <row r="36" spans="2:11" ht="15.75" hidden="1" outlineLevel="1">
      <c r="B36" s="33" t="s">
        <v>25</v>
      </c>
      <c r="C36" s="33"/>
      <c r="D36" s="34">
        <f>SUM(D34:D35)</f>
        <v>43301</v>
      </c>
      <c r="E36" s="34">
        <f t="shared" ref="E36:F36" si="17">SUM(E34:E35)</f>
        <v>48942</v>
      </c>
      <c r="F36" s="34">
        <f t="shared" si="17"/>
        <v>53447.256000000001</v>
      </c>
      <c r="G36" s="35">
        <f>G34*G10</f>
        <v>54269.091359999999</v>
      </c>
      <c r="H36" s="35">
        <f t="shared" ref="H36:K36" si="18">H34*H10</f>
        <v>57525.236841599995</v>
      </c>
      <c r="I36" s="35">
        <f t="shared" si="18"/>
        <v>60976.751052095991</v>
      </c>
      <c r="J36" s="35">
        <f t="shared" si="18"/>
        <v>64635.356115221752</v>
      </c>
      <c r="K36" s="35">
        <f t="shared" si="18"/>
        <v>68513.477482135058</v>
      </c>
    </row>
    <row r="37" spans="2:11" ht="15.75" hidden="1" outlineLevel="1">
      <c r="B37" s="33"/>
      <c r="C37" s="33"/>
      <c r="D37" s="36"/>
      <c r="E37" s="36"/>
      <c r="F37" s="36"/>
      <c r="G37" s="37"/>
      <c r="H37" s="37"/>
      <c r="I37" s="37"/>
      <c r="J37" s="37"/>
      <c r="K37" s="37"/>
    </row>
    <row r="38" spans="2:11" ht="15.75" hidden="1" outlineLevel="1">
      <c r="B38" s="10" t="s">
        <v>26</v>
      </c>
      <c r="C38" s="10"/>
      <c r="D38" s="31">
        <v>-5884</v>
      </c>
      <c r="E38" s="31">
        <v>-6421</v>
      </c>
      <c r="F38" s="31">
        <v>-6166.0144</v>
      </c>
      <c r="G38" s="32">
        <f>-G34*G11</f>
        <v>-7400.3306399999992</v>
      </c>
      <c r="H38" s="32">
        <f t="shared" ref="H38:K38" si="19">-H34*H11</f>
        <v>-7844.3504783999988</v>
      </c>
      <c r="I38" s="32">
        <f t="shared" si="19"/>
        <v>-8315.0115071039982</v>
      </c>
      <c r="J38" s="32">
        <f t="shared" si="19"/>
        <v>-8813.9121975302369</v>
      </c>
      <c r="K38" s="32">
        <f t="shared" si="19"/>
        <v>-9342.7469293820523</v>
      </c>
    </row>
    <row r="39" spans="2:11" ht="15.75" hidden="1" outlineLevel="1">
      <c r="B39" s="10" t="s">
        <v>27</v>
      </c>
      <c r="C39" s="10"/>
      <c r="D39" s="31">
        <v>-23507</v>
      </c>
      <c r="E39" s="31">
        <v>-26569</v>
      </c>
      <c r="F39" s="31">
        <v>-30830.072</v>
      </c>
      <c r="G39" s="32">
        <f>-G12</f>
        <v>-32063</v>
      </c>
      <c r="H39" s="32">
        <f t="shared" ref="H39:K39" si="20">-H12</f>
        <v>-33346</v>
      </c>
      <c r="I39" s="32">
        <f t="shared" si="20"/>
        <v>-34680</v>
      </c>
      <c r="J39" s="32">
        <f t="shared" si="20"/>
        <v>-36067</v>
      </c>
      <c r="K39" s="32">
        <f t="shared" si="20"/>
        <v>-37509</v>
      </c>
    </row>
    <row r="40" spans="2:11" ht="15.75" hidden="1" outlineLevel="1">
      <c r="B40" s="10" t="s">
        <v>28</v>
      </c>
      <c r="C40" s="10"/>
      <c r="D40" s="31">
        <v>-1764</v>
      </c>
      <c r="E40" s="31">
        <v>-1931</v>
      </c>
      <c r="F40" s="31">
        <v>-2025.9761599999999</v>
      </c>
      <c r="G40" s="32">
        <f>-G34*G13</f>
        <v>-2269.4347295999996</v>
      </c>
      <c r="H40" s="32">
        <f t="shared" ref="H40:K40" si="21">-H34*H13</f>
        <v>-2405.6008133759997</v>
      </c>
      <c r="I40" s="32">
        <f t="shared" si="21"/>
        <v>-2549.9368621785593</v>
      </c>
      <c r="J40" s="32">
        <f t="shared" si="21"/>
        <v>-2702.9330739092729</v>
      </c>
      <c r="K40" s="32">
        <f t="shared" si="21"/>
        <v>-2865.1090583438295</v>
      </c>
    </row>
    <row r="41" spans="2:11" ht="15.75" hidden="1" outlineLevel="1">
      <c r="B41" s="10" t="s">
        <v>29</v>
      </c>
      <c r="C41" s="10"/>
      <c r="D41" s="31">
        <v>-2960</v>
      </c>
      <c r="E41" s="31">
        <v>-2803</v>
      </c>
      <c r="F41" s="31">
        <v>-2906.83536</v>
      </c>
      <c r="G41" s="32">
        <f>-G34*G14</f>
        <v>-3157.4744063999997</v>
      </c>
      <c r="H41" s="32">
        <f t="shared" ref="H41:K41" si="22">-H34*H14</f>
        <v>-3346.9228707839998</v>
      </c>
      <c r="I41" s="32">
        <f t="shared" si="22"/>
        <v>-3547.7382430310395</v>
      </c>
      <c r="J41" s="32">
        <f t="shared" si="22"/>
        <v>-3760.6025376129014</v>
      </c>
      <c r="K41" s="32">
        <f t="shared" si="22"/>
        <v>-3986.2386898696759</v>
      </c>
    </row>
    <row r="42" spans="2:11" ht="15.75" hidden="1" outlineLevel="1">
      <c r="B42" s="33" t="s">
        <v>30</v>
      </c>
      <c r="C42" s="33"/>
      <c r="D42" s="34">
        <f>SUM(D36:D41)</f>
        <v>9186</v>
      </c>
      <c r="E42" s="34">
        <f t="shared" ref="E42" si="23">SUM(E36:E41)</f>
        <v>11218</v>
      </c>
      <c r="F42" s="34">
        <f>SUM(F36:F41)</f>
        <v>11518.358080000002</v>
      </c>
      <c r="G42" s="35">
        <f t="shared" ref="G42:K42" si="24">SUM(G36:G41)</f>
        <v>9378.851584</v>
      </c>
      <c r="H42" s="35">
        <f t="shared" si="24"/>
        <v>10582.362679039999</v>
      </c>
      <c r="I42" s="35">
        <f t="shared" si="24"/>
        <v>11884.064439782394</v>
      </c>
      <c r="J42" s="35">
        <f t="shared" si="24"/>
        <v>13290.908306169344</v>
      </c>
      <c r="K42" s="35">
        <f t="shared" si="24"/>
        <v>14810.382804539498</v>
      </c>
    </row>
    <row r="43" spans="2:11" ht="15.75" hidden="1" outlineLevel="1">
      <c r="B43" s="33"/>
      <c r="C43" s="33"/>
      <c r="D43" s="36"/>
      <c r="E43" s="36"/>
      <c r="F43" s="36"/>
      <c r="G43" s="37"/>
      <c r="H43" s="37"/>
      <c r="I43" s="37"/>
      <c r="J43" s="37"/>
      <c r="K43" s="37"/>
    </row>
    <row r="44" spans="2:11" ht="15.75" hidden="1" outlineLevel="1">
      <c r="B44" s="10" t="s">
        <v>31</v>
      </c>
      <c r="C44" s="10"/>
      <c r="D44" s="22">
        <v>-1240</v>
      </c>
      <c r="E44" s="22">
        <v>-1240</v>
      </c>
      <c r="F44" s="22">
        <v>-1240</v>
      </c>
      <c r="G44" s="30">
        <f>-G167</f>
        <v>-1240</v>
      </c>
      <c r="H44" s="30">
        <f t="shared" ref="H44:K44" si="25">-H167</f>
        <v>-1240</v>
      </c>
      <c r="I44" s="30">
        <f t="shared" si="25"/>
        <v>-1240</v>
      </c>
      <c r="J44" s="30">
        <f t="shared" si="25"/>
        <v>-1240</v>
      </c>
      <c r="K44" s="30">
        <f t="shared" si="25"/>
        <v>-1240</v>
      </c>
    </row>
    <row r="45" spans="2:11" ht="15.75" hidden="1" outlineLevel="1">
      <c r="B45" s="10" t="s">
        <v>32</v>
      </c>
      <c r="C45" s="10"/>
      <c r="D45" s="38">
        <f>SUM(D42:D44)</f>
        <v>7946</v>
      </c>
      <c r="E45" s="38">
        <f t="shared" ref="E45" si="26">SUM(E42:E44)</f>
        <v>9978</v>
      </c>
      <c r="F45" s="38">
        <f>SUM(F42:F44)</f>
        <v>10278.358080000002</v>
      </c>
      <c r="G45" s="39">
        <f t="shared" ref="G45:K45" si="27">SUM(G42:G44)</f>
        <v>8138.851584</v>
      </c>
      <c r="H45" s="39">
        <f t="shared" si="27"/>
        <v>9342.3626790399994</v>
      </c>
      <c r="I45" s="39">
        <f t="shared" si="27"/>
        <v>10644.064439782394</v>
      </c>
      <c r="J45" s="39">
        <f t="shared" si="27"/>
        <v>12050.908306169344</v>
      </c>
      <c r="K45" s="39">
        <f t="shared" si="27"/>
        <v>13570.382804539498</v>
      </c>
    </row>
    <row r="46" spans="2:11" ht="15.75" hidden="1" outlineLevel="1">
      <c r="B46" s="10"/>
      <c r="C46" s="10"/>
      <c r="D46" s="31"/>
      <c r="E46" s="31"/>
      <c r="F46" s="31"/>
      <c r="G46" s="40"/>
      <c r="H46" s="40"/>
      <c r="I46" s="40"/>
      <c r="J46" s="40"/>
      <c r="K46" s="40"/>
    </row>
    <row r="47" spans="2:11" ht="15.75" hidden="1" outlineLevel="1">
      <c r="B47" s="10" t="s">
        <v>33</v>
      </c>
      <c r="C47" s="10"/>
      <c r="D47" s="22">
        <v>-2761</v>
      </c>
      <c r="E47" s="22">
        <v>-2429</v>
      </c>
      <c r="F47" s="22">
        <v>-1570.1652240000001</v>
      </c>
      <c r="G47" s="30">
        <f>-G45*G16</f>
        <v>-2441.6554751999997</v>
      </c>
      <c r="H47" s="30">
        <f t="shared" ref="H47:K47" si="28">-H45*H16</f>
        <v>-2802.7088037119997</v>
      </c>
      <c r="I47" s="30">
        <f t="shared" si="28"/>
        <v>-3193.2193319347184</v>
      </c>
      <c r="J47" s="30">
        <f t="shared" si="28"/>
        <v>-3615.2724918508029</v>
      </c>
      <c r="K47" s="30">
        <f t="shared" si="28"/>
        <v>-4071.1148413618494</v>
      </c>
    </row>
    <row r="48" spans="2:11" ht="16.5" hidden="1" outlineLevel="1" thickBot="1">
      <c r="B48" s="33" t="s">
        <v>34</v>
      </c>
      <c r="C48" s="33"/>
      <c r="D48" s="41">
        <f>SUM(D45:D47)</f>
        <v>5185</v>
      </c>
      <c r="E48" s="41">
        <f t="shared" ref="E48:K48" si="29">SUM(E45:E47)</f>
        <v>7549</v>
      </c>
      <c r="F48" s="41">
        <f t="shared" si="29"/>
        <v>8708.1928560000015</v>
      </c>
      <c r="G48" s="42">
        <f t="shared" si="29"/>
        <v>5697.1961088000007</v>
      </c>
      <c r="H48" s="42">
        <f t="shared" si="29"/>
        <v>6539.6538753280001</v>
      </c>
      <c r="I48" s="42">
        <f t="shared" si="29"/>
        <v>7450.8451078476755</v>
      </c>
      <c r="J48" s="42">
        <f t="shared" si="29"/>
        <v>8435.6358143185407</v>
      </c>
      <c r="K48" s="42">
        <f t="shared" si="29"/>
        <v>9499.2679631776482</v>
      </c>
    </row>
    <row r="49" spans="2:11" ht="15.75" hidden="1" outlineLevel="1">
      <c r="B49" s="2"/>
      <c r="C49" s="2"/>
      <c r="D49" s="36"/>
      <c r="E49" s="36"/>
      <c r="F49" s="36"/>
      <c r="G49" s="37"/>
      <c r="H49" s="37"/>
      <c r="I49" s="37"/>
      <c r="J49" s="37"/>
      <c r="K49" s="37"/>
    </row>
    <row r="50" spans="2:11" ht="15.75" hidden="1" outlineLevel="1">
      <c r="B50" s="3" t="s">
        <v>35</v>
      </c>
      <c r="C50" s="3"/>
      <c r="D50" s="8">
        <v>4312</v>
      </c>
      <c r="E50" s="8">
        <v>4209</v>
      </c>
      <c r="F50" s="8">
        <v>2930.9750848000026</v>
      </c>
      <c r="G50" s="43">
        <f>G48*G26</f>
        <v>3988.0372761600001</v>
      </c>
      <c r="H50" s="43">
        <f t="shared" ref="H50:K50" si="30">H48*H26</f>
        <v>4577.7577127295999</v>
      </c>
      <c r="I50" s="43">
        <f t="shared" si="30"/>
        <v>5215.5915754933721</v>
      </c>
      <c r="J50" s="43">
        <f t="shared" si="30"/>
        <v>5904.9450700229781</v>
      </c>
      <c r="K50" s="43">
        <f t="shared" si="30"/>
        <v>6649.487574224353</v>
      </c>
    </row>
    <row r="51" spans="2:11" ht="15.75" hidden="1" outlineLevel="1">
      <c r="B51" s="3"/>
      <c r="C51" s="3"/>
      <c r="D51" s="44"/>
      <c r="E51" s="44"/>
      <c r="F51" s="44"/>
      <c r="G51" s="45"/>
      <c r="H51" s="45"/>
      <c r="I51" s="45"/>
      <c r="J51" s="45"/>
      <c r="K51" s="45"/>
    </row>
    <row r="52" spans="2:11" ht="15.75" hidden="1" outlineLevel="1">
      <c r="B52" s="26"/>
      <c r="C52" s="26"/>
      <c r="D52" s="46"/>
      <c r="E52" s="46"/>
      <c r="F52" s="46"/>
      <c r="G52" s="47"/>
      <c r="H52" s="47"/>
      <c r="I52" s="47"/>
      <c r="J52" s="47"/>
      <c r="K52" s="47"/>
    </row>
    <row r="53" spans="2:11" ht="15.75" collapsed="1">
      <c r="B53" s="3"/>
      <c r="C53" s="3"/>
      <c r="D53" s="3"/>
      <c r="E53" s="3"/>
      <c r="F53" s="3"/>
      <c r="G53" s="4"/>
      <c r="H53" s="4"/>
      <c r="I53" s="4"/>
      <c r="J53" s="4"/>
      <c r="K53" s="4"/>
    </row>
    <row r="54" spans="2:11" ht="21">
      <c r="B54" s="1" t="s">
        <v>12</v>
      </c>
      <c r="C54" s="1"/>
      <c r="D54" s="1"/>
      <c r="E54" s="1"/>
      <c r="F54" s="1"/>
      <c r="G54" s="1"/>
      <c r="H54" s="1"/>
      <c r="I54" s="1"/>
      <c r="J54" s="1"/>
      <c r="K54" s="1"/>
    </row>
    <row r="55" spans="2:11" ht="21" hidden="1" outlineLevel="1"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spans="2:11" ht="16.5" hidden="1" outlineLevel="1" thickBot="1">
      <c r="B56" s="5" t="s">
        <v>1</v>
      </c>
      <c r="C56" s="5"/>
      <c r="D56" s="29">
        <f t="shared" ref="D56:K56" si="31">+D$4</f>
        <v>22</v>
      </c>
      <c r="E56" s="29">
        <f t="shared" si="31"/>
        <v>23</v>
      </c>
      <c r="F56" s="29">
        <f t="shared" si="31"/>
        <v>24</v>
      </c>
      <c r="G56" s="7">
        <f t="shared" si="31"/>
        <v>25</v>
      </c>
      <c r="H56" s="7">
        <f t="shared" si="31"/>
        <v>26</v>
      </c>
      <c r="I56" s="7">
        <f t="shared" si="31"/>
        <v>27</v>
      </c>
      <c r="J56" s="7">
        <f t="shared" si="31"/>
        <v>28</v>
      </c>
      <c r="K56" s="7">
        <f t="shared" si="31"/>
        <v>29</v>
      </c>
    </row>
    <row r="57" spans="2:11" ht="15.75" hidden="1" outlineLevel="1">
      <c r="B57" s="5"/>
      <c r="C57" s="5"/>
      <c r="D57" s="48"/>
      <c r="E57" s="48"/>
      <c r="F57" s="48"/>
      <c r="G57" s="49"/>
      <c r="H57" s="49"/>
      <c r="I57" s="49"/>
      <c r="J57" s="49"/>
      <c r="K57" s="49"/>
    </row>
    <row r="58" spans="2:11" ht="15.75" hidden="1" outlineLevel="1">
      <c r="B58" s="2" t="s">
        <v>36</v>
      </c>
      <c r="C58" s="2"/>
      <c r="D58" s="50"/>
      <c r="E58" s="50"/>
      <c r="F58" s="50"/>
      <c r="G58" s="4"/>
      <c r="H58" s="4"/>
      <c r="I58" s="4"/>
      <c r="J58" s="4"/>
      <c r="K58" s="4"/>
    </row>
    <row r="59" spans="2:11" ht="15.75" hidden="1" outlineLevel="1">
      <c r="B59" s="10" t="s">
        <v>37</v>
      </c>
      <c r="C59" s="3"/>
      <c r="D59" s="22">
        <f>D113</f>
        <v>5289.0000000000027</v>
      </c>
      <c r="E59" s="22">
        <f t="shared" ref="E59:K59" si="32">E113</f>
        <v>5918.0000000000009</v>
      </c>
      <c r="F59" s="22">
        <f t="shared" si="32"/>
        <v>10158.783447912327</v>
      </c>
      <c r="G59" s="30">
        <f t="shared" si="32"/>
        <v>8650.3945504536878</v>
      </c>
      <c r="H59" s="30">
        <f t="shared" si="32"/>
        <v>8562.1567698489107</v>
      </c>
      <c r="I59" s="30">
        <f t="shared" si="32"/>
        <v>8627.1521024078465</v>
      </c>
      <c r="J59" s="30">
        <f t="shared" si="32"/>
        <v>8860.3705949203213</v>
      </c>
      <c r="K59" s="30">
        <f t="shared" si="32"/>
        <v>9277.9628169835341</v>
      </c>
    </row>
    <row r="60" spans="2:11" ht="15.75" hidden="1" outlineLevel="1">
      <c r="B60" s="10" t="s">
        <v>38</v>
      </c>
      <c r="C60" s="3"/>
      <c r="D60" s="22">
        <v>12685</v>
      </c>
      <c r="E60" s="22">
        <v>14074</v>
      </c>
      <c r="F60" s="22">
        <v>14721.208547945205</v>
      </c>
      <c r="G60" s="30">
        <f>G132</f>
        <v>16219.902772602738</v>
      </c>
      <c r="H60" s="30">
        <f t="shared" ref="H60:K61" si="33">H132</f>
        <v>17193.096938958901</v>
      </c>
      <c r="I60" s="30">
        <f t="shared" si="33"/>
        <v>18224.682755296435</v>
      </c>
      <c r="J60" s="30">
        <f t="shared" si="33"/>
        <v>19318.163720614219</v>
      </c>
      <c r="K60" s="30">
        <f t="shared" si="33"/>
        <v>20477.253543851071</v>
      </c>
    </row>
    <row r="61" spans="2:11" ht="15.75" hidden="1" outlineLevel="1">
      <c r="B61" s="10" t="s">
        <v>39</v>
      </c>
      <c r="C61" s="3"/>
      <c r="D61" s="22">
        <v>7168</v>
      </c>
      <c r="E61" s="22">
        <v>7691</v>
      </c>
      <c r="F61" s="22">
        <v>8036.3318794520546</v>
      </c>
      <c r="G61" s="30">
        <f>G133</f>
        <v>9123.6953095890385</v>
      </c>
      <c r="H61" s="30">
        <f t="shared" si="33"/>
        <v>9671.1170281643808</v>
      </c>
      <c r="I61" s="30">
        <f t="shared" si="33"/>
        <v>10251.384049854243</v>
      </c>
      <c r="J61" s="30">
        <f t="shared" si="33"/>
        <v>10866.467092845496</v>
      </c>
      <c r="K61" s="30">
        <f t="shared" si="33"/>
        <v>11518.455118416228</v>
      </c>
    </row>
    <row r="62" spans="2:11" ht="15.75" hidden="1" outlineLevel="1">
      <c r="B62" s="10" t="s">
        <v>40</v>
      </c>
      <c r="C62" s="3"/>
      <c r="D62" s="51">
        <f>SUM(D59:D61)</f>
        <v>25142.000000000004</v>
      </c>
      <c r="E62" s="51">
        <f t="shared" ref="E62:K62" si="34">SUM(E59:E61)</f>
        <v>27683</v>
      </c>
      <c r="F62" s="51">
        <f t="shared" si="34"/>
        <v>32916.323875309587</v>
      </c>
      <c r="G62" s="52">
        <f t="shared" si="34"/>
        <v>33993.992632645459</v>
      </c>
      <c r="H62" s="52">
        <f t="shared" si="34"/>
        <v>35426.370736972189</v>
      </c>
      <c r="I62" s="52">
        <f t="shared" si="34"/>
        <v>37103.218907558527</v>
      </c>
      <c r="J62" s="52">
        <f t="shared" si="34"/>
        <v>39045.001408380034</v>
      </c>
      <c r="K62" s="52">
        <f t="shared" si="34"/>
        <v>41273.671479250836</v>
      </c>
    </row>
    <row r="63" spans="2:11" ht="15.75" hidden="1" outlineLevel="1">
      <c r="B63" s="33"/>
      <c r="C63" s="2"/>
      <c r="D63" s="22"/>
      <c r="E63" s="22"/>
      <c r="F63" s="22"/>
      <c r="G63" s="23"/>
      <c r="H63" s="23"/>
      <c r="I63" s="23"/>
      <c r="J63" s="23"/>
      <c r="K63" s="23"/>
    </row>
    <row r="64" spans="2:11" ht="15.75" hidden="1" outlineLevel="1">
      <c r="B64" s="10" t="s">
        <v>41</v>
      </c>
      <c r="C64" s="3"/>
      <c r="D64" s="22">
        <v>19262.999999999996</v>
      </c>
      <c r="E64" s="22">
        <v>20371</v>
      </c>
      <c r="F64" s="22">
        <v>21175.000000000004</v>
      </c>
      <c r="G64" s="30">
        <f>G152</f>
        <v>23216.723576470587</v>
      </c>
      <c r="H64" s="30">
        <f t="shared" ref="H64:K64" si="35">H152</f>
        <v>24609.726991058822</v>
      </c>
      <c r="I64" s="30">
        <f t="shared" si="35"/>
        <v>26086.310610522349</v>
      </c>
      <c r="J64" s="30">
        <f t="shared" si="35"/>
        <v>27651.489247153688</v>
      </c>
      <c r="K64" s="30">
        <f t="shared" si="35"/>
        <v>29310.57860198291</v>
      </c>
    </row>
    <row r="65" spans="2:11" ht="15.75" hidden="1" outlineLevel="1">
      <c r="B65" s="10"/>
      <c r="C65" s="3"/>
      <c r="D65" s="22"/>
      <c r="E65" s="22"/>
      <c r="F65" s="22"/>
      <c r="G65" s="23"/>
      <c r="H65" s="23"/>
      <c r="I65" s="23"/>
      <c r="J65" s="23"/>
      <c r="K65" s="23"/>
    </row>
    <row r="66" spans="2:11" ht="16.5" hidden="1" outlineLevel="1" thickBot="1">
      <c r="B66" s="33" t="s">
        <v>42</v>
      </c>
      <c r="C66" s="2"/>
      <c r="D66" s="41">
        <f>SUM(D62:D65)</f>
        <v>44405</v>
      </c>
      <c r="E66" s="41">
        <f t="shared" ref="E66:K66" si="36">SUM(E62:E65)</f>
        <v>48054</v>
      </c>
      <c r="F66" s="41">
        <f t="shared" si="36"/>
        <v>54091.323875309594</v>
      </c>
      <c r="G66" s="42">
        <f t="shared" si="36"/>
        <v>57210.716209116043</v>
      </c>
      <c r="H66" s="42">
        <f t="shared" si="36"/>
        <v>60036.097728031011</v>
      </c>
      <c r="I66" s="42">
        <f t="shared" si="36"/>
        <v>63189.529518080875</v>
      </c>
      <c r="J66" s="42">
        <f t="shared" si="36"/>
        <v>66696.490655533722</v>
      </c>
      <c r="K66" s="42">
        <f t="shared" si="36"/>
        <v>70584.250081233738</v>
      </c>
    </row>
    <row r="67" spans="2:11" ht="15.75" hidden="1" outlineLevel="1">
      <c r="B67" s="3"/>
      <c r="C67" s="3"/>
      <c r="D67" s="22"/>
      <c r="E67" s="22"/>
      <c r="F67" s="22"/>
      <c r="G67" s="23"/>
      <c r="H67" s="23"/>
      <c r="I67" s="23"/>
      <c r="J67" s="23"/>
      <c r="K67" s="23"/>
    </row>
    <row r="68" spans="2:11" ht="15.75" hidden="1" outlineLevel="1">
      <c r="B68" s="2" t="s">
        <v>43</v>
      </c>
      <c r="C68" s="2"/>
      <c r="D68" s="22"/>
      <c r="E68" s="22"/>
      <c r="F68" s="22"/>
      <c r="G68" s="23"/>
      <c r="H68" s="23"/>
      <c r="I68" s="23"/>
      <c r="J68" s="23"/>
      <c r="K68" s="23"/>
    </row>
    <row r="69" spans="2:11" ht="15.75" hidden="1" outlineLevel="1">
      <c r="B69" s="10" t="s">
        <v>44</v>
      </c>
      <c r="C69" s="3"/>
      <c r="D69" s="22">
        <v>10001</v>
      </c>
      <c r="E69" s="22">
        <v>10504</v>
      </c>
      <c r="F69" s="22">
        <v>11077.106104109589</v>
      </c>
      <c r="G69" s="30">
        <f>G134</f>
        <v>12164.927079452053</v>
      </c>
      <c r="H69" s="30">
        <f t="shared" ref="H69:K70" si="37">H134</f>
        <v>12894.822704219176</v>
      </c>
      <c r="I69" s="30">
        <f t="shared" si="37"/>
        <v>13668.512066472325</v>
      </c>
      <c r="J69" s="30">
        <f t="shared" si="37"/>
        <v>14488.622790460662</v>
      </c>
      <c r="K69" s="30">
        <f t="shared" si="37"/>
        <v>15357.940157888303</v>
      </c>
    </row>
    <row r="70" spans="2:11" ht="15.75" hidden="1" outlineLevel="1">
      <c r="B70" s="10" t="s">
        <v>45</v>
      </c>
      <c r="C70" s="3"/>
      <c r="D70" s="22">
        <v>1088</v>
      </c>
      <c r="E70" s="22">
        <v>894</v>
      </c>
      <c r="F70" s="22">
        <v>581</v>
      </c>
      <c r="G70" s="30">
        <f>G135</f>
        <v>903.41252582399989</v>
      </c>
      <c r="H70" s="30">
        <f t="shared" si="37"/>
        <v>1037.00225737344</v>
      </c>
      <c r="I70" s="30">
        <f t="shared" si="37"/>
        <v>1181.4911528158459</v>
      </c>
      <c r="J70" s="30">
        <f t="shared" si="37"/>
        <v>1337.6508219847969</v>
      </c>
      <c r="K70" s="30">
        <f t="shared" si="37"/>
        <v>1506.3124913038841</v>
      </c>
    </row>
    <row r="71" spans="2:11" ht="15.75" hidden="1" outlineLevel="1">
      <c r="B71" s="10" t="s">
        <v>46</v>
      </c>
      <c r="C71" s="3"/>
      <c r="D71" s="51">
        <f>SUM(D69:D70)</f>
        <v>11089</v>
      </c>
      <c r="E71" s="51">
        <f t="shared" ref="E71:K71" si="38">SUM(E69:E70)</f>
        <v>11398</v>
      </c>
      <c r="F71" s="51">
        <f t="shared" si="38"/>
        <v>11658.106104109589</v>
      </c>
      <c r="G71" s="52">
        <f t="shared" si="38"/>
        <v>13068.339605276053</v>
      </c>
      <c r="H71" s="52">
        <f t="shared" si="38"/>
        <v>13931.824961592616</v>
      </c>
      <c r="I71" s="52">
        <f t="shared" si="38"/>
        <v>14850.003219288172</v>
      </c>
      <c r="J71" s="52">
        <f t="shared" si="38"/>
        <v>15826.273612445459</v>
      </c>
      <c r="K71" s="52">
        <f t="shared" si="38"/>
        <v>16864.252649192185</v>
      </c>
    </row>
    <row r="72" spans="2:11" ht="15.75" hidden="1" outlineLevel="1">
      <c r="B72" s="33"/>
      <c r="C72" s="2"/>
      <c r="D72" s="22"/>
      <c r="E72" s="22"/>
      <c r="F72" s="22"/>
      <c r="G72" s="23"/>
      <c r="H72" s="23"/>
      <c r="I72" s="23"/>
      <c r="J72" s="23"/>
      <c r="K72" s="23"/>
    </row>
    <row r="73" spans="2:11" ht="15.75" hidden="1" outlineLevel="1">
      <c r="B73" s="10" t="s">
        <v>47</v>
      </c>
      <c r="C73" s="3"/>
      <c r="D73" s="22">
        <v>20000</v>
      </c>
      <c r="E73" s="22">
        <v>20000</v>
      </c>
      <c r="F73" s="22">
        <v>20000</v>
      </c>
      <c r="G73" s="30">
        <f>G163</f>
        <v>20000</v>
      </c>
      <c r="H73" s="30">
        <f t="shared" ref="H73:K73" si="39">H163</f>
        <v>20000</v>
      </c>
      <c r="I73" s="30">
        <f t="shared" si="39"/>
        <v>20000</v>
      </c>
      <c r="J73" s="30">
        <f t="shared" si="39"/>
        <v>20000</v>
      </c>
      <c r="K73" s="30">
        <f t="shared" si="39"/>
        <v>20000</v>
      </c>
    </row>
    <row r="74" spans="2:11" ht="15.75" hidden="1" outlineLevel="1">
      <c r="B74" s="10" t="s">
        <v>48</v>
      </c>
      <c r="C74" s="53"/>
      <c r="D74" s="51">
        <f>SUM(D71:D73)</f>
        <v>31089</v>
      </c>
      <c r="E74" s="51">
        <f t="shared" ref="E74:K74" si="40">SUM(E71:E73)</f>
        <v>31398</v>
      </c>
      <c r="F74" s="51">
        <f t="shared" si="40"/>
        <v>31658.106104109589</v>
      </c>
      <c r="G74" s="52">
        <f t="shared" si="40"/>
        <v>33068.339605276051</v>
      </c>
      <c r="H74" s="52">
        <f t="shared" si="40"/>
        <v>33931.824961592618</v>
      </c>
      <c r="I74" s="52">
        <f t="shared" si="40"/>
        <v>34850.00321928817</v>
      </c>
      <c r="J74" s="52">
        <f t="shared" si="40"/>
        <v>35826.27361244546</v>
      </c>
      <c r="K74" s="52">
        <f t="shared" si="40"/>
        <v>36864.252649192189</v>
      </c>
    </row>
    <row r="75" spans="2:11" ht="15.75" hidden="1" outlineLevel="1">
      <c r="B75" s="3"/>
      <c r="C75" s="3"/>
      <c r="D75" s="22"/>
      <c r="E75" s="22"/>
      <c r="F75" s="22"/>
      <c r="G75" s="23"/>
      <c r="H75" s="23"/>
      <c r="I75" s="23"/>
      <c r="J75" s="23"/>
      <c r="K75" s="23"/>
    </row>
    <row r="76" spans="2:11" ht="15.75" hidden="1" outlineLevel="1">
      <c r="B76" s="2" t="s">
        <v>49</v>
      </c>
      <c r="C76" s="2"/>
      <c r="D76" s="22"/>
      <c r="E76" s="22"/>
      <c r="F76" s="22"/>
      <c r="G76" s="23"/>
      <c r="H76" s="23"/>
      <c r="I76" s="23"/>
      <c r="J76" s="23"/>
      <c r="K76" s="23"/>
    </row>
    <row r="77" spans="2:11" ht="15.75" hidden="1" outlineLevel="1">
      <c r="B77" s="10" t="s">
        <v>50</v>
      </c>
      <c r="C77" s="3"/>
      <c r="D77" s="22">
        <v>7627</v>
      </c>
      <c r="E77" s="22">
        <v>7627</v>
      </c>
      <c r="F77" s="22">
        <v>7627</v>
      </c>
      <c r="G77" s="30">
        <f>G173</f>
        <v>7627</v>
      </c>
      <c r="H77" s="30">
        <f t="shared" ref="H77:K77" si="41">H173</f>
        <v>7627</v>
      </c>
      <c r="I77" s="30">
        <f t="shared" si="41"/>
        <v>7627</v>
      </c>
      <c r="J77" s="30">
        <f t="shared" si="41"/>
        <v>7627</v>
      </c>
      <c r="K77" s="30">
        <f t="shared" si="41"/>
        <v>7627</v>
      </c>
    </row>
    <row r="78" spans="2:11" ht="15.75" hidden="1" outlineLevel="1">
      <c r="B78" s="10" t="s">
        <v>51</v>
      </c>
      <c r="C78" s="3"/>
      <c r="D78" s="22">
        <v>5689</v>
      </c>
      <c r="E78" s="22">
        <v>9029</v>
      </c>
      <c r="F78" s="22">
        <v>14806.217771199999</v>
      </c>
      <c r="G78" s="30">
        <f>G182</f>
        <v>16515.376603839999</v>
      </c>
      <c r="H78" s="30">
        <f t="shared" ref="H78:K78" si="42">H182</f>
        <v>18477.2727664384</v>
      </c>
      <c r="I78" s="30">
        <f t="shared" si="42"/>
        <v>20712.526298792705</v>
      </c>
      <c r="J78" s="30">
        <f t="shared" si="42"/>
        <v>23243.217043088269</v>
      </c>
      <c r="K78" s="30">
        <f t="shared" si="42"/>
        <v>26092.997432041564</v>
      </c>
    </row>
    <row r="79" spans="2:11" ht="15.75" hidden="1" outlineLevel="1">
      <c r="B79" s="33" t="s">
        <v>52</v>
      </c>
      <c r="C79" s="2"/>
      <c r="D79" s="34">
        <f>SUM(D77:D78)</f>
        <v>13316</v>
      </c>
      <c r="E79" s="34">
        <f t="shared" ref="E79:K79" si="43">SUM(E77:E78)</f>
        <v>16656</v>
      </c>
      <c r="F79" s="34">
        <f t="shared" si="43"/>
        <v>22433.217771199998</v>
      </c>
      <c r="G79" s="35">
        <f t="shared" si="43"/>
        <v>24142.376603839999</v>
      </c>
      <c r="H79" s="35">
        <f t="shared" si="43"/>
        <v>26104.2727664384</v>
      </c>
      <c r="I79" s="35">
        <f t="shared" si="43"/>
        <v>28339.526298792705</v>
      </c>
      <c r="J79" s="35">
        <f t="shared" si="43"/>
        <v>30870.217043088269</v>
      </c>
      <c r="K79" s="35">
        <f t="shared" si="43"/>
        <v>33719.997432041564</v>
      </c>
    </row>
    <row r="80" spans="2:11" ht="15.75" hidden="1" outlineLevel="1">
      <c r="B80" s="33"/>
      <c r="C80" s="2"/>
      <c r="D80" s="36"/>
      <c r="E80" s="36"/>
      <c r="F80" s="36"/>
      <c r="G80" s="37"/>
      <c r="H80" s="37"/>
      <c r="I80" s="37"/>
      <c r="J80" s="37"/>
      <c r="K80" s="37"/>
    </row>
    <row r="81" spans="2:11" ht="16.5" hidden="1" outlineLevel="1" thickBot="1">
      <c r="B81" s="33" t="s">
        <v>53</v>
      </c>
      <c r="C81" s="3"/>
      <c r="D81" s="41">
        <f>SUM(D79,D74)</f>
        <v>44405</v>
      </c>
      <c r="E81" s="41">
        <f t="shared" ref="E81:K81" si="44">SUM(E79,E74)</f>
        <v>48054</v>
      </c>
      <c r="F81" s="41">
        <f t="shared" si="44"/>
        <v>54091.323875309587</v>
      </c>
      <c r="G81" s="42">
        <f t="shared" si="44"/>
        <v>57210.71620911605</v>
      </c>
      <c r="H81" s="42">
        <f t="shared" si="44"/>
        <v>60036.097728031018</v>
      </c>
      <c r="I81" s="42">
        <f t="shared" si="44"/>
        <v>63189.529518080875</v>
      </c>
      <c r="J81" s="42">
        <f t="shared" si="44"/>
        <v>66696.490655533737</v>
      </c>
      <c r="K81" s="42">
        <f t="shared" si="44"/>
        <v>70584.250081233753</v>
      </c>
    </row>
    <row r="82" spans="2:11" ht="15.75" hidden="1" outlineLevel="1">
      <c r="B82" s="10"/>
      <c r="C82" s="3"/>
      <c r="D82" s="54"/>
      <c r="E82" s="54"/>
      <c r="F82" s="54"/>
      <c r="G82" s="54"/>
      <c r="H82" s="54"/>
      <c r="I82" s="54"/>
      <c r="J82" s="54"/>
      <c r="K82" s="54"/>
    </row>
    <row r="83" spans="2:11" ht="15.75" hidden="1" outlineLevel="1">
      <c r="B83" s="55" t="s">
        <v>54</v>
      </c>
      <c r="C83" s="56"/>
      <c r="D83" s="43">
        <f>D66-D81</f>
        <v>0</v>
      </c>
      <c r="E83" s="43">
        <f t="shared" ref="E83:K83" si="45">E66-E81</f>
        <v>0</v>
      </c>
      <c r="F83" s="43">
        <f t="shared" si="45"/>
        <v>0</v>
      </c>
      <c r="G83" s="43">
        <f t="shared" si="45"/>
        <v>0</v>
      </c>
      <c r="H83" s="43">
        <f t="shared" si="45"/>
        <v>0</v>
      </c>
      <c r="I83" s="43">
        <f t="shared" si="45"/>
        <v>0</v>
      </c>
      <c r="J83" s="43">
        <f t="shared" si="45"/>
        <v>0</v>
      </c>
      <c r="K83" s="43">
        <f t="shared" si="45"/>
        <v>0</v>
      </c>
    </row>
    <row r="84" spans="2:11" ht="15.75" hidden="1" outlineLevel="1">
      <c r="B84" s="56"/>
      <c r="C84" s="56"/>
      <c r="D84" s="45"/>
      <c r="E84" s="45"/>
      <c r="F84" s="45"/>
      <c r="G84" s="45"/>
      <c r="H84" s="45"/>
      <c r="I84" s="45"/>
      <c r="J84" s="45"/>
      <c r="K84" s="45"/>
    </row>
    <row r="85" spans="2:11" ht="15.75" hidden="1" outlineLevel="1">
      <c r="B85" s="57"/>
      <c r="C85" s="57"/>
      <c r="D85" s="58"/>
      <c r="E85" s="58"/>
      <c r="F85" s="58"/>
      <c r="G85" s="58"/>
      <c r="H85" s="58"/>
      <c r="I85" s="58"/>
      <c r="J85" s="58"/>
      <c r="K85" s="58"/>
    </row>
    <row r="86" spans="2:11" ht="15.75" collapsed="1">
      <c r="B86" s="3"/>
      <c r="C86" s="3"/>
      <c r="D86" s="54"/>
      <c r="E86" s="45"/>
      <c r="F86" s="45"/>
      <c r="G86" s="45"/>
      <c r="H86" s="45"/>
      <c r="I86" s="45"/>
      <c r="J86" s="45"/>
      <c r="K86" s="45"/>
    </row>
    <row r="87" spans="2:11" ht="21">
      <c r="B87" s="1" t="s">
        <v>55</v>
      </c>
      <c r="C87" s="1"/>
      <c r="D87" s="1"/>
      <c r="E87" s="1"/>
      <c r="F87" s="1"/>
      <c r="G87" s="1"/>
      <c r="H87" s="1"/>
      <c r="I87" s="1"/>
      <c r="J87" s="1"/>
      <c r="K87" s="1"/>
    </row>
    <row r="88" spans="2:11" ht="21" hidden="1" outlineLevel="1">
      <c r="B88" s="28"/>
      <c r="C88" s="28"/>
      <c r="D88" s="59"/>
      <c r="E88" s="59"/>
      <c r="F88" s="59"/>
      <c r="G88" s="59"/>
      <c r="H88" s="59"/>
      <c r="I88" s="59"/>
      <c r="J88" s="59"/>
      <c r="K88" s="59"/>
    </row>
    <row r="89" spans="2:11" ht="16.5" hidden="1" outlineLevel="1" thickBot="1">
      <c r="B89" s="5" t="s">
        <v>1</v>
      </c>
      <c r="C89" s="5"/>
      <c r="D89" s="29">
        <f t="shared" ref="D89:K89" si="46">+D$4</f>
        <v>22</v>
      </c>
      <c r="E89" s="29">
        <f t="shared" si="46"/>
        <v>23</v>
      </c>
      <c r="F89" s="29">
        <f t="shared" si="46"/>
        <v>24</v>
      </c>
      <c r="G89" s="7">
        <f t="shared" si="46"/>
        <v>25</v>
      </c>
      <c r="H89" s="7">
        <f t="shared" si="46"/>
        <v>26</v>
      </c>
      <c r="I89" s="7">
        <f t="shared" si="46"/>
        <v>27</v>
      </c>
      <c r="J89" s="7">
        <f t="shared" si="46"/>
        <v>28</v>
      </c>
      <c r="K89" s="7">
        <f t="shared" si="46"/>
        <v>29</v>
      </c>
    </row>
    <row r="90" spans="2:11" ht="15.75" hidden="1" outlineLevel="1">
      <c r="B90" s="5"/>
      <c r="C90" s="5"/>
      <c r="D90" s="60"/>
      <c r="E90" s="60"/>
      <c r="F90" s="60"/>
      <c r="G90" s="60"/>
      <c r="H90" s="60"/>
      <c r="I90" s="60"/>
      <c r="J90" s="60"/>
      <c r="K90" s="60"/>
    </row>
    <row r="91" spans="2:11" ht="15.75" hidden="1" outlineLevel="1">
      <c r="B91" s="2" t="s">
        <v>56</v>
      </c>
      <c r="C91" s="2"/>
      <c r="D91" s="61"/>
      <c r="E91" s="61"/>
      <c r="F91" s="61"/>
      <c r="G91" s="62"/>
      <c r="H91" s="62"/>
      <c r="I91" s="62"/>
      <c r="J91" s="62"/>
      <c r="K91" s="62"/>
    </row>
    <row r="92" spans="2:11" ht="15.75" hidden="1" outlineLevel="1">
      <c r="B92" s="10" t="s">
        <v>34</v>
      </c>
      <c r="C92" s="3"/>
      <c r="D92" s="22">
        <f>D48</f>
        <v>5185</v>
      </c>
      <c r="E92" s="22">
        <f t="shared" ref="E92:K92" si="47">E48</f>
        <v>7549</v>
      </c>
      <c r="F92" s="22">
        <f t="shared" si="47"/>
        <v>8708.1928560000015</v>
      </c>
      <c r="G92" s="30">
        <f t="shared" si="47"/>
        <v>5697.1961088000007</v>
      </c>
      <c r="H92" s="30">
        <f t="shared" si="47"/>
        <v>6539.6538753280001</v>
      </c>
      <c r="I92" s="30">
        <f t="shared" si="47"/>
        <v>7450.8451078476755</v>
      </c>
      <c r="J92" s="30">
        <f t="shared" si="47"/>
        <v>8435.6358143185407</v>
      </c>
      <c r="K92" s="30">
        <f t="shared" si="47"/>
        <v>9499.2679631776482</v>
      </c>
    </row>
    <row r="93" spans="2:11" ht="15.75" hidden="1" outlineLevel="1">
      <c r="B93" s="10" t="s">
        <v>29</v>
      </c>
      <c r="C93" s="3"/>
      <c r="D93" s="22">
        <f>-D41</f>
        <v>2960</v>
      </c>
      <c r="E93" s="22">
        <f t="shared" ref="E93:K93" si="48">-E41</f>
        <v>2803</v>
      </c>
      <c r="F93" s="22">
        <f t="shared" si="48"/>
        <v>2906.83536</v>
      </c>
      <c r="G93" s="30">
        <f t="shared" si="48"/>
        <v>3157.4744063999997</v>
      </c>
      <c r="H93" s="30">
        <f t="shared" si="48"/>
        <v>3346.9228707839998</v>
      </c>
      <c r="I93" s="30">
        <f t="shared" si="48"/>
        <v>3547.7382430310395</v>
      </c>
      <c r="J93" s="30">
        <f t="shared" si="48"/>
        <v>3760.6025376129014</v>
      </c>
      <c r="K93" s="30">
        <f t="shared" si="48"/>
        <v>3986.2386898696759</v>
      </c>
    </row>
    <row r="94" spans="2:11" ht="15.75" hidden="1" outlineLevel="1">
      <c r="B94" s="10" t="s">
        <v>57</v>
      </c>
      <c r="C94" s="3"/>
      <c r="D94" s="22"/>
      <c r="E94" s="22"/>
      <c r="F94" s="22"/>
      <c r="G94" s="23"/>
      <c r="H94" s="23"/>
      <c r="I94" s="23"/>
      <c r="J94" s="23"/>
      <c r="K94" s="23"/>
    </row>
    <row r="95" spans="2:11" ht="15.75" hidden="1" outlineLevel="1">
      <c r="B95" s="63" t="s">
        <v>38</v>
      </c>
      <c r="C95" s="10"/>
      <c r="D95" s="22">
        <f>D138</f>
        <v>-1280</v>
      </c>
      <c r="E95" s="22">
        <f t="shared" ref="E95:K95" si="49">E138</f>
        <v>-1389</v>
      </c>
      <c r="F95" s="22">
        <f t="shared" si="49"/>
        <v>-647.20854794520528</v>
      </c>
      <c r="G95" s="30">
        <f t="shared" si="49"/>
        <v>-1498.6942246575327</v>
      </c>
      <c r="H95" s="30">
        <f t="shared" si="49"/>
        <v>-973.1941663561629</v>
      </c>
      <c r="I95" s="30">
        <f t="shared" si="49"/>
        <v>-1031.5858163375342</v>
      </c>
      <c r="J95" s="30">
        <f t="shared" si="49"/>
        <v>-1093.4809653177836</v>
      </c>
      <c r="K95" s="30">
        <f t="shared" si="49"/>
        <v>-1159.0898232368527</v>
      </c>
    </row>
    <row r="96" spans="2:11" ht="15.75" hidden="1" outlineLevel="1">
      <c r="B96" s="63" t="s">
        <v>39</v>
      </c>
      <c r="C96" s="10"/>
      <c r="D96" s="22">
        <f t="shared" ref="D96:K98" si="50">D139</f>
        <v>-470</v>
      </c>
      <c r="E96" s="22">
        <f t="shared" si="50"/>
        <v>-523</v>
      </c>
      <c r="F96" s="22">
        <f t="shared" si="50"/>
        <v>-345.33187945205464</v>
      </c>
      <c r="G96" s="30">
        <f t="shared" si="50"/>
        <v>-1087.3634301369839</v>
      </c>
      <c r="H96" s="30">
        <f t="shared" si="50"/>
        <v>-547.42171857534231</v>
      </c>
      <c r="I96" s="30">
        <f t="shared" si="50"/>
        <v>-580.2670216898623</v>
      </c>
      <c r="J96" s="30">
        <f t="shared" si="50"/>
        <v>-615.08304299125302</v>
      </c>
      <c r="K96" s="30">
        <f t="shared" si="50"/>
        <v>-651.98802557073213</v>
      </c>
    </row>
    <row r="97" spans="2:11" ht="15.75" hidden="1" outlineLevel="1">
      <c r="B97" s="63" t="s">
        <v>44</v>
      </c>
      <c r="C97" s="10"/>
      <c r="D97" s="22">
        <f t="shared" si="50"/>
        <v>490</v>
      </c>
      <c r="E97" s="22">
        <f t="shared" si="50"/>
        <v>503</v>
      </c>
      <c r="F97" s="22">
        <f t="shared" si="50"/>
        <v>573.10610410958907</v>
      </c>
      <c r="G97" s="30">
        <f t="shared" si="50"/>
        <v>1087.8209753424635</v>
      </c>
      <c r="H97" s="30">
        <f t="shared" si="50"/>
        <v>729.89562476712308</v>
      </c>
      <c r="I97" s="30">
        <f t="shared" si="50"/>
        <v>773.68936225314974</v>
      </c>
      <c r="J97" s="30">
        <f t="shared" si="50"/>
        <v>820.11072398833676</v>
      </c>
      <c r="K97" s="30">
        <f t="shared" si="50"/>
        <v>869.31736742764042</v>
      </c>
    </row>
    <row r="98" spans="2:11" ht="15.75" hidden="1" outlineLevel="1">
      <c r="B98" s="63" t="s">
        <v>45</v>
      </c>
      <c r="C98" s="10"/>
      <c r="D98" s="22">
        <f t="shared" si="50"/>
        <v>50</v>
      </c>
      <c r="E98" s="22">
        <f t="shared" si="50"/>
        <v>-194</v>
      </c>
      <c r="F98" s="22">
        <f t="shared" si="50"/>
        <v>-313</v>
      </c>
      <c r="G98" s="30">
        <f t="shared" si="50"/>
        <v>322.41252582399989</v>
      </c>
      <c r="H98" s="30">
        <f t="shared" si="50"/>
        <v>133.5897315494401</v>
      </c>
      <c r="I98" s="30">
        <f t="shared" si="50"/>
        <v>144.48889544240592</v>
      </c>
      <c r="J98" s="30">
        <f t="shared" si="50"/>
        <v>156.15966916895104</v>
      </c>
      <c r="K98" s="30">
        <f t="shared" si="50"/>
        <v>168.6616693190872</v>
      </c>
    </row>
    <row r="99" spans="2:11" ht="15.75" hidden="1" outlineLevel="1">
      <c r="B99" s="10" t="s">
        <v>56</v>
      </c>
      <c r="C99" s="3"/>
      <c r="D99" s="51">
        <f>SUM(D92:D98)</f>
        <v>6935</v>
      </c>
      <c r="E99" s="51">
        <f t="shared" ref="E99:K99" si="51">SUM(E92:E98)</f>
        <v>8749</v>
      </c>
      <c r="F99" s="51">
        <f t="shared" si="51"/>
        <v>10882.593892712332</v>
      </c>
      <c r="G99" s="52">
        <f t="shared" si="51"/>
        <v>7678.8463615719465</v>
      </c>
      <c r="H99" s="52">
        <f t="shared" si="51"/>
        <v>9229.4462174970577</v>
      </c>
      <c r="I99" s="52">
        <f t="shared" si="51"/>
        <v>10304.908770546874</v>
      </c>
      <c r="J99" s="52">
        <f t="shared" si="51"/>
        <v>11463.944736779693</v>
      </c>
      <c r="K99" s="52">
        <f t="shared" si="51"/>
        <v>12712.407840986467</v>
      </c>
    </row>
    <row r="100" spans="2:11" ht="15.75" hidden="1" outlineLevel="1">
      <c r="B100" s="3"/>
      <c r="C100" s="3"/>
      <c r="D100" s="22"/>
      <c r="E100" s="22"/>
      <c r="F100" s="22"/>
      <c r="G100" s="23"/>
      <c r="H100" s="23"/>
      <c r="I100" s="23"/>
      <c r="J100" s="23"/>
      <c r="K100" s="23"/>
    </row>
    <row r="101" spans="2:11" ht="15.75" hidden="1" outlineLevel="1">
      <c r="B101" s="2" t="s">
        <v>58</v>
      </c>
      <c r="C101" s="2"/>
      <c r="D101" s="22"/>
      <c r="E101" s="22"/>
      <c r="F101" s="22"/>
      <c r="G101" s="23"/>
      <c r="H101" s="23"/>
      <c r="I101" s="23"/>
      <c r="J101" s="23"/>
      <c r="K101" s="23"/>
    </row>
    <row r="102" spans="2:11" ht="15.75" hidden="1" outlineLevel="1">
      <c r="B102" s="10" t="s">
        <v>59</v>
      </c>
      <c r="C102" s="3"/>
      <c r="D102" s="22">
        <v>-3004.9999999999973</v>
      </c>
      <c r="E102" s="22">
        <v>-3911.0000000000018</v>
      </c>
      <c r="F102" s="22">
        <v>-3710.8353600000046</v>
      </c>
      <c r="G102" s="30">
        <f>-G150</f>
        <v>-5199.1979828705844</v>
      </c>
      <c r="H102" s="30">
        <f t="shared" ref="H102:K102" si="52">-H150</f>
        <v>-4739.9262853722357</v>
      </c>
      <c r="I102" s="30">
        <f t="shared" si="52"/>
        <v>-5024.3218624945657</v>
      </c>
      <c r="J102" s="30">
        <f t="shared" si="52"/>
        <v>-5325.7811742442391</v>
      </c>
      <c r="K102" s="30">
        <f t="shared" si="52"/>
        <v>-5645.3280446989011</v>
      </c>
    </row>
    <row r="103" spans="2:11" ht="15.75" hidden="1" outlineLevel="1">
      <c r="B103" s="10" t="s">
        <v>60</v>
      </c>
      <c r="C103" s="3"/>
      <c r="D103" s="51">
        <f>SUM(D102)</f>
        <v>-3004.9999999999973</v>
      </c>
      <c r="E103" s="51">
        <f t="shared" ref="E103:K103" si="53">SUM(E102)</f>
        <v>-3911.0000000000018</v>
      </c>
      <c r="F103" s="51">
        <f t="shared" si="53"/>
        <v>-3710.8353600000046</v>
      </c>
      <c r="G103" s="52">
        <f t="shared" si="53"/>
        <v>-5199.1979828705844</v>
      </c>
      <c r="H103" s="52">
        <f t="shared" si="53"/>
        <v>-4739.9262853722357</v>
      </c>
      <c r="I103" s="52">
        <f t="shared" si="53"/>
        <v>-5024.3218624945657</v>
      </c>
      <c r="J103" s="52">
        <f t="shared" si="53"/>
        <v>-5325.7811742442391</v>
      </c>
      <c r="K103" s="52">
        <f t="shared" si="53"/>
        <v>-5645.3280446989011</v>
      </c>
    </row>
    <row r="104" spans="2:11" ht="15.75" hidden="1" outlineLevel="1">
      <c r="B104" s="3"/>
      <c r="C104" s="3"/>
      <c r="D104" s="22"/>
      <c r="E104" s="22"/>
      <c r="F104" s="22"/>
      <c r="G104" s="23"/>
      <c r="H104" s="23"/>
      <c r="I104" s="23"/>
      <c r="J104" s="23"/>
      <c r="K104" s="23"/>
    </row>
    <row r="105" spans="2:11" ht="15.75" hidden="1" outlineLevel="1">
      <c r="B105" s="2" t="s">
        <v>61</v>
      </c>
      <c r="C105" s="2"/>
      <c r="D105" s="22"/>
      <c r="E105" s="22"/>
      <c r="F105" s="22"/>
      <c r="G105" s="23"/>
      <c r="H105" s="23"/>
      <c r="I105" s="23"/>
      <c r="J105" s="23"/>
      <c r="K105" s="23"/>
    </row>
    <row r="106" spans="2:11" ht="15.75" hidden="1" outlineLevel="1">
      <c r="B106" s="10" t="s">
        <v>62</v>
      </c>
      <c r="C106" s="3"/>
      <c r="D106" s="22">
        <v>0</v>
      </c>
      <c r="E106" s="22">
        <v>0</v>
      </c>
      <c r="F106" s="22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</row>
    <row r="107" spans="2:11" ht="15.75" hidden="1" outlineLevel="1">
      <c r="B107" s="10" t="s">
        <v>63</v>
      </c>
      <c r="C107" s="3"/>
      <c r="D107" s="22">
        <f>-D176</f>
        <v>-4312</v>
      </c>
      <c r="E107" s="22">
        <f t="shared" ref="E107:K107" si="54">-E176</f>
        <v>-4209</v>
      </c>
      <c r="F107" s="22">
        <f t="shared" si="54"/>
        <v>-2930.9750848000026</v>
      </c>
      <c r="G107" s="30">
        <f t="shared" si="54"/>
        <v>-3988.0372761600001</v>
      </c>
      <c r="H107" s="30">
        <f t="shared" si="54"/>
        <v>-4577.7577127295999</v>
      </c>
      <c r="I107" s="30">
        <f t="shared" si="54"/>
        <v>-5215.5915754933721</v>
      </c>
      <c r="J107" s="30">
        <f t="shared" si="54"/>
        <v>-5904.9450700229781</v>
      </c>
      <c r="K107" s="30">
        <f t="shared" si="54"/>
        <v>-6649.487574224353</v>
      </c>
    </row>
    <row r="108" spans="2:11" ht="15.75" hidden="1" outlineLevel="1">
      <c r="B108" s="10" t="s">
        <v>64</v>
      </c>
      <c r="C108" s="3"/>
      <c r="D108" s="22">
        <v>0</v>
      </c>
      <c r="E108" s="22">
        <v>0</v>
      </c>
      <c r="F108" s="22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</row>
    <row r="109" spans="2:11" ht="15.75" hidden="1" outlineLevel="1">
      <c r="B109" s="10" t="s">
        <v>65</v>
      </c>
      <c r="C109" s="3"/>
      <c r="D109" s="51">
        <f>SUM(D106:D108)</f>
        <v>-4312</v>
      </c>
      <c r="E109" s="51">
        <f t="shared" ref="E109:K109" si="55">SUM(E106:E108)</f>
        <v>-4209</v>
      </c>
      <c r="F109" s="51">
        <f t="shared" si="55"/>
        <v>-2930.9750848000026</v>
      </c>
      <c r="G109" s="52">
        <f t="shared" si="55"/>
        <v>-3988.0372761600001</v>
      </c>
      <c r="H109" s="52">
        <f t="shared" si="55"/>
        <v>-4577.7577127295999</v>
      </c>
      <c r="I109" s="52">
        <f t="shared" si="55"/>
        <v>-5215.5915754933721</v>
      </c>
      <c r="J109" s="52">
        <f t="shared" si="55"/>
        <v>-5904.9450700229781</v>
      </c>
      <c r="K109" s="52">
        <f t="shared" si="55"/>
        <v>-6649.487574224353</v>
      </c>
    </row>
    <row r="110" spans="2:11" ht="15.75" hidden="1" outlineLevel="1">
      <c r="B110" s="10"/>
      <c r="C110" s="3"/>
      <c r="D110" s="22"/>
      <c r="E110" s="22"/>
      <c r="F110" s="22"/>
      <c r="G110" s="23"/>
      <c r="H110" s="23"/>
      <c r="I110" s="23"/>
      <c r="J110" s="23"/>
      <c r="K110" s="23"/>
    </row>
    <row r="111" spans="2:11" ht="15.75" hidden="1" outlineLevel="1">
      <c r="B111" s="10" t="s">
        <v>66</v>
      </c>
      <c r="C111" s="3"/>
      <c r="D111" s="22">
        <v>5671</v>
      </c>
      <c r="E111" s="22">
        <f>D113</f>
        <v>5289.0000000000027</v>
      </c>
      <c r="F111" s="22">
        <f t="shared" ref="F111:K111" si="56">E113</f>
        <v>5918.0000000000009</v>
      </c>
      <c r="G111" s="30">
        <f t="shared" si="56"/>
        <v>10158.783447912327</v>
      </c>
      <c r="H111" s="30">
        <f t="shared" si="56"/>
        <v>8650.3945504536878</v>
      </c>
      <c r="I111" s="30">
        <f t="shared" si="56"/>
        <v>8562.1567698489107</v>
      </c>
      <c r="J111" s="30">
        <f t="shared" si="56"/>
        <v>8627.1521024078465</v>
      </c>
      <c r="K111" s="30">
        <f t="shared" si="56"/>
        <v>8860.3705949203213</v>
      </c>
    </row>
    <row r="112" spans="2:11" ht="15.75" hidden="1" outlineLevel="1">
      <c r="B112" s="10" t="s">
        <v>67</v>
      </c>
      <c r="C112" s="3"/>
      <c r="D112" s="22">
        <f>D109+D103+D99</f>
        <v>-381.99999999999727</v>
      </c>
      <c r="E112" s="22">
        <f t="shared" ref="E112:K112" si="57">E109+E103+E99</f>
        <v>628.99999999999818</v>
      </c>
      <c r="F112" s="22">
        <f t="shared" si="57"/>
        <v>4240.7834479123248</v>
      </c>
      <c r="G112" s="30">
        <f t="shared" si="57"/>
        <v>-1508.3888974586389</v>
      </c>
      <c r="H112" s="30">
        <f t="shared" si="57"/>
        <v>-88.237780604777072</v>
      </c>
      <c r="I112" s="30">
        <f t="shared" si="57"/>
        <v>64.995332558935843</v>
      </c>
      <c r="J112" s="30">
        <f t="shared" si="57"/>
        <v>233.21849251247477</v>
      </c>
      <c r="K112" s="30">
        <f t="shared" si="57"/>
        <v>417.59222206321283</v>
      </c>
    </row>
    <row r="113" spans="2:11" ht="16.5" hidden="1" outlineLevel="1" thickBot="1">
      <c r="B113" s="33" t="s">
        <v>68</v>
      </c>
      <c r="C113" s="2"/>
      <c r="D113" s="41">
        <f>SUM(D111:D112)</f>
        <v>5289.0000000000027</v>
      </c>
      <c r="E113" s="41">
        <f t="shared" ref="E113:K113" si="58">SUM(E111:E112)</f>
        <v>5918.0000000000009</v>
      </c>
      <c r="F113" s="41">
        <f t="shared" si="58"/>
        <v>10158.783447912327</v>
      </c>
      <c r="G113" s="42">
        <f t="shared" si="58"/>
        <v>8650.3945504536878</v>
      </c>
      <c r="H113" s="42">
        <f t="shared" si="58"/>
        <v>8562.1567698489107</v>
      </c>
      <c r="I113" s="42">
        <f t="shared" si="58"/>
        <v>8627.1521024078465</v>
      </c>
      <c r="J113" s="42">
        <f t="shared" si="58"/>
        <v>8860.3705949203213</v>
      </c>
      <c r="K113" s="42">
        <f t="shared" si="58"/>
        <v>9277.9628169835341</v>
      </c>
    </row>
    <row r="114" spans="2:11" ht="15.75" hidden="1" outlineLevel="1">
      <c r="B114" s="2"/>
      <c r="C114" s="2"/>
      <c r="D114" s="64"/>
      <c r="E114" s="64"/>
      <c r="F114" s="64"/>
      <c r="G114" s="64"/>
      <c r="H114" s="64"/>
      <c r="I114" s="64"/>
      <c r="J114" s="64"/>
      <c r="K114" s="64"/>
    </row>
    <row r="115" spans="2:11" ht="15.75" hidden="1" outlineLevel="1">
      <c r="B115" s="26"/>
      <c r="C115" s="26"/>
      <c r="D115" s="65"/>
      <c r="E115" s="65"/>
      <c r="F115" s="65"/>
      <c r="G115" s="65"/>
      <c r="H115" s="65"/>
      <c r="I115" s="65"/>
      <c r="J115" s="65"/>
      <c r="K115" s="65"/>
    </row>
    <row r="116" spans="2:11" ht="15.75" collapsed="1">
      <c r="B116" s="3"/>
      <c r="C116" s="3"/>
      <c r="D116" s="54"/>
      <c r="E116" s="54"/>
      <c r="F116" s="54"/>
      <c r="G116" s="54"/>
      <c r="H116" s="54"/>
      <c r="I116" s="54"/>
      <c r="J116" s="54"/>
      <c r="K116" s="54"/>
    </row>
    <row r="117" spans="2:11" ht="21">
      <c r="B117" s="1" t="s">
        <v>69</v>
      </c>
      <c r="C117" s="1"/>
      <c r="D117" s="1"/>
      <c r="E117" s="1"/>
      <c r="F117" s="1"/>
      <c r="G117" s="1"/>
      <c r="H117" s="1"/>
      <c r="I117" s="1"/>
      <c r="J117" s="1"/>
      <c r="K117" s="1"/>
    </row>
    <row r="118" spans="2:11" ht="21" hidden="1" outlineLevel="1">
      <c r="B118" s="28"/>
      <c r="C118" s="28"/>
      <c r="D118" s="59"/>
      <c r="E118" s="59"/>
      <c r="F118" s="59"/>
      <c r="G118" s="59"/>
      <c r="H118" s="59"/>
      <c r="I118" s="59"/>
      <c r="J118" s="59"/>
      <c r="K118" s="59"/>
    </row>
    <row r="119" spans="2:11" ht="16.5" hidden="1" outlineLevel="1" thickBot="1">
      <c r="B119" s="5" t="s">
        <v>1</v>
      </c>
      <c r="C119" s="5"/>
      <c r="D119" s="29">
        <f t="shared" ref="D119:K119" si="59">+D$4</f>
        <v>22</v>
      </c>
      <c r="E119" s="29">
        <f t="shared" si="59"/>
        <v>23</v>
      </c>
      <c r="F119" s="29">
        <f t="shared" si="59"/>
        <v>24</v>
      </c>
      <c r="G119" s="7">
        <f t="shared" si="59"/>
        <v>25</v>
      </c>
      <c r="H119" s="7">
        <f t="shared" si="59"/>
        <v>26</v>
      </c>
      <c r="I119" s="7">
        <f t="shared" si="59"/>
        <v>27</v>
      </c>
      <c r="J119" s="7">
        <f t="shared" si="59"/>
        <v>28</v>
      </c>
      <c r="K119" s="7">
        <f t="shared" si="59"/>
        <v>29</v>
      </c>
    </row>
    <row r="120" spans="2:11" ht="21" hidden="1" outlineLevel="1">
      <c r="B120" s="28"/>
      <c r="C120" s="28"/>
      <c r="D120" s="59"/>
      <c r="E120" s="59"/>
      <c r="F120" s="59"/>
      <c r="G120" s="59"/>
      <c r="H120" s="59"/>
      <c r="I120" s="59"/>
      <c r="J120" s="59"/>
      <c r="K120" s="59"/>
    </row>
    <row r="121" spans="2:11" ht="15.75" hidden="1" outlineLevel="1">
      <c r="B121" s="3" t="s">
        <v>2</v>
      </c>
      <c r="C121" s="3"/>
      <c r="D121" s="66">
        <f>D6</f>
        <v>365</v>
      </c>
      <c r="E121" s="66">
        <f t="shared" ref="E121:K121" si="60">E6</f>
        <v>365</v>
      </c>
      <c r="F121" s="66">
        <f t="shared" si="60"/>
        <v>365</v>
      </c>
      <c r="G121" s="67">
        <f t="shared" si="60"/>
        <v>365</v>
      </c>
      <c r="H121" s="67">
        <f t="shared" si="60"/>
        <v>365</v>
      </c>
      <c r="I121" s="67">
        <f t="shared" si="60"/>
        <v>365</v>
      </c>
      <c r="J121" s="67">
        <f t="shared" si="60"/>
        <v>365</v>
      </c>
      <c r="K121" s="67">
        <f t="shared" si="60"/>
        <v>365</v>
      </c>
    </row>
    <row r="122" spans="2:11" ht="15.75" hidden="1" outlineLevel="1">
      <c r="B122" s="3" t="s">
        <v>70</v>
      </c>
      <c r="C122" s="3"/>
      <c r="D122" s="68">
        <f>D34</f>
        <v>81422</v>
      </c>
      <c r="E122" s="68">
        <f t="shared" ref="E122:K122" si="61">E34</f>
        <v>86698</v>
      </c>
      <c r="F122" s="68">
        <f t="shared" si="61"/>
        <v>93085.92</v>
      </c>
      <c r="G122" s="69">
        <f t="shared" si="61"/>
        <v>98671.075199999992</v>
      </c>
      <c r="H122" s="69">
        <f t="shared" si="61"/>
        <v>104591.33971199999</v>
      </c>
      <c r="I122" s="69">
        <f t="shared" si="61"/>
        <v>110866.82009471998</v>
      </c>
      <c r="J122" s="69">
        <f t="shared" si="61"/>
        <v>117518.82930040317</v>
      </c>
      <c r="K122" s="69">
        <f t="shared" si="61"/>
        <v>124569.95905842737</v>
      </c>
    </row>
    <row r="123" spans="2:11" ht="15.75" hidden="1" outlineLevel="1">
      <c r="B123" s="3" t="s">
        <v>24</v>
      </c>
      <c r="C123" s="3"/>
      <c r="D123" s="68">
        <f>-D35</f>
        <v>38121</v>
      </c>
      <c r="E123" s="68">
        <f t="shared" ref="E123:K123" si="62">-E35</f>
        <v>37756</v>
      </c>
      <c r="F123" s="68">
        <f t="shared" si="62"/>
        <v>39638.663999999997</v>
      </c>
      <c r="G123" s="69">
        <f t="shared" si="62"/>
        <v>44401.983839999994</v>
      </c>
      <c r="H123" s="69">
        <f t="shared" si="62"/>
        <v>47066.102870399991</v>
      </c>
      <c r="I123" s="69">
        <f t="shared" si="62"/>
        <v>49890.069042623989</v>
      </c>
      <c r="J123" s="69">
        <f t="shared" si="62"/>
        <v>52883.473185181421</v>
      </c>
      <c r="K123" s="69">
        <f t="shared" si="62"/>
        <v>56056.48157629231</v>
      </c>
    </row>
    <row r="124" spans="2:11" ht="15.75" hidden="1" outlineLevel="1">
      <c r="B124" s="3" t="s">
        <v>33</v>
      </c>
      <c r="C124" s="3"/>
      <c r="D124" s="70">
        <f>-D47</f>
        <v>2761</v>
      </c>
      <c r="E124" s="70">
        <f t="shared" ref="E124:K124" si="63">-E47</f>
        <v>2429</v>
      </c>
      <c r="F124" s="70">
        <f t="shared" si="63"/>
        <v>1570.1652240000001</v>
      </c>
      <c r="G124" s="71">
        <f>-G47</f>
        <v>2441.6554751999997</v>
      </c>
      <c r="H124" s="71">
        <f t="shared" si="63"/>
        <v>2802.7088037119997</v>
      </c>
      <c r="I124" s="71">
        <f t="shared" si="63"/>
        <v>3193.2193319347184</v>
      </c>
      <c r="J124" s="71">
        <f t="shared" si="63"/>
        <v>3615.2724918508029</v>
      </c>
      <c r="K124" s="71">
        <f t="shared" si="63"/>
        <v>4071.1148413618494</v>
      </c>
    </row>
    <row r="125" spans="2:11" ht="15.75" hidden="1" outlineLevel="1">
      <c r="B125" s="2"/>
      <c r="C125" s="2"/>
      <c r="D125" s="72"/>
      <c r="E125" s="72"/>
      <c r="F125" s="72"/>
      <c r="G125" s="73"/>
      <c r="H125" s="73"/>
      <c r="I125" s="73"/>
      <c r="J125" s="73"/>
      <c r="K125" s="73"/>
    </row>
    <row r="126" spans="2:11" ht="15.75" hidden="1" outlineLevel="1">
      <c r="B126" s="3" t="s">
        <v>38</v>
      </c>
      <c r="C126" s="19" t="s">
        <v>16</v>
      </c>
      <c r="D126" s="22">
        <f>D20</f>
        <v>56.864545208911593</v>
      </c>
      <c r="E126" s="22">
        <f t="shared" ref="E126:K126" si="64">E20</f>
        <v>59.251770513737341</v>
      </c>
      <c r="F126" s="22">
        <f t="shared" si="64"/>
        <v>57.723457210284863</v>
      </c>
      <c r="G126" s="30">
        <f>G20</f>
        <v>60</v>
      </c>
      <c r="H126" s="30">
        <f t="shared" si="64"/>
        <v>60</v>
      </c>
      <c r="I126" s="30">
        <f t="shared" si="64"/>
        <v>60</v>
      </c>
      <c r="J126" s="30">
        <f t="shared" si="64"/>
        <v>60</v>
      </c>
      <c r="K126" s="30">
        <f t="shared" si="64"/>
        <v>60</v>
      </c>
    </row>
    <row r="127" spans="2:11" ht="15.75" hidden="1" outlineLevel="1">
      <c r="B127" s="3" t="s">
        <v>71</v>
      </c>
      <c r="C127" s="19" t="s">
        <v>16</v>
      </c>
      <c r="D127" s="22">
        <f t="shared" ref="D127:K129" si="65">D21</f>
        <v>68.631987618373074</v>
      </c>
      <c r="E127" s="22">
        <f t="shared" si="65"/>
        <v>74.351493802309562</v>
      </c>
      <c r="F127" s="22">
        <f t="shared" si="65"/>
        <v>74</v>
      </c>
      <c r="G127" s="30">
        <f t="shared" si="65"/>
        <v>75</v>
      </c>
      <c r="H127" s="30">
        <f t="shared" si="65"/>
        <v>75</v>
      </c>
      <c r="I127" s="30">
        <f t="shared" si="65"/>
        <v>75</v>
      </c>
      <c r="J127" s="30">
        <f t="shared" si="65"/>
        <v>75</v>
      </c>
      <c r="K127" s="30">
        <f t="shared" si="65"/>
        <v>75</v>
      </c>
    </row>
    <row r="128" spans="2:11" ht="15.75" hidden="1" outlineLevel="1">
      <c r="B128" s="3" t="s">
        <v>44</v>
      </c>
      <c r="C128" s="19" t="s">
        <v>16</v>
      </c>
      <c r="D128" s="22">
        <f t="shared" si="65"/>
        <v>95.757325358726149</v>
      </c>
      <c r="E128" s="22">
        <f t="shared" si="65"/>
        <v>101.54571458840979</v>
      </c>
      <c r="F128" s="22">
        <f t="shared" si="65"/>
        <v>102</v>
      </c>
      <c r="G128" s="30">
        <f t="shared" si="65"/>
        <v>100</v>
      </c>
      <c r="H128" s="30">
        <f t="shared" si="65"/>
        <v>100</v>
      </c>
      <c r="I128" s="30">
        <f t="shared" si="65"/>
        <v>100</v>
      </c>
      <c r="J128" s="30">
        <f t="shared" si="65"/>
        <v>100</v>
      </c>
      <c r="K128" s="30">
        <f t="shared" si="65"/>
        <v>100</v>
      </c>
    </row>
    <row r="129" spans="2:11" ht="15.75" hidden="1" outlineLevel="1">
      <c r="B129" s="53" t="s">
        <v>19</v>
      </c>
      <c r="C129" s="3"/>
      <c r="D129" s="74">
        <f>D23</f>
        <v>0.39406012314378847</v>
      </c>
      <c r="E129" s="74">
        <f t="shared" si="65"/>
        <v>0.36805269658295597</v>
      </c>
      <c r="F129" s="74">
        <f t="shared" si="65"/>
        <v>0.37002475352237196</v>
      </c>
      <c r="G129" s="75">
        <f>G23</f>
        <v>0.37</v>
      </c>
      <c r="H129" s="75">
        <f t="shared" si="65"/>
        <v>0.37</v>
      </c>
      <c r="I129" s="75">
        <f t="shared" si="65"/>
        <v>0.37</v>
      </c>
      <c r="J129" s="75">
        <f t="shared" si="65"/>
        <v>0.37</v>
      </c>
      <c r="K129" s="75">
        <f t="shared" si="65"/>
        <v>0.37</v>
      </c>
    </row>
    <row r="130" spans="2:11" ht="15.75" hidden="1" outlineLevel="1">
      <c r="B130" s="3"/>
      <c r="C130" s="3"/>
      <c r="D130" s="72"/>
      <c r="E130" s="72"/>
      <c r="F130" s="72"/>
      <c r="G130" s="73"/>
      <c r="H130" s="73"/>
      <c r="I130" s="73"/>
      <c r="J130" s="73"/>
      <c r="K130" s="73"/>
    </row>
    <row r="131" spans="2:11" ht="15.75" hidden="1" outlineLevel="1">
      <c r="B131" s="2" t="s">
        <v>72</v>
      </c>
      <c r="C131" s="3"/>
      <c r="D131" s="72"/>
      <c r="E131" s="72"/>
      <c r="F131" s="72"/>
      <c r="G131" s="73"/>
      <c r="H131" s="73"/>
      <c r="I131" s="73"/>
      <c r="J131" s="73"/>
      <c r="K131" s="73"/>
    </row>
    <row r="132" spans="2:11" ht="15.75" hidden="1" outlineLevel="1">
      <c r="B132" s="10" t="s">
        <v>38</v>
      </c>
      <c r="C132" s="3"/>
      <c r="D132" s="72">
        <f>D60</f>
        <v>12685</v>
      </c>
      <c r="E132" s="72">
        <f t="shared" ref="E132:F133" si="66">E60</f>
        <v>14074</v>
      </c>
      <c r="F132" s="72">
        <f t="shared" si="66"/>
        <v>14721.208547945205</v>
      </c>
      <c r="G132" s="76">
        <f>G126/G121*G122</f>
        <v>16219.902772602738</v>
      </c>
      <c r="H132" s="76">
        <f>H126/H121*H122</f>
        <v>17193.096938958901</v>
      </c>
      <c r="I132" s="76">
        <f t="shared" ref="I132:K132" si="67">I126/I121*I122</f>
        <v>18224.682755296435</v>
      </c>
      <c r="J132" s="76">
        <f t="shared" si="67"/>
        <v>19318.163720614219</v>
      </c>
      <c r="K132" s="76">
        <f t="shared" si="67"/>
        <v>20477.253543851071</v>
      </c>
    </row>
    <row r="133" spans="2:11" ht="15.75" hidden="1" outlineLevel="1">
      <c r="B133" s="10" t="s">
        <v>71</v>
      </c>
      <c r="C133" s="3"/>
      <c r="D133" s="72">
        <f>D61</f>
        <v>7168</v>
      </c>
      <c r="E133" s="72">
        <f t="shared" si="66"/>
        <v>7691</v>
      </c>
      <c r="F133" s="72">
        <f t="shared" si="66"/>
        <v>8036.3318794520546</v>
      </c>
      <c r="G133" s="76">
        <f>G127/G121*G123</f>
        <v>9123.6953095890385</v>
      </c>
      <c r="H133" s="76">
        <f>H127/H121*H123</f>
        <v>9671.1170281643808</v>
      </c>
      <c r="I133" s="76">
        <f t="shared" ref="I133:K133" si="68">I127/I121*I123</f>
        <v>10251.384049854243</v>
      </c>
      <c r="J133" s="76">
        <f t="shared" si="68"/>
        <v>10866.467092845496</v>
      </c>
      <c r="K133" s="76">
        <f t="shared" si="68"/>
        <v>11518.455118416228</v>
      </c>
    </row>
    <row r="134" spans="2:11" ht="15.75" hidden="1" outlineLevel="1">
      <c r="B134" s="10" t="s">
        <v>44</v>
      </c>
      <c r="C134" s="3"/>
      <c r="D134" s="72">
        <f>D69</f>
        <v>10001</v>
      </c>
      <c r="E134" s="72">
        <f t="shared" ref="E134:F135" si="69">E69</f>
        <v>10504</v>
      </c>
      <c r="F134" s="72">
        <f t="shared" si="69"/>
        <v>11077.106104109589</v>
      </c>
      <c r="G134" s="76">
        <f>G128/G121*G123</f>
        <v>12164.927079452053</v>
      </c>
      <c r="H134" s="76">
        <f>H128/H121*H123</f>
        <v>12894.822704219176</v>
      </c>
      <c r="I134" s="76">
        <f t="shared" ref="I134:K134" si="70">I128/I121*I123</f>
        <v>13668.512066472325</v>
      </c>
      <c r="J134" s="76">
        <f t="shared" si="70"/>
        <v>14488.622790460662</v>
      </c>
      <c r="K134" s="76">
        <f t="shared" si="70"/>
        <v>15357.940157888303</v>
      </c>
    </row>
    <row r="135" spans="2:11" ht="15.75" hidden="1" outlineLevel="1">
      <c r="B135" s="10" t="s">
        <v>73</v>
      </c>
      <c r="C135" s="3"/>
      <c r="D135" s="72">
        <f>D70</f>
        <v>1088</v>
      </c>
      <c r="E135" s="72">
        <f>E70</f>
        <v>894</v>
      </c>
      <c r="F135" s="72">
        <f t="shared" si="69"/>
        <v>581</v>
      </c>
      <c r="G135" s="76">
        <f>G124*G129</f>
        <v>903.41252582399989</v>
      </c>
      <c r="H135" s="76">
        <f>H124*G129</f>
        <v>1037.00225737344</v>
      </c>
      <c r="I135" s="76">
        <f t="shared" ref="I135:K135" si="71">I124*H129</f>
        <v>1181.4911528158459</v>
      </c>
      <c r="J135" s="76">
        <f t="shared" si="71"/>
        <v>1337.6508219847969</v>
      </c>
      <c r="K135" s="76">
        <f t="shared" si="71"/>
        <v>1506.3124913038841</v>
      </c>
    </row>
    <row r="136" spans="2:11" ht="15.75" hidden="1" outlineLevel="1">
      <c r="B136" s="3"/>
      <c r="C136" s="3"/>
      <c r="D136" s="72"/>
      <c r="E136" s="72"/>
      <c r="F136" s="72"/>
      <c r="G136" s="73"/>
      <c r="H136" s="73"/>
      <c r="I136" s="73"/>
      <c r="J136" s="73"/>
      <c r="K136" s="73"/>
    </row>
    <row r="137" spans="2:11" ht="15.75" hidden="1" outlineLevel="1">
      <c r="B137" s="77" t="s">
        <v>74</v>
      </c>
      <c r="C137" s="77"/>
      <c r="D137" s="72"/>
      <c r="E137" s="72"/>
      <c r="F137" s="72"/>
      <c r="G137" s="73"/>
      <c r="H137" s="73"/>
      <c r="I137" s="73"/>
      <c r="J137" s="73"/>
      <c r="K137" s="73"/>
    </row>
    <row r="138" spans="2:11" ht="15.75" hidden="1" outlineLevel="1">
      <c r="B138" s="10" t="s">
        <v>38</v>
      </c>
      <c r="C138" s="10"/>
      <c r="D138" s="72">
        <v>-1280</v>
      </c>
      <c r="E138" s="72">
        <f>D132-E132</f>
        <v>-1389</v>
      </c>
      <c r="F138" s="72">
        <f t="shared" ref="F138:K139" si="72">E132-F132</f>
        <v>-647.20854794520528</v>
      </c>
      <c r="G138" s="76">
        <f t="shared" si="72"/>
        <v>-1498.6942246575327</v>
      </c>
      <c r="H138" s="76">
        <f t="shared" si="72"/>
        <v>-973.1941663561629</v>
      </c>
      <c r="I138" s="76">
        <f t="shared" si="72"/>
        <v>-1031.5858163375342</v>
      </c>
      <c r="J138" s="76">
        <f t="shared" si="72"/>
        <v>-1093.4809653177836</v>
      </c>
      <c r="K138" s="76">
        <f>J132-K132</f>
        <v>-1159.0898232368527</v>
      </c>
    </row>
    <row r="139" spans="2:11" ht="15.75" hidden="1" outlineLevel="1">
      <c r="B139" s="10" t="s">
        <v>71</v>
      </c>
      <c r="C139" s="10"/>
      <c r="D139" s="72">
        <v>-470</v>
      </c>
      <c r="E139" s="72">
        <f>D133-E133</f>
        <v>-523</v>
      </c>
      <c r="F139" s="72">
        <f t="shared" si="72"/>
        <v>-345.33187945205464</v>
      </c>
      <c r="G139" s="76">
        <f t="shared" si="72"/>
        <v>-1087.3634301369839</v>
      </c>
      <c r="H139" s="76">
        <f t="shared" si="72"/>
        <v>-547.42171857534231</v>
      </c>
      <c r="I139" s="76">
        <f t="shared" si="72"/>
        <v>-580.2670216898623</v>
      </c>
      <c r="J139" s="76">
        <f t="shared" si="72"/>
        <v>-615.08304299125302</v>
      </c>
      <c r="K139" s="76">
        <f t="shared" si="72"/>
        <v>-651.98802557073213</v>
      </c>
    </row>
    <row r="140" spans="2:11" ht="15.75" hidden="1" outlineLevel="1">
      <c r="B140" s="10" t="s">
        <v>44</v>
      </c>
      <c r="C140" s="10"/>
      <c r="D140" s="78">
        <v>490</v>
      </c>
      <c r="E140" s="72">
        <f>E134-D134</f>
        <v>503</v>
      </c>
      <c r="F140" s="72">
        <f t="shared" ref="F140:F141" si="73">F134-E134</f>
        <v>573.10610410958907</v>
      </c>
      <c r="G140" s="76">
        <f>G134-F134</f>
        <v>1087.8209753424635</v>
      </c>
      <c r="H140" s="76">
        <f t="shared" ref="H140:K141" si="74">H134-G134</f>
        <v>729.89562476712308</v>
      </c>
      <c r="I140" s="76">
        <f t="shared" si="74"/>
        <v>773.68936225314974</v>
      </c>
      <c r="J140" s="76">
        <f t="shared" si="74"/>
        <v>820.11072398833676</v>
      </c>
      <c r="K140" s="76">
        <f t="shared" si="74"/>
        <v>869.31736742764042</v>
      </c>
    </row>
    <row r="141" spans="2:11" ht="15.75" hidden="1" outlineLevel="1">
      <c r="B141" s="10" t="s">
        <v>45</v>
      </c>
      <c r="C141" s="10"/>
      <c r="D141" s="78">
        <v>50</v>
      </c>
      <c r="E141" s="79">
        <f>E135-D135</f>
        <v>-194</v>
      </c>
      <c r="F141" s="79">
        <f t="shared" si="73"/>
        <v>-313</v>
      </c>
      <c r="G141" s="80">
        <f>G135-F135</f>
        <v>322.41252582399989</v>
      </c>
      <c r="H141" s="80">
        <f t="shared" si="74"/>
        <v>133.5897315494401</v>
      </c>
      <c r="I141" s="80">
        <f t="shared" si="74"/>
        <v>144.48889544240592</v>
      </c>
      <c r="J141" s="80">
        <f t="shared" si="74"/>
        <v>156.15966916895104</v>
      </c>
      <c r="K141" s="80">
        <f t="shared" si="74"/>
        <v>168.6616693190872</v>
      </c>
    </row>
    <row r="142" spans="2:11" ht="16.5" hidden="1" outlineLevel="1" thickBot="1">
      <c r="B142" s="10" t="s">
        <v>75</v>
      </c>
      <c r="C142" s="10"/>
      <c r="D142" s="81">
        <f>SUM(D138:D141)</f>
        <v>-1210</v>
      </c>
      <c r="E142" s="81">
        <f t="shared" ref="E142:K142" si="75">SUM(E138:E141)</f>
        <v>-1603</v>
      </c>
      <c r="F142" s="81">
        <f t="shared" si="75"/>
        <v>-732.43432328767085</v>
      </c>
      <c r="G142" s="82">
        <f t="shared" si="75"/>
        <v>-1175.8241536280532</v>
      </c>
      <c r="H142" s="82">
        <f t="shared" si="75"/>
        <v>-657.13052861494202</v>
      </c>
      <c r="I142" s="82">
        <f t="shared" si="75"/>
        <v>-693.67458033184084</v>
      </c>
      <c r="J142" s="82">
        <f t="shared" si="75"/>
        <v>-732.29361515174878</v>
      </c>
      <c r="K142" s="82">
        <f t="shared" si="75"/>
        <v>-773.0988120608572</v>
      </c>
    </row>
    <row r="143" spans="2:11" ht="15.75" hidden="1" outlineLevel="1">
      <c r="B143" s="10"/>
      <c r="C143" s="10"/>
      <c r="D143" s="78"/>
      <c r="E143" s="78"/>
      <c r="F143" s="78"/>
      <c r="G143" s="83"/>
      <c r="H143" s="83"/>
      <c r="I143" s="83"/>
      <c r="J143" s="83"/>
      <c r="K143" s="83"/>
    </row>
    <row r="144" spans="2:11" ht="15.75" hidden="1" outlineLevel="1">
      <c r="B144" s="10" t="s">
        <v>70</v>
      </c>
      <c r="C144" s="5"/>
      <c r="D144" s="84">
        <f>D122</f>
        <v>81422</v>
      </c>
      <c r="E144" s="84">
        <f t="shared" ref="E144:K144" si="76">E122</f>
        <v>86698</v>
      </c>
      <c r="F144" s="84">
        <f t="shared" si="76"/>
        <v>93085.92</v>
      </c>
      <c r="G144" s="85">
        <f t="shared" si="76"/>
        <v>98671.075199999992</v>
      </c>
      <c r="H144" s="85">
        <f t="shared" si="76"/>
        <v>104591.33971199999</v>
      </c>
      <c r="I144" s="85">
        <f t="shared" si="76"/>
        <v>110866.82009471998</v>
      </c>
      <c r="J144" s="85">
        <f t="shared" si="76"/>
        <v>117518.82930040317</v>
      </c>
      <c r="K144" s="85">
        <f t="shared" si="76"/>
        <v>124569.95905842737</v>
      </c>
    </row>
    <row r="145" spans="2:11" ht="15.75" hidden="1" outlineLevel="1">
      <c r="B145" s="10" t="s">
        <v>13</v>
      </c>
      <c r="C145" s="19" t="s">
        <v>14</v>
      </c>
      <c r="D145" s="86">
        <f>D19</f>
        <v>4.2268597830036869</v>
      </c>
      <c r="E145" s="86">
        <f t="shared" ref="E145:K145" si="77">E19</f>
        <v>4.2559520887536202</v>
      </c>
      <c r="F145" s="86">
        <f t="shared" si="77"/>
        <v>4.3960292798110974</v>
      </c>
      <c r="G145" s="87">
        <f t="shared" si="77"/>
        <v>4.25</v>
      </c>
      <c r="H145" s="87">
        <f t="shared" si="77"/>
        <v>4.25</v>
      </c>
      <c r="I145" s="87">
        <f t="shared" si="77"/>
        <v>4.25</v>
      </c>
      <c r="J145" s="87">
        <f t="shared" si="77"/>
        <v>4.25</v>
      </c>
      <c r="K145" s="87">
        <f t="shared" si="77"/>
        <v>4.25</v>
      </c>
    </row>
    <row r="146" spans="2:11" ht="15.75" hidden="1" outlineLevel="1">
      <c r="B146" s="10" t="s">
        <v>9</v>
      </c>
      <c r="C146" s="19"/>
      <c r="D146" s="88">
        <f>D14</f>
        <v>3.6353811009309525E-2</v>
      </c>
      <c r="E146" s="88">
        <f t="shared" ref="E146:K146" si="78">E14</f>
        <v>3.2330618930079123E-2</v>
      </c>
      <c r="F146" s="88">
        <f t="shared" si="78"/>
        <v>3.1227444064580338E-2</v>
      </c>
      <c r="G146" s="89">
        <f t="shared" si="78"/>
        <v>3.2000000000000001E-2</v>
      </c>
      <c r="H146" s="89">
        <f t="shared" si="78"/>
        <v>3.2000000000000001E-2</v>
      </c>
      <c r="I146" s="89">
        <f t="shared" si="78"/>
        <v>3.2000000000000001E-2</v>
      </c>
      <c r="J146" s="89">
        <f t="shared" si="78"/>
        <v>3.2000000000000001E-2</v>
      </c>
      <c r="K146" s="89">
        <f t="shared" si="78"/>
        <v>3.2000000000000001E-2</v>
      </c>
    </row>
    <row r="147" spans="2:11" ht="15.75" hidden="1" outlineLevel="1">
      <c r="B147" s="90"/>
      <c r="C147" s="5"/>
      <c r="D147" s="91"/>
      <c r="E147" s="91"/>
      <c r="F147" s="91"/>
      <c r="G147" s="92"/>
      <c r="H147" s="92"/>
      <c r="I147" s="92"/>
      <c r="J147" s="92"/>
      <c r="K147" s="92"/>
    </row>
    <row r="148" spans="2:11" ht="15.75" hidden="1" outlineLevel="1">
      <c r="B148" s="33" t="s">
        <v>76</v>
      </c>
      <c r="C148" s="2"/>
      <c r="D148" s="93"/>
      <c r="E148" s="93"/>
      <c r="F148" s="93"/>
      <c r="G148" s="23"/>
      <c r="H148" s="23"/>
      <c r="I148" s="23"/>
      <c r="J148" s="23"/>
      <c r="K148" s="23"/>
    </row>
    <row r="149" spans="2:11" ht="15.75" hidden="1" outlineLevel="1">
      <c r="B149" s="10" t="s">
        <v>77</v>
      </c>
      <c r="C149" s="3"/>
      <c r="D149" s="22">
        <f>D152-D151-D150</f>
        <v>19218</v>
      </c>
      <c r="E149" s="22">
        <f t="shared" ref="E149:K149" si="79">D152</f>
        <v>19262.999999999996</v>
      </c>
      <c r="F149" s="22">
        <f t="shared" si="79"/>
        <v>20371</v>
      </c>
      <c r="G149" s="30">
        <f t="shared" si="79"/>
        <v>21175.000000000004</v>
      </c>
      <c r="H149" s="30">
        <f t="shared" si="79"/>
        <v>23216.723576470587</v>
      </c>
      <c r="I149" s="30">
        <f t="shared" si="79"/>
        <v>24609.726991058822</v>
      </c>
      <c r="J149" s="30">
        <f t="shared" si="79"/>
        <v>26086.310610522349</v>
      </c>
      <c r="K149" s="30">
        <f t="shared" si="79"/>
        <v>27651.489247153688</v>
      </c>
    </row>
    <row r="150" spans="2:11" ht="15.75" hidden="1" outlineLevel="1">
      <c r="B150" s="10" t="s">
        <v>78</v>
      </c>
      <c r="C150" s="3"/>
      <c r="D150" s="22">
        <f>-D102</f>
        <v>3004.9999999999973</v>
      </c>
      <c r="E150" s="22">
        <f>-E102</f>
        <v>3911.0000000000018</v>
      </c>
      <c r="F150" s="22">
        <f>-F102</f>
        <v>3710.8353600000046</v>
      </c>
      <c r="G150" s="30">
        <f>G152-G151-G149</f>
        <v>5199.1979828705844</v>
      </c>
      <c r="H150" s="30">
        <f t="shared" ref="H150:K150" si="80">H152-H151-H149</f>
        <v>4739.9262853722357</v>
      </c>
      <c r="I150" s="30">
        <f t="shared" si="80"/>
        <v>5024.3218624945657</v>
      </c>
      <c r="J150" s="30">
        <f t="shared" si="80"/>
        <v>5325.7811742442391</v>
      </c>
      <c r="K150" s="30">
        <f t="shared" si="80"/>
        <v>5645.3280446989011</v>
      </c>
    </row>
    <row r="151" spans="2:11" ht="15.75" hidden="1" outlineLevel="1">
      <c r="B151" s="10" t="s">
        <v>79</v>
      </c>
      <c r="C151" s="3"/>
      <c r="D151" s="22">
        <f>D41</f>
        <v>-2960</v>
      </c>
      <c r="E151" s="22">
        <f t="shared" ref="E151:F151" si="81">E41</f>
        <v>-2803</v>
      </c>
      <c r="F151" s="22">
        <f t="shared" si="81"/>
        <v>-2906.83536</v>
      </c>
      <c r="G151" s="30">
        <f>-G144*G146</f>
        <v>-3157.4744063999997</v>
      </c>
      <c r="H151" s="30">
        <f>-H144*H146</f>
        <v>-3346.9228707839998</v>
      </c>
      <c r="I151" s="30">
        <f t="shared" ref="I151:K151" si="82">-I144*I146</f>
        <v>-3547.7382430310395</v>
      </c>
      <c r="J151" s="30">
        <f t="shared" si="82"/>
        <v>-3760.6025376129014</v>
      </c>
      <c r="K151" s="30">
        <f t="shared" si="82"/>
        <v>-3986.2386898696759</v>
      </c>
    </row>
    <row r="152" spans="2:11" ht="15.75" hidden="1" outlineLevel="1">
      <c r="B152" s="33" t="s">
        <v>80</v>
      </c>
      <c r="C152" s="2"/>
      <c r="D152" s="94">
        <f>D64</f>
        <v>19262.999999999996</v>
      </c>
      <c r="E152" s="94">
        <f>SUM(E149:E151)</f>
        <v>20371</v>
      </c>
      <c r="F152" s="94">
        <f>SUM(F149:F151)</f>
        <v>21175.000000000004</v>
      </c>
      <c r="G152" s="95">
        <f>G144/G145</f>
        <v>23216.723576470587</v>
      </c>
      <c r="H152" s="95">
        <f t="shared" ref="H152:J152" si="83">H144/H145</f>
        <v>24609.726991058822</v>
      </c>
      <c r="I152" s="95">
        <f t="shared" si="83"/>
        <v>26086.310610522349</v>
      </c>
      <c r="J152" s="95">
        <f t="shared" si="83"/>
        <v>27651.489247153688</v>
      </c>
      <c r="K152" s="95">
        <f>K144/K145</f>
        <v>29310.57860198291</v>
      </c>
    </row>
    <row r="153" spans="2:11" ht="15.75" hidden="1" outlineLevel="1">
      <c r="B153" s="96"/>
      <c r="C153" s="96"/>
      <c r="D153" s="58"/>
      <c r="E153" s="58"/>
      <c r="F153" s="58"/>
      <c r="G153" s="58"/>
      <c r="H153" s="58"/>
      <c r="I153" s="58"/>
      <c r="J153" s="58"/>
      <c r="K153" s="58"/>
    </row>
    <row r="154" spans="2:11" ht="15.75" collapsed="1">
      <c r="B154" s="3"/>
      <c r="C154" s="3"/>
      <c r="D154" s="54"/>
      <c r="E154" s="54"/>
      <c r="F154" s="54"/>
      <c r="G154" s="54"/>
      <c r="H154" s="54"/>
      <c r="I154" s="54"/>
      <c r="J154" s="54"/>
      <c r="K154" s="54"/>
    </row>
    <row r="155" spans="2:11" ht="21">
      <c r="B155" s="1" t="s">
        <v>81</v>
      </c>
      <c r="C155" s="1"/>
      <c r="D155" s="1"/>
      <c r="E155" s="1"/>
      <c r="F155" s="1"/>
      <c r="G155" s="1"/>
      <c r="H155" s="1"/>
      <c r="I155" s="1"/>
      <c r="J155" s="1"/>
      <c r="K155" s="1"/>
    </row>
    <row r="156" spans="2:11" ht="21" hidden="1" outlineLevel="1">
      <c r="B156" s="28"/>
      <c r="C156" s="28"/>
      <c r="D156" s="59"/>
      <c r="E156" s="59"/>
      <c r="F156" s="59"/>
      <c r="G156" s="59"/>
      <c r="H156" s="59"/>
      <c r="I156" s="59"/>
      <c r="J156" s="59"/>
      <c r="K156" s="59"/>
    </row>
    <row r="157" spans="2:11" ht="16.5" hidden="1" outlineLevel="1" thickBot="1">
      <c r="B157" s="5" t="s">
        <v>1</v>
      </c>
      <c r="C157" s="5"/>
      <c r="D157" s="29">
        <f t="shared" ref="D157:K157" si="84">+D$4</f>
        <v>22</v>
      </c>
      <c r="E157" s="29">
        <f t="shared" si="84"/>
        <v>23</v>
      </c>
      <c r="F157" s="29">
        <f>+F$4</f>
        <v>24</v>
      </c>
      <c r="G157" s="7">
        <f t="shared" si="84"/>
        <v>25</v>
      </c>
      <c r="H157" s="7">
        <f t="shared" si="84"/>
        <v>26</v>
      </c>
      <c r="I157" s="7">
        <f t="shared" si="84"/>
        <v>27</v>
      </c>
      <c r="J157" s="7">
        <f t="shared" si="84"/>
        <v>28</v>
      </c>
      <c r="K157" s="7">
        <f t="shared" si="84"/>
        <v>29</v>
      </c>
    </row>
    <row r="158" spans="2:11" ht="15.75" hidden="1" outlineLevel="1">
      <c r="B158" s="5"/>
      <c r="C158" s="5"/>
      <c r="D158" s="60"/>
      <c r="E158" s="60"/>
      <c r="F158" s="60"/>
      <c r="G158" s="97"/>
      <c r="H158" s="97"/>
      <c r="I158" s="97"/>
      <c r="J158" s="97"/>
      <c r="K158" s="97"/>
    </row>
    <row r="159" spans="2:11" ht="15.75" hidden="1" outlineLevel="1">
      <c r="B159" s="2" t="s">
        <v>82</v>
      </c>
      <c r="C159" s="2"/>
      <c r="D159" s="98"/>
      <c r="E159" s="98"/>
      <c r="F159" s="98"/>
      <c r="G159" s="36"/>
      <c r="H159" s="36"/>
      <c r="I159" s="36"/>
      <c r="J159" s="36"/>
      <c r="K159" s="36"/>
    </row>
    <row r="160" spans="2:11" ht="15.75" hidden="1" outlineLevel="1">
      <c r="B160" s="2" t="s">
        <v>83</v>
      </c>
      <c r="C160" s="2"/>
      <c r="D160" s="54"/>
      <c r="E160" s="54"/>
      <c r="F160" s="54"/>
      <c r="G160" s="22"/>
      <c r="H160" s="22"/>
      <c r="I160" s="22"/>
      <c r="J160" s="22"/>
      <c r="K160" s="22"/>
    </row>
    <row r="161" spans="2:11" ht="15.75" hidden="1" outlineLevel="1">
      <c r="B161" s="10" t="s">
        <v>77</v>
      </c>
      <c r="C161" s="3"/>
      <c r="D161" s="31">
        <f>D163-D162</f>
        <v>20000</v>
      </c>
      <c r="E161" s="31">
        <f>E163-E162</f>
        <v>20000</v>
      </c>
      <c r="F161" s="31">
        <f t="shared" ref="F161:K161" si="85">F163-F162</f>
        <v>20000</v>
      </c>
      <c r="G161" s="32">
        <f t="shared" si="85"/>
        <v>20000</v>
      </c>
      <c r="H161" s="32">
        <f t="shared" si="85"/>
        <v>20000</v>
      </c>
      <c r="I161" s="32">
        <f t="shared" si="85"/>
        <v>20000</v>
      </c>
      <c r="J161" s="32">
        <f t="shared" si="85"/>
        <v>20000</v>
      </c>
      <c r="K161" s="32">
        <f t="shared" si="85"/>
        <v>20000</v>
      </c>
    </row>
    <row r="162" spans="2:11" ht="15.75" hidden="1" outlineLevel="1">
      <c r="B162" s="10" t="s">
        <v>84</v>
      </c>
      <c r="C162" s="3"/>
      <c r="D162" s="22">
        <f>D108</f>
        <v>0</v>
      </c>
      <c r="E162" s="22">
        <v>0</v>
      </c>
      <c r="F162" s="22">
        <v>0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</row>
    <row r="163" spans="2:11" ht="15.75" hidden="1" outlineLevel="1">
      <c r="B163" s="33" t="s">
        <v>85</v>
      </c>
      <c r="C163" s="2"/>
      <c r="D163" s="34">
        <f>D73</f>
        <v>20000</v>
      </c>
      <c r="E163" s="34">
        <f>E73</f>
        <v>20000</v>
      </c>
      <c r="F163" s="34">
        <f t="shared" ref="F163" si="86">F73</f>
        <v>20000</v>
      </c>
      <c r="G163" s="35">
        <f>G24</f>
        <v>20000</v>
      </c>
      <c r="H163" s="35">
        <f t="shared" ref="H163:J163" si="87">H24</f>
        <v>20000</v>
      </c>
      <c r="I163" s="35">
        <f t="shared" si="87"/>
        <v>20000</v>
      </c>
      <c r="J163" s="35">
        <f t="shared" si="87"/>
        <v>20000</v>
      </c>
      <c r="K163" s="35">
        <f>K24</f>
        <v>20000</v>
      </c>
    </row>
    <row r="164" spans="2:11" ht="15.75" hidden="1" outlineLevel="1">
      <c r="B164" s="3" t="s">
        <v>82</v>
      </c>
      <c r="C164" s="3"/>
      <c r="D164" s="22"/>
      <c r="E164" s="22"/>
      <c r="F164" s="22"/>
      <c r="G164" s="23"/>
      <c r="H164" s="23"/>
      <c r="I164" s="23"/>
      <c r="J164" s="23"/>
      <c r="K164" s="23"/>
    </row>
    <row r="165" spans="2:11" ht="15.75" hidden="1" outlineLevel="1">
      <c r="B165" s="10" t="s">
        <v>86</v>
      </c>
      <c r="C165" s="2"/>
      <c r="D165" s="99">
        <f>D15</f>
        <v>6.2E-2</v>
      </c>
      <c r="E165" s="99">
        <f t="shared" ref="E165:K165" si="88">E15</f>
        <v>6.2E-2</v>
      </c>
      <c r="F165" s="99">
        <f t="shared" si="88"/>
        <v>6.2E-2</v>
      </c>
      <c r="G165" s="100">
        <f t="shared" si="88"/>
        <v>6.2E-2</v>
      </c>
      <c r="H165" s="100">
        <f t="shared" si="88"/>
        <v>6.2E-2</v>
      </c>
      <c r="I165" s="100">
        <f t="shared" si="88"/>
        <v>6.2E-2</v>
      </c>
      <c r="J165" s="100">
        <f t="shared" si="88"/>
        <v>6.2E-2</v>
      </c>
      <c r="K165" s="100">
        <f t="shared" si="88"/>
        <v>6.2E-2</v>
      </c>
    </row>
    <row r="166" spans="2:11" ht="15.75" hidden="1" outlineLevel="1">
      <c r="B166" s="10"/>
      <c r="C166" s="2"/>
      <c r="D166" s="101"/>
      <c r="E166" s="101"/>
      <c r="F166" s="101"/>
      <c r="G166" s="102"/>
      <c r="H166" s="102"/>
      <c r="I166" s="102"/>
      <c r="J166" s="102"/>
      <c r="K166" s="102"/>
    </row>
    <row r="167" spans="2:11" ht="15.75" hidden="1" outlineLevel="1">
      <c r="B167" s="10" t="s">
        <v>87</v>
      </c>
      <c r="C167" s="3"/>
      <c r="D167" s="22">
        <f>AVERAGE(D161,D163)*D165</f>
        <v>1240</v>
      </c>
      <c r="E167" s="22">
        <f t="shared" ref="E167:K167" si="89">AVERAGE(E161,E163)*E165</f>
        <v>1240</v>
      </c>
      <c r="F167" s="22">
        <f t="shared" si="89"/>
        <v>1240</v>
      </c>
      <c r="G167" s="30">
        <f t="shared" si="89"/>
        <v>1240</v>
      </c>
      <c r="H167" s="30">
        <f t="shared" si="89"/>
        <v>1240</v>
      </c>
      <c r="I167" s="30">
        <f t="shared" si="89"/>
        <v>1240</v>
      </c>
      <c r="J167" s="30">
        <f t="shared" si="89"/>
        <v>1240</v>
      </c>
      <c r="K167" s="30">
        <f t="shared" si="89"/>
        <v>1240</v>
      </c>
    </row>
    <row r="168" spans="2:11" ht="15.75" hidden="1" outlineLevel="1">
      <c r="B168" s="33" t="s">
        <v>88</v>
      </c>
      <c r="C168" s="2"/>
      <c r="D168" s="34">
        <f>D167</f>
        <v>1240</v>
      </c>
      <c r="E168" s="34">
        <f t="shared" ref="E168:K168" si="90">E167</f>
        <v>1240</v>
      </c>
      <c r="F168" s="34">
        <f t="shared" si="90"/>
        <v>1240</v>
      </c>
      <c r="G168" s="35">
        <f t="shared" si="90"/>
        <v>1240</v>
      </c>
      <c r="H168" s="35">
        <f t="shared" si="90"/>
        <v>1240</v>
      </c>
      <c r="I168" s="35">
        <f t="shared" si="90"/>
        <v>1240</v>
      </c>
      <c r="J168" s="35">
        <f t="shared" si="90"/>
        <v>1240</v>
      </c>
      <c r="K168" s="35">
        <f t="shared" si="90"/>
        <v>1240</v>
      </c>
    </row>
    <row r="169" spans="2:11" ht="15.75" hidden="1" outlineLevel="1">
      <c r="B169" s="3"/>
      <c r="C169" s="3"/>
      <c r="D169" s="22"/>
      <c r="E169" s="22"/>
      <c r="F169" s="22"/>
      <c r="G169" s="23"/>
      <c r="H169" s="23"/>
      <c r="I169" s="23"/>
      <c r="J169" s="23"/>
      <c r="K169" s="23"/>
    </row>
    <row r="170" spans="2:11" ht="15.75" hidden="1" outlineLevel="1">
      <c r="B170" s="2" t="s">
        <v>50</v>
      </c>
      <c r="C170" s="3"/>
      <c r="D170" s="22"/>
      <c r="E170" s="22"/>
      <c r="F170" s="22"/>
      <c r="G170" s="23"/>
      <c r="H170" s="23"/>
      <c r="I170" s="23"/>
      <c r="J170" s="23"/>
      <c r="K170" s="23"/>
    </row>
    <row r="171" spans="2:11" ht="15.75" hidden="1" outlineLevel="1">
      <c r="B171" s="10" t="s">
        <v>77</v>
      </c>
      <c r="C171" s="3"/>
      <c r="D171" s="22">
        <f>D173-D172</f>
        <v>7627</v>
      </c>
      <c r="E171" s="22">
        <f>E173-E172</f>
        <v>7627</v>
      </c>
      <c r="F171" s="22">
        <f>F173-F172</f>
        <v>7627</v>
      </c>
      <c r="G171" s="30">
        <f t="shared" ref="G171:K171" si="91">G173-G172</f>
        <v>7627</v>
      </c>
      <c r="H171" s="30">
        <f t="shared" si="91"/>
        <v>7627</v>
      </c>
      <c r="I171" s="30">
        <f t="shared" si="91"/>
        <v>7627</v>
      </c>
      <c r="J171" s="30">
        <f t="shared" si="91"/>
        <v>7627</v>
      </c>
      <c r="K171" s="30">
        <f t="shared" si="91"/>
        <v>7627</v>
      </c>
    </row>
    <row r="172" spans="2:11" ht="15.75" hidden="1" outlineLevel="1">
      <c r="B172" s="10" t="s">
        <v>84</v>
      </c>
      <c r="C172" s="3"/>
      <c r="D172" s="22">
        <f>D106</f>
        <v>0</v>
      </c>
      <c r="E172" s="22">
        <v>0</v>
      </c>
      <c r="F172" s="22">
        <v>0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</row>
    <row r="173" spans="2:11" ht="15.75" hidden="1" outlineLevel="1">
      <c r="B173" s="33" t="s">
        <v>89</v>
      </c>
      <c r="C173" s="3"/>
      <c r="D173" s="34">
        <f>D77</f>
        <v>7627</v>
      </c>
      <c r="E173" s="34">
        <f t="shared" ref="E173:F173" si="92">E77</f>
        <v>7627</v>
      </c>
      <c r="F173" s="34">
        <f t="shared" si="92"/>
        <v>7627</v>
      </c>
      <c r="G173" s="35">
        <f>G25</f>
        <v>7627</v>
      </c>
      <c r="H173" s="35">
        <f t="shared" ref="H173:K173" si="93">H25</f>
        <v>7627</v>
      </c>
      <c r="I173" s="35">
        <f t="shared" si="93"/>
        <v>7627</v>
      </c>
      <c r="J173" s="35">
        <f t="shared" si="93"/>
        <v>7627</v>
      </c>
      <c r="K173" s="35">
        <f t="shared" si="93"/>
        <v>7627</v>
      </c>
    </row>
    <row r="174" spans="2:11" ht="15.75" hidden="1" outlineLevel="1">
      <c r="B174" s="3"/>
      <c r="C174" s="3"/>
      <c r="D174" s="22"/>
      <c r="E174" s="22"/>
      <c r="F174" s="22"/>
      <c r="G174" s="23"/>
      <c r="H174" s="23"/>
      <c r="I174" s="23"/>
      <c r="J174" s="23"/>
      <c r="K174" s="23"/>
    </row>
    <row r="175" spans="2:11" ht="15.75" hidden="1" outlineLevel="1">
      <c r="B175" s="10" t="s">
        <v>34</v>
      </c>
      <c r="C175" s="3"/>
      <c r="D175" s="66">
        <f>D92</f>
        <v>5185</v>
      </c>
      <c r="E175" s="66">
        <f t="shared" ref="E175:K175" si="94">E92</f>
        <v>7549</v>
      </c>
      <c r="F175" s="66">
        <f t="shared" si="94"/>
        <v>8708.1928560000015</v>
      </c>
      <c r="G175" s="67">
        <f t="shared" si="94"/>
        <v>5697.1961088000007</v>
      </c>
      <c r="H175" s="67">
        <f t="shared" si="94"/>
        <v>6539.6538753280001</v>
      </c>
      <c r="I175" s="67">
        <f t="shared" si="94"/>
        <v>7450.8451078476755</v>
      </c>
      <c r="J175" s="67">
        <f t="shared" si="94"/>
        <v>8435.6358143185407</v>
      </c>
      <c r="K175" s="67">
        <f t="shared" si="94"/>
        <v>9499.2679631776482</v>
      </c>
    </row>
    <row r="176" spans="2:11" ht="15.75" hidden="1" outlineLevel="1">
      <c r="B176" s="10" t="s">
        <v>90</v>
      </c>
      <c r="C176" s="3"/>
      <c r="D176" s="103">
        <f>D50</f>
        <v>4312</v>
      </c>
      <c r="E176" s="103">
        <f t="shared" ref="E176:K176" si="95">E50</f>
        <v>4209</v>
      </c>
      <c r="F176" s="103">
        <f t="shared" si="95"/>
        <v>2930.9750848000026</v>
      </c>
      <c r="G176" s="104">
        <f t="shared" si="95"/>
        <v>3988.0372761600001</v>
      </c>
      <c r="H176" s="104">
        <f t="shared" si="95"/>
        <v>4577.7577127295999</v>
      </c>
      <c r="I176" s="104">
        <f t="shared" si="95"/>
        <v>5215.5915754933721</v>
      </c>
      <c r="J176" s="104">
        <f t="shared" si="95"/>
        <v>5904.9450700229781</v>
      </c>
      <c r="K176" s="104">
        <f t="shared" si="95"/>
        <v>6649.487574224353</v>
      </c>
    </row>
    <row r="177" spans="2:13" ht="15.75" hidden="1" outlineLevel="1">
      <c r="B177" s="3"/>
      <c r="C177" s="3"/>
      <c r="D177" s="22"/>
      <c r="E177" s="22"/>
      <c r="F177" s="22"/>
      <c r="G177" s="23"/>
      <c r="H177" s="23"/>
      <c r="I177" s="23"/>
      <c r="J177" s="23"/>
      <c r="K177" s="23"/>
    </row>
    <row r="178" spans="2:13" ht="15.75" hidden="1" outlineLevel="1">
      <c r="B178" s="2" t="s">
        <v>91</v>
      </c>
      <c r="C178" s="2"/>
      <c r="D178" s="22"/>
      <c r="E178" s="22"/>
      <c r="F178" s="22"/>
      <c r="G178" s="23"/>
      <c r="H178" s="23"/>
      <c r="I178" s="23"/>
      <c r="J178" s="23"/>
      <c r="K178" s="23"/>
    </row>
    <row r="179" spans="2:13" ht="15.75" hidden="1" outlineLevel="1">
      <c r="B179" s="10" t="s">
        <v>77</v>
      </c>
      <c r="C179" s="3"/>
      <c r="D179" s="22">
        <f>D182-D181-D180</f>
        <v>4816</v>
      </c>
      <c r="E179" s="22">
        <f t="shared" ref="E179:F179" si="96">E182-E181-E180</f>
        <v>5689</v>
      </c>
      <c r="F179" s="22">
        <f t="shared" si="96"/>
        <v>9029</v>
      </c>
      <c r="G179" s="30">
        <f>F182</f>
        <v>14806.217771199999</v>
      </c>
      <c r="H179" s="30">
        <f t="shared" ref="H179:K179" si="97">G182</f>
        <v>16515.376603839999</v>
      </c>
      <c r="I179" s="30">
        <f t="shared" si="97"/>
        <v>18477.2727664384</v>
      </c>
      <c r="J179" s="30">
        <f t="shared" si="97"/>
        <v>20712.526298792705</v>
      </c>
      <c r="K179" s="30">
        <f t="shared" si="97"/>
        <v>23243.217043088269</v>
      </c>
    </row>
    <row r="180" spans="2:13" ht="15.75" hidden="1" outlineLevel="1">
      <c r="B180" s="10" t="s">
        <v>34</v>
      </c>
      <c r="C180" s="3"/>
      <c r="D180" s="22">
        <f>D175</f>
        <v>5185</v>
      </c>
      <c r="E180" s="22">
        <f t="shared" ref="E180:K180" si="98">E175</f>
        <v>7549</v>
      </c>
      <c r="F180" s="22">
        <f t="shared" si="98"/>
        <v>8708.1928560000015</v>
      </c>
      <c r="G180" s="30">
        <f t="shared" si="98"/>
        <v>5697.1961088000007</v>
      </c>
      <c r="H180" s="30">
        <f t="shared" si="98"/>
        <v>6539.6538753280001</v>
      </c>
      <c r="I180" s="30">
        <f t="shared" si="98"/>
        <v>7450.8451078476755</v>
      </c>
      <c r="J180" s="30">
        <f t="shared" si="98"/>
        <v>8435.6358143185407</v>
      </c>
      <c r="K180" s="30">
        <f t="shared" si="98"/>
        <v>9499.2679631776482</v>
      </c>
    </row>
    <row r="181" spans="2:13" ht="15.75" hidden="1" outlineLevel="1">
      <c r="B181" s="10" t="s">
        <v>90</v>
      </c>
      <c r="C181" s="3"/>
      <c r="D181" s="22">
        <f>-D176</f>
        <v>-4312</v>
      </c>
      <c r="E181" s="22">
        <f t="shared" ref="E181:K181" si="99">-E176</f>
        <v>-4209</v>
      </c>
      <c r="F181" s="22">
        <f t="shared" si="99"/>
        <v>-2930.9750848000026</v>
      </c>
      <c r="G181" s="30">
        <f t="shared" si="99"/>
        <v>-3988.0372761600001</v>
      </c>
      <c r="H181" s="30">
        <f t="shared" si="99"/>
        <v>-4577.7577127295999</v>
      </c>
      <c r="I181" s="30">
        <f t="shared" si="99"/>
        <v>-5215.5915754933721</v>
      </c>
      <c r="J181" s="30">
        <f t="shared" si="99"/>
        <v>-5904.9450700229781</v>
      </c>
      <c r="K181" s="30">
        <f t="shared" si="99"/>
        <v>-6649.487574224353</v>
      </c>
    </row>
    <row r="182" spans="2:13" ht="15.75" hidden="1" outlineLevel="1">
      <c r="B182" s="33" t="s">
        <v>92</v>
      </c>
      <c r="C182" s="2"/>
      <c r="D182" s="94">
        <f>D78</f>
        <v>5689</v>
      </c>
      <c r="E182" s="94">
        <f t="shared" ref="E182:F182" si="100">E78</f>
        <v>9029</v>
      </c>
      <c r="F182" s="94">
        <f t="shared" si="100"/>
        <v>14806.217771199999</v>
      </c>
      <c r="G182" s="35">
        <f>G179+G180+G181</f>
        <v>16515.376603839999</v>
      </c>
      <c r="H182" s="35">
        <f t="shared" ref="H182:K182" si="101">H179+H180+H181</f>
        <v>18477.2727664384</v>
      </c>
      <c r="I182" s="35">
        <f t="shared" si="101"/>
        <v>20712.526298792705</v>
      </c>
      <c r="J182" s="35">
        <f t="shared" si="101"/>
        <v>23243.217043088269</v>
      </c>
      <c r="K182" s="35">
        <f t="shared" si="101"/>
        <v>26092.997432041564</v>
      </c>
    </row>
    <row r="183" spans="2:13" ht="15.75" hidden="1" outlineLevel="1">
      <c r="B183" s="96"/>
      <c r="C183" s="96"/>
      <c r="D183" s="58"/>
      <c r="E183" s="58"/>
      <c r="F183" s="58"/>
      <c r="G183" s="58"/>
      <c r="H183" s="58"/>
      <c r="I183" s="58"/>
      <c r="J183" s="58"/>
      <c r="K183" s="58"/>
    </row>
    <row r="184" spans="2:13" ht="15.75" collapsed="1">
      <c r="B184" s="3"/>
      <c r="C184" s="3"/>
      <c r="D184" s="54"/>
      <c r="E184" s="54"/>
      <c r="F184" s="54"/>
      <c r="G184" s="54"/>
      <c r="H184" s="54"/>
      <c r="I184" s="54"/>
      <c r="J184" s="54"/>
      <c r="K184" s="54"/>
    </row>
    <row r="185" spans="2:13" ht="21">
      <c r="B185" s="1" t="s">
        <v>93</v>
      </c>
      <c r="C185" s="1"/>
      <c r="D185" s="1"/>
      <c r="E185" s="1"/>
      <c r="F185" s="1"/>
      <c r="G185" s="1"/>
      <c r="H185" s="1"/>
      <c r="I185" s="1"/>
      <c r="J185" s="1"/>
      <c r="K185" s="1"/>
    </row>
    <row r="186" spans="2:13" hidden="1" outlineLevel="1"/>
    <row r="187" spans="2:13" ht="21" hidden="1" outlineLevel="1">
      <c r="B187" s="305" t="s">
        <v>103</v>
      </c>
      <c r="C187" s="305"/>
      <c r="D187" s="305"/>
      <c r="E187" s="305"/>
      <c r="F187" s="305"/>
      <c r="G187" s="305"/>
      <c r="H187" s="305"/>
      <c r="I187" s="305"/>
      <c r="J187" s="305"/>
      <c r="K187" s="305"/>
    </row>
    <row r="188" spans="2:13" ht="14.25" hidden="1" customHeight="1" outlineLevel="1"/>
    <row r="189" spans="2:13" ht="16.5" hidden="1" outlineLevel="1" thickBot="1">
      <c r="B189" s="107" t="s">
        <v>94</v>
      </c>
      <c r="C189" s="108"/>
      <c r="D189" s="108"/>
      <c r="E189" s="108"/>
      <c r="F189" s="29">
        <f>+F$4</f>
        <v>24</v>
      </c>
      <c r="G189" s="7">
        <f t="shared" ref="G189:K189" si="102">+G$4</f>
        <v>25</v>
      </c>
      <c r="H189" s="7">
        <f t="shared" si="102"/>
        <v>26</v>
      </c>
      <c r="I189" s="7">
        <f t="shared" si="102"/>
        <v>27</v>
      </c>
      <c r="J189" s="7">
        <f t="shared" si="102"/>
        <v>28</v>
      </c>
      <c r="K189" s="7">
        <f t="shared" si="102"/>
        <v>29</v>
      </c>
      <c r="L189" s="110"/>
      <c r="M189" s="110"/>
    </row>
    <row r="190" spans="2:13" ht="15.75" hidden="1" outlineLevel="1">
      <c r="B190" s="111" t="s">
        <v>34</v>
      </c>
      <c r="C190" s="108"/>
      <c r="D190" s="108"/>
      <c r="E190" s="108"/>
      <c r="F190" s="114">
        <f>F48</f>
        <v>8708.1928560000015</v>
      </c>
      <c r="G190" s="114">
        <f t="shared" ref="G190:K190" si="103">G48</f>
        <v>5697.1961088000007</v>
      </c>
      <c r="H190" s="114">
        <f t="shared" si="103"/>
        <v>6539.6538753280001</v>
      </c>
      <c r="I190" s="114">
        <f t="shared" si="103"/>
        <v>7450.8451078476755</v>
      </c>
      <c r="J190" s="114">
        <f t="shared" si="103"/>
        <v>8435.6358143185407</v>
      </c>
      <c r="K190" s="114">
        <f t="shared" si="103"/>
        <v>9499.2679631776482</v>
      </c>
      <c r="L190" s="112"/>
      <c r="M190" s="112"/>
    </row>
    <row r="191" spans="2:13" ht="15.75" hidden="1" outlineLevel="1">
      <c r="B191" s="111" t="s">
        <v>29</v>
      </c>
      <c r="C191" s="108"/>
      <c r="D191" s="108"/>
      <c r="E191" s="108"/>
      <c r="F191" s="114">
        <f>-F41</f>
        <v>2906.83536</v>
      </c>
      <c r="G191" s="114">
        <f t="shared" ref="G191:K191" si="104">-G41</f>
        <v>3157.4744063999997</v>
      </c>
      <c r="H191" s="114">
        <f t="shared" si="104"/>
        <v>3346.9228707839998</v>
      </c>
      <c r="I191" s="114">
        <f t="shared" si="104"/>
        <v>3547.7382430310395</v>
      </c>
      <c r="J191" s="114">
        <f t="shared" si="104"/>
        <v>3760.6025376129014</v>
      </c>
      <c r="K191" s="114">
        <f t="shared" si="104"/>
        <v>3986.2386898696759</v>
      </c>
      <c r="L191" s="112"/>
      <c r="M191" s="112"/>
    </row>
    <row r="192" spans="2:13" ht="15.75" hidden="1" outlineLevel="1">
      <c r="B192" s="111" t="s">
        <v>104</v>
      </c>
      <c r="C192" s="108"/>
      <c r="D192" s="108"/>
      <c r="E192" s="108"/>
      <c r="F192" s="114">
        <f>-F44</f>
        <v>1240</v>
      </c>
      <c r="G192" s="114">
        <f t="shared" ref="G192:K192" si="105">-G44</f>
        <v>1240</v>
      </c>
      <c r="H192" s="114">
        <f t="shared" si="105"/>
        <v>1240</v>
      </c>
      <c r="I192" s="114">
        <f t="shared" si="105"/>
        <v>1240</v>
      </c>
      <c r="J192" s="114">
        <f t="shared" si="105"/>
        <v>1240</v>
      </c>
      <c r="K192" s="114">
        <f t="shared" si="105"/>
        <v>1240</v>
      </c>
      <c r="L192" s="112"/>
      <c r="M192" s="112"/>
    </row>
    <row r="193" spans="2:13" ht="15.75" hidden="1" outlineLevel="1">
      <c r="B193" s="111" t="s">
        <v>95</v>
      </c>
      <c r="C193" s="108"/>
      <c r="D193" s="108"/>
      <c r="E193" s="108"/>
      <c r="F193" s="115">
        <f>-F47/F45</f>
        <v>0.15276420725750778</v>
      </c>
      <c r="G193" s="115">
        <f>-G47/G45</f>
        <v>0.3</v>
      </c>
      <c r="H193" s="115">
        <f t="shared" ref="H193:K193" si="106">-H47/H45</f>
        <v>0.3</v>
      </c>
      <c r="I193" s="115">
        <f t="shared" si="106"/>
        <v>0.3</v>
      </c>
      <c r="J193" s="115">
        <f t="shared" si="106"/>
        <v>0.3</v>
      </c>
      <c r="K193" s="115">
        <f t="shared" si="106"/>
        <v>0.3</v>
      </c>
      <c r="L193" s="113"/>
      <c r="M193" s="113"/>
    </row>
    <row r="194" spans="2:13" ht="15.75" hidden="1" outlineLevel="1">
      <c r="B194" s="111" t="s">
        <v>96</v>
      </c>
      <c r="C194" s="108"/>
      <c r="D194" s="108"/>
      <c r="E194" s="108"/>
      <c r="F194" s="116">
        <f>F192*(1-F193)</f>
        <v>1050.5723830006905</v>
      </c>
      <c r="G194" s="116">
        <f t="shared" ref="G194:K194" si="107">G192*(1-G193)</f>
        <v>868</v>
      </c>
      <c r="H194" s="116">
        <f t="shared" si="107"/>
        <v>868</v>
      </c>
      <c r="I194" s="116">
        <f t="shared" si="107"/>
        <v>868</v>
      </c>
      <c r="J194" s="116">
        <f t="shared" si="107"/>
        <v>868</v>
      </c>
      <c r="K194" s="116">
        <f t="shared" si="107"/>
        <v>868</v>
      </c>
      <c r="L194" s="112"/>
      <c r="M194" s="112"/>
    </row>
    <row r="195" spans="2:13" ht="15.75" hidden="1" outlineLevel="1">
      <c r="B195" s="111" t="s">
        <v>97</v>
      </c>
      <c r="C195" s="108"/>
      <c r="D195" s="108"/>
      <c r="E195" s="108"/>
      <c r="F195" s="114">
        <f>F42</f>
        <v>11518.358080000002</v>
      </c>
      <c r="G195" s="114">
        <f>G42</f>
        <v>9378.851584</v>
      </c>
      <c r="H195" s="114">
        <f t="shared" ref="H195:K195" si="108">H42</f>
        <v>10582.362679039999</v>
      </c>
      <c r="I195" s="114">
        <f t="shared" si="108"/>
        <v>11884.064439782394</v>
      </c>
      <c r="J195" s="114">
        <f t="shared" si="108"/>
        <v>13290.908306169344</v>
      </c>
      <c r="K195" s="114">
        <f t="shared" si="108"/>
        <v>14810.382804539498</v>
      </c>
      <c r="L195" s="112"/>
      <c r="M195" s="112"/>
    </row>
    <row r="196" spans="2:13" ht="15.75" hidden="1" outlineLevel="1">
      <c r="B196" s="111" t="s">
        <v>98</v>
      </c>
      <c r="C196" s="108"/>
      <c r="D196" s="108"/>
      <c r="E196" s="108"/>
      <c r="F196" s="117">
        <f>F195*-F193</f>
        <v>-1759.5928409993096</v>
      </c>
      <c r="G196" s="117">
        <f t="shared" ref="G196:K196" si="109">G195*-G193</f>
        <v>-2813.6554751999997</v>
      </c>
      <c r="H196" s="117">
        <f t="shared" si="109"/>
        <v>-3174.7088037119997</v>
      </c>
      <c r="I196" s="117">
        <f t="shared" si="109"/>
        <v>-3565.2193319347184</v>
      </c>
      <c r="J196" s="117">
        <f t="shared" si="109"/>
        <v>-3987.2724918508029</v>
      </c>
      <c r="K196" s="117">
        <f t="shared" si="109"/>
        <v>-4443.1148413618494</v>
      </c>
      <c r="L196" s="112"/>
      <c r="M196" s="112"/>
    </row>
    <row r="197" spans="2:13" ht="15.75" hidden="1" outlineLevel="1">
      <c r="B197" s="111" t="s">
        <v>99</v>
      </c>
      <c r="C197" s="108"/>
      <c r="D197" s="108"/>
      <c r="E197" s="108"/>
      <c r="F197" s="114">
        <f>F195+F191</f>
        <v>14425.193440000003</v>
      </c>
      <c r="G197" s="114">
        <f t="shared" ref="G197:K197" si="110">G195+G191</f>
        <v>12536.325990400001</v>
      </c>
      <c r="H197" s="114">
        <f t="shared" si="110"/>
        <v>13929.285549823999</v>
      </c>
      <c r="I197" s="114">
        <f t="shared" si="110"/>
        <v>15431.802682813433</v>
      </c>
      <c r="J197" s="114">
        <f t="shared" si="110"/>
        <v>17051.510843782246</v>
      </c>
      <c r="K197" s="114">
        <f t="shared" si="110"/>
        <v>18796.621494409173</v>
      </c>
      <c r="L197" s="112"/>
      <c r="M197" s="112"/>
    </row>
    <row r="198" spans="2:13" ht="15.75" hidden="1" outlineLevel="1">
      <c r="B198" s="111" t="s">
        <v>100</v>
      </c>
      <c r="C198" s="108"/>
      <c r="D198" s="108"/>
      <c r="E198" s="108"/>
      <c r="F198" s="114">
        <f>F102</f>
        <v>-3710.8353600000046</v>
      </c>
      <c r="G198" s="114">
        <f t="shared" ref="G198:K198" si="111">G102</f>
        <v>-5199.1979828705844</v>
      </c>
      <c r="H198" s="114">
        <f t="shared" si="111"/>
        <v>-4739.9262853722357</v>
      </c>
      <c r="I198" s="114">
        <f t="shared" si="111"/>
        <v>-5024.3218624945657</v>
      </c>
      <c r="J198" s="114">
        <f t="shared" si="111"/>
        <v>-5325.7811742442391</v>
      </c>
      <c r="K198" s="114">
        <f t="shared" si="111"/>
        <v>-5645.3280446989011</v>
      </c>
      <c r="L198" s="112"/>
      <c r="M198" s="112"/>
    </row>
    <row r="199" spans="2:13" ht="15.75" hidden="1" outlineLevel="1">
      <c r="B199" s="111" t="s">
        <v>101</v>
      </c>
      <c r="C199" s="108"/>
      <c r="D199" s="108"/>
      <c r="E199" s="108"/>
      <c r="F199" s="114">
        <f>F142</f>
        <v>-732.43432328767085</v>
      </c>
      <c r="G199" s="114">
        <f t="shared" ref="G199:K199" si="112">G142</f>
        <v>-1175.8241536280532</v>
      </c>
      <c r="H199" s="114">
        <f t="shared" si="112"/>
        <v>-657.13052861494202</v>
      </c>
      <c r="I199" s="114">
        <f t="shared" si="112"/>
        <v>-693.67458033184084</v>
      </c>
      <c r="J199" s="114">
        <f t="shared" si="112"/>
        <v>-732.29361515174878</v>
      </c>
      <c r="K199" s="114">
        <f t="shared" si="112"/>
        <v>-773.0988120608572</v>
      </c>
      <c r="L199" s="112"/>
      <c r="M199" s="112"/>
    </row>
    <row r="200" spans="2:13" ht="15.75" hidden="1" outlineLevel="1">
      <c r="B200" s="111" t="s">
        <v>102</v>
      </c>
      <c r="F200" s="119">
        <f>F163</f>
        <v>20000</v>
      </c>
      <c r="G200" s="120"/>
      <c r="H200" s="120"/>
      <c r="I200" s="120"/>
      <c r="J200" s="120"/>
      <c r="K200" s="120"/>
    </row>
    <row r="201" spans="2:13" ht="15.75" hidden="1" outlineLevel="1">
      <c r="B201" s="111" t="s">
        <v>37</v>
      </c>
      <c r="F201" s="119">
        <f>F59</f>
        <v>10158.783447912327</v>
      </c>
      <c r="G201" s="121"/>
      <c r="H201" s="121"/>
      <c r="I201" s="121"/>
      <c r="J201" s="121"/>
      <c r="K201" s="121"/>
    </row>
    <row r="202" spans="2:13" hidden="1" outlineLevel="1"/>
    <row r="203" spans="2:13" ht="21" hidden="1" outlineLevel="1">
      <c r="B203" s="305" t="s">
        <v>105</v>
      </c>
      <c r="C203" s="305"/>
      <c r="D203" s="305"/>
      <c r="E203" s="305"/>
      <c r="F203" s="305"/>
      <c r="G203" s="305"/>
      <c r="H203" s="305"/>
      <c r="I203" s="305"/>
      <c r="J203" s="305"/>
      <c r="K203" s="305"/>
    </row>
    <row r="204" spans="2:13" hidden="1" outlineLevel="1"/>
    <row r="205" spans="2:13" ht="16.5" hidden="1" outlineLevel="1" thickBot="1">
      <c r="B205" s="107" t="s">
        <v>106</v>
      </c>
      <c r="C205" s="108"/>
      <c r="D205" s="108"/>
      <c r="E205" s="108"/>
      <c r="F205" s="108"/>
      <c r="G205" s="7">
        <f t="shared" ref="G205:K205" si="113">+G$4</f>
        <v>25</v>
      </c>
      <c r="H205" s="7">
        <f t="shared" si="113"/>
        <v>26</v>
      </c>
      <c r="I205" s="7">
        <f t="shared" si="113"/>
        <v>27</v>
      </c>
      <c r="J205" s="7">
        <f t="shared" si="113"/>
        <v>28</v>
      </c>
      <c r="K205" s="7">
        <f t="shared" si="113"/>
        <v>29</v>
      </c>
    </row>
    <row r="206" spans="2:13" ht="15.75" hidden="1" outlineLevel="1">
      <c r="B206" s="111" t="s">
        <v>97</v>
      </c>
      <c r="C206" s="108"/>
      <c r="D206" s="108"/>
      <c r="E206" s="108"/>
      <c r="F206" s="108"/>
      <c r="G206" s="122">
        <f t="shared" ref="G206:K207" si="114">G195</f>
        <v>9378.851584</v>
      </c>
      <c r="H206" s="122">
        <f t="shared" si="114"/>
        <v>10582.362679039999</v>
      </c>
      <c r="I206" s="122">
        <f t="shared" si="114"/>
        <v>11884.064439782394</v>
      </c>
      <c r="J206" s="122">
        <f t="shared" si="114"/>
        <v>13290.908306169344</v>
      </c>
      <c r="K206" s="122">
        <f t="shared" si="114"/>
        <v>14810.382804539498</v>
      </c>
    </row>
    <row r="207" spans="2:13" ht="15.75" hidden="1" outlineLevel="1">
      <c r="B207" s="111" t="s">
        <v>107</v>
      </c>
      <c r="C207" s="108"/>
      <c r="D207" s="108"/>
      <c r="E207" s="108"/>
      <c r="F207" s="108"/>
      <c r="G207" s="122">
        <f t="shared" si="114"/>
        <v>-2813.6554751999997</v>
      </c>
      <c r="H207" s="122">
        <f t="shared" si="114"/>
        <v>-3174.7088037119997</v>
      </c>
      <c r="I207" s="122">
        <f t="shared" si="114"/>
        <v>-3565.2193319347184</v>
      </c>
      <c r="J207" s="122">
        <f t="shared" si="114"/>
        <v>-3987.2724918508029</v>
      </c>
      <c r="K207" s="122">
        <f t="shared" si="114"/>
        <v>-4443.1148413618494</v>
      </c>
    </row>
    <row r="208" spans="2:13" ht="15.75" hidden="1" outlineLevel="1">
      <c r="B208" s="111" t="s">
        <v>108</v>
      </c>
      <c r="C208" s="108"/>
      <c r="D208" s="108"/>
      <c r="E208" s="108"/>
      <c r="F208" s="108"/>
      <c r="G208" s="122">
        <f>SUM(G206:G207)</f>
        <v>6565.1961088000007</v>
      </c>
      <c r="H208" s="122">
        <f t="shared" ref="H208:K208" si="115">SUM(H206:H207)</f>
        <v>7407.6538753280001</v>
      </c>
      <c r="I208" s="122">
        <f t="shared" si="115"/>
        <v>8318.8451078476755</v>
      </c>
      <c r="J208" s="122">
        <f t="shared" si="115"/>
        <v>9303.6358143185407</v>
      </c>
      <c r="K208" s="122">
        <f t="shared" si="115"/>
        <v>10367.267963177648</v>
      </c>
    </row>
    <row r="209" spans="2:13" ht="15.75" hidden="1" outlineLevel="1">
      <c r="B209" s="111" t="s">
        <v>29</v>
      </c>
      <c r="C209" s="108"/>
      <c r="D209" s="108"/>
      <c r="E209" s="108"/>
      <c r="F209" s="108"/>
      <c r="G209" s="122">
        <f>G191</f>
        <v>3157.4744063999997</v>
      </c>
      <c r="H209" s="122">
        <f>H191</f>
        <v>3346.9228707839998</v>
      </c>
      <c r="I209" s="122">
        <f>I191</f>
        <v>3547.7382430310395</v>
      </c>
      <c r="J209" s="122">
        <f>J191</f>
        <v>3760.6025376129014</v>
      </c>
      <c r="K209" s="122">
        <f>K191</f>
        <v>3986.2386898696759</v>
      </c>
    </row>
    <row r="210" spans="2:13" ht="15.75" hidden="1" outlineLevel="1">
      <c r="B210" s="111" t="s">
        <v>109</v>
      </c>
      <c r="C210" s="108"/>
      <c r="D210" s="108"/>
      <c r="E210" s="108"/>
      <c r="F210" s="108"/>
      <c r="G210" s="122">
        <f t="shared" ref="G210:K211" si="116">G198</f>
        <v>-5199.1979828705844</v>
      </c>
      <c r="H210" s="122">
        <f t="shared" si="116"/>
        <v>-4739.9262853722357</v>
      </c>
      <c r="I210" s="122">
        <f t="shared" si="116"/>
        <v>-5024.3218624945657</v>
      </c>
      <c r="J210" s="122">
        <f t="shared" si="116"/>
        <v>-5325.7811742442391</v>
      </c>
      <c r="K210" s="122">
        <f t="shared" si="116"/>
        <v>-5645.3280446989011</v>
      </c>
    </row>
    <row r="211" spans="2:13" ht="15.75" hidden="1" outlineLevel="1">
      <c r="B211" s="111" t="s">
        <v>101</v>
      </c>
      <c r="C211" s="108"/>
      <c r="D211" s="108"/>
      <c r="E211" s="108"/>
      <c r="F211" s="108"/>
      <c r="G211" s="122">
        <f t="shared" si="116"/>
        <v>-1175.8241536280532</v>
      </c>
      <c r="H211" s="122">
        <f t="shared" si="116"/>
        <v>-657.13052861494202</v>
      </c>
      <c r="I211" s="122">
        <f t="shared" si="116"/>
        <v>-693.67458033184084</v>
      </c>
      <c r="J211" s="122">
        <f t="shared" si="116"/>
        <v>-732.29361515174878</v>
      </c>
      <c r="K211" s="122">
        <f t="shared" si="116"/>
        <v>-773.0988120608572</v>
      </c>
    </row>
    <row r="212" spans="2:13" ht="16.5" hidden="1" outlineLevel="1" thickBot="1">
      <c r="B212" s="111" t="s">
        <v>110</v>
      </c>
      <c r="C212" s="108"/>
      <c r="D212" s="108"/>
      <c r="E212" s="108"/>
      <c r="F212" s="108"/>
      <c r="G212" s="123">
        <f>SUM(G208:G211)</f>
        <v>3347.6483787013622</v>
      </c>
      <c r="H212" s="123">
        <f t="shared" ref="H212:K212" si="117">SUM(H208:H211)</f>
        <v>5357.5199321248219</v>
      </c>
      <c r="I212" s="123">
        <f t="shared" si="117"/>
        <v>6148.586908052308</v>
      </c>
      <c r="J212" s="123">
        <f t="shared" si="117"/>
        <v>7006.1635625354547</v>
      </c>
      <c r="K212" s="123">
        <f t="shared" si="117"/>
        <v>7935.0797962875649</v>
      </c>
    </row>
    <row r="213" spans="2:13" ht="15.75" hidden="1" outlineLevel="1">
      <c r="B213" s="111"/>
      <c r="C213" s="108"/>
      <c r="D213" s="108"/>
      <c r="E213" s="108"/>
      <c r="F213" s="108"/>
    </row>
    <row r="214" spans="2:13" ht="16.5" hidden="1" outlineLevel="1" thickBot="1">
      <c r="B214" s="107" t="s">
        <v>111</v>
      </c>
      <c r="C214" s="108"/>
      <c r="D214" s="108"/>
      <c r="E214" s="108"/>
      <c r="F214" s="108"/>
      <c r="G214" s="7">
        <f t="shared" ref="G214:K214" si="118">+G$4</f>
        <v>25</v>
      </c>
      <c r="H214" s="7">
        <f t="shared" si="118"/>
        <v>26</v>
      </c>
      <c r="I214" s="7">
        <f t="shared" si="118"/>
        <v>27</v>
      </c>
      <c r="J214" s="7">
        <f t="shared" si="118"/>
        <v>28</v>
      </c>
      <c r="K214" s="7">
        <f t="shared" si="118"/>
        <v>29</v>
      </c>
    </row>
    <row r="215" spans="2:13" ht="15.75" hidden="1" outlineLevel="1">
      <c r="B215" s="111" t="s">
        <v>34</v>
      </c>
      <c r="C215" s="108"/>
      <c r="D215" s="108"/>
      <c r="E215" s="108"/>
      <c r="F215" s="108"/>
      <c r="G215" s="124">
        <f>G190</f>
        <v>5697.1961088000007</v>
      </c>
      <c r="H215" s="124">
        <f t="shared" ref="H215:K215" si="119">H190</f>
        <v>6539.6538753280001</v>
      </c>
      <c r="I215" s="124">
        <f t="shared" si="119"/>
        <v>7450.8451078476755</v>
      </c>
      <c r="J215" s="124">
        <f t="shared" si="119"/>
        <v>8435.6358143185407</v>
      </c>
      <c r="K215" s="124">
        <f t="shared" si="119"/>
        <v>9499.2679631776482</v>
      </c>
    </row>
    <row r="216" spans="2:13" ht="15.75" hidden="1" outlineLevel="1">
      <c r="B216" s="111" t="s">
        <v>29</v>
      </c>
      <c r="C216" s="108"/>
      <c r="D216" s="108"/>
      <c r="E216" s="108"/>
      <c r="F216" s="108"/>
      <c r="G216" s="124">
        <f>G191</f>
        <v>3157.4744063999997</v>
      </c>
      <c r="H216" s="124">
        <f t="shared" ref="H216:K216" si="120">H191</f>
        <v>3346.9228707839998</v>
      </c>
      <c r="I216" s="124">
        <f t="shared" si="120"/>
        <v>3547.7382430310395</v>
      </c>
      <c r="J216" s="124">
        <f t="shared" si="120"/>
        <v>3760.6025376129014</v>
      </c>
      <c r="K216" s="124">
        <f t="shared" si="120"/>
        <v>3986.2386898696759</v>
      </c>
      <c r="M216" s="118"/>
    </row>
    <row r="217" spans="2:13" ht="15.75" hidden="1" outlineLevel="1">
      <c r="B217" s="111" t="s">
        <v>96</v>
      </c>
      <c r="C217" s="108"/>
      <c r="D217" s="108"/>
      <c r="E217" s="108"/>
      <c r="F217" s="108"/>
      <c r="G217" s="124">
        <f>G194</f>
        <v>868</v>
      </c>
      <c r="H217" s="124">
        <f t="shared" ref="H217:K217" si="121">H194</f>
        <v>868</v>
      </c>
      <c r="I217" s="124">
        <f t="shared" si="121"/>
        <v>868</v>
      </c>
      <c r="J217" s="124">
        <f t="shared" si="121"/>
        <v>868</v>
      </c>
      <c r="K217" s="124">
        <f t="shared" si="121"/>
        <v>868</v>
      </c>
    </row>
    <row r="218" spans="2:13" ht="15.75" hidden="1" outlineLevel="1">
      <c r="B218" s="111" t="s">
        <v>109</v>
      </c>
      <c r="C218" s="108"/>
      <c r="D218" s="108"/>
      <c r="E218" s="108"/>
      <c r="F218" s="108"/>
      <c r="G218" s="122">
        <f>G210</f>
        <v>-5199.1979828705844</v>
      </c>
      <c r="H218" s="122">
        <f t="shared" ref="H218:K218" si="122">H210</f>
        <v>-4739.9262853722357</v>
      </c>
      <c r="I218" s="122">
        <f t="shared" si="122"/>
        <v>-5024.3218624945657</v>
      </c>
      <c r="J218" s="122">
        <f t="shared" si="122"/>
        <v>-5325.7811742442391</v>
      </c>
      <c r="K218" s="122">
        <f t="shared" si="122"/>
        <v>-5645.3280446989011</v>
      </c>
    </row>
    <row r="219" spans="2:13" ht="15.75" hidden="1" outlineLevel="1">
      <c r="B219" s="111" t="s">
        <v>101</v>
      </c>
      <c r="C219" s="108"/>
      <c r="D219" s="108"/>
      <c r="E219" s="108"/>
      <c r="F219" s="108"/>
      <c r="G219" s="124">
        <f>G211</f>
        <v>-1175.8241536280532</v>
      </c>
      <c r="H219" s="124">
        <f t="shared" ref="H219:K219" si="123">H211</f>
        <v>-657.13052861494202</v>
      </c>
      <c r="I219" s="124">
        <f t="shared" si="123"/>
        <v>-693.67458033184084</v>
      </c>
      <c r="J219" s="124">
        <f t="shared" si="123"/>
        <v>-732.29361515174878</v>
      </c>
      <c r="K219" s="124">
        <f t="shared" si="123"/>
        <v>-773.0988120608572</v>
      </c>
    </row>
    <row r="220" spans="2:13" ht="16.5" hidden="1" outlineLevel="1" thickBot="1">
      <c r="B220" s="111" t="s">
        <v>112</v>
      </c>
      <c r="C220" s="108"/>
      <c r="D220" s="108"/>
      <c r="E220" s="108"/>
      <c r="F220" s="108"/>
      <c r="G220" s="125">
        <f>SUM(G215:G219)</f>
        <v>3347.6483787013622</v>
      </c>
      <c r="H220" s="125">
        <f t="shared" ref="H220:K220" si="124">SUM(H215:H219)</f>
        <v>5357.5199321248219</v>
      </c>
      <c r="I220" s="125">
        <f t="shared" si="124"/>
        <v>6148.586908052308</v>
      </c>
      <c r="J220" s="125">
        <f t="shared" si="124"/>
        <v>7006.1635625354547</v>
      </c>
      <c r="K220" s="125">
        <f t="shared" si="124"/>
        <v>7935.0797962875649</v>
      </c>
    </row>
    <row r="221" spans="2:13" ht="15.75" hidden="1" outlineLevel="1">
      <c r="B221" s="111"/>
      <c r="C221" s="108"/>
      <c r="D221" s="108"/>
      <c r="E221" s="108"/>
      <c r="F221" s="108"/>
    </row>
    <row r="222" spans="2:13" ht="16.5" hidden="1" outlineLevel="1" thickBot="1">
      <c r="B222" s="107" t="s">
        <v>113</v>
      </c>
      <c r="C222" s="108"/>
      <c r="D222" s="108"/>
      <c r="E222" s="108"/>
      <c r="F222" s="108"/>
      <c r="G222" s="7">
        <f t="shared" ref="G222:K222" si="125">+G$4</f>
        <v>25</v>
      </c>
      <c r="H222" s="7">
        <f t="shared" si="125"/>
        <v>26</v>
      </c>
      <c r="I222" s="7">
        <f t="shared" si="125"/>
        <v>27</v>
      </c>
      <c r="J222" s="7">
        <f t="shared" si="125"/>
        <v>28</v>
      </c>
      <c r="K222" s="7">
        <f t="shared" si="125"/>
        <v>29</v>
      </c>
    </row>
    <row r="223" spans="2:13" ht="15.75" hidden="1" outlineLevel="1">
      <c r="B223" s="111" t="s">
        <v>99</v>
      </c>
      <c r="C223" s="108"/>
      <c r="D223" s="108"/>
      <c r="E223" s="108"/>
      <c r="F223" s="108"/>
      <c r="G223" s="122">
        <f>G206+G216</f>
        <v>12536.325990400001</v>
      </c>
      <c r="H223" s="122">
        <f t="shared" ref="H223:K223" si="126">H206+H216</f>
        <v>13929.285549823999</v>
      </c>
      <c r="I223" s="122">
        <f t="shared" si="126"/>
        <v>15431.802682813433</v>
      </c>
      <c r="J223" s="122">
        <f t="shared" si="126"/>
        <v>17051.510843782246</v>
      </c>
      <c r="K223" s="122">
        <f t="shared" si="126"/>
        <v>18796.621494409173</v>
      </c>
    </row>
    <row r="224" spans="2:13" ht="15.75" hidden="1" outlineLevel="1">
      <c r="B224" s="111" t="s">
        <v>98</v>
      </c>
      <c r="C224" s="108"/>
      <c r="D224" s="108"/>
      <c r="E224" s="108"/>
      <c r="F224" s="108"/>
      <c r="G224" s="122">
        <f>G207</f>
        <v>-2813.6554751999997</v>
      </c>
      <c r="H224" s="122">
        <f t="shared" ref="H224:K224" si="127">H207</f>
        <v>-3174.7088037119997</v>
      </c>
      <c r="I224" s="122">
        <f t="shared" si="127"/>
        <v>-3565.2193319347184</v>
      </c>
      <c r="J224" s="122">
        <f t="shared" si="127"/>
        <v>-3987.2724918508029</v>
      </c>
      <c r="K224" s="122">
        <f t="shared" si="127"/>
        <v>-4443.1148413618494</v>
      </c>
    </row>
    <row r="225" spans="2:11" ht="15.75" hidden="1" outlineLevel="1">
      <c r="B225" s="111" t="s">
        <v>109</v>
      </c>
      <c r="C225" s="108"/>
      <c r="D225" s="108"/>
      <c r="E225" s="108"/>
      <c r="F225" s="108"/>
      <c r="G225" s="122">
        <f>G210</f>
        <v>-5199.1979828705844</v>
      </c>
      <c r="H225" s="122">
        <f t="shared" ref="H225:K225" si="128">H210</f>
        <v>-4739.9262853722357</v>
      </c>
      <c r="I225" s="122">
        <f t="shared" si="128"/>
        <v>-5024.3218624945657</v>
      </c>
      <c r="J225" s="122">
        <f t="shared" si="128"/>
        <v>-5325.7811742442391</v>
      </c>
      <c r="K225" s="122">
        <f t="shared" si="128"/>
        <v>-5645.3280446989011</v>
      </c>
    </row>
    <row r="226" spans="2:11" ht="15.75" hidden="1" outlineLevel="1">
      <c r="B226" s="111" t="s">
        <v>101</v>
      </c>
      <c r="C226" s="108"/>
      <c r="D226" s="108"/>
      <c r="E226" s="108"/>
      <c r="F226" s="108"/>
      <c r="G226" s="122">
        <f>G211</f>
        <v>-1175.8241536280532</v>
      </c>
      <c r="H226" s="122">
        <f t="shared" ref="H226:K226" si="129">H211</f>
        <v>-657.13052861494202</v>
      </c>
      <c r="I226" s="122">
        <f t="shared" si="129"/>
        <v>-693.67458033184084</v>
      </c>
      <c r="J226" s="122">
        <f t="shared" si="129"/>
        <v>-732.29361515174878</v>
      </c>
      <c r="K226" s="122">
        <f t="shared" si="129"/>
        <v>-773.0988120608572</v>
      </c>
    </row>
    <row r="227" spans="2:11" ht="16.5" hidden="1" outlineLevel="1" thickBot="1">
      <c r="B227" s="111" t="s">
        <v>114</v>
      </c>
      <c r="C227" s="108"/>
      <c r="D227" s="108"/>
      <c r="E227" s="108"/>
      <c r="F227" s="108"/>
      <c r="G227" s="123">
        <f>SUM(G223:G226)</f>
        <v>3347.648378701364</v>
      </c>
      <c r="H227" s="123">
        <f t="shared" ref="H227:K227" si="130">SUM(H223:H226)</f>
        <v>5357.5199321248219</v>
      </c>
      <c r="I227" s="123">
        <f t="shared" si="130"/>
        <v>6148.586908052308</v>
      </c>
      <c r="J227" s="123">
        <f t="shared" si="130"/>
        <v>7006.1635625354547</v>
      </c>
      <c r="K227" s="123">
        <f t="shared" si="130"/>
        <v>7935.0797962875649</v>
      </c>
    </row>
    <row r="228" spans="2:11" hidden="1" outlineLevel="1"/>
    <row r="229" spans="2:11" hidden="1" outlineLevel="1"/>
    <row r="230" spans="2:11" ht="21" hidden="1" outlineLevel="1">
      <c r="B230" s="305" t="s">
        <v>115</v>
      </c>
      <c r="C230" s="305"/>
      <c r="D230" s="305"/>
      <c r="E230" s="305"/>
      <c r="F230" s="305"/>
      <c r="G230" s="305"/>
      <c r="H230" s="305"/>
      <c r="I230" s="305"/>
      <c r="J230" s="305"/>
      <c r="K230" s="305"/>
    </row>
    <row r="231" spans="2:11" hidden="1" outlineLevel="1"/>
    <row r="232" spans="2:11" ht="16.5" hidden="1" outlineLevel="1">
      <c r="B232" s="126" t="s">
        <v>116</v>
      </c>
      <c r="C232" s="106"/>
      <c r="D232" s="106"/>
      <c r="E232" s="106"/>
      <c r="F232" s="106"/>
      <c r="G232" s="106"/>
    </row>
    <row r="233" spans="2:11" ht="16.5" hidden="1" outlineLevel="1">
      <c r="B233" s="126"/>
      <c r="C233" s="106"/>
      <c r="D233" s="106"/>
      <c r="E233" s="106"/>
      <c r="F233" s="106"/>
      <c r="G233" s="106"/>
    </row>
    <row r="234" spans="2:11" ht="16.5" hidden="1" outlineLevel="1">
      <c r="B234" s="127" t="s">
        <v>117</v>
      </c>
      <c r="C234" s="128"/>
      <c r="D234" s="128"/>
      <c r="E234" s="135">
        <v>0.03</v>
      </c>
      <c r="F234" s="106"/>
      <c r="G234" s="106"/>
    </row>
    <row r="235" spans="2:11" ht="16.5" hidden="1" outlineLevel="1">
      <c r="B235" s="129" t="s">
        <v>118</v>
      </c>
      <c r="C235" s="106"/>
      <c r="D235" s="106"/>
      <c r="E235" s="136">
        <f>K336</f>
        <v>0.99304028795244048</v>
      </c>
      <c r="F235" s="106"/>
      <c r="G235" s="106"/>
    </row>
    <row r="236" spans="2:11" ht="16.5" hidden="1" outlineLevel="1">
      <c r="B236" s="129" t="s">
        <v>119</v>
      </c>
      <c r="C236" s="106"/>
      <c r="D236" s="106"/>
      <c r="E236" s="137">
        <v>0.06</v>
      </c>
      <c r="F236" s="106"/>
      <c r="G236" s="106"/>
    </row>
    <row r="237" spans="2:11" ht="16.5" hidden="1" outlineLevel="1">
      <c r="B237" s="130" t="s">
        <v>120</v>
      </c>
      <c r="C237" s="131"/>
      <c r="D237" s="131"/>
      <c r="E237" s="134">
        <f>E234+E235*E236</f>
        <v>8.9582417277146428E-2</v>
      </c>
      <c r="F237" s="106"/>
      <c r="G237" s="106"/>
    </row>
    <row r="238" spans="2:11" ht="16.5" hidden="1" outlineLevel="1">
      <c r="B238" s="132"/>
      <c r="C238" s="133"/>
      <c r="D238" s="106"/>
      <c r="E238" s="106"/>
      <c r="F238" s="106"/>
      <c r="G238" s="106"/>
    </row>
    <row r="239" spans="2:11" ht="16.5" hidden="1" outlineLevel="1">
      <c r="B239" s="126" t="s">
        <v>121</v>
      </c>
      <c r="C239" s="106"/>
      <c r="D239" s="106"/>
      <c r="E239" s="106"/>
      <c r="F239" s="106"/>
      <c r="G239" s="106"/>
    </row>
    <row r="240" spans="2:11" ht="16.5" hidden="1" outlineLevel="1">
      <c r="B240" s="132"/>
      <c r="C240" s="106"/>
      <c r="D240" s="106"/>
      <c r="E240" s="106"/>
      <c r="F240" s="106"/>
      <c r="G240" s="106"/>
    </row>
    <row r="241" spans="2:13" ht="16.5" hidden="1" outlineLevel="1">
      <c r="B241" s="127" t="s">
        <v>122</v>
      </c>
      <c r="C241" s="128"/>
      <c r="D241" s="128"/>
      <c r="E241" s="135">
        <v>0.1</v>
      </c>
      <c r="F241" s="106"/>
      <c r="G241" s="106"/>
    </row>
    <row r="242" spans="2:13" ht="16.5" hidden="1" outlineLevel="1">
      <c r="B242" s="129" t="s">
        <v>123</v>
      </c>
      <c r="C242" s="106"/>
      <c r="D242" s="106"/>
      <c r="E242" s="289">
        <f>1-E241</f>
        <v>0.9</v>
      </c>
      <c r="F242" s="106"/>
      <c r="G242" s="106"/>
    </row>
    <row r="243" spans="2:13" ht="16.5" hidden="1" outlineLevel="1">
      <c r="B243" s="129" t="s">
        <v>124</v>
      </c>
      <c r="C243" s="106"/>
      <c r="D243" s="106"/>
      <c r="E243" s="137">
        <v>0.06</v>
      </c>
      <c r="F243" s="106"/>
      <c r="G243" s="106"/>
    </row>
    <row r="244" spans="2:13" ht="16.5" hidden="1" outlineLevel="1">
      <c r="B244" s="129" t="s">
        <v>95</v>
      </c>
      <c r="C244" s="106"/>
      <c r="D244" s="106"/>
      <c r="E244" s="137">
        <v>0.21</v>
      </c>
      <c r="F244" s="106"/>
      <c r="G244" s="106"/>
    </row>
    <row r="245" spans="2:13" ht="16.5" hidden="1" outlineLevel="1">
      <c r="B245" s="129" t="s">
        <v>125</v>
      </c>
      <c r="C245" s="106"/>
      <c r="D245" s="106"/>
      <c r="E245" s="289">
        <f>E243-(E243*E244)</f>
        <v>4.7399999999999998E-2</v>
      </c>
      <c r="F245" s="106"/>
      <c r="G245" s="106"/>
    </row>
    <row r="246" spans="2:13" ht="16.5" hidden="1" outlineLevel="1">
      <c r="B246" s="129" t="s">
        <v>120</v>
      </c>
      <c r="C246" s="106"/>
      <c r="D246" s="106"/>
      <c r="E246" s="289">
        <f>E237</f>
        <v>8.9582417277146428E-2</v>
      </c>
      <c r="F246" s="106"/>
      <c r="G246" s="106"/>
    </row>
    <row r="247" spans="2:13" ht="16.5" hidden="1" outlineLevel="1">
      <c r="B247" s="138" t="s">
        <v>126</v>
      </c>
      <c r="C247" s="139"/>
      <c r="D247" s="139"/>
      <c r="E247" s="134">
        <f>E246*E242+E241*E245</f>
        <v>8.5364175549431778E-2</v>
      </c>
      <c r="F247" s="106"/>
      <c r="G247" s="106"/>
    </row>
    <row r="248" spans="2:13" hidden="1" outlineLevel="1"/>
    <row r="249" spans="2:13" ht="21" hidden="1" outlineLevel="1">
      <c r="B249" s="305" t="s">
        <v>127</v>
      </c>
      <c r="C249" s="305"/>
      <c r="D249" s="305"/>
      <c r="E249" s="305"/>
      <c r="F249" s="305"/>
      <c r="G249" s="305"/>
      <c r="H249" s="305"/>
      <c r="I249" s="305"/>
      <c r="J249" s="305"/>
      <c r="K249" s="305"/>
    </row>
    <row r="250" spans="2:13" hidden="1" outlineLevel="1"/>
    <row r="251" spans="2:13" ht="16.5" hidden="1" outlineLevel="1">
      <c r="B251" s="127" t="s">
        <v>126</v>
      </c>
      <c r="C251" s="140">
        <f>E247</f>
        <v>8.5364175549431778E-2</v>
      </c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</row>
    <row r="252" spans="2:13" ht="16.5" hidden="1" outlineLevel="1">
      <c r="B252" s="141" t="s">
        <v>128</v>
      </c>
      <c r="C252" s="288">
        <v>0.02</v>
      </c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</row>
    <row r="253" spans="2:13" ht="16.5" hidden="1" outlineLevel="1">
      <c r="B253" s="12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</row>
    <row r="254" spans="2:13" ht="16.5" hidden="1" outlineLevel="1">
      <c r="B254" s="142" t="s">
        <v>1</v>
      </c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</row>
    <row r="255" spans="2:13" ht="17.25" hidden="1" outlineLevel="1" thickBot="1">
      <c r="B255" s="106"/>
      <c r="C255" s="143"/>
      <c r="D255" s="106"/>
      <c r="E255" s="106"/>
      <c r="F255"/>
      <c r="G255" s="7">
        <f t="shared" ref="G255:K255" si="131">+G$4</f>
        <v>25</v>
      </c>
      <c r="H255" s="7">
        <f t="shared" si="131"/>
        <v>26</v>
      </c>
      <c r="I255" s="7">
        <f t="shared" si="131"/>
        <v>27</v>
      </c>
      <c r="J255" s="7">
        <f t="shared" si="131"/>
        <v>28</v>
      </c>
      <c r="K255" s="7">
        <f t="shared" si="131"/>
        <v>29</v>
      </c>
    </row>
    <row r="256" spans="2:13" ht="16.5" hidden="1" outlineLevel="1">
      <c r="B256" s="111" t="s">
        <v>129</v>
      </c>
      <c r="C256" s="143"/>
      <c r="D256" s="106"/>
      <c r="E256" s="106"/>
      <c r="F256" s="106"/>
      <c r="G256" s="144">
        <f>G212</f>
        <v>3347.6483787013622</v>
      </c>
      <c r="H256" s="144">
        <f t="shared" ref="H256:K256" si="132">H212</f>
        <v>5357.5199321248219</v>
      </c>
      <c r="I256" s="144">
        <f t="shared" si="132"/>
        <v>6148.586908052308</v>
      </c>
      <c r="J256" s="144">
        <f t="shared" si="132"/>
        <v>7006.1635625354547</v>
      </c>
      <c r="K256" s="144">
        <f t="shared" si="132"/>
        <v>7935.0797962875649</v>
      </c>
    </row>
    <row r="257" spans="2:12" ht="16.5" hidden="1" outlineLevel="1">
      <c r="B257" s="111" t="s">
        <v>127</v>
      </c>
      <c r="C257" s="143"/>
      <c r="D257" s="106"/>
      <c r="E257" s="106"/>
      <c r="F257" s="106"/>
      <c r="G257" s="144"/>
      <c r="H257" s="144"/>
      <c r="I257" s="144"/>
      <c r="J257" s="144"/>
      <c r="K257" s="290">
        <f>K256*(1+C252)</f>
        <v>8093.7813922133164</v>
      </c>
    </row>
    <row r="258" spans="2:12" ht="16.5" hidden="1" outlineLevel="1">
      <c r="B258" s="145" t="s">
        <v>130</v>
      </c>
      <c r="C258" s="143"/>
      <c r="D258" s="106"/>
      <c r="E258" s="106"/>
      <c r="F258" s="106"/>
      <c r="G258" s="109"/>
      <c r="H258" s="108"/>
      <c r="I258" s="108"/>
      <c r="J258" s="108"/>
      <c r="K258" s="291">
        <f>K257/(C251-C252)</f>
        <v>123825.95395993911</v>
      </c>
    </row>
    <row r="259" spans="2:12" hidden="1" outlineLevel="1"/>
    <row r="260" spans="2:12" hidden="1" outlineLevel="1"/>
    <row r="261" spans="2:12" ht="21" hidden="1" outlineLevel="1">
      <c r="B261" s="305" t="s">
        <v>131</v>
      </c>
      <c r="C261" s="305"/>
      <c r="D261" s="305"/>
      <c r="E261" s="305"/>
      <c r="F261" s="305"/>
      <c r="G261" s="305"/>
      <c r="H261" s="305"/>
      <c r="I261" s="305"/>
      <c r="J261" s="305"/>
      <c r="K261" s="305"/>
    </row>
    <row r="262" spans="2:12" hidden="1" outlineLevel="1"/>
    <row r="263" spans="2:12" ht="15.75" hidden="1" outlineLevel="1">
      <c r="B263" s="111" t="s">
        <v>129</v>
      </c>
      <c r="C263" s="108"/>
      <c r="D263" s="108"/>
      <c r="E263" s="108"/>
      <c r="F263" s="108"/>
      <c r="G263" s="290">
        <f>G256</f>
        <v>3347.6483787013622</v>
      </c>
      <c r="H263" s="290">
        <f t="shared" ref="H263:K263" si="133">H256</f>
        <v>5357.5199321248219</v>
      </c>
      <c r="I263" s="290">
        <f t="shared" si="133"/>
        <v>6148.586908052308</v>
      </c>
      <c r="J263" s="290">
        <f t="shared" si="133"/>
        <v>7006.1635625354547</v>
      </c>
      <c r="K263" s="290">
        <f t="shared" si="133"/>
        <v>7935.0797962875649</v>
      </c>
    </row>
    <row r="264" spans="2:12" ht="15.75" hidden="1" outlineLevel="1">
      <c r="B264" s="111" t="s">
        <v>132</v>
      </c>
      <c r="C264" s="108"/>
      <c r="D264" s="108"/>
      <c r="E264" s="108"/>
      <c r="F264" s="108"/>
      <c r="G264" s="110"/>
      <c r="H264" s="110"/>
      <c r="I264" s="110"/>
      <c r="J264" s="110"/>
      <c r="K264" s="292">
        <f>K258</f>
        <v>123825.95395993911</v>
      </c>
    </row>
    <row r="265" spans="2:12" ht="15.75" hidden="1" outlineLevel="1">
      <c r="B265" s="111" t="s">
        <v>133</v>
      </c>
      <c r="C265" s="108"/>
      <c r="D265" s="108"/>
      <c r="E265" s="108"/>
      <c r="F265" s="108"/>
      <c r="G265" s="293">
        <f>SUM(G263:G264)</f>
        <v>3347.6483787013622</v>
      </c>
      <c r="H265" s="293">
        <f t="shared" ref="H265:K265" si="134">SUM(H263:H264)</f>
        <v>5357.5199321248219</v>
      </c>
      <c r="I265" s="293">
        <f t="shared" si="134"/>
        <v>6148.586908052308</v>
      </c>
      <c r="J265" s="293">
        <f t="shared" si="134"/>
        <v>7006.1635625354547</v>
      </c>
      <c r="K265" s="293">
        <f t="shared" si="134"/>
        <v>131761.03375622668</v>
      </c>
    </row>
    <row r="266" spans="2:12" ht="15.75" hidden="1" outlineLevel="1">
      <c r="B266" s="111"/>
      <c r="C266" s="108"/>
      <c r="D266" s="108"/>
      <c r="E266" s="108"/>
      <c r="F266" s="108"/>
      <c r="G266" s="110"/>
      <c r="H266" s="110"/>
      <c r="I266" s="110"/>
      <c r="J266" s="110"/>
      <c r="K266" s="110"/>
    </row>
    <row r="267" spans="2:12" ht="15.75" hidden="1" outlineLevel="1">
      <c r="B267" s="146" t="s">
        <v>126</v>
      </c>
      <c r="C267" s="147">
        <f>C251</f>
        <v>8.5364175549431778E-2</v>
      </c>
      <c r="D267" s="108"/>
      <c r="E267" s="108"/>
      <c r="F267" s="108"/>
      <c r="G267" s="110"/>
      <c r="H267" s="110"/>
      <c r="I267" s="110"/>
      <c r="J267" s="110"/>
      <c r="K267" s="110"/>
    </row>
    <row r="268" spans="2:12" ht="15.75" hidden="1" outlineLevel="1">
      <c r="B268" s="111"/>
      <c r="C268" s="148"/>
      <c r="D268" s="108"/>
      <c r="E268" s="108"/>
      <c r="F268" s="108"/>
      <c r="G268" s="110"/>
      <c r="H268" s="110"/>
      <c r="I268" s="110"/>
      <c r="J268" s="110"/>
      <c r="K268" s="110"/>
    </row>
    <row r="269" spans="2:12" ht="15.75" hidden="1" outlineLevel="1">
      <c r="B269" s="111" t="s">
        <v>134</v>
      </c>
      <c r="C269" s="108"/>
      <c r="D269" s="108"/>
      <c r="E269" s="108"/>
      <c r="F269" s="108"/>
      <c r="G269" s="149">
        <v>1</v>
      </c>
      <c r="H269" s="149">
        <v>2</v>
      </c>
      <c r="I269" s="149">
        <v>3</v>
      </c>
      <c r="J269" s="149">
        <v>4</v>
      </c>
      <c r="K269" s="149">
        <v>5</v>
      </c>
    </row>
    <row r="270" spans="2:12" ht="15.75" hidden="1" outlineLevel="1">
      <c r="B270" s="111" t="s">
        <v>135</v>
      </c>
      <c r="C270" s="108"/>
      <c r="D270" s="108"/>
      <c r="E270" s="108"/>
      <c r="F270" s="108"/>
      <c r="G270" s="124">
        <f>G265/(1+$C$267)^G269</f>
        <v>3084.3549604046211</v>
      </c>
      <c r="H270" s="124">
        <f t="shared" ref="H270:K270" si="135">H265/(1+$C$267)^H269</f>
        <v>4547.920138722885</v>
      </c>
      <c r="I270" s="124">
        <f t="shared" si="135"/>
        <v>4808.9345645841468</v>
      </c>
      <c r="J270" s="124">
        <f t="shared" si="135"/>
        <v>5048.6857666673441</v>
      </c>
      <c r="K270" s="124">
        <f t="shared" si="135"/>
        <v>87480.162193592798</v>
      </c>
    </row>
    <row r="271" spans="2:12" hidden="1" outlineLevel="1"/>
    <row r="272" spans="2:12" hidden="1" outlineLevel="1">
      <c r="G272" s="311" t="s">
        <v>212</v>
      </c>
      <c r="H272" s="311"/>
      <c r="I272" s="311"/>
      <c r="J272" s="311"/>
      <c r="K272" s="311"/>
      <c r="L272" s="311"/>
    </row>
    <row r="273" spans="2:17" ht="16.5" hidden="1" outlineLevel="1">
      <c r="B273" s="126" t="s">
        <v>136</v>
      </c>
      <c r="C273" s="150"/>
      <c r="D273" s="106"/>
      <c r="E273" s="106"/>
      <c r="F273" s="314">
        <f>E281</f>
        <v>5.5639673141452697</v>
      </c>
      <c r="G273" s="313">
        <v>0</v>
      </c>
      <c r="H273" s="313">
        <f>G273+5%</f>
        <v>0.05</v>
      </c>
      <c r="I273" s="313">
        <f>H273+5%</f>
        <v>0.1</v>
      </c>
      <c r="J273" s="313">
        <f>I273+5%</f>
        <v>0.15000000000000002</v>
      </c>
      <c r="K273" s="313">
        <f>J273+5%</f>
        <v>0.2</v>
      </c>
      <c r="L273" s="313">
        <f>K273+5%</f>
        <v>0.25</v>
      </c>
      <c r="M273" s="312"/>
    </row>
    <row r="274" spans="2:17" ht="16.5" hidden="1" outlineLevel="1">
      <c r="B274" s="151" t="s">
        <v>137</v>
      </c>
      <c r="C274" s="128"/>
      <c r="D274" s="152">
        <f>SUM(G269:K270)</f>
        <v>104985.05762397179</v>
      </c>
      <c r="E274" s="106"/>
      <c r="F274" s="165">
        <f>+F275+0.01</f>
        <v>0.13274</v>
      </c>
      <c r="G274" s="310"/>
      <c r="H274" s="309"/>
      <c r="I274" s="309"/>
      <c r="J274" s="309"/>
      <c r="K274" s="309"/>
      <c r="M274" s="309"/>
    </row>
    <row r="275" spans="2:17" ht="16.5" hidden="1" outlineLevel="1">
      <c r="B275" s="153" t="s">
        <v>138</v>
      </c>
      <c r="C275" s="106"/>
      <c r="D275" s="154">
        <f>F200-F201</f>
        <v>9841.2165520876733</v>
      </c>
      <c r="E275" s="106"/>
      <c r="F275" s="165">
        <f>+F276+0.01</f>
        <v>0.12273999999999999</v>
      </c>
      <c r="G275" s="310"/>
      <c r="H275" s="296"/>
      <c r="I275" s="296"/>
      <c r="J275" s="296"/>
    </row>
    <row r="276" spans="2:17" ht="16.5" hidden="1" outlineLevel="1">
      <c r="B276" s="155" t="s">
        <v>139</v>
      </c>
      <c r="C276" s="131"/>
      <c r="D276" s="154">
        <f>D274-D275</f>
        <v>95143.841071884119</v>
      </c>
      <c r="E276" s="106"/>
      <c r="F276" s="166">
        <v>0.11273999999999999</v>
      </c>
      <c r="G276" s="310"/>
      <c r="H276" s="296"/>
      <c r="I276" s="297"/>
      <c r="J276" s="296"/>
    </row>
    <row r="277" spans="2:17" ht="16.5" hidden="1" outlineLevel="1">
      <c r="B277" s="106"/>
      <c r="C277" s="106"/>
      <c r="D277" s="106"/>
      <c r="E277" s="106"/>
      <c r="F277" s="165">
        <f>+F276-0.01</f>
        <v>0.10274</v>
      </c>
      <c r="G277" s="310"/>
      <c r="H277" s="296"/>
      <c r="I277" s="296"/>
      <c r="J277" s="296"/>
    </row>
    <row r="278" spans="2:17" ht="16.5" hidden="1" outlineLevel="1">
      <c r="B278" s="126" t="s">
        <v>140</v>
      </c>
      <c r="C278" s="150"/>
      <c r="D278" s="106"/>
      <c r="E278" s="106"/>
      <c r="F278" s="165">
        <f>+F277-0.01</f>
        <v>9.2740000000000003E-2</v>
      </c>
      <c r="G278" s="310"/>
    </row>
    <row r="279" spans="2:17" ht="16.5" hidden="1" outlineLevel="1">
      <c r="B279" s="151" t="s">
        <v>139</v>
      </c>
      <c r="C279" s="128"/>
      <c r="D279" s="128"/>
      <c r="E279" s="152">
        <f>D276</f>
        <v>95143.841071884119</v>
      </c>
    </row>
    <row r="280" spans="2:17" ht="16.5" hidden="1" outlineLevel="1">
      <c r="B280" s="156" t="s">
        <v>141</v>
      </c>
      <c r="C280" s="106"/>
      <c r="D280" s="157" t="s">
        <v>142</v>
      </c>
      <c r="E280" s="158">
        <v>17100</v>
      </c>
      <c r="G280" s="309"/>
      <c r="H280" s="309"/>
    </row>
    <row r="281" spans="2:17" ht="16.5" hidden="1" outlineLevel="1">
      <c r="B281" s="156" t="s">
        <v>139</v>
      </c>
      <c r="C281" s="106"/>
      <c r="D281" s="159" t="s">
        <v>143</v>
      </c>
      <c r="E281" s="160">
        <f>E279/E280</f>
        <v>5.5639673141452697</v>
      </c>
    </row>
    <row r="282" spans="2:17" ht="16.5" hidden="1" outlineLevel="1">
      <c r="B282" s="156" t="s">
        <v>144</v>
      </c>
      <c r="C282" s="106"/>
      <c r="D282" s="159" t="s">
        <v>143</v>
      </c>
      <c r="E282" s="161">
        <v>7.25</v>
      </c>
    </row>
    <row r="283" spans="2:17" ht="16.5" hidden="1" outlineLevel="1">
      <c r="B283" s="162" t="s">
        <v>145</v>
      </c>
      <c r="C283" s="163"/>
      <c r="D283" s="163"/>
      <c r="E283" s="164">
        <f>E281/E282-1</f>
        <v>-0.23255623253168689</v>
      </c>
    </row>
    <row r="284" spans="2:17" hidden="1" outlineLevel="1"/>
    <row r="285" spans="2:17" collapsed="1"/>
    <row r="286" spans="2:17" ht="21">
      <c r="B286" s="287" t="s">
        <v>146</v>
      </c>
      <c r="C286" s="287"/>
      <c r="D286" s="287"/>
      <c r="E286" s="287"/>
      <c r="F286" s="287"/>
      <c r="G286" s="287"/>
      <c r="H286" s="287"/>
      <c r="I286" s="287"/>
      <c r="J286" s="287"/>
      <c r="K286" s="287"/>
      <c r="L286" s="268"/>
      <c r="M286" s="268"/>
      <c r="N286" s="268"/>
      <c r="O286" s="268"/>
      <c r="P286" s="268"/>
      <c r="Q286" s="268"/>
    </row>
    <row r="287" spans="2:17" hidden="1" outlineLevel="1"/>
    <row r="288" spans="2:17" ht="16.5" hidden="1" outlineLevel="1">
      <c r="B288" s="167" t="s">
        <v>147</v>
      </c>
      <c r="C288"/>
      <c r="D288" s="167"/>
      <c r="E288" s="168" t="s">
        <v>148</v>
      </c>
      <c r="F288" s="168" t="s">
        <v>149</v>
      </c>
      <c r="G288" s="168" t="s">
        <v>150</v>
      </c>
      <c r="H288" s="168" t="s">
        <v>151</v>
      </c>
      <c r="I288" s="168" t="s">
        <v>152</v>
      </c>
      <c r="J288" s="169" t="s">
        <v>99</v>
      </c>
      <c r="K288" s="170"/>
      <c r="L288" s="269" t="s">
        <v>34</v>
      </c>
      <c r="M288" s="270"/>
      <c r="N288" s="269" t="s">
        <v>153</v>
      </c>
      <c r="O288" s="269"/>
      <c r="P288" s="269" t="s">
        <v>154</v>
      </c>
      <c r="Q288" s="269"/>
    </row>
    <row r="289" spans="2:17" ht="16.5" hidden="1" outlineLevel="1">
      <c r="B289" s="171" t="s">
        <v>155</v>
      </c>
      <c r="C289" s="172" t="s">
        <v>156</v>
      </c>
      <c r="D289" s="172" t="s">
        <v>157</v>
      </c>
      <c r="E289" s="173" t="s">
        <v>158</v>
      </c>
      <c r="F289" s="173" t="s">
        <v>159</v>
      </c>
      <c r="G289" s="173" t="s">
        <v>160</v>
      </c>
      <c r="H289" s="173" t="s">
        <v>161</v>
      </c>
      <c r="I289" s="173" t="s">
        <v>162</v>
      </c>
      <c r="J289" s="174">
        <v>2022</v>
      </c>
      <c r="K289" s="175">
        <v>2023</v>
      </c>
      <c r="L289" s="271">
        <v>2022</v>
      </c>
      <c r="M289" s="272">
        <v>2023</v>
      </c>
      <c r="N289" s="271">
        <v>2022</v>
      </c>
      <c r="O289" s="272">
        <v>2023</v>
      </c>
      <c r="P289" s="271">
        <v>2022</v>
      </c>
      <c r="Q289" s="272">
        <v>2023</v>
      </c>
    </row>
    <row r="290" spans="2:17" ht="15.75" hidden="1" outlineLevel="1">
      <c r="B290" s="307"/>
      <c r="C290" s="176"/>
      <c r="D290" s="176"/>
      <c r="E290" s="177" t="s">
        <v>163</v>
      </c>
      <c r="F290" s="177" t="s">
        <v>164</v>
      </c>
      <c r="G290" s="178"/>
      <c r="H290" s="176"/>
      <c r="I290" s="178"/>
      <c r="J290" s="178"/>
      <c r="K290" s="178"/>
      <c r="L290" s="273"/>
      <c r="M290" s="273"/>
      <c r="N290" s="274" t="s">
        <v>165</v>
      </c>
      <c r="O290" s="274" t="s">
        <v>165</v>
      </c>
      <c r="P290" s="274" t="s">
        <v>165</v>
      </c>
      <c r="Q290" s="274" t="s">
        <v>165</v>
      </c>
    </row>
    <row r="291" spans="2:17" ht="15.75" hidden="1" outlineLevel="1">
      <c r="B291" s="308" t="s">
        <v>166</v>
      </c>
      <c r="C291" s="197" t="s">
        <v>167</v>
      </c>
      <c r="D291" s="198" t="s">
        <v>168</v>
      </c>
      <c r="E291" s="199">
        <v>21.698492861715472</v>
      </c>
      <c r="F291" s="200">
        <v>368.32051197901291</v>
      </c>
      <c r="G291" s="201">
        <f>E291*F291</f>
        <v>7992</v>
      </c>
      <c r="H291" s="202">
        <v>2150</v>
      </c>
      <c r="I291" s="201">
        <f>G291+H291</f>
        <v>10142</v>
      </c>
      <c r="J291" s="203">
        <v>1086</v>
      </c>
      <c r="K291" s="203">
        <v>1096.8599999999999</v>
      </c>
      <c r="L291" s="275">
        <v>553</v>
      </c>
      <c r="M291" s="275">
        <v>586.18000000000006</v>
      </c>
      <c r="N291" s="276">
        <f>$I291/J291</f>
        <v>9.3388581952117864</v>
      </c>
      <c r="O291" s="276">
        <f>$I291/K291</f>
        <v>9.2463942526849383</v>
      </c>
      <c r="P291" s="276">
        <f>$G291/L291</f>
        <v>14.452079566003617</v>
      </c>
      <c r="Q291" s="276">
        <f>$G291/M291</f>
        <v>13.634037326418504</v>
      </c>
    </row>
    <row r="292" spans="2:17" ht="15.75" hidden="1" outlineLevel="1">
      <c r="B292" s="308" t="s">
        <v>169</v>
      </c>
      <c r="C292" s="197" t="s">
        <v>167</v>
      </c>
      <c r="D292" s="198" t="s">
        <v>170</v>
      </c>
      <c r="E292" s="199">
        <v>35.877385404688418</v>
      </c>
      <c r="F292" s="200">
        <v>300.91378951458347</v>
      </c>
      <c r="G292" s="201">
        <f t="shared" ref="G292:G300" si="136">E292*F292</f>
        <v>10796</v>
      </c>
      <c r="H292" s="202">
        <v>50</v>
      </c>
      <c r="I292" s="201">
        <f t="shared" ref="I292:I300" si="137">G292+H292</f>
        <v>10846</v>
      </c>
      <c r="J292" s="203">
        <v>2169</v>
      </c>
      <c r="K292" s="203">
        <v>2212.38</v>
      </c>
      <c r="L292" s="275">
        <v>770</v>
      </c>
      <c r="M292" s="275">
        <v>808.5</v>
      </c>
      <c r="N292" s="276">
        <f t="shared" ref="N292:N300" si="138">$I292/J292</f>
        <v>5.0004610419548179</v>
      </c>
      <c r="O292" s="276">
        <f t="shared" ref="O292:O300" si="139">$I292/K292</f>
        <v>4.9024127862302134</v>
      </c>
      <c r="P292" s="276">
        <f t="shared" ref="P292:P300" si="140">$G292/L292</f>
        <v>14.02077922077922</v>
      </c>
      <c r="Q292" s="276">
        <f t="shared" ref="Q292:Q300" si="141">$G292/M292</f>
        <v>13.353123067408781</v>
      </c>
    </row>
    <row r="293" spans="2:17" ht="15.75" hidden="1" outlineLevel="1">
      <c r="B293" s="308" t="s">
        <v>171</v>
      </c>
      <c r="C293" s="197" t="s">
        <v>167</v>
      </c>
      <c r="D293" s="198" t="s">
        <v>170</v>
      </c>
      <c r="E293" s="199">
        <v>15.374632440897289</v>
      </c>
      <c r="F293" s="200">
        <v>669.99975704126928</v>
      </c>
      <c r="G293" s="201">
        <f t="shared" si="136"/>
        <v>10301</v>
      </c>
      <c r="H293" s="202">
        <v>1283</v>
      </c>
      <c r="I293" s="201">
        <f t="shared" si="137"/>
        <v>11584</v>
      </c>
      <c r="J293" s="203">
        <v>1530</v>
      </c>
      <c r="K293" s="203">
        <v>1575.9</v>
      </c>
      <c r="L293" s="275">
        <v>632</v>
      </c>
      <c r="M293" s="275">
        <v>650.96</v>
      </c>
      <c r="N293" s="276">
        <f t="shared" si="138"/>
        <v>7.5712418300653592</v>
      </c>
      <c r="O293" s="276">
        <f t="shared" si="139"/>
        <v>7.3507202233644264</v>
      </c>
      <c r="P293" s="276">
        <f t="shared" si="140"/>
        <v>16.299050632911392</v>
      </c>
      <c r="Q293" s="276">
        <f t="shared" si="141"/>
        <v>15.824321002826593</v>
      </c>
    </row>
    <row r="294" spans="2:17" ht="15.75" hidden="1" outlineLevel="1">
      <c r="B294" s="308" t="s">
        <v>172</v>
      </c>
      <c r="C294" s="197" t="s">
        <v>167</v>
      </c>
      <c r="D294" s="198" t="s">
        <v>170</v>
      </c>
      <c r="E294" s="199">
        <v>39.924401838067752</v>
      </c>
      <c r="F294" s="200">
        <v>248.49464345738468</v>
      </c>
      <c r="G294" s="201">
        <f t="shared" si="136"/>
        <v>9921</v>
      </c>
      <c r="H294" s="202">
        <v>2866</v>
      </c>
      <c r="I294" s="201">
        <f t="shared" si="137"/>
        <v>12787</v>
      </c>
      <c r="J294" s="203">
        <v>1142</v>
      </c>
      <c r="K294" s="203">
        <v>1164.8399999999999</v>
      </c>
      <c r="L294" s="275">
        <v>461</v>
      </c>
      <c r="M294" s="275">
        <v>484.05</v>
      </c>
      <c r="N294" s="276">
        <f t="shared" si="138"/>
        <v>11.197022767075307</v>
      </c>
      <c r="O294" s="276">
        <f t="shared" si="139"/>
        <v>10.977473301054223</v>
      </c>
      <c r="P294" s="276">
        <f t="shared" si="140"/>
        <v>21.520607375271151</v>
      </c>
      <c r="Q294" s="276">
        <f t="shared" si="141"/>
        <v>20.495816547877286</v>
      </c>
    </row>
    <row r="295" spans="2:17" ht="15.75" hidden="1" outlineLevel="1">
      <c r="B295" s="308" t="s">
        <v>173</v>
      </c>
      <c r="C295" s="197" t="s">
        <v>167</v>
      </c>
      <c r="D295" s="198" t="s">
        <v>168</v>
      </c>
      <c r="E295" s="199">
        <v>45.631373013610364</v>
      </c>
      <c r="F295" s="200">
        <v>261.48676254911442</v>
      </c>
      <c r="G295" s="201">
        <f t="shared" si="136"/>
        <v>11932</v>
      </c>
      <c r="H295" s="202">
        <v>396</v>
      </c>
      <c r="I295" s="201">
        <f t="shared" si="137"/>
        <v>12328</v>
      </c>
      <c r="J295" s="203">
        <v>2055</v>
      </c>
      <c r="K295" s="203">
        <v>2096.1</v>
      </c>
      <c r="L295" s="275">
        <v>693</v>
      </c>
      <c r="M295" s="275">
        <v>699.93</v>
      </c>
      <c r="N295" s="276">
        <f t="shared" si="138"/>
        <v>5.9990267639902672</v>
      </c>
      <c r="O295" s="276">
        <f t="shared" si="139"/>
        <v>5.881398788225753</v>
      </c>
      <c r="P295" s="276">
        <f t="shared" si="140"/>
        <v>17.217893217893216</v>
      </c>
      <c r="Q295" s="276">
        <f t="shared" si="141"/>
        <v>17.04741902761705</v>
      </c>
    </row>
    <row r="296" spans="2:17" ht="15.75" hidden="1" outlineLevel="1">
      <c r="B296" s="308" t="s">
        <v>174</v>
      </c>
      <c r="C296" s="197" t="s">
        <v>167</v>
      </c>
      <c r="D296" s="198" t="s">
        <v>168</v>
      </c>
      <c r="E296" s="199">
        <v>37.929366506268146</v>
      </c>
      <c r="F296" s="200">
        <v>244.71803393990436</v>
      </c>
      <c r="G296" s="201">
        <f t="shared" si="136"/>
        <v>9282</v>
      </c>
      <c r="H296" s="202">
        <v>1218</v>
      </c>
      <c r="I296" s="201">
        <f t="shared" si="137"/>
        <v>10500</v>
      </c>
      <c r="J296" s="203">
        <v>2625</v>
      </c>
      <c r="K296" s="203">
        <v>2625</v>
      </c>
      <c r="L296" s="275">
        <v>732</v>
      </c>
      <c r="M296" s="275">
        <v>739.32</v>
      </c>
      <c r="N296" s="276">
        <f t="shared" si="138"/>
        <v>4</v>
      </c>
      <c r="O296" s="276">
        <f t="shared" si="139"/>
        <v>4</v>
      </c>
      <c r="P296" s="276">
        <f t="shared" si="140"/>
        <v>12.680327868852459</v>
      </c>
      <c r="Q296" s="276">
        <f t="shared" si="141"/>
        <v>12.55478006817075</v>
      </c>
    </row>
    <row r="297" spans="2:17" ht="15.75" hidden="1" outlineLevel="1">
      <c r="B297" s="308" t="s">
        <v>175</v>
      </c>
      <c r="C297" s="197" t="s">
        <v>167</v>
      </c>
      <c r="D297" s="198" t="s">
        <v>170</v>
      </c>
      <c r="E297" s="199">
        <v>46.356571433408185</v>
      </c>
      <c r="F297" s="200">
        <v>379</v>
      </c>
      <c r="G297" s="201">
        <f t="shared" si="136"/>
        <v>17569.140573261702</v>
      </c>
      <c r="H297" s="202">
        <v>17199.999999999993</v>
      </c>
      <c r="I297" s="201">
        <f t="shared" si="137"/>
        <v>34769.140573261699</v>
      </c>
      <c r="J297" s="203">
        <v>4688</v>
      </c>
      <c r="K297" s="203">
        <v>4688</v>
      </c>
      <c r="L297" s="275">
        <v>1092</v>
      </c>
      <c r="M297" s="275">
        <v>1168.44</v>
      </c>
      <c r="N297" s="276">
        <f t="shared" si="138"/>
        <v>7.4166255489039461</v>
      </c>
      <c r="O297" s="276">
        <f t="shared" si="139"/>
        <v>7.4166255489039461</v>
      </c>
      <c r="P297" s="276">
        <f t="shared" si="140"/>
        <v>16.088956568920974</v>
      </c>
      <c r="Q297" s="276">
        <f t="shared" si="141"/>
        <v>15.036408008337357</v>
      </c>
    </row>
    <row r="298" spans="2:17" ht="15.75" hidden="1" outlineLevel="1">
      <c r="B298" s="308" t="s">
        <v>176</v>
      </c>
      <c r="C298" s="197" t="s">
        <v>167</v>
      </c>
      <c r="D298" s="198" t="s">
        <v>168</v>
      </c>
      <c r="E298" s="199">
        <v>40.566817779110671</v>
      </c>
      <c r="F298" s="200">
        <v>122.27974170935197</v>
      </c>
      <c r="G298" s="201">
        <f t="shared" si="136"/>
        <v>4960.5</v>
      </c>
      <c r="H298" s="202">
        <v>1433</v>
      </c>
      <c r="I298" s="201">
        <f t="shared" si="137"/>
        <v>6393.5</v>
      </c>
      <c r="J298" s="203">
        <v>850</v>
      </c>
      <c r="K298" s="203">
        <v>884</v>
      </c>
      <c r="L298" s="275">
        <v>276</v>
      </c>
      <c r="M298" s="275">
        <v>281.52</v>
      </c>
      <c r="N298" s="276">
        <f t="shared" si="138"/>
        <v>7.5217647058823527</v>
      </c>
      <c r="O298" s="276">
        <f t="shared" si="139"/>
        <v>7.2324660633484159</v>
      </c>
      <c r="P298" s="276">
        <f t="shared" si="140"/>
        <v>17.972826086956523</v>
      </c>
      <c r="Q298" s="276">
        <f t="shared" si="141"/>
        <v>17.620417732310315</v>
      </c>
    </row>
    <row r="299" spans="2:17" ht="15.75" hidden="1" outlineLevel="1">
      <c r="B299" s="308" t="s">
        <v>177</v>
      </c>
      <c r="C299" s="197" t="s">
        <v>167</v>
      </c>
      <c r="D299" s="198" t="s">
        <v>178</v>
      </c>
      <c r="E299" s="199">
        <v>18.943668553284319</v>
      </c>
      <c r="F299" s="200">
        <v>48.997901192642821</v>
      </c>
      <c r="G299" s="201">
        <f t="shared" si="136"/>
        <v>928.2</v>
      </c>
      <c r="H299" s="202">
        <v>121.79999999999995</v>
      </c>
      <c r="I299" s="201">
        <f t="shared" si="137"/>
        <v>1050</v>
      </c>
      <c r="J299" s="203">
        <v>252</v>
      </c>
      <c r="K299" s="203">
        <v>257.04000000000002</v>
      </c>
      <c r="L299" s="275">
        <v>74</v>
      </c>
      <c r="M299" s="275">
        <v>76.22</v>
      </c>
      <c r="N299" s="276">
        <f t="shared" si="138"/>
        <v>4.166666666666667</v>
      </c>
      <c r="O299" s="276">
        <f t="shared" si="139"/>
        <v>4.0849673202614376</v>
      </c>
      <c r="P299" s="276">
        <f t="shared" si="140"/>
        <v>12.543243243243245</v>
      </c>
      <c r="Q299" s="276">
        <f t="shared" si="141"/>
        <v>12.177906061401208</v>
      </c>
    </row>
    <row r="300" spans="2:17" ht="15.75" hidden="1" outlineLevel="1">
      <c r="B300" s="308" t="s">
        <v>179</v>
      </c>
      <c r="C300" s="197" t="s">
        <v>167</v>
      </c>
      <c r="D300" s="198" t="s">
        <v>180</v>
      </c>
      <c r="E300" s="199">
        <v>15.372458268607836</v>
      </c>
      <c r="F300" s="200">
        <v>96.158986036647022</v>
      </c>
      <c r="G300" s="201">
        <f t="shared" si="136"/>
        <v>1478.2</v>
      </c>
      <c r="H300" s="202">
        <v>121.79999999999995</v>
      </c>
      <c r="I300" s="201">
        <f t="shared" si="137"/>
        <v>1600</v>
      </c>
      <c r="J300" s="203">
        <v>402</v>
      </c>
      <c r="K300" s="203">
        <v>402</v>
      </c>
      <c r="L300" s="275">
        <v>114</v>
      </c>
      <c r="M300" s="275">
        <v>121.98</v>
      </c>
      <c r="N300" s="276">
        <f t="shared" si="138"/>
        <v>3.9800995024875623</v>
      </c>
      <c r="O300" s="276">
        <f t="shared" si="139"/>
        <v>3.9800995024875623</v>
      </c>
      <c r="P300" s="276">
        <f t="shared" si="140"/>
        <v>12.966666666666667</v>
      </c>
      <c r="Q300" s="276">
        <f t="shared" si="141"/>
        <v>12.118380062305295</v>
      </c>
    </row>
    <row r="301" spans="2:17" ht="15.75" hidden="1" outlineLevel="1">
      <c r="B301" s="179"/>
      <c r="C301" s="179"/>
      <c r="D301" s="179"/>
      <c r="E301" s="181"/>
      <c r="F301" s="181"/>
      <c r="G301" s="181"/>
      <c r="H301" s="182"/>
      <c r="I301" s="181"/>
      <c r="J301" s="181"/>
      <c r="K301" s="181"/>
      <c r="L301" s="277"/>
      <c r="M301" s="278"/>
      <c r="N301" s="278"/>
      <c r="O301" s="278"/>
      <c r="P301" s="278"/>
      <c r="Q301" s="279"/>
    </row>
    <row r="302" spans="2:17" ht="15.75" hidden="1" outlineLevel="1">
      <c r="B302" s="179"/>
      <c r="C302" s="179"/>
      <c r="D302" s="179"/>
      <c r="E302" s="181"/>
      <c r="F302" s="181"/>
      <c r="G302" s="181"/>
      <c r="H302" s="182"/>
      <c r="I302" s="181"/>
      <c r="J302" s="181"/>
      <c r="K302" s="181"/>
      <c r="L302" s="277"/>
      <c r="M302" s="278"/>
      <c r="N302" s="278"/>
      <c r="O302" s="278"/>
      <c r="P302" s="278"/>
      <c r="Q302" s="279"/>
    </row>
    <row r="303" spans="2:17" ht="15.75" hidden="1" outlineLevel="1">
      <c r="B303" s="183" t="s">
        <v>181</v>
      </c>
      <c r="C303" s="184"/>
      <c r="D303" s="184"/>
      <c r="E303" s="182"/>
      <c r="F303" s="182"/>
      <c r="G303" s="185"/>
      <c r="H303" s="182"/>
      <c r="I303" s="185"/>
      <c r="J303" s="182"/>
      <c r="K303" s="186"/>
      <c r="L303" s="280"/>
      <c r="M303" s="277"/>
      <c r="N303" s="276">
        <f>AVERAGE(N291:N300)</f>
        <v>6.6191767022238066</v>
      </c>
      <c r="O303" s="276">
        <f t="shared" ref="O303:P303" si="142">AVERAGE(O291:O300)</f>
        <v>6.5072557786560923</v>
      </c>
      <c r="P303" s="276">
        <f t="shared" si="142"/>
        <v>15.576243044749848</v>
      </c>
      <c r="Q303" s="276">
        <f>AVERAGE(Q291:Q300)</f>
        <v>14.986260890467316</v>
      </c>
    </row>
    <row r="304" spans="2:17" ht="15.75" hidden="1" outlineLevel="1">
      <c r="B304" s="183" t="s">
        <v>182</v>
      </c>
      <c r="C304" s="183"/>
      <c r="D304" s="183"/>
      <c r="E304" s="182"/>
      <c r="F304" s="182"/>
      <c r="G304" s="185"/>
      <c r="H304" s="182"/>
      <c r="I304" s="185"/>
      <c r="J304" s="187"/>
      <c r="K304" s="181"/>
      <c r="L304" s="281"/>
      <c r="M304" s="281"/>
      <c r="N304" s="276">
        <f>MEDIAN(N291:N299)</f>
        <v>7.4166255489039461</v>
      </c>
      <c r="O304" s="276">
        <f t="shared" ref="O304:Q304" si="143">MEDIAN(O291:O299)</f>
        <v>7.2324660633484159</v>
      </c>
      <c r="P304" s="276">
        <f t="shared" si="143"/>
        <v>16.088956568920974</v>
      </c>
      <c r="Q304" s="276">
        <f t="shared" si="143"/>
        <v>15.036408008337357</v>
      </c>
    </row>
    <row r="305" spans="2:17" ht="15.75" hidden="1" outlineLevel="1">
      <c r="B305" s="183" t="s">
        <v>183</v>
      </c>
      <c r="C305" s="183"/>
      <c r="D305" s="183"/>
      <c r="E305" s="188"/>
      <c r="F305" s="188"/>
      <c r="G305" s="185"/>
      <c r="H305" s="188"/>
      <c r="I305" s="185"/>
      <c r="J305" s="186"/>
      <c r="K305" s="188"/>
      <c r="L305" s="281"/>
      <c r="M305" s="281"/>
      <c r="N305" s="276">
        <f>MAX(N291:N300)</f>
        <v>11.197022767075307</v>
      </c>
      <c r="O305" s="276">
        <f t="shared" ref="O305:Q305" si="144">MAX(O291:O300)</f>
        <v>10.977473301054223</v>
      </c>
      <c r="P305" s="276">
        <f t="shared" si="144"/>
        <v>21.520607375271151</v>
      </c>
      <c r="Q305" s="276">
        <f t="shared" si="144"/>
        <v>20.495816547877286</v>
      </c>
    </row>
    <row r="306" spans="2:17" ht="15.75" hidden="1" outlineLevel="1">
      <c r="B306" s="183" t="s">
        <v>184</v>
      </c>
      <c r="C306" s="183"/>
      <c r="D306" s="183"/>
      <c r="E306" s="188"/>
      <c r="F306" s="188"/>
      <c r="G306" s="185"/>
      <c r="H306" s="188"/>
      <c r="I306" s="185"/>
      <c r="J306" s="186"/>
      <c r="K306" s="189"/>
      <c r="L306" s="281"/>
      <c r="M306" s="281"/>
      <c r="N306" s="276">
        <f>MIN(N291:N299)</f>
        <v>4</v>
      </c>
      <c r="O306" s="276">
        <f t="shared" ref="O306:Q306" si="145">MIN(O291:O299)</f>
        <v>4</v>
      </c>
      <c r="P306" s="276">
        <f t="shared" si="145"/>
        <v>12.543243243243245</v>
      </c>
      <c r="Q306" s="276">
        <f t="shared" si="145"/>
        <v>12.177906061401208</v>
      </c>
    </row>
    <row r="307" spans="2:17" ht="15.75" hidden="1" outlineLevel="1">
      <c r="B307" s="183"/>
      <c r="C307" s="183"/>
      <c r="D307" s="183"/>
      <c r="E307" s="188"/>
      <c r="F307" s="188"/>
      <c r="G307" s="185"/>
      <c r="H307" s="188"/>
      <c r="I307" s="185"/>
      <c r="J307" s="186"/>
      <c r="K307" s="189"/>
      <c r="L307" s="281"/>
      <c r="M307" s="281"/>
      <c r="N307" s="282"/>
      <c r="O307" s="282"/>
      <c r="P307" s="282"/>
      <c r="Q307" s="282"/>
    </row>
    <row r="308" spans="2:17" ht="15.75" hidden="1" outlineLevel="1">
      <c r="B308" s="183"/>
      <c r="C308" s="183"/>
      <c r="D308" s="183"/>
      <c r="E308" s="188"/>
      <c r="F308" s="188"/>
      <c r="G308" s="185"/>
      <c r="H308" s="188"/>
      <c r="I308" s="185"/>
      <c r="J308" s="186"/>
      <c r="K308" s="189"/>
      <c r="L308" s="281"/>
      <c r="M308" s="281"/>
      <c r="N308" s="282"/>
      <c r="O308" s="282"/>
      <c r="P308" s="282"/>
      <c r="Q308" s="282"/>
    </row>
    <row r="309" spans="2:17" ht="15.75" hidden="1" outlineLevel="1">
      <c r="B309" s="190" t="s">
        <v>185</v>
      </c>
      <c r="C309" s="176"/>
      <c r="D309" s="176"/>
      <c r="E309" s="181"/>
      <c r="F309" s="181"/>
      <c r="G309" s="181"/>
      <c r="H309" s="182"/>
      <c r="I309" s="181"/>
      <c r="J309" s="181"/>
      <c r="K309" s="181"/>
      <c r="L309" s="277"/>
      <c r="M309" s="278"/>
      <c r="N309" s="278"/>
      <c r="O309" s="278"/>
      <c r="P309" s="278"/>
      <c r="Q309" s="279"/>
    </row>
    <row r="310" spans="2:17" ht="15.75" hidden="1" outlineLevel="1">
      <c r="B310" s="191" t="s">
        <v>186</v>
      </c>
      <c r="C310" s="176"/>
      <c r="D310" s="176"/>
      <c r="E310" s="192">
        <f>G310/F310</f>
        <v>5.6809965884735636</v>
      </c>
      <c r="F310" s="193">
        <f>$E$280</f>
        <v>17100</v>
      </c>
      <c r="G310" s="180">
        <f>I310-H310</f>
        <v>97145.041662897944</v>
      </c>
      <c r="H310" s="194">
        <f>$D$275</f>
        <v>9841.2165520876733</v>
      </c>
      <c r="I310" s="180">
        <f>N310*J310</f>
        <v>106986.25821498562</v>
      </c>
      <c r="J310" s="195">
        <f>F197</f>
        <v>14425.193440000003</v>
      </c>
      <c r="K310" s="181"/>
      <c r="L310" s="277"/>
      <c r="M310" s="278"/>
      <c r="N310" s="283">
        <f>N304</f>
        <v>7.4166255489039461</v>
      </c>
      <c r="O310" s="278"/>
      <c r="P310" s="278"/>
      <c r="Q310" s="279"/>
    </row>
    <row r="311" spans="2:17" ht="15.75" hidden="1" outlineLevel="1">
      <c r="B311" s="191" t="s">
        <v>187</v>
      </c>
      <c r="C311" s="188"/>
      <c r="D311" s="188"/>
      <c r="E311" s="192">
        <f t="shared" ref="E311:E313" si="146">G311/F311</f>
        <v>4.7267447796814652</v>
      </c>
      <c r="F311" s="193">
        <f t="shared" ref="F311:F313" si="147">$E$280</f>
        <v>17100</v>
      </c>
      <c r="G311" s="180">
        <f t="shared" ref="G311:G313" si="148">I311-H311</f>
        <v>80827.335732553052</v>
      </c>
      <c r="H311" s="194">
        <f t="shared" ref="H311:H313" si="149">$D$275</f>
        <v>9841.2165520876733</v>
      </c>
      <c r="I311" s="196">
        <f>K311*O311</f>
        <v>90668.552284640726</v>
      </c>
      <c r="J311" s="188"/>
      <c r="K311" s="195">
        <f>G197</f>
        <v>12536.325990400001</v>
      </c>
      <c r="L311" s="284"/>
      <c r="M311" s="284"/>
      <c r="N311" s="280"/>
      <c r="O311" s="285">
        <f>O304</f>
        <v>7.2324660633484159</v>
      </c>
      <c r="P311" s="284"/>
      <c r="Q311" s="284"/>
    </row>
    <row r="312" spans="2:17" ht="15.75" hidden="1" outlineLevel="1">
      <c r="B312" s="191" t="s">
        <v>188</v>
      </c>
      <c r="C312" s="188"/>
      <c r="D312" s="188"/>
      <c r="E312" s="192">
        <f t="shared" si="146"/>
        <v>7.617808193092646</v>
      </c>
      <c r="F312" s="193">
        <f t="shared" si="147"/>
        <v>17100</v>
      </c>
      <c r="G312" s="180">
        <f t="shared" si="148"/>
        <v>130264.52010188425</v>
      </c>
      <c r="H312" s="194">
        <f t="shared" si="149"/>
        <v>9841.2165520876733</v>
      </c>
      <c r="I312" s="196">
        <f>L312*P312</f>
        <v>140105.73665397192</v>
      </c>
      <c r="J312" s="188"/>
      <c r="K312" s="188"/>
      <c r="L312" s="286">
        <f>F190</f>
        <v>8708.1928560000015</v>
      </c>
      <c r="M312" s="284"/>
      <c r="N312" s="280"/>
      <c r="O312" s="284"/>
      <c r="P312" s="285">
        <f>P304</f>
        <v>16.088956568920974</v>
      </c>
      <c r="Q312" s="284"/>
    </row>
    <row r="313" spans="2:17" ht="15.75" hidden="1" outlineLevel="1">
      <c r="B313" s="191" t="s">
        <v>189</v>
      </c>
      <c r="C313" s="188"/>
      <c r="D313" s="188"/>
      <c r="E313" s="192">
        <f t="shared" si="146"/>
        <v>4.4341607393766722</v>
      </c>
      <c r="F313" s="193">
        <f t="shared" si="147"/>
        <v>17100</v>
      </c>
      <c r="G313" s="180">
        <f t="shared" si="148"/>
        <v>75824.14864334109</v>
      </c>
      <c r="H313" s="194">
        <f t="shared" si="149"/>
        <v>9841.2165520876733</v>
      </c>
      <c r="I313" s="196">
        <f>M313*Q313</f>
        <v>85665.365195428763</v>
      </c>
      <c r="J313" s="188"/>
      <c r="K313" s="188"/>
      <c r="L313" s="284"/>
      <c r="M313" s="286">
        <f>G190</f>
        <v>5697.1961088000007</v>
      </c>
      <c r="N313" s="280"/>
      <c r="O313" s="284"/>
      <c r="P313" s="284"/>
      <c r="Q313" s="285">
        <f>Q304</f>
        <v>15.036408008337357</v>
      </c>
    </row>
    <row r="314" spans="2:17" hidden="1" outlineLevel="1"/>
    <row r="315" spans="2:17" collapsed="1"/>
    <row r="316" spans="2:17" ht="21">
      <c r="B316" s="287" t="s">
        <v>211</v>
      </c>
      <c r="C316" s="287"/>
      <c r="D316" s="287"/>
      <c r="E316" s="287"/>
      <c r="F316" s="287"/>
      <c r="G316" s="287"/>
      <c r="H316" s="287"/>
      <c r="I316" s="287"/>
      <c r="J316" s="287"/>
      <c r="K316" s="287"/>
      <c r="L316" s="268"/>
      <c r="M316" s="268"/>
      <c r="N316" s="268"/>
      <c r="O316" s="268"/>
      <c r="P316" s="268"/>
      <c r="Q316" s="268"/>
    </row>
    <row r="317" spans="2:17" hidden="1" outlineLevel="1"/>
    <row r="318" spans="2:17" ht="18.75" hidden="1" outlineLevel="1" thickBot="1">
      <c r="B318" s="243"/>
      <c r="C318" s="243" t="s">
        <v>190</v>
      </c>
      <c r="D318" s="243" t="s">
        <v>191</v>
      </c>
      <c r="E318" s="243" t="s">
        <v>192</v>
      </c>
      <c r="F318" s="243" t="s">
        <v>191</v>
      </c>
    </row>
    <row r="319" spans="2:17" ht="19.5" hidden="1" outlineLevel="1" thickBot="1">
      <c r="B319" s="243" t="s">
        <v>193</v>
      </c>
      <c r="C319" s="243" t="s">
        <v>194</v>
      </c>
      <c r="D319" s="243" t="s">
        <v>195</v>
      </c>
      <c r="E319" s="243" t="s">
        <v>194</v>
      </c>
      <c r="F319" s="243" t="s">
        <v>195</v>
      </c>
      <c r="H319" s="302" t="s">
        <v>207</v>
      </c>
      <c r="I319" s="303"/>
      <c r="J319" s="303"/>
      <c r="K319" s="303"/>
      <c r="L319" s="303"/>
      <c r="M319" s="303"/>
      <c r="N319" s="303"/>
      <c r="O319" s="303"/>
      <c r="P319" s="303"/>
      <c r="Q319" s="304"/>
    </row>
    <row r="320" spans="2:17" ht="16.5" hidden="1" outlineLevel="1" thickBot="1">
      <c r="B320" s="205">
        <v>42766</v>
      </c>
      <c r="C320" s="206">
        <v>176.73450323613798</v>
      </c>
      <c r="D320" s="108"/>
      <c r="E320" s="206">
        <v>30.895937099999998</v>
      </c>
      <c r="F320" s="108"/>
    </row>
    <row r="321" spans="2:17" ht="16.5" hidden="1" outlineLevel="1" thickBot="1">
      <c r="B321" s="205">
        <f>B320+7</f>
        <v>42773</v>
      </c>
      <c r="C321" s="206">
        <v>176.71048241809569</v>
      </c>
      <c r="D321" s="204">
        <f>C321/C320-1</f>
        <v>-1.3591470597107413E-4</v>
      </c>
      <c r="E321" s="206">
        <v>30.922633824893349</v>
      </c>
      <c r="F321" s="204">
        <f>E321/E320-1</f>
        <v>8.6408529402892675E-4</v>
      </c>
      <c r="H321" s="241" t="s">
        <v>118</v>
      </c>
      <c r="I321" s="242">
        <f>SLOPE(F321:F631,D321:D631)</f>
        <v>0.9085170340727784</v>
      </c>
    </row>
    <row r="322" spans="2:17" ht="16.5" hidden="1" outlineLevel="1" thickBot="1">
      <c r="B322" s="205">
        <f t="shared" ref="B322:B385" si="150">B321+7</f>
        <v>42780</v>
      </c>
      <c r="C322" s="206">
        <v>178.1450590511777</v>
      </c>
      <c r="D322" s="204">
        <f t="shared" ref="D322:D385" si="151">C322/C321-1</f>
        <v>8.1182316603483073E-3</v>
      </c>
      <c r="E322" s="206">
        <v>31.173670929831957</v>
      </c>
      <c r="F322" s="204">
        <f t="shared" ref="F322:F385" si="152">E322/E321-1</f>
        <v>8.1182316603483073E-3</v>
      </c>
      <c r="H322" s="241" t="s">
        <v>208</v>
      </c>
      <c r="I322" s="242">
        <f>RSQ(F321:F631,D321:D631)</f>
        <v>8.9883185247873087E-2</v>
      </c>
    </row>
    <row r="323" spans="2:17" ht="16.5" hidden="1" outlineLevel="1" thickBot="1">
      <c r="B323" s="205">
        <f t="shared" si="150"/>
        <v>42787</v>
      </c>
      <c r="C323" s="206">
        <v>178.4359778474678</v>
      </c>
      <c r="D323" s="204">
        <f t="shared" si="151"/>
        <v>1.6330444292957935E-3</v>
      </c>
      <c r="E323" s="206">
        <v>31.219488120519351</v>
      </c>
      <c r="F323" s="204">
        <f t="shared" si="152"/>
        <v>1.4697399863661254E-3</v>
      </c>
    </row>
    <row r="324" spans="2:17" ht="19.5" hidden="1" outlineLevel="1" thickBot="1">
      <c r="B324" s="205">
        <f t="shared" si="150"/>
        <v>42794</v>
      </c>
      <c r="C324" s="206">
        <v>178.59211316474278</v>
      </c>
      <c r="D324" s="204">
        <f t="shared" si="151"/>
        <v>8.750215015969065E-4</v>
      </c>
      <c r="E324" s="206">
        <v>30.372660176519112</v>
      </c>
      <c r="F324" s="204">
        <f t="shared" si="152"/>
        <v>-2.7124978498403118E-2</v>
      </c>
      <c r="H324" s="302" t="s">
        <v>209</v>
      </c>
      <c r="I324" s="303"/>
      <c r="J324" s="303"/>
      <c r="K324" s="303"/>
      <c r="L324" s="303"/>
      <c r="M324" s="303"/>
      <c r="N324" s="303"/>
      <c r="O324" s="303"/>
      <c r="P324" s="303"/>
      <c r="Q324" s="304"/>
    </row>
    <row r="325" spans="2:17" ht="16.5" hidden="1" outlineLevel="1">
      <c r="B325" s="205">
        <f t="shared" si="150"/>
        <v>42801</v>
      </c>
      <c r="C325" s="206">
        <v>180.32294655367986</v>
      </c>
      <c r="D325" s="204">
        <f t="shared" si="151"/>
        <v>9.691544370385774E-3</v>
      </c>
      <c r="E325" s="206">
        <v>30.363291558501306</v>
      </c>
      <c r="F325" s="204">
        <f t="shared" si="152"/>
        <v>-3.0845562961423489E-4</v>
      </c>
      <c r="H325" s="207"/>
      <c r="I325" s="208"/>
      <c r="J325" s="208"/>
      <c r="K325" s="208"/>
      <c r="L325" s="209"/>
      <c r="M325" s="210"/>
      <c r="N325" s="227" t="s">
        <v>181</v>
      </c>
      <c r="O325" s="228" t="s">
        <v>196</v>
      </c>
      <c r="P325" s="227" t="s">
        <v>197</v>
      </c>
      <c r="Q325" s="229" t="s">
        <v>198</v>
      </c>
    </row>
    <row r="326" spans="2:17" ht="16.5" hidden="1" outlineLevel="1">
      <c r="B326" s="205">
        <f t="shared" si="150"/>
        <v>42808</v>
      </c>
      <c r="C326" s="206">
        <v>180.87409087876162</v>
      </c>
      <c r="D326" s="204">
        <f t="shared" si="151"/>
        <v>3.0564292321926256E-3</v>
      </c>
      <c r="E326" s="206">
        <v>29.879192270794771</v>
      </c>
      <c r="F326" s="204">
        <f t="shared" si="152"/>
        <v>-1.5943570767807391E-2</v>
      </c>
      <c r="H326" s="248" t="s">
        <v>199</v>
      </c>
      <c r="I326" s="249"/>
      <c r="J326" s="250" t="s">
        <v>200</v>
      </c>
      <c r="K326" s="249"/>
      <c r="L326" s="251" t="s">
        <v>161</v>
      </c>
      <c r="M326" s="251" t="s">
        <v>201</v>
      </c>
      <c r="N326" s="252" t="s">
        <v>95</v>
      </c>
      <c r="O326" s="253" t="s">
        <v>201</v>
      </c>
      <c r="P326" s="252" t="s">
        <v>202</v>
      </c>
      <c r="Q326" s="254" t="s">
        <v>203</v>
      </c>
    </row>
    <row r="327" spans="2:17" ht="15.75" hidden="1" outlineLevel="1">
      <c r="B327" s="205">
        <f t="shared" si="150"/>
        <v>42815</v>
      </c>
      <c r="C327" s="206">
        <v>181.80423033295523</v>
      </c>
      <c r="D327" s="204">
        <f t="shared" si="151"/>
        <v>5.1424692706103503E-3</v>
      </c>
      <c r="E327" s="206">
        <v>29.793811560711632</v>
      </c>
      <c r="F327" s="204">
        <f t="shared" si="152"/>
        <v>-2.8575307293896568E-3</v>
      </c>
      <c r="H327" s="244"/>
      <c r="I327" s="244"/>
      <c r="J327" s="244"/>
      <c r="K327" s="244"/>
      <c r="L327" s="245"/>
      <c r="M327" s="245"/>
      <c r="N327" s="246"/>
      <c r="O327" s="228"/>
      <c r="P327" s="247"/>
      <c r="Q327" s="245"/>
    </row>
    <row r="328" spans="2:17" ht="16.5" hidden="1" outlineLevel="1">
      <c r="B328" s="205">
        <f t="shared" si="150"/>
        <v>42822</v>
      </c>
      <c r="C328" s="206">
        <v>180.86808567425103</v>
      </c>
      <c r="D328" s="204">
        <f t="shared" si="151"/>
        <v>-5.1491907365948109E-3</v>
      </c>
      <c r="E328" s="206">
        <v>29.193490368804689</v>
      </c>
      <c r="F328" s="204">
        <f t="shared" si="152"/>
        <v>-2.0149190736594824E-2</v>
      </c>
      <c r="H328" s="211" t="s">
        <v>166</v>
      </c>
      <c r="I328" s="212"/>
      <c r="J328" s="230" t="s">
        <v>204</v>
      </c>
      <c r="K328" s="213"/>
      <c r="L328" s="231">
        <v>63000</v>
      </c>
      <c r="M328" s="231">
        <v>370000</v>
      </c>
      <c r="N328" s="232">
        <v>0.315</v>
      </c>
      <c r="O328" s="233">
        <f>L328/M328</f>
        <v>0.17027027027027028</v>
      </c>
      <c r="P328" s="234">
        <v>1.01</v>
      </c>
      <c r="Q328" s="234">
        <f>P328/(1+(1-N328)*O328)</f>
        <v>0.9045031525698588</v>
      </c>
    </row>
    <row r="329" spans="2:17" ht="16.5" hidden="1" outlineLevel="1">
      <c r="B329" s="205">
        <f t="shared" si="150"/>
        <v>42829</v>
      </c>
      <c r="C329" s="206">
        <v>182.02975912457464</v>
      </c>
      <c r="D329" s="204">
        <f t="shared" si="151"/>
        <v>6.4227663271441138E-3</v>
      </c>
      <c r="E329" s="206">
        <v>29.380993335717253</v>
      </c>
      <c r="F329" s="204">
        <f t="shared" si="152"/>
        <v>6.4227663271441138E-3</v>
      </c>
      <c r="H329" s="211" t="s">
        <v>169</v>
      </c>
      <c r="I329" s="212"/>
      <c r="J329" s="230" t="s">
        <v>204</v>
      </c>
      <c r="K329" s="213"/>
      <c r="L329" s="231">
        <v>90000</v>
      </c>
      <c r="M329" s="231">
        <v>300000</v>
      </c>
      <c r="N329" s="232">
        <v>0.26500000000000001</v>
      </c>
      <c r="O329" s="233">
        <f>L329/M329</f>
        <v>0.3</v>
      </c>
      <c r="P329" s="234">
        <v>1.0900000000000001</v>
      </c>
      <c r="Q329" s="234">
        <f>P329/(1+(1-N329)*O329)</f>
        <v>0.89307660794756261</v>
      </c>
    </row>
    <row r="330" spans="2:17" ht="16.5" hidden="1" outlineLevel="1">
      <c r="B330" s="205">
        <f t="shared" si="150"/>
        <v>42836</v>
      </c>
      <c r="C330" s="206">
        <v>184.80749983318876</v>
      </c>
      <c r="D330" s="204">
        <f t="shared" si="151"/>
        <v>1.5259816427670714E-2</v>
      </c>
      <c r="E330" s="206">
        <v>30.27005680051867</v>
      </c>
      <c r="F330" s="204">
        <f t="shared" si="152"/>
        <v>3.0259816427670616E-2</v>
      </c>
      <c r="H330" s="260" t="s">
        <v>171</v>
      </c>
      <c r="I330" s="261"/>
      <c r="J330" s="262" t="s">
        <v>204</v>
      </c>
      <c r="K330" s="263"/>
      <c r="L330" s="264">
        <v>75000</v>
      </c>
      <c r="M330" s="264">
        <v>125000</v>
      </c>
      <c r="N330" s="265">
        <v>0.3</v>
      </c>
      <c r="O330" s="266">
        <f>L330/M330</f>
        <v>0.6</v>
      </c>
      <c r="P330" s="267">
        <v>1.25</v>
      </c>
      <c r="Q330" s="267">
        <f>P330/(1+(1-N330)*O330)</f>
        <v>0.88028169014084512</v>
      </c>
    </row>
    <row r="331" spans="2:17" ht="16.5" hidden="1" outlineLevel="1">
      <c r="B331" s="205">
        <f t="shared" si="150"/>
        <v>42843</v>
      </c>
      <c r="C331" s="206">
        <v>186.04990992193234</v>
      </c>
      <c r="D331" s="204">
        <f t="shared" si="151"/>
        <v>6.7227254838955197E-3</v>
      </c>
      <c r="E331" s="206">
        <v>31.502736013988116</v>
      </c>
      <c r="F331" s="204">
        <f t="shared" si="152"/>
        <v>4.072272548389555E-2</v>
      </c>
      <c r="H331" s="106"/>
      <c r="I331" s="216"/>
      <c r="J331" s="217"/>
      <c r="K331" s="217"/>
      <c r="L331" s="214"/>
      <c r="M331" s="214"/>
      <c r="N331" s="218"/>
      <c r="O331" s="219"/>
      <c r="P331" s="220"/>
      <c r="Q331" s="215"/>
    </row>
    <row r="332" spans="2:17" ht="15.75" hidden="1" outlineLevel="1">
      <c r="B332" s="205">
        <f t="shared" si="150"/>
        <v>42850</v>
      </c>
      <c r="C332" s="206">
        <v>185.94114899579634</v>
      </c>
      <c r="D332" s="204">
        <f t="shared" si="151"/>
        <v>-5.8457930015465287E-4</v>
      </c>
      <c r="E332" s="206">
        <v>30.822762710322351</v>
      </c>
      <c r="F332" s="204">
        <f t="shared" si="152"/>
        <v>-2.1584579300154672E-2</v>
      </c>
      <c r="H332" s="142"/>
      <c r="I332" s="221"/>
      <c r="J332" s="221"/>
      <c r="K332" s="221"/>
      <c r="L332" s="222"/>
      <c r="M332" s="255" t="s">
        <v>181</v>
      </c>
      <c r="N332" s="256"/>
      <c r="O332" s="257"/>
      <c r="P332" s="258"/>
      <c r="Q332" s="259">
        <f>AVERAGE(Q328:Q330)</f>
        <v>0.89262048355275547</v>
      </c>
    </row>
    <row r="333" spans="2:17" ht="15.75" hidden="1" outlineLevel="1">
      <c r="B333" s="205">
        <f t="shared" si="150"/>
        <v>42857</v>
      </c>
      <c r="C333" s="206">
        <v>185.77233602455462</v>
      </c>
      <c r="D333" s="204">
        <f t="shared" si="151"/>
        <v>-9.0788387698703676E-4</v>
      </c>
      <c r="E333" s="206">
        <v>31.133829610827</v>
      </c>
      <c r="F333" s="204">
        <f t="shared" si="152"/>
        <v>1.0092116123012973E-2</v>
      </c>
      <c r="H333" s="205"/>
      <c r="I333" s="223"/>
      <c r="J333" s="224"/>
      <c r="K333" s="223"/>
      <c r="L333" s="224"/>
      <c r="M333" s="108"/>
      <c r="N333" s="108"/>
      <c r="O333" s="108"/>
      <c r="P333" s="108"/>
      <c r="Q333" s="108"/>
    </row>
    <row r="334" spans="2:17" ht="15.75" hidden="1" outlineLevel="1">
      <c r="B334" s="205">
        <f t="shared" si="150"/>
        <v>42864</v>
      </c>
      <c r="C334" s="206">
        <v>185.93714552612263</v>
      </c>
      <c r="D334" s="204">
        <f t="shared" si="151"/>
        <v>8.8715847092668554E-4</v>
      </c>
      <c r="E334" s="206">
        <v>31.005781103444498</v>
      </c>
      <c r="F334" s="204">
        <f t="shared" si="152"/>
        <v>-4.1128415290733189E-3</v>
      </c>
      <c r="H334" s="205" t="s">
        <v>205</v>
      </c>
      <c r="I334" s="223"/>
      <c r="J334" s="224"/>
      <c r="K334" s="235">
        <v>0.15</v>
      </c>
      <c r="L334" s="226"/>
      <c r="M334" s="108"/>
      <c r="N334" s="108"/>
      <c r="O334" s="108"/>
      <c r="P334" s="108"/>
      <c r="Q334" s="108"/>
    </row>
    <row r="335" spans="2:17" ht="17.25" hidden="1" outlineLevel="1" thickBot="1">
      <c r="B335" s="205">
        <f t="shared" si="150"/>
        <v>42871</v>
      </c>
      <c r="C335" s="206">
        <v>188.05031026889972</v>
      </c>
      <c r="D335" s="204">
        <f t="shared" si="151"/>
        <v>1.1364941291304387E-2</v>
      </c>
      <c r="E335" s="206">
        <v>31.26514264206585</v>
      </c>
      <c r="F335" s="204">
        <f t="shared" si="152"/>
        <v>8.3649412913044952E-3</v>
      </c>
      <c r="H335" s="205" t="s">
        <v>206</v>
      </c>
      <c r="I335" s="106"/>
      <c r="J335" s="106"/>
      <c r="K335" s="236">
        <v>0.25</v>
      </c>
      <c r="L335" s="225"/>
      <c r="M335" s="108"/>
      <c r="N335" s="108"/>
      <c r="O335" s="108"/>
      <c r="P335" s="108"/>
      <c r="Q335" s="108"/>
    </row>
    <row r="336" spans="2:17" ht="17.25" hidden="1" customHeight="1" outlineLevel="1" thickBot="1">
      <c r="B336" s="205">
        <f t="shared" si="150"/>
        <v>42878</v>
      </c>
      <c r="C336" s="206">
        <v>187.18089010475748</v>
      </c>
      <c r="D336" s="204">
        <f t="shared" si="151"/>
        <v>-4.6233380997831031E-3</v>
      </c>
      <c r="E336" s="206">
        <v>31.183123602177766</v>
      </c>
      <c r="F336" s="204">
        <f t="shared" si="152"/>
        <v>-2.6233380997831013E-3</v>
      </c>
      <c r="H336" s="237" t="s">
        <v>210</v>
      </c>
      <c r="I336" s="238"/>
      <c r="J336" s="239"/>
      <c r="K336" s="240">
        <f>Q332*(1+(1-K335)*K334)</f>
        <v>0.99304028795244048</v>
      </c>
      <c r="L336" s="226"/>
      <c r="M336" s="108"/>
      <c r="N336" s="108"/>
      <c r="O336" s="108"/>
      <c r="P336" s="108"/>
      <c r="Q336" s="108"/>
    </row>
    <row r="337" spans="2:6" ht="15.75" hidden="1" outlineLevel="1">
      <c r="B337" s="205">
        <f t="shared" si="150"/>
        <v>42885</v>
      </c>
      <c r="C337" s="206">
        <v>187.93287515847069</v>
      </c>
      <c r="D337" s="204">
        <f t="shared" si="151"/>
        <v>4.0174242856327869E-3</v>
      </c>
      <c r="E337" s="206">
        <v>31.339582563841219</v>
      </c>
      <c r="F337" s="204">
        <f t="shared" si="152"/>
        <v>5.0174242856326767E-3</v>
      </c>
    </row>
    <row r="338" spans="2:6" ht="15.75" hidden="1" outlineLevel="1">
      <c r="B338" s="205">
        <f t="shared" si="150"/>
        <v>42892</v>
      </c>
      <c r="C338" s="206">
        <v>187.62527523854007</v>
      </c>
      <c r="D338" s="204">
        <f t="shared" si="151"/>
        <v>-1.6367541850846878E-3</v>
      </c>
      <c r="E338" s="206">
        <v>31.350966536048723</v>
      </c>
      <c r="F338" s="204">
        <f t="shared" si="152"/>
        <v>3.6324581491520291E-4</v>
      </c>
    </row>
    <row r="339" spans="2:6" ht="15.75" hidden="1" outlineLevel="1">
      <c r="B339" s="205">
        <f t="shared" si="150"/>
        <v>42899</v>
      </c>
      <c r="C339" s="206">
        <v>187.7520517782078</v>
      </c>
      <c r="D339" s="204">
        <f t="shared" si="151"/>
        <v>6.7569009296075677E-4</v>
      </c>
      <c r="E339" s="206">
        <v>31.591606839294215</v>
      </c>
      <c r="F339" s="204">
        <f t="shared" si="152"/>
        <v>7.675690092960652E-3</v>
      </c>
    </row>
    <row r="340" spans="2:6" ht="15.75" hidden="1" outlineLevel="1">
      <c r="B340" s="205">
        <f t="shared" si="150"/>
        <v>42906</v>
      </c>
      <c r="C340" s="206">
        <v>190.04937612597584</v>
      </c>
      <c r="D340" s="204">
        <f t="shared" si="151"/>
        <v>1.2235948028316956E-2</v>
      </c>
      <c r="E340" s="206">
        <v>34.347530611657909</v>
      </c>
      <c r="F340" s="204">
        <f t="shared" si="152"/>
        <v>8.7235948028316912E-2</v>
      </c>
    </row>
    <row r="341" spans="2:6" ht="15.75" hidden="1" outlineLevel="1">
      <c r="B341" s="205">
        <f t="shared" si="150"/>
        <v>42913</v>
      </c>
      <c r="C341" s="206">
        <v>190.81070260892773</v>
      </c>
      <c r="D341" s="204">
        <f t="shared" si="151"/>
        <v>4.0059404480614624E-3</v>
      </c>
      <c r="E341" s="206">
        <v>34.004259345262966</v>
      </c>
      <c r="F341" s="204">
        <f t="shared" si="152"/>
        <v>-9.99405955193855E-3</v>
      </c>
    </row>
    <row r="342" spans="2:6" ht="15.75" hidden="1" outlineLevel="1">
      <c r="B342" s="205">
        <f t="shared" si="150"/>
        <v>42920</v>
      </c>
      <c r="C342" s="206">
        <v>193.87869486888636</v>
      </c>
      <c r="D342" s="204">
        <f t="shared" si="151"/>
        <v>1.6078722094779785E-2</v>
      </c>
      <c r="E342" s="206">
        <v>33.666893638337427</v>
      </c>
      <c r="F342" s="204">
        <f t="shared" si="152"/>
        <v>-9.9212779052203492E-3</v>
      </c>
    </row>
    <row r="343" spans="2:6" ht="15.75" hidden="1" outlineLevel="1">
      <c r="B343" s="205">
        <f t="shared" si="150"/>
        <v>42927</v>
      </c>
      <c r="C343" s="206">
        <v>193.63381597384398</v>
      </c>
      <c r="D343" s="204">
        <f t="shared" si="151"/>
        <v>-1.2630521120847726E-3</v>
      </c>
      <c r="E343" s="206">
        <v>33.557036809943519</v>
      </c>
      <c r="F343" s="204">
        <f t="shared" si="152"/>
        <v>-3.2630521120847744E-3</v>
      </c>
    </row>
    <row r="344" spans="2:6" ht="15.75" hidden="1" outlineLevel="1">
      <c r="B344" s="205">
        <f t="shared" si="150"/>
        <v>42934</v>
      </c>
      <c r="C344" s="206">
        <v>193.77327016747847</v>
      </c>
      <c r="D344" s="204">
        <f t="shared" si="151"/>
        <v>7.2019545208634739E-4</v>
      </c>
      <c r="E344" s="206">
        <v>35.795968864695809</v>
      </c>
      <c r="F344" s="204">
        <f t="shared" si="152"/>
        <v>6.6720195452086406E-2</v>
      </c>
    </row>
    <row r="345" spans="2:6" ht="15.75" hidden="1" outlineLevel="1">
      <c r="B345" s="205">
        <f t="shared" si="150"/>
        <v>42941</v>
      </c>
      <c r="C345" s="206">
        <v>194.55928471341829</v>
      </c>
      <c r="D345" s="204">
        <f t="shared" si="151"/>
        <v>4.0563620836890912E-3</v>
      </c>
      <c r="E345" s="206">
        <v>36.728681590570787</v>
      </c>
      <c r="F345" s="204">
        <f t="shared" si="152"/>
        <v>2.6056362083689111E-2</v>
      </c>
    </row>
    <row r="346" spans="2:6" ht="15.75" hidden="1" outlineLevel="1">
      <c r="B346" s="205">
        <f t="shared" si="150"/>
        <v>42948</v>
      </c>
      <c r="C346" s="206">
        <v>195.31794221658771</v>
      </c>
      <c r="D346" s="204">
        <f t="shared" si="151"/>
        <v>3.8993641670039825E-3</v>
      </c>
      <c r="E346" s="206">
        <v>36.8575782449768</v>
      </c>
      <c r="F346" s="204">
        <f t="shared" si="152"/>
        <v>3.5094277503036064E-3</v>
      </c>
    </row>
    <row r="347" spans="2:6" ht="15.75" hidden="1" outlineLevel="1">
      <c r="B347" s="205">
        <f t="shared" si="150"/>
        <v>42955</v>
      </c>
      <c r="C347" s="206">
        <v>193.75992526856609</v>
      </c>
      <c r="D347" s="204">
        <f t="shared" si="151"/>
        <v>-7.9768245064446575E-3</v>
      </c>
      <c r="E347" s="206">
        <v>38.443308302077881</v>
      </c>
      <c r="F347" s="204">
        <f t="shared" si="152"/>
        <v>4.3023175493555277E-2</v>
      </c>
    </row>
    <row r="348" spans="2:6" ht="15.75" hidden="1" outlineLevel="1">
      <c r="B348" s="205">
        <f t="shared" si="150"/>
        <v>42962</v>
      </c>
      <c r="C348" s="206">
        <v>195.59551611396543</v>
      </c>
      <c r="D348" s="204">
        <f t="shared" si="151"/>
        <v>9.4735319641308102E-3</v>
      </c>
      <c r="E348" s="206">
        <v>37.692646271324293</v>
      </c>
      <c r="F348" s="204">
        <f t="shared" si="152"/>
        <v>-1.9526468035869216E-2</v>
      </c>
    </row>
    <row r="349" spans="2:6" ht="15.75" hidden="1" outlineLevel="1">
      <c r="B349" s="205">
        <f t="shared" si="150"/>
        <v>42969</v>
      </c>
      <c r="C349" s="206">
        <v>195.62487489157269</v>
      </c>
      <c r="D349" s="204">
        <f t="shared" si="151"/>
        <v>1.5009944087962523E-4</v>
      </c>
      <c r="E349" s="206">
        <v>37.622918623912241</v>
      </c>
      <c r="F349" s="204">
        <f t="shared" si="152"/>
        <v>-1.8499005591203765E-3</v>
      </c>
    </row>
    <row r="350" spans="2:6" ht="15.75" hidden="1" outlineLevel="1">
      <c r="B350" s="205">
        <f t="shared" si="150"/>
        <v>42976</v>
      </c>
      <c r="C350" s="206">
        <v>194.55728297858144</v>
      </c>
      <c r="D350" s="204">
        <f t="shared" si="151"/>
        <v>-5.4573423424959522E-3</v>
      </c>
      <c r="E350" s="206">
        <v>37.831449581920715</v>
      </c>
      <c r="F350" s="204">
        <f t="shared" si="152"/>
        <v>5.5426576575039466E-3</v>
      </c>
    </row>
    <row r="351" spans="2:6" ht="15.75" hidden="1" outlineLevel="1">
      <c r="B351" s="205">
        <f t="shared" si="150"/>
        <v>42983</v>
      </c>
      <c r="C351" s="206">
        <v>197.49449522919863</v>
      </c>
      <c r="D351" s="204">
        <f t="shared" si="151"/>
        <v>1.5096902082768926E-2</v>
      </c>
      <c r="E351" s="206">
        <v>40.218496851840378</v>
      </c>
      <c r="F351" s="204">
        <f t="shared" si="152"/>
        <v>6.3096902082768969E-2</v>
      </c>
    </row>
    <row r="352" spans="2:6" ht="15.75" hidden="1" outlineLevel="1">
      <c r="B352" s="205">
        <f t="shared" si="150"/>
        <v>42990</v>
      </c>
      <c r="C352" s="206">
        <v>196.95602855808369</v>
      </c>
      <c r="D352" s="204">
        <f t="shared" si="151"/>
        <v>-2.7264895180497684E-3</v>
      </c>
      <c r="E352" s="206">
        <v>39.022942126742429</v>
      </c>
      <c r="F352" s="204">
        <f t="shared" si="152"/>
        <v>-2.9726489518049681E-2</v>
      </c>
    </row>
    <row r="353" spans="2:6" ht="15.75" hidden="1" outlineLevel="1">
      <c r="B353" s="205">
        <f t="shared" si="150"/>
        <v>42997</v>
      </c>
      <c r="C353" s="206">
        <v>196.7418429305398</v>
      </c>
      <c r="D353" s="204">
        <f t="shared" si="151"/>
        <v>-1.0874794191979564E-3</v>
      </c>
      <c r="E353" s="206">
        <v>36.092807762924103</v>
      </c>
      <c r="F353" s="204">
        <f t="shared" si="152"/>
        <v>-7.5087479419198022E-2</v>
      </c>
    </row>
    <row r="354" spans="2:6" ht="15.75" hidden="1" outlineLevel="1">
      <c r="B354" s="205">
        <f t="shared" si="150"/>
        <v>43004</v>
      </c>
      <c r="C354" s="206">
        <v>195.71428571428572</v>
      </c>
      <c r="D354" s="204">
        <f t="shared" si="151"/>
        <v>-5.2228707475148184E-3</v>
      </c>
      <c r="E354" s="206">
        <v>34.460587382546485</v>
      </c>
      <c r="F354" s="204">
        <f t="shared" si="152"/>
        <v>-4.5222870747514854E-2</v>
      </c>
    </row>
    <row r="355" spans="2:6" ht="15.75" hidden="1" outlineLevel="1">
      <c r="B355" s="205">
        <f t="shared" si="150"/>
        <v>43011</v>
      </c>
      <c r="C355" s="206">
        <v>197.30299592980583</v>
      </c>
      <c r="D355" s="204">
        <f t="shared" si="151"/>
        <v>8.1174974515625387E-3</v>
      </c>
      <c r="E355" s="206">
        <v>35.326151098306944</v>
      </c>
      <c r="F355" s="204">
        <f t="shared" si="152"/>
        <v>2.5117497451562443E-2</v>
      </c>
    </row>
    <row r="356" spans="2:6" ht="15.75" hidden="1" outlineLevel="1">
      <c r="B356" s="205">
        <f t="shared" si="150"/>
        <v>43018</v>
      </c>
      <c r="C356" s="206">
        <v>197.75472075799027</v>
      </c>
      <c r="D356" s="204">
        <f t="shared" si="151"/>
        <v>2.289498068975826E-3</v>
      </c>
      <c r="E356" s="206">
        <v>35.830944066210549</v>
      </c>
      <c r="F356" s="204">
        <f t="shared" si="152"/>
        <v>1.4289498068975837E-2</v>
      </c>
    </row>
    <row r="357" spans="2:6" ht="15.75" hidden="1" outlineLevel="1">
      <c r="B357" s="205">
        <f t="shared" si="150"/>
        <v>43025</v>
      </c>
      <c r="C357" s="206">
        <v>197.91552678988455</v>
      </c>
      <c r="D357" s="204">
        <f t="shared" si="151"/>
        <v>8.1315900463918567E-4</v>
      </c>
      <c r="E357" s="206">
        <v>35.824249376956502</v>
      </c>
      <c r="F357" s="204">
        <f t="shared" si="152"/>
        <v>-1.8684099536081522E-4</v>
      </c>
    </row>
    <row r="358" spans="2:6" ht="15.75" hidden="1" outlineLevel="1">
      <c r="B358" s="205">
        <f t="shared" si="150"/>
        <v>43032</v>
      </c>
      <c r="C358" s="206">
        <v>199.29005137786083</v>
      </c>
      <c r="D358" s="204">
        <f t="shared" si="151"/>
        <v>6.9450063381613081E-3</v>
      </c>
      <c r="E358" s="206">
        <v>36.037224766562382</v>
      </c>
      <c r="F358" s="204">
        <f t="shared" si="152"/>
        <v>5.9450063381614182E-3</v>
      </c>
    </row>
    <row r="359" spans="2:6" ht="15.75" hidden="1" outlineLevel="1">
      <c r="B359" s="205">
        <f t="shared" si="150"/>
        <v>43039</v>
      </c>
      <c r="C359" s="206">
        <v>197.96423567091477</v>
      </c>
      <c r="D359" s="204">
        <f t="shared" si="151"/>
        <v>-6.6526938890304477E-3</v>
      </c>
      <c r="E359" s="206">
        <v>35.761442916813692</v>
      </c>
      <c r="F359" s="204">
        <f t="shared" si="152"/>
        <v>-7.6526938890304486E-3</v>
      </c>
    </row>
    <row r="360" spans="2:6" ht="15.75" hidden="1" outlineLevel="1">
      <c r="B360" s="205">
        <f t="shared" si="150"/>
        <v>43046</v>
      </c>
      <c r="C360" s="206">
        <v>199.43751251084271</v>
      </c>
      <c r="D360" s="204">
        <f t="shared" si="151"/>
        <v>7.4421363784973327E-3</v>
      </c>
      <c r="E360" s="206">
        <v>36.170630223759723</v>
      </c>
      <c r="F360" s="204">
        <f t="shared" si="152"/>
        <v>1.1442136378497336E-2</v>
      </c>
    </row>
    <row r="361" spans="2:6" ht="15.75" hidden="1" outlineLevel="1">
      <c r="B361" s="205">
        <f t="shared" si="150"/>
        <v>43053</v>
      </c>
      <c r="C361" s="206">
        <v>198.58477347034096</v>
      </c>
      <c r="D361" s="204">
        <f t="shared" si="151"/>
        <v>-4.2757203986656389E-3</v>
      </c>
      <c r="E361" s="206">
        <v>37.426629301006031</v>
      </c>
      <c r="F361" s="204">
        <f t="shared" si="152"/>
        <v>3.4724279601334285E-2</v>
      </c>
    </row>
    <row r="362" spans="2:6" ht="15.75" hidden="1" outlineLevel="1">
      <c r="B362" s="205">
        <f t="shared" si="150"/>
        <v>43060</v>
      </c>
      <c r="C362" s="206">
        <v>196.86928671515312</v>
      </c>
      <c r="D362" s="204">
        <f t="shared" si="151"/>
        <v>-8.6385613821698959E-3</v>
      </c>
      <c r="E362" s="206">
        <v>37.103317066461571</v>
      </c>
      <c r="F362" s="204">
        <f t="shared" si="152"/>
        <v>-8.6385613821698959E-3</v>
      </c>
    </row>
    <row r="363" spans="2:6" ht="15.75" hidden="1" outlineLevel="1">
      <c r="B363" s="205">
        <f t="shared" si="150"/>
        <v>43067</v>
      </c>
      <c r="C363" s="206">
        <v>194.1896310135451</v>
      </c>
      <c r="D363" s="204">
        <f t="shared" si="151"/>
        <v>-1.3611344594777641E-2</v>
      </c>
      <c r="E363" s="206">
        <v>36.648793635680754</v>
      </c>
      <c r="F363" s="204">
        <f t="shared" si="152"/>
        <v>-1.2250210135300033E-2</v>
      </c>
    </row>
    <row r="364" spans="2:6" ht="15.75" hidden="1" outlineLevel="1">
      <c r="B364" s="205">
        <f t="shared" si="150"/>
        <v>43074</v>
      </c>
      <c r="C364" s="206">
        <v>195.88243144058185</v>
      </c>
      <c r="D364" s="204">
        <f t="shared" si="151"/>
        <v>8.7172544599907198E-3</v>
      </c>
      <c r="E364" s="206">
        <v>38.947305351781431</v>
      </c>
      <c r="F364" s="204">
        <f t="shared" si="152"/>
        <v>6.2717254459990768E-2</v>
      </c>
    </row>
    <row r="365" spans="2:6" ht="15.75" hidden="1" outlineLevel="1">
      <c r="B365" s="205">
        <f t="shared" si="150"/>
        <v>43081</v>
      </c>
      <c r="C365" s="206">
        <v>198.19977313671851</v>
      </c>
      <c r="D365" s="204">
        <f t="shared" si="151"/>
        <v>1.1830268182267289E-2</v>
      </c>
      <c r="E365" s="206">
        <v>37.733328288943056</v>
      </c>
      <c r="F365" s="204">
        <f t="shared" si="152"/>
        <v>-3.1169731817732749E-2</v>
      </c>
    </row>
    <row r="366" spans="2:6" ht="15.75" hidden="1" outlineLevel="1">
      <c r="B366" s="205">
        <f t="shared" si="150"/>
        <v>43088</v>
      </c>
      <c r="C366" s="206">
        <v>199.39547607926872</v>
      </c>
      <c r="D366" s="204">
        <f t="shared" si="151"/>
        <v>6.0328169080465788E-3</v>
      </c>
      <c r="E366" s="206">
        <v>38.90429975706504</v>
      </c>
      <c r="F366" s="204">
        <f t="shared" si="152"/>
        <v>3.103281690804649E-2</v>
      </c>
    </row>
    <row r="367" spans="2:6" ht="15.75" hidden="1" outlineLevel="1">
      <c r="B367" s="205">
        <f t="shared" si="150"/>
        <v>43095</v>
      </c>
      <c r="C367" s="206">
        <v>199.08320544471874</v>
      </c>
      <c r="D367" s="204">
        <f t="shared" si="151"/>
        <v>-1.5660868575866349E-3</v>
      </c>
      <c r="E367" s="206">
        <v>39.582553939896123</v>
      </c>
      <c r="F367" s="204">
        <f t="shared" si="152"/>
        <v>1.7433913142413271E-2</v>
      </c>
    </row>
    <row r="368" spans="2:6" ht="15.75" hidden="1" outlineLevel="1">
      <c r="B368" s="205">
        <f t="shared" si="150"/>
        <v>43102</v>
      </c>
      <c r="C368" s="206">
        <v>202.83445652899181</v>
      </c>
      <c r="D368" s="204">
        <f t="shared" si="151"/>
        <v>1.8842629522130672E-2</v>
      </c>
      <c r="E368" s="206">
        <v>39.932567799926375</v>
      </c>
      <c r="F368" s="204">
        <f t="shared" si="152"/>
        <v>8.8426295221306628E-3</v>
      </c>
    </row>
    <row r="369" spans="2:6" ht="15.75" hidden="1" outlineLevel="1">
      <c r="B369" s="205">
        <f t="shared" si="150"/>
        <v>43109</v>
      </c>
      <c r="C369" s="206">
        <v>202.89117234936944</v>
      </c>
      <c r="D369" s="204">
        <f t="shared" si="151"/>
        <v>2.796163006433261E-4</v>
      </c>
      <c r="E369" s="206">
        <v>41.341373469807202</v>
      </c>
      <c r="F369" s="204">
        <f t="shared" si="152"/>
        <v>3.5279616300643246E-2</v>
      </c>
    </row>
    <row r="370" spans="2:6" ht="15.75" hidden="1" outlineLevel="1">
      <c r="B370" s="205">
        <f t="shared" si="150"/>
        <v>43116</v>
      </c>
      <c r="C370" s="206">
        <v>203.9347434443184</v>
      </c>
      <c r="D370" s="204">
        <f t="shared" si="151"/>
        <v>5.1435017249148451E-3</v>
      </c>
      <c r="E370" s="206">
        <v>40.024382077176639</v>
      </c>
      <c r="F370" s="204">
        <f t="shared" si="152"/>
        <v>-3.1856498275085077E-2</v>
      </c>
    </row>
    <row r="371" spans="2:6" ht="15.75" hidden="1" outlineLevel="1">
      <c r="B371" s="205">
        <f t="shared" si="150"/>
        <v>43123</v>
      </c>
      <c r="C371" s="206">
        <v>203.86067925535465</v>
      </c>
      <c r="D371" s="204">
        <f t="shared" si="151"/>
        <v>-3.6317592438073198E-4</v>
      </c>
      <c r="E371" s="206">
        <v>40.249992477681054</v>
      </c>
      <c r="F371" s="204">
        <f t="shared" si="152"/>
        <v>5.6368240756192733E-3</v>
      </c>
    </row>
    <row r="372" spans="2:6" ht="15.75" hidden="1" outlineLevel="1">
      <c r="B372" s="205">
        <f t="shared" si="150"/>
        <v>43130</v>
      </c>
      <c r="C372" s="206">
        <v>205.39934609995331</v>
      </c>
      <c r="D372" s="204">
        <f t="shared" si="151"/>
        <v>7.5476391534599063E-3</v>
      </c>
      <c r="E372" s="206">
        <v>41.721034678684816</v>
      </c>
      <c r="F372" s="204">
        <f t="shared" si="152"/>
        <v>3.6547639153459821E-2</v>
      </c>
    </row>
    <row r="373" spans="2:6" ht="15.75" hidden="1" outlineLevel="1">
      <c r="B373" s="205">
        <f t="shared" si="150"/>
        <v>43137</v>
      </c>
      <c r="C373" s="206">
        <v>205.12110495762994</v>
      </c>
      <c r="D373" s="204">
        <f t="shared" si="151"/>
        <v>-1.3546349957120896E-3</v>
      </c>
      <c r="E373" s="206">
        <v>41.330749627622275</v>
      </c>
      <c r="F373" s="204">
        <f t="shared" si="152"/>
        <v>-9.3546349957120967E-3</v>
      </c>
    </row>
    <row r="374" spans="2:6" ht="15.75" hidden="1" outlineLevel="1">
      <c r="B374" s="205">
        <f t="shared" si="150"/>
        <v>43144</v>
      </c>
      <c r="C374" s="206">
        <v>205.19917261626745</v>
      </c>
      <c r="D374" s="204">
        <f t="shared" si="151"/>
        <v>3.8059300944981445E-4</v>
      </c>
      <c r="E374" s="206">
        <v>41.263818322750623</v>
      </c>
      <c r="F374" s="204">
        <f t="shared" si="152"/>
        <v>-1.6194069905501873E-3</v>
      </c>
    </row>
    <row r="375" spans="2:6" ht="15.75" hidden="1" outlineLevel="1">
      <c r="B375" s="205">
        <f t="shared" si="150"/>
        <v>43151</v>
      </c>
      <c r="C375" s="206">
        <v>204.39847868152398</v>
      </c>
      <c r="D375" s="204">
        <f t="shared" si="151"/>
        <v>-3.9020329591717973E-3</v>
      </c>
      <c r="E375" s="206">
        <v>41.309124635247727</v>
      </c>
      <c r="F375" s="204">
        <f t="shared" si="152"/>
        <v>1.0979670408282072E-3</v>
      </c>
    </row>
    <row r="376" spans="2:6" ht="15.75" hidden="1" outlineLevel="1">
      <c r="B376" s="205">
        <f t="shared" si="150"/>
        <v>43158</v>
      </c>
      <c r="C376" s="206">
        <v>204.70541135650899</v>
      </c>
      <c r="D376" s="204">
        <f t="shared" si="151"/>
        <v>1.5016387448911761E-3</v>
      </c>
      <c r="E376" s="206">
        <v>41.288537768047057</v>
      </c>
      <c r="F376" s="204">
        <f t="shared" si="152"/>
        <v>-4.9836125510882567E-4</v>
      </c>
    </row>
    <row r="377" spans="2:6" ht="15.75" hidden="1" outlineLevel="1">
      <c r="B377" s="205">
        <f t="shared" si="150"/>
        <v>43165</v>
      </c>
      <c r="C377" s="206">
        <v>208.35190498431976</v>
      </c>
      <c r="D377" s="204">
        <f t="shared" si="151"/>
        <v>1.7813371926256316E-2</v>
      </c>
      <c r="E377" s="206">
        <v>41.776294620992275</v>
      </c>
      <c r="F377" s="204">
        <f t="shared" si="152"/>
        <v>1.1813371926256311E-2</v>
      </c>
    </row>
    <row r="378" spans="2:6" ht="15.75" hidden="1" outlineLevel="1">
      <c r="B378" s="205">
        <f t="shared" si="150"/>
        <v>43172</v>
      </c>
      <c r="C378" s="206">
        <v>208.20377660639221</v>
      </c>
      <c r="D378" s="204">
        <f t="shared" si="151"/>
        <v>-7.1095283692601541E-4</v>
      </c>
      <c r="E378" s="206">
        <v>43.626526903759874</v>
      </c>
      <c r="F378" s="204">
        <f t="shared" si="152"/>
        <v>4.4289047163073914E-2</v>
      </c>
    </row>
    <row r="379" spans="2:6" ht="15.75" hidden="1" outlineLevel="1">
      <c r="B379" s="205">
        <f t="shared" si="150"/>
        <v>43179</v>
      </c>
      <c r="C379" s="206">
        <v>207.17688663508375</v>
      </c>
      <c r="D379" s="204">
        <f t="shared" si="151"/>
        <v>-4.9321390228660444E-3</v>
      </c>
      <c r="E379" s="206">
        <v>43.018716065851883</v>
      </c>
      <c r="F379" s="204">
        <f t="shared" si="152"/>
        <v>-1.3932139022866052E-2</v>
      </c>
    </row>
    <row r="380" spans="2:6" ht="15.75" hidden="1" outlineLevel="1">
      <c r="B380" s="205">
        <f t="shared" si="150"/>
        <v>43186</v>
      </c>
      <c r="C380" s="206">
        <v>206.536331487289</v>
      </c>
      <c r="D380" s="204">
        <f t="shared" si="151"/>
        <v>-3.091827269916414E-3</v>
      </c>
      <c r="E380" s="206">
        <v>41.638166860492987</v>
      </c>
      <c r="F380" s="204">
        <f t="shared" si="152"/>
        <v>-3.209182726991644E-2</v>
      </c>
    </row>
    <row r="381" spans="2:6" ht="15.75" hidden="1" outlineLevel="1">
      <c r="B381" s="205">
        <f t="shared" si="150"/>
        <v>43193</v>
      </c>
      <c r="C381" s="206">
        <v>206.28344565289919</v>
      </c>
      <c r="D381" s="204">
        <f t="shared" si="151"/>
        <v>-1.224413315414119E-3</v>
      </c>
      <c r="E381" s="206">
        <v>42.836329540374351</v>
      </c>
      <c r="F381" s="204">
        <f t="shared" si="152"/>
        <v>2.8775586684585797E-2</v>
      </c>
    </row>
    <row r="382" spans="2:6" ht="15.75" hidden="1" outlineLevel="1">
      <c r="B382" s="205">
        <f t="shared" si="150"/>
        <v>43200</v>
      </c>
      <c r="C382" s="206">
        <v>208.16040568492693</v>
      </c>
      <c r="D382" s="204">
        <f t="shared" si="151"/>
        <v>9.0989367861635806E-3</v>
      </c>
      <c r="E382" s="206">
        <v>43.011912947311622</v>
      </c>
      <c r="F382" s="204">
        <f t="shared" si="152"/>
        <v>4.0989367861636872E-3</v>
      </c>
    </row>
    <row r="383" spans="2:6" ht="15.75" hidden="1" outlineLevel="1">
      <c r="B383" s="205">
        <f t="shared" si="150"/>
        <v>43207</v>
      </c>
      <c r="C383" s="206">
        <v>207.75138453326218</v>
      </c>
      <c r="D383" s="204">
        <f t="shared" si="151"/>
        <v>-1.9649325255631789E-3</v>
      </c>
      <c r="E383" s="206">
        <v>42.626314049943574</v>
      </c>
      <c r="F383" s="204">
        <f t="shared" si="152"/>
        <v>-8.9649325255631851E-3</v>
      </c>
    </row>
    <row r="384" spans="2:6" ht="15.75" hidden="1" outlineLevel="1">
      <c r="B384" s="205">
        <f t="shared" si="150"/>
        <v>43214</v>
      </c>
      <c r="C384" s="206">
        <v>204.71675452058452</v>
      </c>
      <c r="D384" s="204">
        <f t="shared" si="151"/>
        <v>-1.460702666071434E-2</v>
      </c>
      <c r="E384" s="206">
        <v>42.216801914417786</v>
      </c>
      <c r="F384" s="204">
        <f t="shared" si="152"/>
        <v>-9.6070266607142241E-3</v>
      </c>
    </row>
    <row r="385" spans="2:6" ht="15.75" hidden="1" outlineLevel="1">
      <c r="B385" s="205">
        <f t="shared" si="150"/>
        <v>43221</v>
      </c>
      <c r="C385" s="206">
        <v>205.54480549809836</v>
      </c>
      <c r="D385" s="204">
        <f t="shared" si="151"/>
        <v>4.0448617869748293E-3</v>
      </c>
      <c r="E385" s="206">
        <v>42.725297458565045</v>
      </c>
      <c r="F385" s="204">
        <f t="shared" si="152"/>
        <v>1.2044861786974836E-2</v>
      </c>
    </row>
    <row r="386" spans="2:6" ht="15.75" hidden="1" outlineLevel="1">
      <c r="B386" s="205">
        <f t="shared" ref="B386:B449" si="153">B385+7</f>
        <v>43228</v>
      </c>
      <c r="C386" s="206">
        <v>203.31487288983786</v>
      </c>
      <c r="D386" s="204">
        <f t="shared" ref="D386:D449" si="154">C386/C385-1</f>
        <v>-1.0848888167505288E-2</v>
      </c>
      <c r="E386" s="206">
        <v>42.731753756557886</v>
      </c>
      <c r="F386" s="204">
        <f t="shared" ref="F386:F449" si="155">E386/E385-1</f>
        <v>1.5111183249461035E-4</v>
      </c>
    </row>
    <row r="387" spans="2:6" ht="15.75" hidden="1" outlineLevel="1">
      <c r="B387" s="205">
        <f t="shared" si="153"/>
        <v>43235</v>
      </c>
      <c r="C387" s="206">
        <v>199.58764262360711</v>
      </c>
      <c r="D387" s="204">
        <f t="shared" si="154"/>
        <v>-1.8332305026451667E-2</v>
      </c>
      <c r="E387" s="206">
        <v>42.162040981160231</v>
      </c>
      <c r="F387" s="204">
        <f t="shared" si="155"/>
        <v>-1.3332305026451774E-2</v>
      </c>
    </row>
    <row r="388" spans="2:6" ht="15.75" hidden="1" outlineLevel="1">
      <c r="B388" s="205">
        <f t="shared" si="153"/>
        <v>43242</v>
      </c>
      <c r="C388" s="206">
        <v>201.27176886635084</v>
      </c>
      <c r="D388" s="204">
        <f t="shared" si="154"/>
        <v>8.4380286304586161E-3</v>
      </c>
      <c r="E388" s="206">
        <v>42.644291613021309</v>
      </c>
      <c r="F388" s="204">
        <f t="shared" si="155"/>
        <v>1.1438028630458508E-2</v>
      </c>
    </row>
    <row r="389" spans="2:6" ht="15.75" hidden="1" outlineLevel="1">
      <c r="B389" s="205">
        <f t="shared" si="153"/>
        <v>43249</v>
      </c>
      <c r="C389" s="206">
        <v>203.88002935877762</v>
      </c>
      <c r="D389" s="204">
        <f t="shared" si="154"/>
        <v>1.295889884168866E-2</v>
      </c>
      <c r="E389" s="206">
        <v>43.410136132275028</v>
      </c>
      <c r="F389" s="204">
        <f t="shared" si="155"/>
        <v>1.7958898841688553E-2</v>
      </c>
    </row>
    <row r="390" spans="2:6" ht="15.75" hidden="1" outlineLevel="1">
      <c r="B390" s="205">
        <f t="shared" si="153"/>
        <v>43256</v>
      </c>
      <c r="C390" s="206">
        <v>200.92947220924802</v>
      </c>
      <c r="D390" s="204">
        <f t="shared" si="154"/>
        <v>-1.447202631277511E-2</v>
      </c>
      <c r="E390" s="206">
        <v>42.130751457943468</v>
      </c>
      <c r="F390" s="204">
        <f t="shared" si="155"/>
        <v>-2.9472026312775124E-2</v>
      </c>
    </row>
    <row r="391" spans="2:6" ht="15.75" hidden="1" outlineLevel="1">
      <c r="B391" s="205">
        <f t="shared" si="153"/>
        <v>43263</v>
      </c>
      <c r="C391" s="206">
        <v>199.39947954894242</v>
      </c>
      <c r="D391" s="204">
        <f t="shared" si="154"/>
        <v>-7.6145756194107017E-3</v>
      </c>
      <c r="E391" s="206">
        <v>40.798805630073716</v>
      </c>
      <c r="F391" s="204">
        <f t="shared" si="155"/>
        <v>-3.1614575619410723E-2</v>
      </c>
    </row>
    <row r="392" spans="2:6" ht="15.75" hidden="1" outlineLevel="1">
      <c r="B392" s="205">
        <f t="shared" si="153"/>
        <v>43270</v>
      </c>
      <c r="C392" s="206">
        <v>203.03062654300393</v>
      </c>
      <c r="D392" s="204">
        <f t="shared" si="154"/>
        <v>1.8210413599250463E-2</v>
      </c>
      <c r="E392" s="206">
        <v>39.90981652974984</v>
      </c>
      <c r="F392" s="204">
        <f t="shared" si="155"/>
        <v>-2.1789586400749461E-2</v>
      </c>
    </row>
    <row r="393" spans="2:6" ht="15.75" hidden="1" outlineLevel="1">
      <c r="B393" s="205">
        <f t="shared" si="153"/>
        <v>43277</v>
      </c>
      <c r="C393" s="206">
        <v>202.27196903983452</v>
      </c>
      <c r="D393" s="204">
        <f t="shared" si="154"/>
        <v>-3.7366653301871278E-3</v>
      </c>
      <c r="E393" s="206">
        <v>40.239604700345993</v>
      </c>
      <c r="F393" s="204">
        <f t="shared" si="155"/>
        <v>8.2633346698128829E-3</v>
      </c>
    </row>
    <row r="394" spans="2:6" ht="15.75" hidden="1" outlineLevel="1">
      <c r="B394" s="205">
        <f t="shared" si="153"/>
        <v>43284</v>
      </c>
      <c r="C394" s="206">
        <v>200.67792086474944</v>
      </c>
      <c r="D394" s="204">
        <f t="shared" si="154"/>
        <v>-7.880717148559313E-3</v>
      </c>
      <c r="E394" s="206">
        <v>40.083446176334114</v>
      </c>
      <c r="F394" s="204">
        <f t="shared" si="155"/>
        <v>-3.8807171485593095E-3</v>
      </c>
    </row>
    <row r="395" spans="2:6" ht="15.75" hidden="1" outlineLevel="1">
      <c r="B395" s="205">
        <f t="shared" si="153"/>
        <v>43291</v>
      </c>
      <c r="C395" s="206">
        <v>200.20350970841395</v>
      </c>
      <c r="D395" s="204">
        <f t="shared" si="154"/>
        <v>-2.3640426126162462E-3</v>
      </c>
      <c r="E395" s="206">
        <v>39.868436862983749</v>
      </c>
      <c r="F395" s="204">
        <f t="shared" si="155"/>
        <v>-5.3640426126162488E-3</v>
      </c>
    </row>
    <row r="396" spans="2:6" ht="15.75" hidden="1" outlineLevel="1">
      <c r="B396" s="205">
        <f t="shared" si="153"/>
        <v>43298</v>
      </c>
      <c r="C396" s="206">
        <v>198.20177487155533</v>
      </c>
      <c r="D396" s="204">
        <f t="shared" si="154"/>
        <v>-9.9985002249662891E-3</v>
      </c>
      <c r="E396" s="206">
        <v>39.350206977451201</v>
      </c>
      <c r="F396" s="204">
        <f t="shared" si="155"/>
        <v>-1.2998500224966292E-2</v>
      </c>
    </row>
    <row r="397" spans="2:6" ht="15.75" hidden="1" outlineLevel="1">
      <c r="B397" s="205">
        <f t="shared" si="153"/>
        <v>43305</v>
      </c>
      <c r="C397" s="206">
        <v>197.61126309468204</v>
      </c>
      <c r="D397" s="204">
        <f t="shared" si="154"/>
        <v>-2.9793465636519523E-3</v>
      </c>
      <c r="E397" s="206">
        <v>39.351019694446293</v>
      </c>
      <c r="F397" s="204">
        <f t="shared" si="155"/>
        <v>2.0653436348050391E-5</v>
      </c>
    </row>
    <row r="398" spans="2:6" ht="15.75" hidden="1" outlineLevel="1">
      <c r="B398" s="205">
        <f t="shared" si="153"/>
        <v>43312</v>
      </c>
      <c r="C398" s="206">
        <v>202.15053045973178</v>
      </c>
      <c r="D398" s="204">
        <f t="shared" si="154"/>
        <v>2.2970691518098496E-2</v>
      </c>
      <c r="E398" s="206">
        <v>39.743376572742243</v>
      </c>
      <c r="F398" s="204">
        <f t="shared" si="155"/>
        <v>9.9706915180985956E-3</v>
      </c>
    </row>
    <row r="399" spans="2:6" ht="15.75" hidden="1" outlineLevel="1">
      <c r="B399" s="205">
        <f t="shared" si="153"/>
        <v>43319</v>
      </c>
      <c r="C399" s="206">
        <v>203.55041035564156</v>
      </c>
      <c r="D399" s="204">
        <f t="shared" si="154"/>
        <v>6.9249380287361717E-3</v>
      </c>
      <c r="E399" s="206">
        <v>39.621163226833787</v>
      </c>
      <c r="F399" s="204">
        <f t="shared" si="155"/>
        <v>-3.0750619712638372E-3</v>
      </c>
    </row>
    <row r="400" spans="2:6" ht="15.75" hidden="1" outlineLevel="1">
      <c r="B400" s="205">
        <f t="shared" si="153"/>
        <v>43326</v>
      </c>
      <c r="C400" s="206">
        <v>204.79081870954826</v>
      </c>
      <c r="D400" s="204">
        <f t="shared" si="154"/>
        <v>6.0938631945741673E-3</v>
      </c>
      <c r="E400" s="206">
        <v>39.862609175148002</v>
      </c>
      <c r="F400" s="204">
        <f t="shared" si="155"/>
        <v>6.0938631945741673E-3</v>
      </c>
    </row>
    <row r="401" spans="2:6" ht="15.75" hidden="1" outlineLevel="1">
      <c r="B401" s="205">
        <f t="shared" si="153"/>
        <v>43333</v>
      </c>
      <c r="C401" s="206">
        <v>203.26683125375325</v>
      </c>
      <c r="D401" s="204">
        <f t="shared" si="154"/>
        <v>-7.4416786133193469E-3</v>
      </c>
      <c r="E401" s="206">
        <v>42.436072309588852</v>
      </c>
      <c r="F401" s="204">
        <f t="shared" si="155"/>
        <v>6.4558321386680717E-2</v>
      </c>
    </row>
    <row r="402" spans="2:6" ht="15.75" hidden="1" outlineLevel="1">
      <c r="B402" s="205">
        <f t="shared" si="153"/>
        <v>43340</v>
      </c>
      <c r="C402" s="206">
        <v>203.53906719156603</v>
      </c>
      <c r="D402" s="204">
        <f t="shared" si="154"/>
        <v>1.3393032996757981E-3</v>
      </c>
      <c r="E402" s="206">
        <v>41.813929924304944</v>
      </c>
      <c r="F402" s="204">
        <f t="shared" si="155"/>
        <v>-1.4660696700324216E-2</v>
      </c>
    </row>
    <row r="403" spans="2:6" ht="15.75" hidden="1" outlineLevel="1">
      <c r="B403" s="205">
        <f t="shared" si="153"/>
        <v>43347</v>
      </c>
      <c r="C403" s="206">
        <v>204.16694468539401</v>
      </c>
      <c r="D403" s="204">
        <f t="shared" si="154"/>
        <v>3.0848008811843464E-3</v>
      </c>
      <c r="E403" s="206">
        <v>41.441150413089559</v>
      </c>
      <c r="F403" s="204">
        <f t="shared" si="155"/>
        <v>-8.9151991188156643E-3</v>
      </c>
    </row>
    <row r="404" spans="2:6" ht="15.75" hidden="1" outlineLevel="1">
      <c r="B404" s="205">
        <f t="shared" si="153"/>
        <v>43354</v>
      </c>
      <c r="C404" s="206">
        <v>201.79488890371655</v>
      </c>
      <c r="D404" s="204">
        <f t="shared" si="154"/>
        <v>-1.1618216579244112E-2</v>
      </c>
      <c r="E404" s="206">
        <v>41.084001603536521</v>
      </c>
      <c r="F404" s="204">
        <f t="shared" si="155"/>
        <v>-8.618216579244109E-3</v>
      </c>
    </row>
    <row r="405" spans="2:6" ht="15.75" hidden="1" outlineLevel="1">
      <c r="B405" s="205">
        <f t="shared" si="153"/>
        <v>43361</v>
      </c>
      <c r="C405" s="206">
        <v>197.2602922532862</v>
      </c>
      <c r="D405" s="204">
        <f t="shared" si="154"/>
        <v>-2.2471315676354742E-2</v>
      </c>
      <c r="E405" s="206">
        <v>40.037538029444981</v>
      </c>
      <c r="F405" s="204">
        <f t="shared" si="155"/>
        <v>-2.5471315676354633E-2</v>
      </c>
    </row>
    <row r="406" spans="2:6" ht="15.75" hidden="1" outlineLevel="1">
      <c r="B406" s="205">
        <f t="shared" si="153"/>
        <v>43368</v>
      </c>
      <c r="C406" s="206">
        <v>197.35504103556417</v>
      </c>
      <c r="D406" s="204">
        <f t="shared" si="154"/>
        <v>4.8032364342387446E-4</v>
      </c>
      <c r="E406" s="206">
        <v>40.176881619673338</v>
      </c>
      <c r="F406" s="204">
        <f t="shared" si="155"/>
        <v>3.4803236434237661E-3</v>
      </c>
    </row>
    <row r="407" spans="2:6" ht="15.75" hidden="1" outlineLevel="1">
      <c r="B407" s="205">
        <f t="shared" si="153"/>
        <v>43375</v>
      </c>
      <c r="C407" s="206">
        <v>196.58837659304731</v>
      </c>
      <c r="D407" s="204">
        <f t="shared" si="154"/>
        <v>-3.8846965271016609E-3</v>
      </c>
      <c r="E407" s="206">
        <v>37.047717387319793</v>
      </c>
      <c r="F407" s="204">
        <f t="shared" si="155"/>
        <v>-7.7884696527101616E-2</v>
      </c>
    </row>
    <row r="408" spans="2:6" ht="15.75" hidden="1" outlineLevel="1">
      <c r="B408" s="205">
        <f t="shared" si="153"/>
        <v>43382</v>
      </c>
      <c r="C408" s="206">
        <v>195.81704143591114</v>
      </c>
      <c r="D408" s="204">
        <f t="shared" si="154"/>
        <v>-3.9236051006865669E-3</v>
      </c>
      <c r="E408" s="206">
        <v>37.60626340476918</v>
      </c>
      <c r="F408" s="204">
        <f t="shared" si="155"/>
        <v>1.5076394899313339E-2</v>
      </c>
    </row>
    <row r="409" spans="2:6" ht="15.75" hidden="1" outlineLevel="1">
      <c r="B409" s="205">
        <f t="shared" si="153"/>
        <v>43389</v>
      </c>
      <c r="C409" s="206">
        <v>195.74564622672983</v>
      </c>
      <c r="D409" s="204">
        <f t="shared" si="154"/>
        <v>-3.6460161310669648E-4</v>
      </c>
      <c r="E409" s="206">
        <v>37.931008471111802</v>
      </c>
      <c r="F409" s="204">
        <f t="shared" si="155"/>
        <v>8.6353983868932005E-3</v>
      </c>
    </row>
    <row r="410" spans="2:6" ht="15.75" hidden="1" outlineLevel="1">
      <c r="B410" s="205">
        <f t="shared" si="153"/>
        <v>43396</v>
      </c>
      <c r="C410" s="206">
        <v>195.757656635751</v>
      </c>
      <c r="D410" s="204">
        <f t="shared" si="154"/>
        <v>6.1357221745161894E-5</v>
      </c>
      <c r="E410" s="206">
        <v>38.767817998774042</v>
      </c>
      <c r="F410" s="204">
        <f t="shared" si="155"/>
        <v>2.2061357221745181E-2</v>
      </c>
    </row>
    <row r="411" spans="2:6" ht="15.75" hidden="1" outlineLevel="1">
      <c r="B411" s="205">
        <f t="shared" si="153"/>
        <v>43403</v>
      </c>
      <c r="C411" s="206">
        <v>193.67318342563556</v>
      </c>
      <c r="D411" s="204">
        <f t="shared" si="154"/>
        <v>-1.0648233361283288E-2</v>
      </c>
      <c r="E411" s="206">
        <v>38.396290103111205</v>
      </c>
      <c r="F411" s="204">
        <f t="shared" si="155"/>
        <v>-9.5834100251550591E-3</v>
      </c>
    </row>
    <row r="412" spans="2:6" ht="15.75" hidden="1" outlineLevel="1">
      <c r="B412" s="205">
        <f t="shared" si="153"/>
        <v>43410</v>
      </c>
      <c r="C412" s="206">
        <v>193.08467338359912</v>
      </c>
      <c r="D412" s="204">
        <f t="shared" si="154"/>
        <v>-3.0386759365805815E-3</v>
      </c>
      <c r="E412" s="206">
        <v>37.47329412815558</v>
      </c>
      <c r="F412" s="204">
        <f t="shared" si="155"/>
        <v>-2.40386759365806E-2</v>
      </c>
    </row>
    <row r="413" spans="2:6" ht="15.75" hidden="1" outlineLevel="1">
      <c r="B413" s="205">
        <f t="shared" si="153"/>
        <v>43417</v>
      </c>
      <c r="C413" s="206">
        <v>191.76886635083738</v>
      </c>
      <c r="D413" s="204">
        <f t="shared" si="154"/>
        <v>-6.8146632754617631E-3</v>
      </c>
      <c r="E413" s="206">
        <v>37.517712599875104</v>
      </c>
      <c r="F413" s="204">
        <f t="shared" si="155"/>
        <v>1.185336724538244E-3</v>
      </c>
    </row>
    <row r="414" spans="2:6" ht="15.75" hidden="1" outlineLevel="1">
      <c r="B414" s="205">
        <f t="shared" si="153"/>
        <v>43424</v>
      </c>
      <c r="C414" s="206">
        <v>187.74204310402348</v>
      </c>
      <c r="D414" s="204">
        <f t="shared" si="154"/>
        <v>-2.0998315959416036E-2</v>
      </c>
      <c r="E414" s="206">
        <v>36.617350678828736</v>
      </c>
      <c r="F414" s="204">
        <f t="shared" si="155"/>
        <v>-2.3998315959416039E-2</v>
      </c>
    </row>
    <row r="415" spans="2:6" ht="15.75" hidden="1" outlineLevel="1">
      <c r="B415" s="205">
        <f t="shared" si="153"/>
        <v>43431</v>
      </c>
      <c r="C415" s="206">
        <v>185.4133582438113</v>
      </c>
      <c r="D415" s="204">
        <f t="shared" si="154"/>
        <v>-1.2403640770660584E-2</v>
      </c>
      <c r="E415" s="206">
        <v>36.822274527254152</v>
      </c>
      <c r="F415" s="204">
        <f t="shared" si="155"/>
        <v>5.5963592293393205E-3</v>
      </c>
    </row>
    <row r="416" spans="2:6" ht="15.75" hidden="1" outlineLevel="1">
      <c r="B416" s="205">
        <f t="shared" si="153"/>
        <v>43438</v>
      </c>
      <c r="C416" s="206">
        <v>189.97864816174018</v>
      </c>
      <c r="D416" s="204">
        <f t="shared" si="154"/>
        <v>2.4622227660240581E-2</v>
      </c>
      <c r="E416" s="206">
        <v>37.471165031941304</v>
      </c>
      <c r="F416" s="204">
        <f t="shared" si="155"/>
        <v>1.7622227660240686E-2</v>
      </c>
    </row>
    <row r="417" spans="2:6" ht="15.75" hidden="1" outlineLevel="1">
      <c r="B417" s="205">
        <f t="shared" si="153"/>
        <v>43445</v>
      </c>
      <c r="C417" s="206">
        <v>189.43617802095147</v>
      </c>
      <c r="D417" s="204">
        <f t="shared" si="154"/>
        <v>-2.855426891588686E-3</v>
      </c>
      <c r="E417" s="206">
        <v>37.70140934493741</v>
      </c>
      <c r="F417" s="204">
        <f t="shared" si="155"/>
        <v>6.144573108411322E-3</v>
      </c>
    </row>
    <row r="418" spans="2:6" ht="15.75" hidden="1" outlineLevel="1">
      <c r="B418" s="205">
        <f t="shared" si="153"/>
        <v>43452</v>
      </c>
      <c r="C418" s="206">
        <v>190.17281644091545</v>
      </c>
      <c r="D418" s="204">
        <f t="shared" si="154"/>
        <v>3.8885836256816741E-3</v>
      </c>
      <c r="E418" s="206">
        <v>37.659507381256567</v>
      </c>
      <c r="F418" s="204">
        <f t="shared" si="155"/>
        <v>-1.1114163743183303E-3</v>
      </c>
    </row>
    <row r="419" spans="2:6" ht="15.75" hidden="1" outlineLevel="1">
      <c r="B419" s="205">
        <f t="shared" si="153"/>
        <v>43459</v>
      </c>
      <c r="C419" s="206">
        <v>189.45619536932008</v>
      </c>
      <c r="D419" s="204">
        <f t="shared" si="154"/>
        <v>-3.7682623889520039E-3</v>
      </c>
      <c r="E419" s="206">
        <v>37.743553520292856</v>
      </c>
      <c r="F419" s="204">
        <f t="shared" si="155"/>
        <v>2.2317376110478904E-3</v>
      </c>
    </row>
    <row r="420" spans="2:6" ht="15.75" hidden="1" outlineLevel="1">
      <c r="B420" s="205">
        <f t="shared" si="153"/>
        <v>43466</v>
      </c>
      <c r="C420" s="206">
        <v>189.33275505438047</v>
      </c>
      <c r="D420" s="204">
        <f t="shared" si="154"/>
        <v>-6.5155069064370963E-4</v>
      </c>
      <c r="E420" s="206">
        <v>37.001834165043796</v>
      </c>
      <c r="F420" s="204">
        <f t="shared" si="155"/>
        <v>-1.9651550690643727E-2</v>
      </c>
    </row>
    <row r="421" spans="2:6" ht="15.75" hidden="1" outlineLevel="1">
      <c r="B421" s="205">
        <f t="shared" si="153"/>
        <v>43473</v>
      </c>
      <c r="C421" s="206">
        <v>191.56535664242341</v>
      </c>
      <c r="D421" s="204">
        <f t="shared" si="154"/>
        <v>1.1791945812026583E-2</v>
      </c>
      <c r="E421" s="206">
        <v>36.476110100172448</v>
      </c>
      <c r="F421" s="204">
        <f t="shared" si="155"/>
        <v>-1.420805418797344E-2</v>
      </c>
    </row>
    <row r="422" spans="2:6" ht="15.75" hidden="1" outlineLevel="1">
      <c r="B422" s="205">
        <f t="shared" si="153"/>
        <v>43480</v>
      </c>
      <c r="C422" s="206">
        <v>189.32141189030494</v>
      </c>
      <c r="D422" s="204">
        <f t="shared" si="154"/>
        <v>-1.1713729410412266E-2</v>
      </c>
      <c r="E422" s="206">
        <v>34.553318302407554</v>
      </c>
      <c r="F422" s="204">
        <f t="shared" si="155"/>
        <v>-5.2713729410412191E-2</v>
      </c>
    </row>
    <row r="423" spans="2:6" ht="15.75" hidden="1" outlineLevel="1">
      <c r="B423" s="205">
        <f t="shared" si="153"/>
        <v>43487</v>
      </c>
      <c r="C423" s="206">
        <v>188.65283245479415</v>
      </c>
      <c r="D423" s="204">
        <f t="shared" si="154"/>
        <v>-3.5314517720699268E-3</v>
      </c>
      <c r="E423" s="206">
        <v>34.431294925257617</v>
      </c>
      <c r="F423" s="204">
        <f t="shared" si="155"/>
        <v>-3.5314517720700378E-3</v>
      </c>
    </row>
    <row r="424" spans="2:6" ht="15.75" hidden="1" outlineLevel="1">
      <c r="B424" s="205">
        <f t="shared" si="153"/>
        <v>43494</v>
      </c>
      <c r="C424" s="206">
        <v>183.32421431907653</v>
      </c>
      <c r="D424" s="204">
        <f t="shared" si="154"/>
        <v>-2.8245630168285407E-2</v>
      </c>
      <c r="E424" s="206">
        <v>35.765658062575888</v>
      </c>
      <c r="F424" s="204">
        <f t="shared" si="155"/>
        <v>3.8754369831714541E-2</v>
      </c>
    </row>
    <row r="425" spans="2:6" ht="15.75" hidden="1" outlineLevel="1">
      <c r="B425" s="205">
        <f t="shared" si="153"/>
        <v>43501</v>
      </c>
      <c r="C425" s="206">
        <v>184.16027223593784</v>
      </c>
      <c r="D425" s="204">
        <f t="shared" si="154"/>
        <v>4.5605427519037622E-3</v>
      </c>
      <c r="E425" s="206">
        <v>35.642643610719631</v>
      </c>
      <c r="F425" s="204">
        <f t="shared" si="155"/>
        <v>-3.4394572480962449E-3</v>
      </c>
    </row>
    <row r="426" spans="2:6" ht="15.75" hidden="1" outlineLevel="1">
      <c r="B426" s="205">
        <f t="shared" si="153"/>
        <v>43508</v>
      </c>
      <c r="C426" s="206">
        <v>185.3679855875092</v>
      </c>
      <c r="D426" s="204">
        <f t="shared" si="154"/>
        <v>6.5579472538142003E-3</v>
      </c>
      <c r="E426" s="206">
        <v>34.949677453626514</v>
      </c>
      <c r="F426" s="204">
        <f t="shared" si="155"/>
        <v>-1.9442052746185934E-2</v>
      </c>
    </row>
    <row r="427" spans="2:6" ht="15.75" hidden="1" outlineLevel="1">
      <c r="B427" s="205">
        <f t="shared" si="153"/>
        <v>43515</v>
      </c>
      <c r="C427" s="206">
        <v>189.8125041702809</v>
      </c>
      <c r="D427" s="204">
        <f t="shared" si="154"/>
        <v>2.3976732382806842E-2</v>
      </c>
      <c r="E427" s="206">
        <v>35.682807484436658</v>
      </c>
      <c r="F427" s="204">
        <f t="shared" si="155"/>
        <v>2.0976732382806951E-2</v>
      </c>
    </row>
    <row r="428" spans="2:6" ht="15.75" hidden="1" outlineLevel="1">
      <c r="B428" s="205">
        <f t="shared" si="153"/>
        <v>43522</v>
      </c>
      <c r="C428" s="206">
        <v>188.89837859478214</v>
      </c>
      <c r="D428" s="204">
        <f t="shared" si="154"/>
        <v>-4.8159397058409326E-3</v>
      </c>
      <c r="E428" s="206">
        <v>35.439595620087609</v>
      </c>
      <c r="F428" s="204">
        <f t="shared" si="155"/>
        <v>-6.8159397058409343E-3</v>
      </c>
    </row>
    <row r="429" spans="2:6" ht="15.75" hidden="1" outlineLevel="1">
      <c r="B429" s="205">
        <f t="shared" si="153"/>
        <v>43529</v>
      </c>
      <c r="C429" s="206">
        <v>190.72662974577969</v>
      </c>
      <c r="D429" s="204">
        <f t="shared" si="154"/>
        <v>9.6784904380753378E-3</v>
      </c>
      <c r="E429" s="206">
        <v>35.676278620565625</v>
      </c>
      <c r="F429" s="204">
        <f t="shared" si="155"/>
        <v>6.6784904380754462E-3</v>
      </c>
    </row>
    <row r="430" spans="2:6" ht="15.75" hidden="1" outlineLevel="1">
      <c r="B430" s="205">
        <f t="shared" si="153"/>
        <v>43536</v>
      </c>
      <c r="C430" s="206">
        <v>187.47781410555814</v>
      </c>
      <c r="D430" s="204">
        <f t="shared" si="154"/>
        <v>-1.7033885853023789E-2</v>
      </c>
      <c r="E430" s="206">
        <v>34.85451529115884</v>
      </c>
      <c r="F430" s="204">
        <f t="shared" si="155"/>
        <v>-2.3033885853023905E-2</v>
      </c>
    </row>
    <row r="431" spans="2:6" ht="15.75" hidden="1" outlineLevel="1">
      <c r="B431" s="205">
        <f t="shared" si="153"/>
        <v>43543</v>
      </c>
      <c r="C431" s="206">
        <v>189.7024087542537</v>
      </c>
      <c r="D431" s="204">
        <f t="shared" si="154"/>
        <v>1.1865908823979643E-2</v>
      </c>
      <c r="E431" s="206">
        <v>34.013333241226015</v>
      </c>
      <c r="F431" s="204">
        <f t="shared" si="155"/>
        <v>-2.4134091176020389E-2</v>
      </c>
    </row>
    <row r="432" spans="2:6" ht="15.75" hidden="1" outlineLevel="1">
      <c r="B432" s="205">
        <f t="shared" si="153"/>
        <v>43550</v>
      </c>
      <c r="C432" s="206">
        <v>188.0703276172683</v>
      </c>
      <c r="D432" s="204">
        <f t="shared" si="154"/>
        <v>-8.6033759281340938E-3</v>
      </c>
      <c r="E432" s="206">
        <v>33.312543749888135</v>
      </c>
      <c r="F432" s="204">
        <f t="shared" si="155"/>
        <v>-2.0603375928134104E-2</v>
      </c>
    </row>
    <row r="433" spans="2:6" ht="15.75" hidden="1" outlineLevel="1">
      <c r="B433" s="205">
        <f t="shared" si="153"/>
        <v>43557</v>
      </c>
      <c r="C433" s="206">
        <v>189.25268566090611</v>
      </c>
      <c r="D433" s="204">
        <f t="shared" si="154"/>
        <v>6.2867867494971197E-3</v>
      </c>
      <c r="E433" s="206">
        <v>34.088285852275071</v>
      </c>
      <c r="F433" s="204">
        <f t="shared" si="155"/>
        <v>2.3286786749497024E-2</v>
      </c>
    </row>
    <row r="434" spans="2:6" ht="15.75" hidden="1" outlineLevel="1">
      <c r="B434" s="205">
        <f t="shared" si="153"/>
        <v>43564</v>
      </c>
      <c r="C434" s="206">
        <v>191.68612797758058</v>
      </c>
      <c r="D434" s="204">
        <f t="shared" si="154"/>
        <v>1.2858165305165592E-2</v>
      </c>
      <c r="E434" s="206">
        <v>32.276771800483203</v>
      </c>
      <c r="F434" s="204">
        <f t="shared" si="155"/>
        <v>-5.3141834694834467E-2</v>
      </c>
    </row>
    <row r="435" spans="2:6" ht="15.75" hidden="1" outlineLevel="1">
      <c r="B435" s="205">
        <f t="shared" si="153"/>
        <v>43571</v>
      </c>
      <c r="C435" s="206">
        <v>193.18943084006139</v>
      </c>
      <c r="D435" s="204">
        <f t="shared" si="154"/>
        <v>7.8425229741019287E-3</v>
      </c>
      <c r="E435" s="206">
        <v>33.595036594274283</v>
      </c>
      <c r="F435" s="204">
        <f t="shared" si="155"/>
        <v>4.0842522974101847E-2</v>
      </c>
    </row>
    <row r="436" spans="2:6" ht="15.75" hidden="1" outlineLevel="1">
      <c r="B436" s="205">
        <f t="shared" si="153"/>
        <v>43578</v>
      </c>
      <c r="C436" s="206">
        <v>195.48675518782946</v>
      </c>
      <c r="D436" s="204">
        <f t="shared" si="154"/>
        <v>1.1891563310572506E-2</v>
      </c>
      <c r="E436" s="206">
        <v>33.826558915884732</v>
      </c>
      <c r="F436" s="204">
        <f t="shared" si="155"/>
        <v>6.8915633105726126E-3</v>
      </c>
    </row>
    <row r="437" spans="2:6" ht="15.75" hidden="1" outlineLevel="1">
      <c r="B437" s="205">
        <f t="shared" si="153"/>
        <v>43585</v>
      </c>
      <c r="C437" s="206">
        <v>195.53279508907718</v>
      </c>
      <c r="D437" s="204">
        <f t="shared" si="154"/>
        <v>2.3551417180911471E-4</v>
      </c>
      <c r="E437" s="206">
        <v>34.714016081705964</v>
      </c>
      <c r="F437" s="204">
        <f t="shared" si="155"/>
        <v>2.6235514171809138E-2</v>
      </c>
    </row>
    <row r="438" spans="2:6" ht="15.75" hidden="1" outlineLevel="1">
      <c r="B438" s="205">
        <f t="shared" si="153"/>
        <v>43592</v>
      </c>
      <c r="C438" s="206">
        <v>190.77133515713621</v>
      </c>
      <c r="D438" s="204">
        <f t="shared" si="154"/>
        <v>-2.4351208858707563E-2</v>
      </c>
      <c r="E438" s="206">
        <v>33.764545777530692</v>
      </c>
      <c r="F438" s="204">
        <f t="shared" si="155"/>
        <v>-2.7351208858707565E-2</v>
      </c>
    </row>
    <row r="439" spans="2:6" ht="15.75" hidden="1" outlineLevel="1">
      <c r="B439" s="205">
        <f t="shared" si="153"/>
        <v>43599</v>
      </c>
      <c r="C439" s="206">
        <v>192.99526256088612</v>
      </c>
      <c r="D439" s="204">
        <f t="shared" si="154"/>
        <v>1.1657555376011208E-2</v>
      </c>
      <c r="E439" s="206">
        <v>34.158157839678118</v>
      </c>
      <c r="F439" s="204">
        <f t="shared" si="155"/>
        <v>1.1657555376011208E-2</v>
      </c>
    </row>
    <row r="440" spans="2:6" ht="15.75" hidden="1" outlineLevel="1">
      <c r="B440" s="205">
        <f t="shared" si="153"/>
        <v>43606</v>
      </c>
      <c r="C440" s="206">
        <v>189.24134249683058</v>
      </c>
      <c r="D440" s="204">
        <f t="shared" si="154"/>
        <v>-1.9450840472683861E-2</v>
      </c>
      <c r="E440" s="206">
        <v>33.254645855820037</v>
      </c>
      <c r="F440" s="204">
        <f t="shared" si="155"/>
        <v>-2.6450840472683868E-2</v>
      </c>
    </row>
    <row r="441" spans="2:6" ht="15.75" hidden="1" outlineLevel="1">
      <c r="B441" s="205">
        <f t="shared" si="153"/>
        <v>43613</v>
      </c>
      <c r="C441" s="206">
        <v>190.43571094948956</v>
      </c>
      <c r="D441" s="204">
        <f t="shared" si="154"/>
        <v>6.3113505585017382E-3</v>
      </c>
      <c r="E441" s="206">
        <v>33.464527583514943</v>
      </c>
      <c r="F441" s="204">
        <f t="shared" si="155"/>
        <v>6.3113505585017382E-3</v>
      </c>
    </row>
    <row r="442" spans="2:6" ht="15.75" hidden="1" outlineLevel="1">
      <c r="B442" s="205">
        <f t="shared" si="153"/>
        <v>43620</v>
      </c>
      <c r="C442" s="206">
        <v>191.85427370387671</v>
      </c>
      <c r="D442" s="204">
        <f t="shared" si="154"/>
        <v>7.4490375114750762E-3</v>
      </c>
      <c r="E442" s="206">
        <v>33.8476642151224</v>
      </c>
      <c r="F442" s="204">
        <f t="shared" si="155"/>
        <v>1.144903751147508E-2</v>
      </c>
    </row>
    <row r="443" spans="2:6" ht="15.75" hidden="1" outlineLevel="1">
      <c r="B443" s="205">
        <f t="shared" si="153"/>
        <v>43627</v>
      </c>
      <c r="C443" s="206">
        <v>190.13078000934141</v>
      </c>
      <c r="D443" s="204">
        <f t="shared" si="154"/>
        <v>-8.9833479404033412E-3</v>
      </c>
      <c r="E443" s="206">
        <v>33.44205587786265</v>
      </c>
      <c r="F443" s="204">
        <f t="shared" si="155"/>
        <v>-1.1983347940403344E-2</v>
      </c>
    </row>
    <row r="444" spans="2:6" ht="15.75" hidden="1" outlineLevel="1">
      <c r="B444" s="205">
        <f t="shared" si="153"/>
        <v>43634</v>
      </c>
      <c r="C444" s="206">
        <v>195.83972776406219</v>
      </c>
      <c r="D444" s="204">
        <f t="shared" si="154"/>
        <v>3.0026425781455757E-2</v>
      </c>
      <c r="E444" s="206">
        <v>34.379317174902866</v>
      </c>
      <c r="F444" s="204">
        <f t="shared" si="155"/>
        <v>2.8026425781455755E-2</v>
      </c>
    </row>
    <row r="445" spans="2:6" ht="15.75" hidden="1" outlineLevel="1">
      <c r="B445" s="205">
        <f t="shared" si="153"/>
        <v>43641</v>
      </c>
      <c r="C445" s="206">
        <v>196.91933008607461</v>
      </c>
      <c r="D445" s="204">
        <f t="shared" si="154"/>
        <v>5.5126829185192516E-3</v>
      </c>
      <c r="E445" s="206">
        <v>34.603218766618205</v>
      </c>
      <c r="F445" s="204">
        <f t="shared" si="155"/>
        <v>6.5126829185191415E-3</v>
      </c>
    </row>
    <row r="446" spans="2:6" ht="15.75" hidden="1" outlineLevel="1">
      <c r="B446" s="205">
        <f t="shared" si="153"/>
        <v>43648</v>
      </c>
      <c r="C446" s="206">
        <v>198.57743377593914</v>
      </c>
      <c r="D446" s="204">
        <f t="shared" si="154"/>
        <v>8.4202180107955105E-3</v>
      </c>
      <c r="E446" s="206">
        <v>35.828872319207072</v>
      </c>
      <c r="F446" s="204">
        <f t="shared" si="155"/>
        <v>3.5420218010795423E-2</v>
      </c>
    </row>
    <row r="447" spans="2:6" ht="15.75" hidden="1" outlineLevel="1">
      <c r="B447" s="205">
        <f t="shared" si="153"/>
        <v>43655</v>
      </c>
      <c r="C447" s="206">
        <v>198.58010275572161</v>
      </c>
      <c r="D447" s="204">
        <f t="shared" si="154"/>
        <v>1.3440498911387877E-5</v>
      </c>
      <c r="E447" s="206">
        <v>35.829305721334535</v>
      </c>
      <c r="F447" s="204">
        <f t="shared" si="155"/>
        <v>1.2096449020226885E-5</v>
      </c>
    </row>
    <row r="448" spans="2:6" ht="15.75" hidden="1" outlineLevel="1">
      <c r="B448" s="205">
        <f t="shared" si="153"/>
        <v>43662</v>
      </c>
      <c r="C448" s="206">
        <v>195.99185961166344</v>
      </c>
      <c r="D448" s="204">
        <f t="shared" si="154"/>
        <v>-1.303374863916773E-2</v>
      </c>
      <c r="E448" s="206">
        <v>35.290656945204098</v>
      </c>
      <c r="F448" s="204">
        <f t="shared" si="155"/>
        <v>-1.5033748639167732E-2</v>
      </c>
    </row>
    <row r="449" spans="2:6" ht="15.75" hidden="1" outlineLevel="1">
      <c r="B449" s="205">
        <f t="shared" si="153"/>
        <v>43669</v>
      </c>
      <c r="C449" s="206">
        <v>195.62087142189898</v>
      </c>
      <c r="D449" s="204">
        <f t="shared" si="154"/>
        <v>-1.8928755025822142E-3</v>
      </c>
      <c r="E449" s="206">
        <v>35.964959921051772</v>
      </c>
      <c r="F449" s="204">
        <f t="shared" si="155"/>
        <v>1.9107124497417693E-2</v>
      </c>
    </row>
    <row r="450" spans="2:6" ht="15.75" hidden="1" outlineLevel="1">
      <c r="B450" s="205">
        <f t="shared" ref="B450:B513" si="156">B449+7</f>
        <v>43676</v>
      </c>
      <c r="C450" s="206">
        <v>193.65650230199506</v>
      </c>
      <c r="D450" s="204">
        <f t="shared" ref="D450:D513" si="157">C450/C449-1</f>
        <v>-1.0041715414237817E-2</v>
      </c>
      <c r="E450" s="206">
        <v>36.682758826271659</v>
      </c>
      <c r="F450" s="204">
        <f t="shared" ref="F450:F513" si="158">E450/E449-1</f>
        <v>1.9958284585762209E-2</v>
      </c>
    </row>
    <row r="451" spans="2:6" ht="15.75" hidden="1" outlineLevel="1">
      <c r="B451" s="205">
        <f t="shared" si="156"/>
        <v>43683</v>
      </c>
      <c r="C451" s="206">
        <v>192.69900580503102</v>
      </c>
      <c r="D451" s="204">
        <f t="shared" si="157"/>
        <v>-4.9443033700510286E-3</v>
      </c>
      <c r="E451" s="206">
        <v>36.721484691141782</v>
      </c>
      <c r="F451" s="204">
        <f t="shared" si="158"/>
        <v>1.0556966299488657E-3</v>
      </c>
    </row>
    <row r="452" spans="2:6" ht="15.75" hidden="1" outlineLevel="1">
      <c r="B452" s="205">
        <f t="shared" si="156"/>
        <v>43690</v>
      </c>
      <c r="C452" s="206">
        <v>191.24507906852605</v>
      </c>
      <c r="D452" s="204">
        <f t="shared" si="157"/>
        <v>-7.5450661015658005E-3</v>
      </c>
      <c r="E452" s="206">
        <v>36.554583115872909</v>
      </c>
      <c r="F452" s="204">
        <f t="shared" si="158"/>
        <v>-4.5450661015656868E-3</v>
      </c>
    </row>
    <row r="453" spans="2:6" ht="15.75" hidden="1" outlineLevel="1">
      <c r="B453" s="205">
        <f t="shared" si="156"/>
        <v>43697</v>
      </c>
      <c r="C453" s="206">
        <v>194.06619069860545</v>
      </c>
      <c r="D453" s="204">
        <f t="shared" si="157"/>
        <v>1.4751290040088127E-2</v>
      </c>
      <c r="E453" s="206">
        <v>36.801373708782677</v>
      </c>
      <c r="F453" s="204">
        <f t="shared" si="158"/>
        <v>6.7512900400881204E-3</v>
      </c>
    </row>
    <row r="454" spans="2:6" ht="15.75" hidden="1" outlineLevel="1">
      <c r="B454" s="205">
        <f t="shared" si="156"/>
        <v>43704</v>
      </c>
      <c r="C454" s="206">
        <v>193.29685727630613</v>
      </c>
      <c r="D454" s="204">
        <f t="shared" si="157"/>
        <v>-3.96428362678658E-3</v>
      </c>
      <c r="E454" s="206">
        <v>36.802688120380829</v>
      </c>
      <c r="F454" s="204">
        <f t="shared" si="158"/>
        <v>3.571637321342358E-5</v>
      </c>
    </row>
    <row r="455" spans="2:6" ht="15.75" hidden="1" outlineLevel="1">
      <c r="B455" s="205">
        <f t="shared" si="156"/>
        <v>43711</v>
      </c>
      <c r="C455" s="206">
        <v>194.17094815506772</v>
      </c>
      <c r="D455" s="204">
        <f t="shared" si="157"/>
        <v>4.5220128825589345E-3</v>
      </c>
      <c r="E455" s="206">
        <v>38.183599058146555</v>
      </c>
      <c r="F455" s="204">
        <f t="shared" si="158"/>
        <v>3.7522012882558853E-2</v>
      </c>
    </row>
    <row r="456" spans="2:6" ht="15.75" hidden="1" outlineLevel="1">
      <c r="B456" s="205">
        <f t="shared" si="156"/>
        <v>43718</v>
      </c>
      <c r="C456" s="206">
        <v>196.34349769800494</v>
      </c>
      <c r="D456" s="204">
        <f t="shared" si="157"/>
        <v>1.1188849637805642E-2</v>
      </c>
      <c r="E456" s="206">
        <v>38.45809521040583</v>
      </c>
      <c r="F456" s="204">
        <f t="shared" si="158"/>
        <v>7.1888496378056388E-3</v>
      </c>
    </row>
    <row r="457" spans="2:6" ht="15.75" hidden="1" outlineLevel="1">
      <c r="B457" s="205">
        <f t="shared" si="156"/>
        <v>43725</v>
      </c>
      <c r="C457" s="206">
        <v>197.89817842129847</v>
      </c>
      <c r="D457" s="204">
        <f t="shared" si="157"/>
        <v>7.9181676068782458E-3</v>
      </c>
      <c r="E457" s="206">
        <v>39.762523329593655</v>
      </c>
      <c r="F457" s="204">
        <f t="shared" si="158"/>
        <v>3.3918167606878269E-2</v>
      </c>
    </row>
    <row r="458" spans="2:6" ht="15.75" hidden="1" outlineLevel="1">
      <c r="B458" s="205">
        <f t="shared" si="156"/>
        <v>43732</v>
      </c>
      <c r="C458" s="206">
        <v>195.18916394208316</v>
      </c>
      <c r="D458" s="204">
        <f t="shared" si="157"/>
        <v>-1.3688930847297609E-2</v>
      </c>
      <c r="E458" s="206">
        <v>39.417029514068759</v>
      </c>
      <c r="F458" s="204">
        <f t="shared" si="158"/>
        <v>-8.6889308472976046E-3</v>
      </c>
    </row>
    <row r="459" spans="2:6" ht="15.75" hidden="1" outlineLevel="1">
      <c r="B459" s="205">
        <f t="shared" si="156"/>
        <v>43739</v>
      </c>
      <c r="C459" s="206">
        <v>192.84379795823048</v>
      </c>
      <c r="D459" s="204">
        <f t="shared" si="157"/>
        <v>-1.2015861621030299E-2</v>
      </c>
      <c r="E459" s="206">
        <v>36.972548466212203</v>
      </c>
      <c r="F459" s="204">
        <f t="shared" si="158"/>
        <v>-6.2015861621030344E-2</v>
      </c>
    </row>
    <row r="460" spans="2:6" ht="15.75" hidden="1" outlineLevel="1">
      <c r="B460" s="205">
        <f t="shared" si="156"/>
        <v>43746</v>
      </c>
      <c r="C460" s="206">
        <v>191.03156068592779</v>
      </c>
      <c r="D460" s="204">
        <f t="shared" si="157"/>
        <v>-9.397436119232716E-3</v>
      </c>
      <c r="E460" s="206">
        <v>36.033540528376342</v>
      </c>
      <c r="F460" s="204">
        <f t="shared" si="158"/>
        <v>-2.539743611923273E-2</v>
      </c>
    </row>
    <row r="461" spans="2:6" ht="15.75" hidden="1" outlineLevel="1">
      <c r="B461" s="205">
        <f t="shared" si="156"/>
        <v>43753</v>
      </c>
      <c r="C461" s="206">
        <v>190.44772135851071</v>
      </c>
      <c r="D461" s="204">
        <f t="shared" si="157"/>
        <v>-3.0562453938015599E-3</v>
      </c>
      <c r="E461" s="206">
        <v>37.004419401965414</v>
      </c>
      <c r="F461" s="204">
        <f t="shared" si="158"/>
        <v>2.6943754606198356E-2</v>
      </c>
    </row>
    <row r="462" spans="2:6" ht="15.75" hidden="1" outlineLevel="1">
      <c r="B462" s="205">
        <f t="shared" si="156"/>
        <v>43760</v>
      </c>
      <c r="C462" s="206">
        <v>193.05064389137252</v>
      </c>
      <c r="D462" s="204">
        <f t="shared" si="157"/>
        <v>1.3667386064241338E-2</v>
      </c>
      <c r="E462" s="206">
        <v>37.510173088015179</v>
      </c>
      <c r="F462" s="204">
        <f t="shared" si="158"/>
        <v>1.3667386064241338E-2</v>
      </c>
    </row>
    <row r="463" spans="2:6" ht="15.75" hidden="1" outlineLevel="1">
      <c r="B463" s="205">
        <f t="shared" si="156"/>
        <v>43767</v>
      </c>
      <c r="C463" s="206">
        <v>197.37706011876961</v>
      </c>
      <c r="D463" s="204">
        <f t="shared" si="157"/>
        <v>2.2410783720729244E-2</v>
      </c>
      <c r="E463" s="206">
        <v>38.538356329857876</v>
      </c>
      <c r="F463" s="204">
        <f t="shared" si="158"/>
        <v>2.7410783720729137E-2</v>
      </c>
    </row>
    <row r="464" spans="2:6" ht="15.75" hidden="1" outlineLevel="1">
      <c r="B464" s="205">
        <f t="shared" si="156"/>
        <v>43774</v>
      </c>
      <c r="C464" s="206">
        <v>196.55968506038568</v>
      </c>
      <c r="D464" s="204">
        <f t="shared" si="157"/>
        <v>-4.1411856975277495E-3</v>
      </c>
      <c r="E464" s="206">
        <v>38.494376908808015</v>
      </c>
      <c r="F464" s="204">
        <f t="shared" si="158"/>
        <v>-1.1411856975277468E-3</v>
      </c>
    </row>
    <row r="465" spans="2:6" ht="15.75" hidden="1" outlineLevel="1">
      <c r="B465" s="205">
        <f t="shared" si="156"/>
        <v>43781</v>
      </c>
      <c r="C465" s="206">
        <v>196.13798625475411</v>
      </c>
      <c r="D465" s="204">
        <f t="shared" si="157"/>
        <v>-2.1453982565244889E-3</v>
      </c>
      <c r="E465" s="206">
        <v>38.411791139701862</v>
      </c>
      <c r="F465" s="204">
        <f t="shared" si="158"/>
        <v>-2.1453982565244889E-3</v>
      </c>
    </row>
    <row r="466" spans="2:6" ht="15.75" hidden="1" outlineLevel="1">
      <c r="B466" s="205">
        <f t="shared" si="156"/>
        <v>43788</v>
      </c>
      <c r="C466" s="206">
        <v>194.8495362647628</v>
      </c>
      <c r="D466" s="204">
        <f t="shared" si="157"/>
        <v>-6.5690997169605136E-3</v>
      </c>
      <c r="E466" s="206">
        <v>37.852165924280484</v>
      </c>
      <c r="F466" s="204">
        <f t="shared" si="158"/>
        <v>-1.4569099716960521E-2</v>
      </c>
    </row>
    <row r="467" spans="2:6" ht="15.75" hidden="1" outlineLevel="1">
      <c r="B467" s="205">
        <f t="shared" si="156"/>
        <v>43795</v>
      </c>
      <c r="C467" s="206">
        <v>194.15293254153599</v>
      </c>
      <c r="D467" s="204">
        <f t="shared" si="157"/>
        <v>-3.5750853534507465E-3</v>
      </c>
      <c r="E467" s="206">
        <v>37.678989034363923</v>
      </c>
      <c r="F467" s="204">
        <f t="shared" si="158"/>
        <v>-4.5750853534507474E-3</v>
      </c>
    </row>
    <row r="468" spans="2:6" ht="15.75" hidden="1" outlineLevel="1">
      <c r="B468" s="205">
        <f t="shared" si="156"/>
        <v>43802</v>
      </c>
      <c r="C468" s="206">
        <v>198.03162741042237</v>
      </c>
      <c r="D468" s="204">
        <f t="shared" si="157"/>
        <v>1.997752399674213E-2</v>
      </c>
      <c r="E468" s="206">
        <v>41.06925117437639</v>
      </c>
      <c r="F468" s="204">
        <f t="shared" si="158"/>
        <v>8.9977523996742192E-2</v>
      </c>
    </row>
    <row r="469" spans="2:6" ht="15.75" hidden="1" outlineLevel="1">
      <c r="B469" s="205">
        <f t="shared" si="156"/>
        <v>43809</v>
      </c>
      <c r="C469" s="206">
        <v>199.50023353573096</v>
      </c>
      <c r="D469" s="204">
        <f t="shared" si="157"/>
        <v>7.4160180599076586E-3</v>
      </c>
      <c r="E469" s="206">
        <v>41.343364451950848</v>
      </c>
      <c r="F469" s="204">
        <f t="shared" si="158"/>
        <v>6.6744162539169594E-3</v>
      </c>
    </row>
    <row r="470" spans="2:6" ht="15.75" hidden="1" outlineLevel="1">
      <c r="B470" s="205">
        <f t="shared" si="156"/>
        <v>43816</v>
      </c>
      <c r="C470" s="206">
        <v>201.23173416961367</v>
      </c>
      <c r="D470" s="204">
        <f t="shared" si="157"/>
        <v>8.6791910124386362E-3</v>
      </c>
      <c r="E470" s="206">
        <v>41.702191409126193</v>
      </c>
      <c r="F470" s="204">
        <f t="shared" si="158"/>
        <v>8.6791910124386362E-3</v>
      </c>
    </row>
    <row r="471" spans="2:6" ht="15.75" hidden="1" outlineLevel="1">
      <c r="B471" s="205">
        <f t="shared" si="156"/>
        <v>43823</v>
      </c>
      <c r="C471" s="206">
        <v>200.92413424968305</v>
      </c>
      <c r="D471" s="204">
        <f t="shared" si="157"/>
        <v>-1.5285855444219232E-3</v>
      </c>
      <c r="E471" s="206">
        <v>41.596743850758358</v>
      </c>
      <c r="F471" s="204">
        <f t="shared" si="158"/>
        <v>-2.5285855444220351E-3</v>
      </c>
    </row>
    <row r="472" spans="2:6" ht="15.75" hidden="1" outlineLevel="1">
      <c r="B472" s="205">
        <f t="shared" si="156"/>
        <v>43830</v>
      </c>
      <c r="C472" s="206">
        <v>201.41722826449589</v>
      </c>
      <c r="D472" s="204">
        <f t="shared" si="157"/>
        <v>2.4541303445413387E-3</v>
      </c>
      <c r="E472" s="206">
        <v>41.490843962822822</v>
      </c>
      <c r="F472" s="204">
        <f t="shared" si="158"/>
        <v>-2.5458696554587767E-3</v>
      </c>
    </row>
    <row r="473" spans="2:6" ht="15.75" hidden="1" outlineLevel="1">
      <c r="B473" s="205">
        <f t="shared" si="156"/>
        <v>43837</v>
      </c>
      <c r="C473" s="206">
        <v>201.56535664242344</v>
      </c>
      <c r="D473" s="204">
        <f t="shared" si="157"/>
        <v>7.3543052500468775E-4</v>
      </c>
      <c r="E473" s="206">
        <v>41.521357595981286</v>
      </c>
      <c r="F473" s="204">
        <f t="shared" si="158"/>
        <v>7.3543052500468775E-4</v>
      </c>
    </row>
    <row r="474" spans="2:6" ht="15.75" hidden="1" outlineLevel="1">
      <c r="B474" s="205">
        <f t="shared" si="156"/>
        <v>43844</v>
      </c>
      <c r="C474" s="206">
        <v>201.67611930339626</v>
      </c>
      <c r="D474" s="204">
        <f t="shared" si="157"/>
        <v>5.4951239051126421E-4</v>
      </c>
      <c r="E474" s="206">
        <v>41.627216811643088</v>
      </c>
      <c r="F474" s="204">
        <f t="shared" si="158"/>
        <v>2.549512390511266E-3</v>
      </c>
    </row>
    <row r="475" spans="2:6" ht="15.75" hidden="1" outlineLevel="1">
      <c r="B475" s="205">
        <f t="shared" si="156"/>
        <v>43851</v>
      </c>
      <c r="C475" s="206">
        <v>201.30646560352307</v>
      </c>
      <c r="D475" s="204">
        <f t="shared" si="157"/>
        <v>-1.8329076399824507E-3</v>
      </c>
      <c r="E475" s="206">
        <v>41.13464579980139</v>
      </c>
      <c r="F475" s="204">
        <f t="shared" si="158"/>
        <v>-1.183290763998246E-2</v>
      </c>
    </row>
    <row r="476" spans="2:6" ht="15.75" hidden="1" outlineLevel="1">
      <c r="B476" s="205">
        <f t="shared" si="156"/>
        <v>43858</v>
      </c>
      <c r="C476" s="206">
        <v>202.23727230266229</v>
      </c>
      <c r="D476" s="204">
        <f t="shared" si="157"/>
        <v>4.623829127140322E-3</v>
      </c>
      <c r="E476" s="206">
        <v>41.530518602184117</v>
      </c>
      <c r="F476" s="204">
        <f t="shared" si="158"/>
        <v>9.6238291271402154E-3</v>
      </c>
    </row>
    <row r="477" spans="2:6" ht="15.75" hidden="1" outlineLevel="1">
      <c r="B477" s="205">
        <f t="shared" si="156"/>
        <v>43865</v>
      </c>
      <c r="C477" s="206">
        <v>204.33642490158135</v>
      </c>
      <c r="D477" s="204">
        <f t="shared" si="157"/>
        <v>1.0379652449908017E-2</v>
      </c>
      <c r="E477" s="206">
        <v>42.003121469941419</v>
      </c>
      <c r="F477" s="204">
        <f t="shared" si="158"/>
        <v>1.1379652449908129E-2</v>
      </c>
    </row>
    <row r="478" spans="2:6" ht="15.75" hidden="1" outlineLevel="1">
      <c r="B478" s="205">
        <f t="shared" si="156"/>
        <v>43872</v>
      </c>
      <c r="C478" s="206">
        <v>205.28391272436113</v>
      </c>
      <c r="D478" s="204">
        <f t="shared" si="157"/>
        <v>4.6369012437998958E-3</v>
      </c>
      <c r="E478" s="206">
        <v>41.315820245260099</v>
      </c>
      <c r="F478" s="204">
        <f t="shared" si="158"/>
        <v>-1.6363098756200123E-2</v>
      </c>
    </row>
    <row r="479" spans="2:6" ht="15.75" hidden="1" outlineLevel="1">
      <c r="B479" s="205">
        <f t="shared" si="156"/>
        <v>43879</v>
      </c>
      <c r="C479" s="206">
        <v>205.25855741642758</v>
      </c>
      <c r="D479" s="204">
        <f t="shared" si="157"/>
        <v>-1.2351337032234788E-4</v>
      </c>
      <c r="E479" s="206">
        <v>41.31122749467459</v>
      </c>
      <c r="F479" s="204">
        <f t="shared" si="158"/>
        <v>-1.1116203329009089E-4</v>
      </c>
    </row>
    <row r="480" spans="2:6" ht="15.75" hidden="1" outlineLevel="1">
      <c r="B480" s="205">
        <f t="shared" si="156"/>
        <v>43886</v>
      </c>
      <c r="C480" s="206">
        <v>204.66137319009809</v>
      </c>
      <c r="D480" s="204">
        <f t="shared" si="157"/>
        <v>-2.9094242590720354E-3</v>
      </c>
      <c r="E480" s="206">
        <v>41.562836654681611</v>
      </c>
      <c r="F480" s="204">
        <f t="shared" si="158"/>
        <v>6.0905757409279726E-3</v>
      </c>
    </row>
    <row r="481" spans="2:6" ht="15.75" hidden="1" outlineLevel="1">
      <c r="B481" s="205">
        <f t="shared" si="156"/>
        <v>43893</v>
      </c>
      <c r="C481" s="206">
        <v>205.08907720024021</v>
      </c>
      <c r="D481" s="204">
        <f t="shared" si="157"/>
        <v>2.0898130579083407E-3</v>
      </c>
      <c r="E481" s="206">
        <v>43.021268823050768</v>
      </c>
      <c r="F481" s="204">
        <f t="shared" si="158"/>
        <v>3.5089813057908259E-2</v>
      </c>
    </row>
    <row r="482" spans="2:6" ht="15.75" hidden="1" outlineLevel="1">
      <c r="B482" s="205">
        <f t="shared" si="156"/>
        <v>43900</v>
      </c>
      <c r="C482" s="206">
        <v>203.73657169546942</v>
      </c>
      <c r="D482" s="204">
        <f t="shared" si="157"/>
        <v>-6.5947222701200348E-3</v>
      </c>
      <c r="E482" s="206">
        <v>41.705045051701354</v>
      </c>
      <c r="F482" s="204">
        <f t="shared" si="158"/>
        <v>-3.0594722270120056E-2</v>
      </c>
    </row>
    <row r="483" spans="2:6" ht="15.75" hidden="1" outlineLevel="1">
      <c r="B483" s="205">
        <f t="shared" si="156"/>
        <v>43907</v>
      </c>
      <c r="C483" s="206">
        <v>204.83018616133981</v>
      </c>
      <c r="D483" s="204">
        <f t="shared" si="157"/>
        <v>5.3677867295471859E-3</v>
      </c>
      <c r="E483" s="206">
        <v>41.136512983102719</v>
      </c>
      <c r="F483" s="204">
        <f t="shared" si="158"/>
        <v>-1.3632213270452831E-2</v>
      </c>
    </row>
    <row r="484" spans="2:6" ht="15.75" hidden="1" outlineLevel="1">
      <c r="B484" s="205">
        <f t="shared" si="156"/>
        <v>43914</v>
      </c>
      <c r="C484" s="206">
        <v>205.05704944285048</v>
      </c>
      <c r="D484" s="204">
        <f t="shared" si="157"/>
        <v>1.107567618632066E-3</v>
      </c>
      <c r="E484" s="206">
        <v>41.058664913876932</v>
      </c>
      <c r="F484" s="204">
        <f t="shared" si="158"/>
        <v>-1.8924323813679367E-3</v>
      </c>
    </row>
    <row r="485" spans="2:6" ht="15.75" hidden="1" outlineLevel="1">
      <c r="B485" s="205">
        <f t="shared" si="156"/>
        <v>43921</v>
      </c>
      <c r="C485" s="206">
        <v>205.32061119637018</v>
      </c>
      <c r="D485" s="204">
        <f t="shared" si="157"/>
        <v>1.2853094016314071E-3</v>
      </c>
      <c r="E485" s="206">
        <v>40.824027347512036</v>
      </c>
      <c r="F485" s="204">
        <f t="shared" si="158"/>
        <v>-5.7146905983684881E-3</v>
      </c>
    </row>
    <row r="486" spans="2:6" ht="15.75" hidden="1" outlineLevel="1">
      <c r="B486" s="205">
        <f t="shared" si="156"/>
        <v>43928</v>
      </c>
      <c r="C486" s="206">
        <v>205.59084539934611</v>
      </c>
      <c r="D486" s="204">
        <f t="shared" si="157"/>
        <v>1.316157210916602E-3</v>
      </c>
      <c r="E486" s="206">
        <v>40.91858221283163</v>
      </c>
      <c r="F486" s="204">
        <f t="shared" si="158"/>
        <v>2.3161572109164918E-3</v>
      </c>
    </row>
    <row r="487" spans="2:6" ht="15.75" hidden="1" outlineLevel="1">
      <c r="B487" s="205">
        <f t="shared" si="156"/>
        <v>43935</v>
      </c>
      <c r="C487" s="206">
        <v>203.42363381597386</v>
      </c>
      <c r="D487" s="204">
        <f t="shared" si="157"/>
        <v>-1.0541381738873534E-2</v>
      </c>
      <c r="E487" s="206">
        <v>40.282650906448531</v>
      </c>
      <c r="F487" s="204">
        <f t="shared" si="158"/>
        <v>-1.554138173887365E-2</v>
      </c>
    </row>
    <row r="488" spans="2:6" ht="15.75" hidden="1" outlineLevel="1">
      <c r="B488" s="205">
        <f t="shared" si="156"/>
        <v>43942</v>
      </c>
      <c r="C488" s="206">
        <v>204.64135584172951</v>
      </c>
      <c r="D488" s="204">
        <f t="shared" si="157"/>
        <v>5.9861383995196693E-3</v>
      </c>
      <c r="E488" s="206">
        <v>39.677852760838647</v>
      </c>
      <c r="F488" s="204">
        <f t="shared" si="158"/>
        <v>-1.5013861600480349E-2</v>
      </c>
    </row>
    <row r="489" spans="2:6" ht="15.75" hidden="1" outlineLevel="1">
      <c r="B489" s="205">
        <f t="shared" si="156"/>
        <v>43949</v>
      </c>
      <c r="C489" s="206">
        <v>205.18182424768131</v>
      </c>
      <c r="D489" s="204">
        <f t="shared" si="157"/>
        <v>2.6410517254868981E-3</v>
      </c>
      <c r="E489" s="206">
        <v>41.68718095485653</v>
      </c>
      <c r="F489" s="204">
        <f t="shared" si="158"/>
        <v>5.0641051725486941E-2</v>
      </c>
    </row>
    <row r="490" spans="2:6" ht="15.75" hidden="1" outlineLevel="1">
      <c r="B490" s="205">
        <f t="shared" si="156"/>
        <v>43956</v>
      </c>
      <c r="C490" s="206">
        <v>204.79548942416761</v>
      </c>
      <c r="D490" s="204">
        <f t="shared" si="157"/>
        <v>-1.8828900899493517E-3</v>
      </c>
      <c r="E490" s="206">
        <v>41.817124479732989</v>
      </c>
      <c r="F490" s="204">
        <f t="shared" si="158"/>
        <v>3.1171099100506527E-3</v>
      </c>
    </row>
    <row r="491" spans="2:6" ht="15.75" hidden="1" outlineLevel="1">
      <c r="B491" s="205">
        <f t="shared" si="156"/>
        <v>43963</v>
      </c>
      <c r="C491" s="206">
        <v>209.23533729232</v>
      </c>
      <c r="D491" s="204">
        <f t="shared" si="157"/>
        <v>2.1679422142724336E-2</v>
      </c>
      <c r="E491" s="206">
        <v>43.560038063718636</v>
      </c>
      <c r="F491" s="204">
        <f t="shared" si="158"/>
        <v>4.1679422142724354E-2</v>
      </c>
    </row>
    <row r="492" spans="2:6" ht="15.75" hidden="1" outlineLevel="1">
      <c r="B492" s="205">
        <f t="shared" si="156"/>
        <v>43970</v>
      </c>
      <c r="C492" s="206">
        <v>209.27603923400281</v>
      </c>
      <c r="D492" s="204">
        <f t="shared" si="157"/>
        <v>1.9452709188394479E-4</v>
      </c>
      <c r="E492" s="206">
        <v>43.567664310492837</v>
      </c>
      <c r="F492" s="204">
        <f t="shared" si="158"/>
        <v>1.7507438269559472E-4</v>
      </c>
    </row>
    <row r="493" spans="2:6" ht="15.75" hidden="1" outlineLevel="1">
      <c r="B493" s="205">
        <f t="shared" si="156"/>
        <v>43977</v>
      </c>
      <c r="C493" s="206">
        <v>207.1141656101955</v>
      </c>
      <c r="D493" s="204">
        <f t="shared" si="157"/>
        <v>-1.0330249137551761E-2</v>
      </c>
      <c r="E493" s="206">
        <v>42.812625833650777</v>
      </c>
      <c r="F493" s="204">
        <f t="shared" si="158"/>
        <v>-1.7330249137551657E-2</v>
      </c>
    </row>
    <row r="494" spans="2:6" ht="15.75" hidden="1" outlineLevel="1">
      <c r="B494" s="205">
        <f t="shared" si="156"/>
        <v>43984</v>
      </c>
      <c r="C494" s="206">
        <v>207.14819510242211</v>
      </c>
      <c r="D494" s="204">
        <f t="shared" si="157"/>
        <v>1.6430306505754722E-4</v>
      </c>
      <c r="E494" s="206">
        <v>44.275289357642535</v>
      </c>
      <c r="F494" s="204">
        <f t="shared" si="158"/>
        <v>3.4164303065057577E-2</v>
      </c>
    </row>
    <row r="495" spans="2:6" ht="15.75" hidden="1" outlineLevel="1">
      <c r="B495" s="205">
        <f t="shared" si="156"/>
        <v>43991</v>
      </c>
      <c r="C495" s="206">
        <v>207.80076065923799</v>
      </c>
      <c r="D495" s="204">
        <f t="shared" si="157"/>
        <v>3.1502353013177498E-3</v>
      </c>
      <c r="E495" s="206">
        <v>44.59186809458361</v>
      </c>
      <c r="F495" s="204">
        <f t="shared" si="158"/>
        <v>7.1502353013177533E-3</v>
      </c>
    </row>
    <row r="496" spans="2:6" ht="15.75" hidden="1" outlineLevel="1">
      <c r="B496" s="205">
        <f t="shared" si="156"/>
        <v>43998</v>
      </c>
      <c r="C496" s="206">
        <v>210.57116167345032</v>
      </c>
      <c r="D496" s="204">
        <f t="shared" si="157"/>
        <v>1.3332006126557827E-2</v>
      </c>
      <c r="E496" s="206">
        <v>45.275550889404421</v>
      </c>
      <c r="F496" s="204">
        <f t="shared" si="158"/>
        <v>1.5332006126557829E-2</v>
      </c>
    </row>
    <row r="497" spans="2:6" ht="15.75" hidden="1" outlineLevel="1">
      <c r="B497" s="205">
        <f t="shared" si="156"/>
        <v>44005</v>
      </c>
      <c r="C497" s="206">
        <v>212.44745446053244</v>
      </c>
      <c r="D497" s="204">
        <f t="shared" si="157"/>
        <v>8.9104926437735266E-3</v>
      </c>
      <c r="E497" s="206">
        <v>45.588427250768447</v>
      </c>
      <c r="F497" s="204">
        <f t="shared" si="158"/>
        <v>6.9104926437735248E-3</v>
      </c>
    </row>
    <row r="498" spans="2:6" ht="15.75" hidden="1" outlineLevel="1">
      <c r="B498" s="205">
        <f t="shared" si="156"/>
        <v>44012</v>
      </c>
      <c r="C498" s="206">
        <v>212.09514912924536</v>
      </c>
      <c r="D498" s="204">
        <f t="shared" si="157"/>
        <v>-1.6583174987042648E-3</v>
      </c>
      <c r="E498" s="206">
        <v>45.51282716412009</v>
      </c>
      <c r="F498" s="204">
        <f t="shared" si="158"/>
        <v>-1.6583174987042648E-3</v>
      </c>
    </row>
    <row r="499" spans="2:6" ht="15.75" hidden="1" outlineLevel="1">
      <c r="B499" s="205">
        <f t="shared" si="156"/>
        <v>44019</v>
      </c>
      <c r="C499" s="206">
        <v>212.03709881897646</v>
      </c>
      <c r="D499" s="204">
        <f t="shared" si="157"/>
        <v>-2.7369937741250627E-4</v>
      </c>
      <c r="E499" s="206">
        <v>45.409344677332747</v>
      </c>
      <c r="F499" s="204">
        <f t="shared" si="158"/>
        <v>-2.273699377412508E-3</v>
      </c>
    </row>
    <row r="500" spans="2:6" ht="15.75" hidden="1" outlineLevel="1">
      <c r="B500" s="205">
        <f t="shared" si="156"/>
        <v>44026</v>
      </c>
      <c r="C500" s="206">
        <v>212.35871088276505</v>
      </c>
      <c r="D500" s="204">
        <f t="shared" si="157"/>
        <v>1.5167726099816203E-3</v>
      </c>
      <c r="E500" s="206">
        <v>45.705267050963201</v>
      </c>
      <c r="F500" s="204">
        <f t="shared" si="158"/>
        <v>6.5167726099815138E-3</v>
      </c>
    </row>
    <row r="501" spans="2:6" ht="15.75" hidden="1" outlineLevel="1">
      <c r="B501" s="205">
        <f t="shared" si="156"/>
        <v>44033</v>
      </c>
      <c r="C501" s="206">
        <v>211.91432574898246</v>
      </c>
      <c r="D501" s="204">
        <f t="shared" si="157"/>
        <v>-2.0926155180321926E-3</v>
      </c>
      <c r="E501" s="206">
        <v>44.101349687194762</v>
      </c>
      <c r="F501" s="204">
        <f t="shared" si="158"/>
        <v>-3.5092615518032222E-2</v>
      </c>
    </row>
    <row r="502" spans="2:6" ht="15.75" hidden="1" outlineLevel="1">
      <c r="B502" s="205">
        <f t="shared" si="156"/>
        <v>44040</v>
      </c>
      <c r="C502" s="206">
        <v>212.18122372723028</v>
      </c>
      <c r="D502" s="204">
        <f t="shared" si="157"/>
        <v>1.2594617060668334E-3</v>
      </c>
      <c r="E502" s="206">
        <v>44.112792298624456</v>
      </c>
      <c r="F502" s="204">
        <f t="shared" si="158"/>
        <v>2.5946170606694352E-4</v>
      </c>
    </row>
    <row r="503" spans="2:6" ht="15.75" hidden="1" outlineLevel="1">
      <c r="B503" s="205">
        <f t="shared" si="156"/>
        <v>44047</v>
      </c>
      <c r="C503" s="206">
        <v>210.901447921532</v>
      </c>
      <c r="D503" s="204">
        <f t="shared" si="157"/>
        <v>-6.0315224090868869E-3</v>
      </c>
      <c r="E503" s="206">
        <v>44.067288964841026</v>
      </c>
      <c r="F503" s="204">
        <f t="shared" si="158"/>
        <v>-1.0315224090869934E-3</v>
      </c>
    </row>
    <row r="504" spans="2:6" ht="15.75" hidden="1" outlineLevel="1">
      <c r="B504" s="205">
        <f t="shared" si="156"/>
        <v>44054</v>
      </c>
      <c r="C504" s="206">
        <v>208.02895843063988</v>
      </c>
      <c r="D504" s="204">
        <f t="shared" si="157"/>
        <v>-1.3620055809009268E-2</v>
      </c>
      <c r="E504" s="206">
        <v>43.202686295999108</v>
      </c>
      <c r="F504" s="204">
        <f t="shared" si="158"/>
        <v>-1.9620055809009274E-2</v>
      </c>
    </row>
    <row r="505" spans="2:6" ht="15.75" hidden="1" outlineLevel="1">
      <c r="B505" s="205">
        <f t="shared" si="156"/>
        <v>44061</v>
      </c>
      <c r="C505" s="206">
        <v>206.42556882631612</v>
      </c>
      <c r="D505" s="204">
        <f t="shared" si="157"/>
        <v>-7.7075307996523623E-3</v>
      </c>
      <c r="E505" s="206">
        <v>43.215321751112967</v>
      </c>
      <c r="F505" s="204">
        <f t="shared" si="158"/>
        <v>2.9246920034764479E-4</v>
      </c>
    </row>
    <row r="506" spans="2:6" ht="15.75" hidden="1" outlineLevel="1">
      <c r="B506" s="205">
        <f t="shared" si="156"/>
        <v>44068</v>
      </c>
      <c r="C506" s="206">
        <v>209.28804964302395</v>
      </c>
      <c r="D506" s="204">
        <f t="shared" si="157"/>
        <v>1.3866890778032825E-2</v>
      </c>
      <c r="E506" s="206">
        <v>44.246737115284326</v>
      </c>
      <c r="F506" s="204">
        <f t="shared" si="158"/>
        <v>2.3866890778032834E-2</v>
      </c>
    </row>
    <row r="507" spans="2:6" ht="15.75" hidden="1" outlineLevel="1">
      <c r="B507" s="205">
        <f t="shared" si="156"/>
        <v>44075</v>
      </c>
      <c r="C507" s="206">
        <v>207.92887168879696</v>
      </c>
      <c r="D507" s="204">
        <f t="shared" si="157"/>
        <v>-6.4942931837020934E-3</v>
      </c>
      <c r="E507" s="206">
        <v>45.286787945494005</v>
      </c>
      <c r="F507" s="204">
        <f t="shared" si="158"/>
        <v>2.3505706816297822E-2</v>
      </c>
    </row>
    <row r="508" spans="2:6" ht="15.75" hidden="1" outlineLevel="1">
      <c r="B508" s="205">
        <f t="shared" si="156"/>
        <v>44082</v>
      </c>
      <c r="C508" s="206">
        <v>207.74871555347968</v>
      </c>
      <c r="D508" s="204">
        <f t="shared" si="157"/>
        <v>-8.6643155351173728E-4</v>
      </c>
      <c r="E508" s="206">
        <v>45.247550043460834</v>
      </c>
      <c r="F508" s="204">
        <f t="shared" si="158"/>
        <v>-8.6643155351173728E-4</v>
      </c>
    </row>
    <row r="509" spans="2:6" ht="15.75" hidden="1" outlineLevel="1">
      <c r="B509" s="205">
        <f t="shared" si="156"/>
        <v>44089</v>
      </c>
      <c r="C509" s="206">
        <v>208.18309201307801</v>
      </c>
      <c r="D509" s="204">
        <f t="shared" si="157"/>
        <v>2.0908743451966139E-3</v>
      </c>
      <c r="E509" s="206">
        <v>45.342156985029703</v>
      </c>
      <c r="F509" s="204">
        <f t="shared" si="158"/>
        <v>2.0908743451966139E-3</v>
      </c>
    </row>
    <row r="510" spans="2:6" ht="15.75" hidden="1" outlineLevel="1">
      <c r="B510" s="205">
        <f t="shared" si="156"/>
        <v>44096</v>
      </c>
      <c r="C510" s="206">
        <v>209.19663708547407</v>
      </c>
      <c r="D510" s="204">
        <f t="shared" si="157"/>
        <v>4.8685273265727247E-3</v>
      </c>
      <c r="E510" s="206">
        <v>47.37659279475826</v>
      </c>
      <c r="F510" s="204">
        <f t="shared" si="158"/>
        <v>4.486852732657276E-2</v>
      </c>
    </row>
    <row r="511" spans="2:6" ht="15.75" hidden="1" outlineLevel="1">
      <c r="B511" s="205">
        <f t="shared" si="156"/>
        <v>44103</v>
      </c>
      <c r="C511" s="206">
        <v>210.14612664309067</v>
      </c>
      <c r="D511" s="204">
        <f t="shared" si="157"/>
        <v>4.5387419742730639E-3</v>
      </c>
      <c r="E511" s="206">
        <v>46.265078326820642</v>
      </c>
      <c r="F511" s="204">
        <f t="shared" si="158"/>
        <v>-2.346125802572685E-2</v>
      </c>
    </row>
    <row r="512" spans="2:6" ht="15.75" hidden="1" outlineLevel="1">
      <c r="B512" s="205">
        <f t="shared" si="156"/>
        <v>44110</v>
      </c>
      <c r="C512" s="206">
        <v>209.26069260025355</v>
      </c>
      <c r="D512" s="204">
        <f t="shared" si="157"/>
        <v>-4.2134207133921464E-3</v>
      </c>
      <c r="E512" s="206">
        <v>48.892313865427759</v>
      </c>
      <c r="F512" s="204">
        <f t="shared" si="158"/>
        <v>5.6786579286607797E-2</v>
      </c>
    </row>
    <row r="513" spans="2:6" ht="15.75" hidden="1" outlineLevel="1">
      <c r="B513" s="205">
        <f t="shared" si="156"/>
        <v>44117</v>
      </c>
      <c r="C513" s="206">
        <v>207.66998064989656</v>
      </c>
      <c r="D513" s="204">
        <f t="shared" si="157"/>
        <v>-7.6015802614000094E-3</v>
      </c>
      <c r="E513" s="206">
        <v>48.227301134221584</v>
      </c>
      <c r="F513" s="204">
        <f t="shared" si="158"/>
        <v>-1.3601580261400015E-2</v>
      </c>
    </row>
    <row r="514" spans="2:6" ht="15.75" hidden="1" outlineLevel="1">
      <c r="B514" s="205">
        <f t="shared" ref="B514:B577" si="159">B513+7</f>
        <v>44124</v>
      </c>
      <c r="C514" s="206">
        <v>204.51191032227931</v>
      </c>
      <c r="D514" s="204">
        <f t="shared" ref="D514:D577" si="160">C514/C513-1</f>
        <v>-1.5207158577923319E-2</v>
      </c>
      <c r="E514" s="206">
        <v>46.625809497672229</v>
      </c>
      <c r="F514" s="204">
        <f t="shared" ref="F514:F577" si="161">E514/E513-1</f>
        <v>-3.3207158577923224E-2</v>
      </c>
    </row>
    <row r="515" spans="2:6" ht="15.75" hidden="1" outlineLevel="1">
      <c r="B515" s="205">
        <f t="shared" si="159"/>
        <v>44131</v>
      </c>
      <c r="C515" s="206">
        <v>203.62847801427907</v>
      </c>
      <c r="D515" s="204">
        <f t="shared" si="160"/>
        <v>-4.3197108012343888E-3</v>
      </c>
      <c r="E515" s="206">
        <v>48.709064150154781</v>
      </c>
      <c r="F515" s="204">
        <f t="shared" si="161"/>
        <v>4.4680289198765655E-2</v>
      </c>
    </row>
    <row r="516" spans="2:6" ht="15.75" hidden="1" outlineLevel="1">
      <c r="B516" s="205">
        <f t="shared" si="159"/>
        <v>44138</v>
      </c>
      <c r="C516" s="206">
        <v>203.4703409621672</v>
      </c>
      <c r="D516" s="204">
        <f t="shared" si="160"/>
        <v>-7.7659595383694491E-4</v>
      </c>
      <c r="E516" s="206">
        <v>45.11547520505929</v>
      </c>
      <c r="F516" s="204">
        <f t="shared" si="161"/>
        <v>-7.3776595953836899E-2</v>
      </c>
    </row>
    <row r="517" spans="2:6" ht="15.75" hidden="1" outlineLevel="1">
      <c r="B517" s="205">
        <f t="shared" si="159"/>
        <v>44145</v>
      </c>
      <c r="C517" s="206">
        <v>203.11670114098885</v>
      </c>
      <c r="D517" s="204">
        <f t="shared" si="160"/>
        <v>-1.7380411292675646E-3</v>
      </c>
      <c r="E517" s="206">
        <v>46.931912612198936</v>
      </c>
      <c r="F517" s="204">
        <f t="shared" si="161"/>
        <v>4.0261958870732473E-2</v>
      </c>
    </row>
    <row r="518" spans="2:6" ht="15.75" hidden="1" outlineLevel="1">
      <c r="B518" s="205">
        <f t="shared" si="159"/>
        <v>44152</v>
      </c>
      <c r="C518" s="206">
        <v>204.45586174684726</v>
      </c>
      <c r="D518" s="204">
        <f t="shared" si="160"/>
        <v>6.5930600405372797E-3</v>
      </c>
      <c r="E518" s="206">
        <v>49.681796985702761</v>
      </c>
      <c r="F518" s="204">
        <f t="shared" si="161"/>
        <v>5.8593060040537326E-2</v>
      </c>
    </row>
    <row r="519" spans="2:6" ht="15.75" hidden="1" outlineLevel="1">
      <c r="B519" s="205">
        <f t="shared" si="159"/>
        <v>44159</v>
      </c>
      <c r="C519" s="206">
        <v>206.92400080069393</v>
      </c>
      <c r="D519" s="204">
        <f t="shared" si="160"/>
        <v>1.2071745132466116E-2</v>
      </c>
      <c r="E519" s="206">
        <v>50.221568377543647</v>
      </c>
      <c r="F519" s="204">
        <f t="shared" si="161"/>
        <v>1.0864570619219416E-2</v>
      </c>
    </row>
    <row r="520" spans="2:6" ht="15.75" hidden="1" outlineLevel="1">
      <c r="B520" s="205">
        <f t="shared" si="159"/>
        <v>44166</v>
      </c>
      <c r="C520" s="206">
        <v>207.1208380596517</v>
      </c>
      <c r="D520" s="204">
        <f t="shared" si="160"/>
        <v>9.5125388159966739E-4</v>
      </c>
      <c r="E520" s="206">
        <v>52.730198689902444</v>
      </c>
      <c r="F520" s="204">
        <f t="shared" si="161"/>
        <v>4.99512538815996E-2</v>
      </c>
    </row>
    <row r="521" spans="2:6" ht="15.75" hidden="1" outlineLevel="1">
      <c r="B521" s="205">
        <f t="shared" si="159"/>
        <v>44173</v>
      </c>
      <c r="C521" s="206">
        <v>205.03569760459064</v>
      </c>
      <c r="D521" s="204">
        <f t="shared" si="160"/>
        <v>-1.006726544076908E-2</v>
      </c>
      <c r="E521" s="206">
        <v>52.093889385566897</v>
      </c>
      <c r="F521" s="204">
        <f t="shared" si="161"/>
        <v>-1.2067265440769082E-2</v>
      </c>
    </row>
    <row r="522" spans="2:6" ht="15.75" hidden="1" outlineLevel="1">
      <c r="B522" s="205">
        <f t="shared" si="159"/>
        <v>44180</v>
      </c>
      <c r="C522" s="206">
        <v>200.54847534529924</v>
      </c>
      <c r="D522" s="204">
        <f t="shared" si="160"/>
        <v>-2.1885078119152523E-2</v>
      </c>
      <c r="E522" s="206">
        <v>51.57893721946008</v>
      </c>
      <c r="F522" s="204">
        <f t="shared" si="161"/>
        <v>-9.8850781191525128E-3</v>
      </c>
    </row>
    <row r="523" spans="2:6" ht="15.75" hidden="1" outlineLevel="1">
      <c r="B523" s="205">
        <f t="shared" si="159"/>
        <v>44187</v>
      </c>
      <c r="C523" s="206">
        <v>201.3051311136318</v>
      </c>
      <c r="D523" s="204">
        <f t="shared" si="160"/>
        <v>3.7729320406438838E-3</v>
      </c>
      <c r="E523" s="206">
        <v>51.618804232659365</v>
      </c>
      <c r="F523" s="204">
        <f t="shared" si="161"/>
        <v>7.7293204064399212E-4</v>
      </c>
    </row>
    <row r="524" spans="2:6" ht="15.75" hidden="1" outlineLevel="1">
      <c r="B524" s="205">
        <f t="shared" si="159"/>
        <v>44194</v>
      </c>
      <c r="C524" s="206">
        <v>199.53693200774003</v>
      </c>
      <c r="D524" s="204">
        <f t="shared" si="160"/>
        <v>-8.7836762834110349E-3</v>
      </c>
      <c r="E524" s="206">
        <v>53.230153535449297</v>
      </c>
      <c r="F524" s="204">
        <f t="shared" si="161"/>
        <v>3.1216323716589001E-2</v>
      </c>
    </row>
    <row r="525" spans="2:6" ht="15.75" hidden="1" outlineLevel="1">
      <c r="B525" s="205">
        <f t="shared" si="159"/>
        <v>44201</v>
      </c>
      <c r="C525" s="206">
        <v>198.95242543537731</v>
      </c>
      <c r="D525" s="204">
        <f t="shared" si="160"/>
        <v>-2.9293152224073582E-3</v>
      </c>
      <c r="E525" s="206">
        <v>56.693876076817375</v>
      </c>
      <c r="F525" s="204">
        <f t="shared" si="161"/>
        <v>6.5070684777592591E-2</v>
      </c>
    </row>
    <row r="526" spans="2:6" ht="15.75" hidden="1" outlineLevel="1">
      <c r="B526" s="205">
        <f t="shared" si="159"/>
        <v>44208</v>
      </c>
      <c r="C526" s="206">
        <v>199.24734770134114</v>
      </c>
      <c r="D526" s="204">
        <f t="shared" si="160"/>
        <v>1.482375825871074E-3</v>
      </c>
      <c r="E526" s="206">
        <v>56.777917708188582</v>
      </c>
      <c r="F526" s="204">
        <f t="shared" si="161"/>
        <v>1.482375825871074E-3</v>
      </c>
    </row>
    <row r="527" spans="2:6" ht="15.75" hidden="1" outlineLevel="1">
      <c r="B527" s="205">
        <f t="shared" si="159"/>
        <v>44215</v>
      </c>
      <c r="C527" s="206">
        <v>199.36945352638952</v>
      </c>
      <c r="D527" s="204">
        <f t="shared" si="160"/>
        <v>6.1283538504808277E-4</v>
      </c>
      <c r="E527" s="206">
        <v>56.528823636708566</v>
      </c>
      <c r="F527" s="204">
        <f t="shared" si="161"/>
        <v>-4.3871646149519217E-3</v>
      </c>
    </row>
    <row r="528" spans="2:6" ht="15.75" hidden="1" outlineLevel="1">
      <c r="B528" s="205">
        <f t="shared" si="159"/>
        <v>44222</v>
      </c>
      <c r="C528" s="206">
        <v>198.65416694468539</v>
      </c>
      <c r="D528" s="204">
        <f t="shared" si="160"/>
        <v>-3.5877441054903425E-3</v>
      </c>
      <c r="E528" s="206">
        <v>54.177917384720736</v>
      </c>
      <c r="F528" s="204">
        <f t="shared" si="161"/>
        <v>-4.1587744105490376E-2</v>
      </c>
    </row>
    <row r="529" spans="2:6" ht="15.75" hidden="1" outlineLevel="1">
      <c r="B529" s="205">
        <f t="shared" si="159"/>
        <v>44229</v>
      </c>
      <c r="C529" s="206">
        <v>201.51197704677386</v>
      </c>
      <c r="D529" s="204">
        <f t="shared" si="160"/>
        <v>1.4385855308457929E-2</v>
      </c>
      <c r="E529" s="206">
        <v>52.573484700203203</v>
      </c>
      <c r="F529" s="204">
        <f t="shared" si="161"/>
        <v>-2.961414469154211E-2</v>
      </c>
    </row>
    <row r="530" spans="2:6" ht="15.75" hidden="1" outlineLevel="1">
      <c r="B530" s="205">
        <f t="shared" si="159"/>
        <v>44236</v>
      </c>
      <c r="C530" s="206">
        <v>198.98111696803898</v>
      </c>
      <c r="D530" s="204">
        <f t="shared" si="160"/>
        <v>-1.2559353125434547E-2</v>
      </c>
      <c r="E530" s="206">
        <v>54.804737399329902</v>
      </c>
      <c r="F530" s="204">
        <f t="shared" si="161"/>
        <v>4.2440646874565502E-2</v>
      </c>
    </row>
    <row r="531" spans="2:6" ht="15.75" hidden="1" outlineLevel="1">
      <c r="B531" s="205">
        <f t="shared" si="159"/>
        <v>44243</v>
      </c>
      <c r="C531" s="206">
        <v>200.15079735770999</v>
      </c>
      <c r="D531" s="204">
        <f t="shared" si="160"/>
        <v>5.8783486970721555E-3</v>
      </c>
      <c r="E531" s="206">
        <v>59.127644586165715</v>
      </c>
      <c r="F531" s="204">
        <f t="shared" si="161"/>
        <v>7.8878348697072109E-2</v>
      </c>
    </row>
    <row r="532" spans="2:6" ht="15.75" hidden="1" outlineLevel="1">
      <c r="B532" s="205">
        <f t="shared" si="159"/>
        <v>44250</v>
      </c>
      <c r="C532" s="206">
        <v>200.96950690598518</v>
      </c>
      <c r="D532" s="204">
        <f t="shared" si="160"/>
        <v>4.0904635858731719E-3</v>
      </c>
      <c r="E532" s="206">
        <v>60.670312244159526</v>
      </c>
      <c r="F532" s="204">
        <f t="shared" si="161"/>
        <v>2.6090463585873191E-2</v>
      </c>
    </row>
    <row r="533" spans="2:6" ht="15.75" hidden="1" outlineLevel="1">
      <c r="B533" s="205">
        <f t="shared" si="159"/>
        <v>44257</v>
      </c>
      <c r="C533" s="206">
        <v>195.98919063188097</v>
      </c>
      <c r="D533" s="204">
        <f t="shared" si="160"/>
        <v>-2.4781452424193051E-2</v>
      </c>
      <c r="E533" s="206">
        <v>56.982682546930207</v>
      </c>
      <c r="F533" s="204">
        <f t="shared" si="161"/>
        <v>-6.0781452424193083E-2</v>
      </c>
    </row>
    <row r="534" spans="2:6" ht="15.75" hidden="1" outlineLevel="1">
      <c r="B534" s="205">
        <f t="shared" si="159"/>
        <v>44264</v>
      </c>
      <c r="C534" s="206">
        <v>193.20611196370186</v>
      </c>
      <c r="D534" s="204">
        <f t="shared" si="160"/>
        <v>-1.4200164096837664E-2</v>
      </c>
      <c r="E534" s="206">
        <v>56.914293977195882</v>
      </c>
      <c r="F534" s="204">
        <f t="shared" si="161"/>
        <v>-1.2001640968376526E-3</v>
      </c>
    </row>
    <row r="535" spans="2:6" ht="15.75" hidden="1" outlineLevel="1">
      <c r="B535" s="205">
        <f t="shared" si="159"/>
        <v>44271</v>
      </c>
      <c r="C535" s="206">
        <v>193.82598251818243</v>
      </c>
      <c r="D535" s="204">
        <f t="shared" si="160"/>
        <v>3.2083382258478732E-3</v>
      </c>
      <c r="E535" s="206">
        <v>53.966608113414289</v>
      </c>
      <c r="F535" s="204">
        <f t="shared" si="161"/>
        <v>-5.1791661774152176E-2</v>
      </c>
    </row>
    <row r="536" spans="2:6" ht="15.75" hidden="1" outlineLevel="1">
      <c r="B536" s="205">
        <f t="shared" si="159"/>
        <v>44278</v>
      </c>
      <c r="C536" s="206">
        <v>193.784613331554</v>
      </c>
      <c r="D536" s="204">
        <f t="shared" si="160"/>
        <v>-2.1343468038170776E-4</v>
      </c>
      <c r="E536" s="206">
        <v>55.088388538042011</v>
      </c>
      <c r="F536" s="204">
        <f t="shared" si="161"/>
        <v>2.07865653196182E-2</v>
      </c>
    </row>
    <row r="537" spans="2:6" ht="15.75" hidden="1" outlineLevel="1">
      <c r="B537" s="205">
        <f t="shared" si="159"/>
        <v>44285</v>
      </c>
      <c r="C537" s="206">
        <v>192.42610262227262</v>
      </c>
      <c r="D537" s="204">
        <f t="shared" si="160"/>
        <v>-7.0104157699922842E-3</v>
      </c>
      <c r="E537" s="206">
        <v>54.371665699063207</v>
      </c>
      <c r="F537" s="204">
        <f t="shared" si="161"/>
        <v>-1.301041576999229E-2</v>
      </c>
    </row>
    <row r="538" spans="2:6" ht="15.75" hidden="1" outlineLevel="1">
      <c r="B538" s="205">
        <f t="shared" si="159"/>
        <v>44292</v>
      </c>
      <c r="C538" s="206">
        <v>189.9519583639154</v>
      </c>
      <c r="D538" s="204">
        <f t="shared" si="160"/>
        <v>-1.2857633266178614E-2</v>
      </c>
      <c r="E538" s="206">
        <v>55.303724732405279</v>
      </c>
      <c r="F538" s="204">
        <f t="shared" si="161"/>
        <v>1.7142366733821301E-2</v>
      </c>
    </row>
    <row r="539" spans="2:6" ht="15.75" hidden="1" outlineLevel="1">
      <c r="B539" s="205">
        <f t="shared" si="159"/>
        <v>44299</v>
      </c>
      <c r="C539" s="206">
        <v>189.29338760258892</v>
      </c>
      <c r="D539" s="204">
        <f t="shared" si="160"/>
        <v>-3.4670385448976049E-3</v>
      </c>
      <c r="E539" s="206">
        <v>57.047614952715804</v>
      </c>
      <c r="F539" s="204">
        <f t="shared" si="161"/>
        <v>3.1532961455102315E-2</v>
      </c>
    </row>
    <row r="540" spans="2:6" ht="15.75" hidden="1" outlineLevel="1">
      <c r="B540" s="205">
        <f t="shared" si="159"/>
        <v>44306</v>
      </c>
      <c r="C540" s="206">
        <v>190.37365716954696</v>
      </c>
      <c r="D540" s="204">
        <f t="shared" si="160"/>
        <v>5.7068531586850213E-3</v>
      </c>
      <c r="E540" s="206">
        <v>56.004034555438977</v>
      </c>
      <c r="F540" s="204">
        <f t="shared" si="161"/>
        <v>-1.8293146841315E-2</v>
      </c>
    </row>
    <row r="541" spans="2:6" ht="15.75" hidden="1" outlineLevel="1">
      <c r="B541" s="205">
        <f t="shared" si="159"/>
        <v>44313</v>
      </c>
      <c r="C541" s="206">
        <v>194.57329685727632</v>
      </c>
      <c r="D541" s="204">
        <f t="shared" si="160"/>
        <v>2.2059983246469628E-2</v>
      </c>
      <c r="E541" s="206">
        <v>56.00739385924701</v>
      </c>
      <c r="F541" s="204">
        <f t="shared" si="161"/>
        <v>5.9983246469608176E-5</v>
      </c>
    </row>
    <row r="542" spans="2:6" ht="15.75" hidden="1" outlineLevel="1">
      <c r="B542" s="205">
        <f t="shared" si="159"/>
        <v>44320</v>
      </c>
      <c r="C542" s="206">
        <v>194.61399879895907</v>
      </c>
      <c r="D542" s="204">
        <f t="shared" si="160"/>
        <v>2.0918565054994787E-4</v>
      </c>
      <c r="E542" s="206">
        <v>56.355154165522549</v>
      </c>
      <c r="F542" s="204">
        <f t="shared" si="161"/>
        <v>6.2091856505499532E-3</v>
      </c>
    </row>
    <row r="543" spans="2:6" ht="15.75" hidden="1" outlineLevel="1">
      <c r="B543" s="205">
        <f t="shared" si="159"/>
        <v>44327</v>
      </c>
      <c r="C543" s="206">
        <v>195.2725695602856</v>
      </c>
      <c r="D543" s="204">
        <f t="shared" si="160"/>
        <v>3.3839845303567095E-3</v>
      </c>
      <c r="E543" s="206">
        <v>56.88399006041768</v>
      </c>
      <c r="F543" s="204">
        <f t="shared" si="161"/>
        <v>9.3839845303567149E-3</v>
      </c>
    </row>
    <row r="544" spans="2:6" ht="15.75" hidden="1" outlineLevel="1">
      <c r="B544" s="205">
        <f t="shared" si="159"/>
        <v>44334</v>
      </c>
      <c r="C544" s="206">
        <v>197.9615666911323</v>
      </c>
      <c r="D544" s="204">
        <f t="shared" si="160"/>
        <v>1.3770480600023838E-2</v>
      </c>
      <c r="E544" s="206">
        <v>61.307885305863344</v>
      </c>
      <c r="F544" s="204">
        <f t="shared" si="161"/>
        <v>7.7770480600023895E-2</v>
      </c>
    </row>
    <row r="545" spans="2:6" ht="15.75" hidden="1" outlineLevel="1">
      <c r="B545" s="205">
        <f t="shared" si="159"/>
        <v>44341</v>
      </c>
      <c r="C545" s="206">
        <v>198.62414092213254</v>
      </c>
      <c r="D545" s="204">
        <f t="shared" si="160"/>
        <v>3.346984175135459E-3</v>
      </c>
      <c r="E545" s="206">
        <v>63.781473584110024</v>
      </c>
      <c r="F545" s="204">
        <f t="shared" si="161"/>
        <v>4.0346984175135381E-2</v>
      </c>
    </row>
    <row r="546" spans="2:6" ht="15.75" hidden="1" outlineLevel="1">
      <c r="B546" s="205">
        <f t="shared" si="159"/>
        <v>44348</v>
      </c>
      <c r="C546" s="206">
        <v>198.02428771602055</v>
      </c>
      <c r="D546" s="204">
        <f t="shared" si="160"/>
        <v>-3.0200417901223853E-3</v>
      </c>
      <c r="E546" s="206">
        <v>63.907758236370974</v>
      </c>
      <c r="F546" s="204">
        <f t="shared" si="161"/>
        <v>1.9799582098776192E-3</v>
      </c>
    </row>
    <row r="547" spans="2:6" ht="15.75" hidden="1" outlineLevel="1">
      <c r="B547" s="205">
        <f t="shared" si="159"/>
        <v>44355</v>
      </c>
      <c r="C547" s="206">
        <v>199.62500834056183</v>
      </c>
      <c r="D547" s="204">
        <f t="shared" si="160"/>
        <v>8.0834560396794153E-3</v>
      </c>
      <c r="E547" s="206">
        <v>63.849183966541801</v>
      </c>
      <c r="F547" s="204">
        <f t="shared" si="161"/>
        <v>-9.1654396032059271E-4</v>
      </c>
    </row>
    <row r="548" spans="2:6" ht="15.75" hidden="1" outlineLevel="1">
      <c r="B548" s="205">
        <f t="shared" si="159"/>
        <v>44362</v>
      </c>
      <c r="C548" s="206">
        <v>200.97617935544139</v>
      </c>
      <c r="D548" s="204">
        <f t="shared" si="160"/>
        <v>6.7685458155344325E-3</v>
      </c>
      <c r="E548" s="206">
        <v>64.281350093503832</v>
      </c>
      <c r="F548" s="204">
        <f t="shared" si="161"/>
        <v>6.7685458155344325E-3</v>
      </c>
    </row>
    <row r="549" spans="2:6" ht="15.75" hidden="1" outlineLevel="1">
      <c r="B549" s="205">
        <f t="shared" si="159"/>
        <v>44369</v>
      </c>
      <c r="C549" s="206">
        <v>200.85674251017548</v>
      </c>
      <c r="D549" s="204">
        <f t="shared" si="160"/>
        <v>-5.9428358947288817E-4</v>
      </c>
      <c r="E549" s="206">
        <v>64.564555492501626</v>
      </c>
      <c r="F549" s="204">
        <f t="shared" si="161"/>
        <v>4.4057164105271163E-3</v>
      </c>
    </row>
    <row r="550" spans="2:6" ht="15.75" hidden="1" outlineLevel="1">
      <c r="B550" s="205">
        <f t="shared" si="159"/>
        <v>44376</v>
      </c>
      <c r="C550" s="206">
        <v>200.32027757389736</v>
      </c>
      <c r="D550" s="204">
        <f t="shared" si="160"/>
        <v>-2.6708833847135516E-3</v>
      </c>
      <c r="E550" s="206">
        <v>66.199918647785339</v>
      </c>
      <c r="F550" s="204">
        <f t="shared" si="161"/>
        <v>2.5329116615286473E-2</v>
      </c>
    </row>
    <row r="551" spans="2:6" ht="15.75" hidden="1" outlineLevel="1">
      <c r="B551" s="205">
        <f t="shared" si="159"/>
        <v>44383</v>
      </c>
      <c r="C551" s="206">
        <v>199.95262560886101</v>
      </c>
      <c r="D551" s="204">
        <f t="shared" si="160"/>
        <v>-1.8353207647724412E-3</v>
      </c>
      <c r="E551" s="206">
        <v>66.608019911647091</v>
      </c>
      <c r="F551" s="204">
        <f t="shared" si="161"/>
        <v>6.1646792352274549E-3</v>
      </c>
    </row>
    <row r="552" spans="2:6" ht="15.75" hidden="1" outlineLevel="1">
      <c r="B552" s="205">
        <f t="shared" si="159"/>
        <v>44390</v>
      </c>
      <c r="C552" s="206">
        <v>198.41862947888168</v>
      </c>
      <c r="D552" s="204">
        <f t="shared" si="160"/>
        <v>-7.6717978836650103E-3</v>
      </c>
      <c r="E552" s="206">
        <v>65.96380060563051</v>
      </c>
      <c r="F552" s="204">
        <f t="shared" si="161"/>
        <v>-9.671797883664901E-3</v>
      </c>
    </row>
    <row r="553" spans="2:6" ht="15.75" hidden="1" outlineLevel="1">
      <c r="B553" s="205">
        <f t="shared" si="159"/>
        <v>44397</v>
      </c>
      <c r="C553" s="206">
        <v>199.45752985921132</v>
      </c>
      <c r="D553" s="204">
        <f t="shared" si="160"/>
        <v>5.2359014022935746E-3</v>
      </c>
      <c r="E553" s="206">
        <v>69.541406791398032</v>
      </c>
      <c r="F553" s="204">
        <f t="shared" si="161"/>
        <v>5.4235901402293507E-2</v>
      </c>
    </row>
    <row r="554" spans="2:6" ht="15.75" hidden="1" outlineLevel="1">
      <c r="B554" s="205">
        <f t="shared" si="159"/>
        <v>44404</v>
      </c>
      <c r="C554" s="206">
        <v>198.70821378528058</v>
      </c>
      <c r="D554" s="204">
        <f t="shared" si="160"/>
        <v>-3.7567700475367172E-3</v>
      </c>
      <c r="E554" s="206">
        <v>71.018690887085484</v>
      </c>
      <c r="F554" s="204">
        <f t="shared" si="161"/>
        <v>2.1243229952463194E-2</v>
      </c>
    </row>
    <row r="555" spans="2:6" ht="15.75" hidden="1" outlineLevel="1">
      <c r="B555" s="205">
        <f t="shared" si="159"/>
        <v>44411</v>
      </c>
      <c r="C555" s="206">
        <v>199.30339627677321</v>
      </c>
      <c r="D555" s="204">
        <f t="shared" si="160"/>
        <v>2.9952586264792025E-3</v>
      </c>
      <c r="E555" s="206">
        <v>69.882055106751665</v>
      </c>
      <c r="F555" s="204">
        <f t="shared" si="161"/>
        <v>-1.6004741373520814E-2</v>
      </c>
    </row>
    <row r="556" spans="2:6" ht="15.75" hidden="1" outlineLevel="1">
      <c r="B556" s="205">
        <f t="shared" si="159"/>
        <v>44418</v>
      </c>
      <c r="C556" s="206">
        <v>201.66143991459265</v>
      </c>
      <c r="D556" s="204">
        <f t="shared" si="160"/>
        <v>1.1831427270535988E-2</v>
      </c>
      <c r="E556" s="206">
        <v>70.289567228622275</v>
      </c>
      <c r="F556" s="204">
        <f t="shared" si="161"/>
        <v>5.8314272705359826E-3</v>
      </c>
    </row>
    <row r="557" spans="2:6" ht="15.75" hidden="1" outlineLevel="1">
      <c r="B557" s="205">
        <f t="shared" si="159"/>
        <v>44425</v>
      </c>
      <c r="C557" s="206">
        <v>201.09494895576165</v>
      </c>
      <c r="D557" s="204">
        <f t="shared" si="160"/>
        <v>-2.8091188829699743E-3</v>
      </c>
      <c r="E557" s="206">
        <v>67.35082235612829</v>
      </c>
      <c r="F557" s="204">
        <f t="shared" si="161"/>
        <v>-4.1809118882970009E-2</v>
      </c>
    </row>
    <row r="558" spans="2:6" ht="15.75" hidden="1" outlineLevel="1">
      <c r="B558" s="205">
        <f t="shared" si="159"/>
        <v>44432</v>
      </c>
      <c r="C558" s="206">
        <v>199.65036364849536</v>
      </c>
      <c r="D558" s="204">
        <f t="shared" si="160"/>
        <v>-7.1835981697585538E-3</v>
      </c>
      <c r="E558" s="206">
        <v>65.654686309508762</v>
      </c>
      <c r="F558" s="204">
        <f t="shared" si="161"/>
        <v>-2.518359816975857E-2</v>
      </c>
    </row>
    <row r="559" spans="2:6" ht="15.75" hidden="1" outlineLevel="1">
      <c r="B559" s="205">
        <f t="shared" si="159"/>
        <v>44439</v>
      </c>
      <c r="C559" s="206">
        <v>198.26049242676987</v>
      </c>
      <c r="D559" s="204">
        <f t="shared" si="160"/>
        <v>-6.9615261215977275E-3</v>
      </c>
      <c r="E559" s="206">
        <v>67.29857945766409</v>
      </c>
      <c r="F559" s="204">
        <f t="shared" si="161"/>
        <v>2.503847387840219E-2</v>
      </c>
    </row>
    <row r="560" spans="2:6" ht="15.75" hidden="1" outlineLevel="1">
      <c r="B560" s="205">
        <f t="shared" si="159"/>
        <v>44446</v>
      </c>
      <c r="C560" s="206">
        <v>200.88076332821777</v>
      </c>
      <c r="D560" s="204">
        <f t="shared" si="160"/>
        <v>1.3216303810078101E-2</v>
      </c>
      <c r="E560" s="206">
        <v>68.389913668136245</v>
      </c>
      <c r="F560" s="204">
        <f t="shared" si="161"/>
        <v>1.6216303810077992E-2</v>
      </c>
    </row>
    <row r="561" spans="2:6" ht="15.75" hidden="1" outlineLevel="1">
      <c r="B561" s="205">
        <f t="shared" si="159"/>
        <v>44453</v>
      </c>
      <c r="C561" s="206">
        <v>203.81197037432443</v>
      </c>
      <c r="D561" s="204">
        <f t="shared" si="160"/>
        <v>1.4591775725769196E-2</v>
      </c>
      <c r="E561" s="206">
        <v>70.208522914304041</v>
      </c>
      <c r="F561" s="204">
        <f t="shared" si="161"/>
        <v>2.6591775725769207E-2</v>
      </c>
    </row>
    <row r="562" spans="2:6" ht="15.75" hidden="1" outlineLevel="1">
      <c r="B562" s="205">
        <f t="shared" si="159"/>
        <v>44460</v>
      </c>
      <c r="C562" s="206">
        <v>203.13338226462935</v>
      </c>
      <c r="D562" s="204">
        <f t="shared" si="160"/>
        <v>-3.3294811313033801E-3</v>
      </c>
      <c r="E562" s="206">
        <v>69.834347916175574</v>
      </c>
      <c r="F562" s="204">
        <f t="shared" si="161"/>
        <v>-5.3294811313033819E-3</v>
      </c>
    </row>
    <row r="563" spans="2:6" ht="15.75" hidden="1" outlineLevel="1">
      <c r="B563" s="205">
        <f t="shared" si="159"/>
        <v>44467</v>
      </c>
      <c r="C563" s="206">
        <v>203.53573096683792</v>
      </c>
      <c r="D563" s="204">
        <f t="shared" si="160"/>
        <v>1.9807118737600327E-3</v>
      </c>
      <c r="E563" s="206">
        <v>70.391675725786484</v>
      </c>
      <c r="F563" s="204">
        <f t="shared" si="161"/>
        <v>7.980711873760038E-3</v>
      </c>
    </row>
    <row r="564" spans="2:6" ht="15.75" hidden="1" outlineLevel="1">
      <c r="B564" s="205">
        <f t="shared" si="159"/>
        <v>44474</v>
      </c>
      <c r="C564" s="206">
        <v>201.57536531660773</v>
      </c>
      <c r="D564" s="204">
        <f t="shared" si="160"/>
        <v>-9.6315553093210271E-3</v>
      </c>
      <c r="E564" s="206">
        <v>71.121527922233511</v>
      </c>
      <c r="F564" s="204">
        <f t="shared" si="161"/>
        <v>1.036844469067888E-2</v>
      </c>
    </row>
    <row r="565" spans="2:6" ht="15.75" hidden="1" outlineLevel="1">
      <c r="B565" s="205">
        <f t="shared" si="159"/>
        <v>44481</v>
      </c>
      <c r="C565" s="206">
        <v>201.0142123173417</v>
      </c>
      <c r="D565" s="204">
        <f t="shared" si="160"/>
        <v>-2.7838371935213768E-3</v>
      </c>
      <c r="E565" s="206">
        <v>70.923537167543529</v>
      </c>
      <c r="F565" s="204">
        <f t="shared" si="161"/>
        <v>-2.7838371935213768E-3</v>
      </c>
    </row>
    <row r="566" spans="2:6" ht="15.75" hidden="1" outlineLevel="1">
      <c r="B566" s="205">
        <f t="shared" si="159"/>
        <v>44488</v>
      </c>
      <c r="C566" s="206">
        <v>199.51691465937145</v>
      </c>
      <c r="D566" s="204">
        <f t="shared" si="160"/>
        <v>-7.4487153953396446E-3</v>
      </c>
      <c r="E566" s="206">
        <v>70.040630238513984</v>
      </c>
      <c r="F566" s="204">
        <f t="shared" si="161"/>
        <v>-1.2448715395339649E-2</v>
      </c>
    </row>
    <row r="567" spans="2:6" ht="15.75" hidden="1" outlineLevel="1">
      <c r="B567" s="205">
        <f t="shared" si="159"/>
        <v>44495</v>
      </c>
      <c r="C567" s="206">
        <v>199.23333555748314</v>
      </c>
      <c r="D567" s="204">
        <f t="shared" si="160"/>
        <v>-1.4213286245552403E-3</v>
      </c>
      <c r="E567" s="206">
        <v>72.252420283745053</v>
      </c>
      <c r="F567" s="204">
        <f t="shared" si="161"/>
        <v>3.1578671375444678E-2</v>
      </c>
    </row>
    <row r="568" spans="2:6" ht="15.75" hidden="1" outlineLevel="1">
      <c r="B568" s="205">
        <f t="shared" si="159"/>
        <v>44502</v>
      </c>
      <c r="C568" s="206">
        <v>197.52518849669713</v>
      </c>
      <c r="D568" s="204">
        <f t="shared" si="160"/>
        <v>-8.5736006778502905E-3</v>
      </c>
      <c r="E568" s="206">
        <v>71.632956884224015</v>
      </c>
      <c r="F568" s="204">
        <f t="shared" si="161"/>
        <v>-8.5736006778502905E-3</v>
      </c>
    </row>
    <row r="569" spans="2:6" ht="15.75" hidden="1" outlineLevel="1">
      <c r="B569" s="205">
        <f t="shared" si="159"/>
        <v>44509</v>
      </c>
      <c r="C569" s="206">
        <v>201.47527857476481</v>
      </c>
      <c r="D569" s="204">
        <f t="shared" si="160"/>
        <v>1.9997905624749013E-2</v>
      </c>
      <c r="E569" s="206">
        <v>69.698717022057906</v>
      </c>
      <c r="F569" s="204">
        <f t="shared" si="161"/>
        <v>-2.700209437525114E-2</v>
      </c>
    </row>
    <row r="570" spans="2:6" ht="15.75" hidden="1" outlineLevel="1">
      <c r="B570" s="205">
        <f t="shared" si="159"/>
        <v>44516</v>
      </c>
      <c r="C570" s="206">
        <v>207.663975445386</v>
      </c>
      <c r="D570" s="204">
        <f t="shared" si="160"/>
        <v>3.0716904398395695E-2</v>
      </c>
      <c r="E570" s="206">
        <v>71.142658679294712</v>
      </c>
      <c r="F570" s="204">
        <f t="shared" si="161"/>
        <v>2.0716904398395686E-2</v>
      </c>
    </row>
    <row r="571" spans="2:6" ht="15.75" hidden="1" outlineLevel="1">
      <c r="B571" s="205">
        <f t="shared" si="159"/>
        <v>44523</v>
      </c>
      <c r="C571" s="206">
        <v>206.88396610395677</v>
      </c>
      <c r="D571" s="204">
        <f t="shared" si="160"/>
        <v>-3.7561129211569622E-3</v>
      </c>
      <c r="E571" s="206">
        <v>70.021726915632414</v>
      </c>
      <c r="F571" s="204">
        <f t="shared" si="161"/>
        <v>-1.5756112921156973E-2</v>
      </c>
    </row>
    <row r="572" spans="2:6" ht="15.75" hidden="1" outlineLevel="1">
      <c r="B572" s="205">
        <f t="shared" si="159"/>
        <v>44530</v>
      </c>
      <c r="C572" s="206">
        <v>206.95669580302928</v>
      </c>
      <c r="D572" s="204">
        <f t="shared" si="160"/>
        <v>3.5154826370620285E-4</v>
      </c>
      <c r="E572" s="206">
        <v>74.037581366342351</v>
      </c>
      <c r="F572" s="204">
        <f t="shared" si="161"/>
        <v>5.7351548263706142E-2</v>
      </c>
    </row>
    <row r="573" spans="2:6" ht="15.75" hidden="1" outlineLevel="1">
      <c r="B573" s="205">
        <f t="shared" si="159"/>
        <v>44537</v>
      </c>
      <c r="C573" s="206">
        <v>206.76653099352771</v>
      </c>
      <c r="D573" s="204">
        <f t="shared" si="160"/>
        <v>-9.1886280249930952E-4</v>
      </c>
      <c r="E573" s="206">
        <v>76.634903916026119</v>
      </c>
      <c r="F573" s="204">
        <f t="shared" si="161"/>
        <v>3.5081137197500611E-2</v>
      </c>
    </row>
    <row r="574" spans="2:6" ht="15.75" hidden="1" outlineLevel="1">
      <c r="B574" s="205">
        <f t="shared" si="159"/>
        <v>44544</v>
      </c>
      <c r="C574" s="206">
        <v>206.29945953159404</v>
      </c>
      <c r="D574" s="204">
        <f t="shared" si="160"/>
        <v>-2.2589316544092686E-3</v>
      </c>
      <c r="E574" s="206">
        <v>75.695441866577326</v>
      </c>
      <c r="F574" s="204">
        <f t="shared" si="161"/>
        <v>-1.2258931654409388E-2</v>
      </c>
    </row>
    <row r="575" spans="2:6" ht="15.75" hidden="1" outlineLevel="1">
      <c r="B575" s="205">
        <f t="shared" si="159"/>
        <v>44551</v>
      </c>
      <c r="C575" s="206">
        <v>207.23360245546141</v>
      </c>
      <c r="D575" s="204">
        <f t="shared" si="160"/>
        <v>4.5280919590791058E-3</v>
      </c>
      <c r="E575" s="206">
        <v>75.811111462632596</v>
      </c>
      <c r="F575" s="204">
        <f t="shared" si="161"/>
        <v>1.5280919590792141E-3</v>
      </c>
    </row>
    <row r="576" spans="2:6" ht="15.75" hidden="1" outlineLevel="1">
      <c r="B576" s="205">
        <f t="shared" si="159"/>
        <v>44558</v>
      </c>
      <c r="C576" s="206">
        <v>208.29785814372457</v>
      </c>
      <c r="D576" s="204">
        <f t="shared" si="160"/>
        <v>5.1355363013190214E-3</v>
      </c>
      <c r="E576" s="206">
        <v>75.442331062965962</v>
      </c>
      <c r="F576" s="204">
        <f t="shared" si="161"/>
        <v>-4.8644636986809875E-3</v>
      </c>
    </row>
    <row r="577" spans="2:6" ht="15.75" hidden="1" outlineLevel="1">
      <c r="B577" s="205">
        <f t="shared" si="159"/>
        <v>44565</v>
      </c>
      <c r="C577" s="206">
        <v>208.55608193767932</v>
      </c>
      <c r="D577" s="204">
        <f t="shared" si="160"/>
        <v>1.2396853057250468E-3</v>
      </c>
      <c r="E577" s="206">
        <v>76.365721453906986</v>
      </c>
      <c r="F577" s="204">
        <f t="shared" si="161"/>
        <v>1.2239685305724946E-2</v>
      </c>
    </row>
    <row r="578" spans="2:6" ht="15.75" hidden="1" outlineLevel="1">
      <c r="B578" s="205">
        <f t="shared" ref="B578:B631" si="162">B577+7</f>
        <v>44572</v>
      </c>
      <c r="C578" s="206">
        <v>208.01361179689064</v>
      </c>
      <c r="D578" s="204">
        <f t="shared" ref="D578:D631" si="163">C578/C577-1</f>
        <v>-2.6010756231543697E-3</v>
      </c>
      <c r="E578" s="206">
        <v>78.916254409729277</v>
      </c>
      <c r="F578" s="204">
        <f t="shared" ref="F578:F631" si="164">E578/E577-1</f>
        <v>3.3398924376845551E-2</v>
      </c>
    </row>
    <row r="579" spans="2:6" ht="15.75" hidden="1" outlineLevel="1">
      <c r="B579" s="205">
        <f t="shared" si="162"/>
        <v>44579</v>
      </c>
      <c r="C579" s="206">
        <v>207.56522319343432</v>
      </c>
      <c r="D579" s="204">
        <f t="shared" si="163"/>
        <v>-2.1555733761026152E-3</v>
      </c>
      <c r="E579" s="206">
        <v>73.06417431528142</v>
      </c>
      <c r="F579" s="204">
        <f t="shared" si="164"/>
        <v>-7.4155573376102568E-2</v>
      </c>
    </row>
    <row r="580" spans="2:6" ht="15.75" hidden="1" outlineLevel="1">
      <c r="B580" s="205">
        <f t="shared" si="162"/>
        <v>44586</v>
      </c>
      <c r="C580" s="206">
        <v>208.01628077667311</v>
      </c>
      <c r="D580" s="204">
        <f t="shared" si="163"/>
        <v>2.173088421553393E-3</v>
      </c>
      <c r="E580" s="206">
        <v>75.780195327551155</v>
      </c>
      <c r="F580" s="204">
        <f t="shared" si="164"/>
        <v>3.7173088421553313E-2</v>
      </c>
    </row>
    <row r="581" spans="2:6" ht="15.75" hidden="1" outlineLevel="1">
      <c r="B581" s="205">
        <f t="shared" si="162"/>
        <v>44593</v>
      </c>
      <c r="C581" s="206">
        <v>209.24801494628679</v>
      </c>
      <c r="D581" s="204">
        <f t="shared" si="163"/>
        <v>5.9213354118952122E-3</v>
      </c>
      <c r="E581" s="206">
        <v>76.607816258302265</v>
      </c>
      <c r="F581" s="204">
        <f t="shared" si="164"/>
        <v>1.0921335411895106E-2</v>
      </c>
    </row>
    <row r="582" spans="2:6" ht="15.75" hidden="1" outlineLevel="1">
      <c r="B582" s="205">
        <f t="shared" si="162"/>
        <v>44600</v>
      </c>
      <c r="C582" s="206">
        <v>209.16194034830187</v>
      </c>
      <c r="D582" s="204">
        <f t="shared" si="163"/>
        <v>-4.1135204081632626E-4</v>
      </c>
      <c r="E582" s="206">
        <v>76.729519109258533</v>
      </c>
      <c r="F582" s="204">
        <f t="shared" si="164"/>
        <v>1.5886479591835645E-3</v>
      </c>
    </row>
    <row r="583" spans="2:6" ht="15.75" hidden="1" outlineLevel="1">
      <c r="B583" s="205">
        <f t="shared" si="162"/>
        <v>44607</v>
      </c>
      <c r="C583" s="206">
        <v>209.7270968172416</v>
      </c>
      <c r="D583" s="204">
        <f t="shared" si="163"/>
        <v>2.7020043321390741E-3</v>
      </c>
      <c r="E583" s="206">
        <v>76.783383564076175</v>
      </c>
      <c r="F583" s="204">
        <f t="shared" si="164"/>
        <v>7.0200433213907232E-4</v>
      </c>
    </row>
    <row r="584" spans="2:6" ht="15.75" hidden="1" outlineLevel="1">
      <c r="B584" s="205">
        <f t="shared" si="162"/>
        <v>44614</v>
      </c>
      <c r="C584" s="206">
        <v>210.4270367651965</v>
      </c>
      <c r="D584" s="204">
        <f t="shared" si="163"/>
        <v>3.3373844323265622E-3</v>
      </c>
      <c r="E584" s="206">
        <v>77.346772767300592</v>
      </c>
      <c r="F584" s="204">
        <f t="shared" si="164"/>
        <v>7.3373844323265658E-3</v>
      </c>
    </row>
    <row r="585" spans="2:6" ht="15.75" hidden="1" outlineLevel="1">
      <c r="B585" s="205">
        <f t="shared" si="162"/>
        <v>44621</v>
      </c>
      <c r="C585" s="206">
        <v>208.87302328684862</v>
      </c>
      <c r="D585" s="204">
        <f t="shared" si="163"/>
        <v>-7.3850466282140426E-3</v>
      </c>
      <c r="E585" s="206">
        <v>77.471684198777908</v>
      </c>
      <c r="F585" s="204">
        <f t="shared" si="164"/>
        <v>1.6149533717859654E-3</v>
      </c>
    </row>
    <row r="586" spans="2:6" ht="15.75" hidden="1" outlineLevel="1">
      <c r="B586" s="205">
        <f t="shared" si="162"/>
        <v>44628</v>
      </c>
      <c r="C586" s="206">
        <v>210.16280776673116</v>
      </c>
      <c r="D586" s="204">
        <f t="shared" si="163"/>
        <v>6.1749691730714762E-3</v>
      </c>
      <c r="E586" s="206">
        <v>78.105012828888846</v>
      </c>
      <c r="F586" s="204">
        <f t="shared" si="164"/>
        <v>8.174969173071478E-3</v>
      </c>
    </row>
    <row r="587" spans="2:6" ht="15.75" hidden="1" outlineLevel="1">
      <c r="B587" s="205">
        <f t="shared" si="162"/>
        <v>44635</v>
      </c>
      <c r="C587" s="206">
        <v>210.46907319677055</v>
      </c>
      <c r="D587" s="204">
        <f t="shared" si="163"/>
        <v>1.4572770191543238E-3</v>
      </c>
      <c r="E587" s="206">
        <v>81.577349020807347</v>
      </c>
      <c r="F587" s="204">
        <f t="shared" si="164"/>
        <v>4.4457277019154251E-2</v>
      </c>
    </row>
    <row r="588" spans="2:6" ht="15.75" hidden="1" outlineLevel="1">
      <c r="B588" s="205">
        <f t="shared" si="162"/>
        <v>44642</v>
      </c>
      <c r="C588" s="206">
        <v>210.42636952025089</v>
      </c>
      <c r="D588" s="204">
        <f t="shared" si="163"/>
        <v>-2.0289763180425524E-4</v>
      </c>
      <c r="E588" s="206">
        <v>78.216125860029052</v>
      </c>
      <c r="F588" s="204">
        <f t="shared" si="164"/>
        <v>-4.1202897631804292E-2</v>
      </c>
    </row>
    <row r="589" spans="2:6" ht="15.75" hidden="1" outlineLevel="1">
      <c r="B589" s="205">
        <f t="shared" si="162"/>
        <v>44649</v>
      </c>
      <c r="C589" s="206">
        <v>209.66904650697271</v>
      </c>
      <c r="D589" s="204">
        <f t="shared" si="163"/>
        <v>-3.5989929161672762E-3</v>
      </c>
      <c r="E589" s="206">
        <v>77.308897570248533</v>
      </c>
      <c r="F589" s="204">
        <f t="shared" si="164"/>
        <v>-1.1598992916167172E-2</v>
      </c>
    </row>
    <row r="590" spans="2:6" ht="15.75" hidden="1" outlineLevel="1">
      <c r="B590" s="205">
        <f t="shared" si="162"/>
        <v>44656</v>
      </c>
      <c r="C590" s="206">
        <v>209.65703609795156</v>
      </c>
      <c r="D590" s="204">
        <f t="shared" si="163"/>
        <v>-5.7282699669980452E-5</v>
      </c>
      <c r="E590" s="206">
        <v>79.701044932564912</v>
      </c>
      <c r="F590" s="204">
        <f t="shared" si="164"/>
        <v>3.0942717300330047E-2</v>
      </c>
    </row>
    <row r="591" spans="2:6" ht="15.75" hidden="1" outlineLevel="1">
      <c r="B591" s="205">
        <f t="shared" si="162"/>
        <v>44663</v>
      </c>
      <c r="C591" s="206">
        <v>212.12384066190697</v>
      </c>
      <c r="D591" s="204">
        <f t="shared" si="163"/>
        <v>1.1765904020520912E-2</v>
      </c>
      <c r="E591" s="206">
        <v>83.428336350216455</v>
      </c>
      <c r="F591" s="204">
        <f t="shared" si="164"/>
        <v>4.6765904020520832E-2</v>
      </c>
    </row>
    <row r="592" spans="2:6" ht="15.75" hidden="1" outlineLevel="1">
      <c r="B592" s="205">
        <f t="shared" si="162"/>
        <v>44670</v>
      </c>
      <c r="C592" s="206">
        <v>208.92573563755255</v>
      </c>
      <c r="D592" s="204">
        <f t="shared" si="163"/>
        <v>-1.5076594004592381E-2</v>
      </c>
      <c r="E592" s="206">
        <v>82.253949530935884</v>
      </c>
      <c r="F592" s="204">
        <f t="shared" si="164"/>
        <v>-1.407659400459238E-2</v>
      </c>
    </row>
    <row r="593" spans="2:6" ht="15.75" hidden="1" outlineLevel="1">
      <c r="B593" s="205">
        <f t="shared" si="162"/>
        <v>44677</v>
      </c>
      <c r="C593" s="206">
        <v>211.6220724628011</v>
      </c>
      <c r="D593" s="204">
        <f t="shared" si="163"/>
        <v>1.2905718948508005E-2</v>
      </c>
      <c r="E593" s="206">
        <v>80.68336950099696</v>
      </c>
      <c r="F593" s="204">
        <f t="shared" si="164"/>
        <v>-1.9094281051491913E-2</v>
      </c>
    </row>
    <row r="594" spans="2:6" ht="15.75" hidden="1" outlineLevel="1">
      <c r="B594" s="205">
        <f t="shared" si="162"/>
        <v>44684</v>
      </c>
      <c r="C594" s="206">
        <v>211.41522652965904</v>
      </c>
      <c r="D594" s="204">
        <f t="shared" si="163"/>
        <v>-9.7743080735790411E-4</v>
      </c>
      <c r="E594" s="206">
        <v>75.360088072440433</v>
      </c>
      <c r="F594" s="204">
        <f t="shared" si="164"/>
        <v>-6.5977430807357962E-2</v>
      </c>
    </row>
    <row r="595" spans="2:6" ht="15.75" hidden="1" outlineLevel="1">
      <c r="B595" s="205">
        <f t="shared" si="162"/>
        <v>44691</v>
      </c>
      <c r="C595" s="206">
        <v>211.19169947287651</v>
      </c>
      <c r="D595" s="204">
        <f t="shared" si="163"/>
        <v>-1.0572892996010275E-3</v>
      </c>
      <c r="E595" s="206">
        <v>75.431130833849338</v>
      </c>
      <c r="F595" s="204">
        <f t="shared" si="164"/>
        <v>9.4271070039897431E-4</v>
      </c>
    </row>
    <row r="596" spans="2:6" ht="15.75" hidden="1" outlineLevel="1">
      <c r="B596" s="205">
        <f t="shared" si="162"/>
        <v>44698</v>
      </c>
      <c r="C596" s="206">
        <v>213.10936144658703</v>
      </c>
      <c r="D596" s="204">
        <f t="shared" si="163"/>
        <v>9.0801957581518877E-3</v>
      </c>
      <c r="E596" s="206">
        <v>72.797090511390081</v>
      </c>
      <c r="F596" s="204">
        <f t="shared" si="164"/>
        <v>-3.4919804241848151E-2</v>
      </c>
    </row>
    <row r="597" spans="2:6" ht="15.75" hidden="1" outlineLevel="1">
      <c r="B597" s="205">
        <f t="shared" si="162"/>
        <v>44705</v>
      </c>
      <c r="C597" s="206">
        <v>212.98458664175618</v>
      </c>
      <c r="D597" s="204">
        <f t="shared" si="163"/>
        <v>-5.8549659190887393E-4</v>
      </c>
      <c r="E597" s="206">
        <v>72.754468062994775</v>
      </c>
      <c r="F597" s="204">
        <f t="shared" si="164"/>
        <v>-5.8549659190898495E-4</v>
      </c>
    </row>
    <row r="598" spans="2:6" ht="15.75" hidden="1" outlineLevel="1">
      <c r="B598" s="205">
        <f t="shared" si="162"/>
        <v>44712</v>
      </c>
      <c r="C598" s="206">
        <v>212.61693467671981</v>
      </c>
      <c r="D598" s="204">
        <f t="shared" si="163"/>
        <v>-1.7261904761904923E-3</v>
      </c>
      <c r="E598" s="206">
        <v>72.9198978653761</v>
      </c>
      <c r="F598" s="204">
        <f t="shared" si="164"/>
        <v>2.2738095238095113E-3</v>
      </c>
    </row>
    <row r="599" spans="2:6" ht="15.75" hidden="1" outlineLevel="1">
      <c r="B599" s="205">
        <f t="shared" si="162"/>
        <v>44719</v>
      </c>
      <c r="C599" s="206">
        <v>213.31020217521854</v>
      </c>
      <c r="D599" s="204">
        <f t="shared" si="163"/>
        <v>3.2606410188014134E-3</v>
      </c>
      <c r="E599" s="206">
        <v>72.720144088250493</v>
      </c>
      <c r="F599" s="204">
        <f t="shared" si="164"/>
        <v>-2.7393589811987029E-3</v>
      </c>
    </row>
    <row r="600" spans="2:6" ht="15.75" hidden="1" outlineLevel="1">
      <c r="B600" s="205">
        <f t="shared" si="162"/>
        <v>44726</v>
      </c>
      <c r="C600" s="206">
        <v>213.4289717755388</v>
      </c>
      <c r="D600" s="204">
        <f t="shared" si="163"/>
        <v>5.5679287305121505E-4</v>
      </c>
      <c r="E600" s="206">
        <v>75.014958612941854</v>
      </c>
      <c r="F600" s="204">
        <f t="shared" si="164"/>
        <v>3.1556792873051132E-2</v>
      </c>
    </row>
    <row r="601" spans="2:6" ht="15.75" hidden="1" outlineLevel="1">
      <c r="B601" s="205">
        <f t="shared" si="162"/>
        <v>44733</v>
      </c>
      <c r="C601" s="206">
        <v>212.98658837659306</v>
      </c>
      <c r="D601" s="204">
        <f t="shared" si="163"/>
        <v>-2.0727429611149262E-3</v>
      </c>
      <c r="E601" s="206">
        <v>69.90848461704438</v>
      </c>
      <c r="F601" s="204">
        <f t="shared" si="164"/>
        <v>-6.8072742961115096E-2</v>
      </c>
    </row>
    <row r="602" spans="2:6" ht="15.75" hidden="1" outlineLevel="1">
      <c r="B602" s="205">
        <f t="shared" si="162"/>
        <v>44740</v>
      </c>
      <c r="C602" s="206">
        <v>214.42516847934877</v>
      </c>
      <c r="D602" s="204">
        <f t="shared" si="163"/>
        <v>6.754322484437747E-3</v>
      </c>
      <c r="E602" s="206">
        <v>72.897374512759853</v>
      </c>
      <c r="F602" s="204">
        <f t="shared" si="164"/>
        <v>4.2754322484437779E-2</v>
      </c>
    </row>
    <row r="603" spans="2:6" ht="15.75" hidden="1" outlineLevel="1">
      <c r="B603" s="205">
        <f t="shared" si="162"/>
        <v>44747</v>
      </c>
      <c r="C603" s="206">
        <v>211.14365783679187</v>
      </c>
      <c r="D603" s="204">
        <f t="shared" si="163"/>
        <v>-1.5303756857595441E-2</v>
      </c>
      <c r="E603" s="206">
        <v>73.458410431452975</v>
      </c>
      <c r="F603" s="204">
        <f t="shared" si="164"/>
        <v>7.6962431424045796E-3</v>
      </c>
    </row>
    <row r="604" spans="2:6" ht="15.75" hidden="1" outlineLevel="1">
      <c r="B604" s="205">
        <f t="shared" si="162"/>
        <v>44754</v>
      </c>
      <c r="C604" s="206">
        <v>208.94708747581237</v>
      </c>
      <c r="D604" s="204">
        <f t="shared" si="163"/>
        <v>-1.0403203124753069E-2</v>
      </c>
      <c r="E604" s="206">
        <v>71.739248330904203</v>
      </c>
      <c r="F604" s="204">
        <f t="shared" si="164"/>
        <v>-2.340320312475308E-2</v>
      </c>
    </row>
    <row r="605" spans="2:6" ht="15.75" hidden="1" outlineLevel="1">
      <c r="B605" s="205">
        <f t="shared" si="162"/>
        <v>44761</v>
      </c>
      <c r="C605" s="206">
        <v>210.97084139587645</v>
      </c>
      <c r="D605" s="204">
        <f t="shared" si="163"/>
        <v>9.6854851843692913E-3</v>
      </c>
      <c r="E605" s="206">
        <v>72.577556254412769</v>
      </c>
      <c r="F605" s="204">
        <f t="shared" si="164"/>
        <v>1.1685485184369293E-2</v>
      </c>
    </row>
    <row r="606" spans="2:6" ht="15.75" hidden="1" outlineLevel="1">
      <c r="B606" s="205">
        <f t="shared" si="162"/>
        <v>44768</v>
      </c>
      <c r="C606" s="206">
        <v>207.93020617868819</v>
      </c>
      <c r="D606" s="204">
        <f t="shared" si="163"/>
        <v>-1.4412585156650448E-2</v>
      </c>
      <c r="E606" s="206">
        <v>67.467182894187346</v>
      </c>
      <c r="F606" s="204">
        <f t="shared" si="164"/>
        <v>-7.0412585156650387E-2</v>
      </c>
    </row>
    <row r="607" spans="2:6" ht="15.75" hidden="1" outlineLevel="1">
      <c r="B607" s="205">
        <f t="shared" si="162"/>
        <v>44775</v>
      </c>
      <c r="C607" s="206">
        <v>208.82431440581837</v>
      </c>
      <c r="D607" s="204">
        <f t="shared" si="163"/>
        <v>4.3000401123145515E-3</v>
      </c>
      <c r="E607" s="206">
        <v>67.892228852685591</v>
      </c>
      <c r="F607" s="204">
        <f t="shared" si="164"/>
        <v>6.3000401123145533E-3</v>
      </c>
    </row>
    <row r="608" spans="2:6" ht="15.75" hidden="1" outlineLevel="1">
      <c r="B608" s="205">
        <f t="shared" si="162"/>
        <v>44782</v>
      </c>
      <c r="C608" s="206">
        <v>211.00020017348371</v>
      </c>
      <c r="D608" s="204">
        <f t="shared" si="163"/>
        <v>1.0419695493106396E-2</v>
      </c>
      <c r="E608" s="206">
        <v>68.53175297482619</v>
      </c>
      <c r="F608" s="204">
        <f t="shared" si="164"/>
        <v>9.4196954931065058E-3</v>
      </c>
    </row>
    <row r="609" spans="2:6" ht="15.75" hidden="1" outlineLevel="1">
      <c r="B609" s="205">
        <f t="shared" si="162"/>
        <v>44789</v>
      </c>
      <c r="C609" s="206">
        <v>210.86208046974045</v>
      </c>
      <c r="D609" s="204">
        <f t="shared" si="163"/>
        <v>-6.5459513133014902E-4</v>
      </c>
      <c r="E609" s="206">
        <v>68.761019434886649</v>
      </c>
      <c r="F609" s="204">
        <f t="shared" si="164"/>
        <v>3.3454048686698545E-3</v>
      </c>
    </row>
    <row r="610" spans="2:6" ht="15.75" hidden="1" outlineLevel="1">
      <c r="B610" s="205">
        <f t="shared" si="162"/>
        <v>44796</v>
      </c>
      <c r="C610" s="206">
        <v>211.49929939280707</v>
      </c>
      <c r="D610" s="204">
        <f t="shared" si="163"/>
        <v>3.0219701979943281E-3</v>
      </c>
      <c r="E610" s="206">
        <v>67.318548719965307</v>
      </c>
      <c r="F610" s="204">
        <f t="shared" si="164"/>
        <v>-2.0978029802005693E-2</v>
      </c>
    </row>
    <row r="611" spans="2:6" ht="15.75" hidden="1" outlineLevel="1">
      <c r="B611" s="205">
        <f t="shared" si="162"/>
        <v>44803</v>
      </c>
      <c r="C611" s="206">
        <v>212.31934343097353</v>
      </c>
      <c r="D611" s="204">
        <f t="shared" si="163"/>
        <v>3.8772896199690265E-3</v>
      </c>
      <c r="E611" s="206">
        <v>66.098554158309369</v>
      </c>
      <c r="F611" s="204">
        <f t="shared" si="164"/>
        <v>-1.8122710380030993E-2</v>
      </c>
    </row>
    <row r="612" spans="2:6" ht="15.75" hidden="1" outlineLevel="1">
      <c r="B612" s="205">
        <f t="shared" si="162"/>
        <v>44810</v>
      </c>
      <c r="C612" s="206">
        <v>215.12844465203176</v>
      </c>
      <c r="D612" s="204">
        <f t="shared" si="163"/>
        <v>1.3230547794961023E-2</v>
      </c>
      <c r="E612" s="206">
        <v>66.444285805012228</v>
      </c>
      <c r="F612" s="204">
        <f t="shared" si="164"/>
        <v>5.2305477949610157E-3</v>
      </c>
    </row>
    <row r="613" spans="2:6" ht="15.75" hidden="1" outlineLevel="1">
      <c r="B613" s="205">
        <f t="shared" si="162"/>
        <v>44817</v>
      </c>
      <c r="C613" s="206">
        <v>215.0110095416027</v>
      </c>
      <c r="D613" s="204">
        <f t="shared" si="163"/>
        <v>-5.4588369575681028E-4</v>
      </c>
      <c r="E613" s="206">
        <v>66.673792095935113</v>
      </c>
      <c r="F613" s="204">
        <f t="shared" si="164"/>
        <v>3.4541163042431933E-3</v>
      </c>
    </row>
    <row r="614" spans="2:6" ht="15.75" hidden="1" outlineLevel="1">
      <c r="B614" s="205">
        <f t="shared" si="162"/>
        <v>44824</v>
      </c>
      <c r="C614" s="206">
        <v>215.65957162874491</v>
      </c>
      <c r="D614" s="204">
        <f t="shared" si="163"/>
        <v>3.0164133851793284E-3</v>
      </c>
      <c r="E614" s="206">
        <v>66.674886438566162</v>
      </c>
      <c r="F614" s="204">
        <f t="shared" si="164"/>
        <v>1.6413385179436801E-5</v>
      </c>
    </row>
    <row r="615" spans="2:6" ht="15.75" hidden="1" outlineLevel="1">
      <c r="B615" s="205">
        <f t="shared" si="162"/>
        <v>44831</v>
      </c>
      <c r="C615" s="206">
        <v>216.4789484219657</v>
      </c>
      <c r="D615" s="204">
        <f t="shared" si="163"/>
        <v>3.7993991503948443E-3</v>
      </c>
      <c r="E615" s="206">
        <v>63.061067532016679</v>
      </c>
      <c r="F615" s="204">
        <f t="shared" si="164"/>
        <v>-5.4200600849605207E-2</v>
      </c>
    </row>
    <row r="616" spans="2:6" ht="15.75" hidden="1" outlineLevel="1">
      <c r="B616" s="205">
        <f t="shared" si="162"/>
        <v>44838</v>
      </c>
      <c r="C616" s="206">
        <v>217.04610662574231</v>
      </c>
      <c r="D616" s="204">
        <f t="shared" si="163"/>
        <v>2.6199231283732249E-3</v>
      </c>
      <c r="E616" s="206">
        <v>60.640778912531026</v>
      </c>
      <c r="F616" s="204">
        <f t="shared" si="164"/>
        <v>-3.8380076871626811E-2</v>
      </c>
    </row>
    <row r="617" spans="2:6" ht="15.75" hidden="1" outlineLevel="1">
      <c r="B617" s="205">
        <f t="shared" si="162"/>
        <v>44845</v>
      </c>
      <c r="C617" s="206">
        <v>216.3421632081137</v>
      </c>
      <c r="D617" s="204">
        <f t="shared" si="163"/>
        <v>-3.2432897718015496E-3</v>
      </c>
      <c r="E617" s="206">
        <v>61.23243342039283</v>
      </c>
      <c r="F617" s="204">
        <f t="shared" si="164"/>
        <v>9.7567102281983509E-3</v>
      </c>
    </row>
    <row r="618" spans="2:6" ht="15.75" hidden="1" outlineLevel="1">
      <c r="B618" s="205">
        <f t="shared" si="162"/>
        <v>44852</v>
      </c>
      <c r="C618" s="206">
        <v>216.52899179288715</v>
      </c>
      <c r="D618" s="204">
        <f t="shared" si="163"/>
        <v>8.6357916553581049E-4</v>
      </c>
      <c r="E618" s="206">
        <v>61.469009774410914</v>
      </c>
      <c r="F618" s="204">
        <f t="shared" si="164"/>
        <v>3.8635791655357021E-3</v>
      </c>
    </row>
    <row r="619" spans="2:6" ht="15.75" hidden="1" outlineLevel="1">
      <c r="B619" s="205">
        <f t="shared" si="162"/>
        <v>44859</v>
      </c>
      <c r="C619" s="206">
        <v>217.45045706278773</v>
      </c>
      <c r="D619" s="204">
        <f t="shared" si="163"/>
        <v>4.2556207474608865E-3</v>
      </c>
      <c r="E619" s="206">
        <v>61.238846489537487</v>
      </c>
      <c r="F619" s="204">
        <f t="shared" si="164"/>
        <v>-3.7443792525391206E-3</v>
      </c>
    </row>
    <row r="620" spans="2:6" ht="15.75" hidden="1" outlineLevel="1">
      <c r="B620" s="205">
        <f t="shared" si="162"/>
        <v>44866</v>
      </c>
      <c r="C620" s="206">
        <v>216.79255354640691</v>
      </c>
      <c r="D620" s="204">
        <f t="shared" si="163"/>
        <v>-3.0255329203141557E-3</v>
      </c>
      <c r="E620" s="206">
        <v>61.053566343481329</v>
      </c>
      <c r="F620" s="204">
        <f t="shared" si="164"/>
        <v>-3.0255329203141557E-3</v>
      </c>
    </row>
    <row r="621" spans="2:6" ht="15.75" hidden="1" outlineLevel="1">
      <c r="B621" s="205">
        <f t="shared" si="162"/>
        <v>44873</v>
      </c>
      <c r="C621" s="206">
        <v>216.02655634883567</v>
      </c>
      <c r="D621" s="204">
        <f t="shared" si="163"/>
        <v>-3.5333187650620212E-3</v>
      </c>
      <c r="E621" s="206">
        <v>60.471523233785057</v>
      </c>
      <c r="F621" s="204">
        <f t="shared" si="164"/>
        <v>-9.5333187650620266E-3</v>
      </c>
    </row>
    <row r="622" spans="2:6" ht="15.75" hidden="1" outlineLevel="1">
      <c r="B622" s="205">
        <f t="shared" si="162"/>
        <v>44880</v>
      </c>
      <c r="C622" s="206">
        <v>215.46006539000467</v>
      </c>
      <c r="D622" s="204">
        <f t="shared" si="163"/>
        <v>-2.6223209238971368E-3</v>
      </c>
      <c r="E622" s="206">
        <v>62.792279945694354</v>
      </c>
      <c r="F622" s="204">
        <f t="shared" si="164"/>
        <v>3.8377679076102789E-2</v>
      </c>
    </row>
    <row r="623" spans="2:6" ht="15.75" hidden="1" outlineLevel="1">
      <c r="B623" s="205">
        <f t="shared" si="162"/>
        <v>44887</v>
      </c>
      <c r="C623" s="206">
        <v>217.13418295856408</v>
      </c>
      <c r="D623" s="204">
        <f t="shared" si="163"/>
        <v>7.769966863832023E-3</v>
      </c>
      <c r="E623" s="206">
        <v>62.966212480448398</v>
      </c>
      <c r="F623" s="204">
        <f t="shared" si="164"/>
        <v>2.7699668638321295E-3</v>
      </c>
    </row>
    <row r="624" spans="2:6" ht="15.75" hidden="1" outlineLevel="1">
      <c r="B624" s="205">
        <f t="shared" si="162"/>
        <v>44894</v>
      </c>
      <c r="C624" s="206">
        <v>215.02635617535196</v>
      </c>
      <c r="D624" s="204">
        <f t="shared" si="163"/>
        <v>-9.7074848118886559E-3</v>
      </c>
      <c r="E624" s="206">
        <v>62.543867566573638</v>
      </c>
      <c r="F624" s="204">
        <f t="shared" si="164"/>
        <v>-6.7074848118886532E-3</v>
      </c>
    </row>
    <row r="625" spans="2:6" ht="15.75" hidden="1" outlineLevel="1">
      <c r="B625" s="205">
        <f t="shared" si="162"/>
        <v>44901</v>
      </c>
      <c r="C625" s="206">
        <v>216.52098485353974</v>
      </c>
      <c r="D625" s="204">
        <f t="shared" si="163"/>
        <v>6.9509092037485232E-3</v>
      </c>
      <c r="E625" s="206">
        <v>62.665884973447305</v>
      </c>
      <c r="F625" s="204">
        <f t="shared" si="164"/>
        <v>1.9509092037486297E-3</v>
      </c>
    </row>
    <row r="626" spans="2:6" ht="15.75" hidden="1" outlineLevel="1">
      <c r="B626" s="205">
        <f t="shared" si="162"/>
        <v>44908</v>
      </c>
      <c r="C626" s="206">
        <v>215.8737572562888</v>
      </c>
      <c r="D626" s="204">
        <f t="shared" si="163"/>
        <v>-2.9892141756547863E-3</v>
      </c>
      <c r="E626" s="206">
        <v>62.478563221754726</v>
      </c>
      <c r="F626" s="204">
        <f t="shared" si="164"/>
        <v>-2.9892141756547863E-3</v>
      </c>
    </row>
    <row r="627" spans="2:6" ht="15.75" hidden="1" outlineLevel="1">
      <c r="B627" s="205">
        <f t="shared" si="162"/>
        <v>44915</v>
      </c>
      <c r="C627" s="206">
        <v>217.02008407286314</v>
      </c>
      <c r="D627" s="204">
        <f t="shared" si="163"/>
        <v>5.3101721633233012E-3</v>
      </c>
      <c r="E627" s="206">
        <v>62.685378022535815</v>
      </c>
      <c r="F627" s="204">
        <f t="shared" si="164"/>
        <v>3.3101721633232994E-3</v>
      </c>
    </row>
    <row r="628" spans="2:6" ht="15.75" hidden="1" outlineLevel="1">
      <c r="B628" s="205">
        <f t="shared" si="162"/>
        <v>44922</v>
      </c>
      <c r="C628" s="206">
        <v>217.28965103089345</v>
      </c>
      <c r="D628" s="204">
        <f t="shared" si="163"/>
        <v>1.2421290830382237E-3</v>
      </c>
      <c r="E628" s="206">
        <v>63.139353621794065</v>
      </c>
      <c r="F628" s="204">
        <f t="shared" si="164"/>
        <v>7.242129083038229E-3</v>
      </c>
    </row>
    <row r="629" spans="2:6" ht="15.75" hidden="1" outlineLevel="1">
      <c r="B629" s="205">
        <f t="shared" si="162"/>
        <v>44929</v>
      </c>
      <c r="C629" s="206">
        <v>218.02362047107493</v>
      </c>
      <c r="D629" s="204">
        <f t="shared" si="163"/>
        <v>3.3778389200742609E-3</v>
      </c>
      <c r="E629" s="206">
        <v>66.509595868935804</v>
      </c>
      <c r="F629" s="204">
        <f t="shared" si="164"/>
        <v>5.3377838920074305E-2</v>
      </c>
    </row>
    <row r="630" spans="2:6" ht="15.75" hidden="1" outlineLevel="1">
      <c r="B630" s="205">
        <f t="shared" si="162"/>
        <v>44936</v>
      </c>
      <c r="C630" s="206">
        <v>216.13198105024355</v>
      </c>
      <c r="D630" s="204">
        <f t="shared" si="163"/>
        <v>-8.6763049652335278E-3</v>
      </c>
      <c r="E630" s="206">
        <v>62.873096922091435</v>
      </c>
      <c r="F630" s="204">
        <f t="shared" si="164"/>
        <v>-5.4676304965233569E-2</v>
      </c>
    </row>
    <row r="631" spans="2:6" ht="15.75" hidden="1" outlineLevel="1">
      <c r="B631" s="205">
        <f t="shared" si="162"/>
        <v>44943</v>
      </c>
      <c r="C631" s="206">
        <v>217.1788883699206</v>
      </c>
      <c r="D631" s="204">
        <f t="shared" si="163"/>
        <v>4.8438334511617942E-3</v>
      </c>
      <c r="E631" s="206">
        <v>63.240516829062884</v>
      </c>
      <c r="F631" s="204">
        <f t="shared" si="164"/>
        <v>5.8438334511616841E-3</v>
      </c>
    </row>
    <row r="632" spans="2:6" hidden="1" outlineLevel="1"/>
    <row r="633" spans="2:6" collapsed="1"/>
  </sheetData>
  <sheetProtection selectLockedCells="1"/>
  <mergeCells count="8">
    <mergeCell ref="H319:Q319"/>
    <mergeCell ref="H324:Q324"/>
    <mergeCell ref="B187:K187"/>
    <mergeCell ref="B203:K203"/>
    <mergeCell ref="B230:K230"/>
    <mergeCell ref="B249:K249"/>
    <mergeCell ref="B261:K261"/>
    <mergeCell ref="G272:L272"/>
  </mergeCells>
  <conditionalFormatting sqref="D83:K83">
    <cfRule type="expression" dxfId="0" priority="1">
      <formula>D$83&lt;&gt;0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C418-3928-4A44-A2F9-EDAC404D9564}">
  <dimension ref="F6:N13"/>
  <sheetViews>
    <sheetView workbookViewId="0">
      <selection activeCell="F8" sqref="F8:L13"/>
    </sheetView>
  </sheetViews>
  <sheetFormatPr defaultRowHeight="15"/>
  <sheetData>
    <row r="6" spans="6:14">
      <c r="N6">
        <v>2000</v>
      </c>
    </row>
    <row r="7" spans="6:14" ht="15.75">
      <c r="F7" s="105"/>
      <c r="G7" s="294"/>
      <c r="H7" s="299" t="s">
        <v>127</v>
      </c>
      <c r="I7" s="299"/>
      <c r="J7" s="299"/>
      <c r="K7" s="299"/>
      <c r="L7" s="299"/>
      <c r="N7" s="306">
        <v>0.06</v>
      </c>
    </row>
    <row r="8" spans="6:14" ht="15.75">
      <c r="F8" s="298">
        <f>N6</f>
        <v>2000</v>
      </c>
      <c r="G8" s="300">
        <v>0</v>
      </c>
      <c r="H8" s="301">
        <f>+G8+0.05</f>
        <v>0.05</v>
      </c>
      <c r="I8" s="301">
        <f>+H8+0.05</f>
        <v>0.1</v>
      </c>
      <c r="J8" s="301">
        <f t="shared" ref="J8:L8" si="0">+I8+0.05</f>
        <v>0.15000000000000002</v>
      </c>
      <c r="K8" s="301">
        <f t="shared" si="0"/>
        <v>0.2</v>
      </c>
      <c r="L8" s="301">
        <f t="shared" si="0"/>
        <v>0.25</v>
      </c>
      <c r="N8" s="306">
        <v>0.09</v>
      </c>
    </row>
    <row r="9" spans="6:14" ht="16.5">
      <c r="F9" s="165">
        <f>+F10+0.01</f>
        <v>0.13274</v>
      </c>
      <c r="G9" s="105"/>
      <c r="H9" s="295"/>
      <c r="I9" s="295"/>
      <c r="J9" s="295"/>
      <c r="K9" s="295"/>
      <c r="L9" s="295"/>
    </row>
    <row r="10" spans="6:14" ht="16.5">
      <c r="F10" s="165">
        <f>+F11+0.01</f>
        <v>0.12273999999999999</v>
      </c>
      <c r="G10" s="105"/>
      <c r="H10" s="296"/>
      <c r="I10" s="296"/>
      <c r="J10" s="296"/>
      <c r="K10" s="295"/>
      <c r="L10" s="295"/>
    </row>
    <row r="11" spans="6:14" ht="16.5">
      <c r="F11" s="166">
        <v>0.11273999999999999</v>
      </c>
      <c r="G11" s="105"/>
      <c r="H11" s="296"/>
      <c r="I11" s="297"/>
      <c r="J11" s="296"/>
      <c r="K11" s="295"/>
      <c r="L11" s="295"/>
    </row>
    <row r="12" spans="6:14" ht="16.5">
      <c r="F12" s="165">
        <f>+F11-0.01</f>
        <v>0.10274</v>
      </c>
      <c r="G12" s="105"/>
      <c r="H12" s="296"/>
      <c r="I12" s="296"/>
      <c r="J12" s="296"/>
      <c r="K12" s="295"/>
      <c r="L12" s="295"/>
    </row>
    <row r="13" spans="6:14" ht="16.5">
      <c r="F13" s="165">
        <f>+F12-0.01</f>
        <v>9.2740000000000003E-2</v>
      </c>
      <c r="G13" s="105"/>
      <c r="H13" s="295"/>
      <c r="I13" s="295"/>
      <c r="J13" s="295"/>
      <c r="K13" s="295"/>
      <c r="L13" s="29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mohammedu iflam</dc:creator>
  <cp:lastModifiedBy>mohammedu iflam</cp:lastModifiedBy>
  <dcterms:created xsi:type="dcterms:W3CDTF">2025-02-25T08:43:05Z</dcterms:created>
  <dcterms:modified xsi:type="dcterms:W3CDTF">2025-02-25T17:02:10Z</dcterms:modified>
</cp:coreProperties>
</file>