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uke\Desktop\CFI\Financial full model\"/>
    </mc:Choice>
  </mc:AlternateContent>
  <xr:revisionPtr revIDLastSave="0" documentId="13_ncr:1_{3873A406-1F30-472F-AB62-022E0EC1E2EE}" xr6:coauthVersionLast="47" xr6:coauthVersionMax="47" xr10:uidLastSave="{00000000-0000-0000-0000-000000000000}"/>
  <bookViews>
    <workbookView xWindow="-120" yWindow="-120" windowWidth="20730" windowHeight="11160" xr2:uid="{9082E19D-AF5D-4EE7-B150-813E1CE8D0C3}"/>
  </bookViews>
  <sheets>
    <sheet name="Sheet1" sheetId="1" r:id="rId1"/>
    <sheet name="Sheet2" sheetId="2" r:id="rId2"/>
  </sheets>
  <externalReferences>
    <externalReference r:id="rId3"/>
  </externalReferences>
  <definedNames>
    <definedName name="_xlnm.Print_Area" localSheetId="0">Sheet1!$B$1:$M$420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4" i="2" l="1"/>
  <c r="B314" i="2"/>
  <c r="D313" i="2"/>
  <c r="B313" i="2"/>
  <c r="D312" i="2"/>
  <c r="B312" i="2"/>
  <c r="D311" i="2"/>
  <c r="B311" i="2"/>
  <c r="D310" i="2"/>
  <c r="B310" i="2"/>
  <c r="D309" i="2"/>
  <c r="B309" i="2"/>
  <c r="D308" i="2"/>
  <c r="B308" i="2"/>
  <c r="D307" i="2"/>
  <c r="B307" i="2"/>
  <c r="D306" i="2"/>
  <c r="B306" i="2"/>
  <c r="D305" i="2"/>
  <c r="B305" i="2"/>
  <c r="D304" i="2"/>
  <c r="B304" i="2"/>
  <c r="D303" i="2"/>
  <c r="B303" i="2"/>
  <c r="D302" i="2"/>
  <c r="B302" i="2"/>
  <c r="D301" i="2"/>
  <c r="B301" i="2"/>
  <c r="D300" i="2"/>
  <c r="B300" i="2"/>
  <c r="D299" i="2"/>
  <c r="B299" i="2"/>
  <c r="D298" i="2"/>
  <c r="B298" i="2"/>
  <c r="D297" i="2"/>
  <c r="B297" i="2"/>
  <c r="D296" i="2"/>
  <c r="B296" i="2"/>
  <c r="D295" i="2"/>
  <c r="B295" i="2"/>
  <c r="D294" i="2"/>
  <c r="B294" i="2"/>
  <c r="D293" i="2"/>
  <c r="B293" i="2"/>
  <c r="D292" i="2"/>
  <c r="B292" i="2"/>
  <c r="D291" i="2"/>
  <c r="B291" i="2"/>
  <c r="D290" i="2"/>
  <c r="B290" i="2"/>
  <c r="D289" i="2"/>
  <c r="B289" i="2"/>
  <c r="D288" i="2"/>
  <c r="B288" i="2"/>
  <c r="D287" i="2"/>
  <c r="B287" i="2"/>
  <c r="D286" i="2"/>
  <c r="B286" i="2"/>
  <c r="D285" i="2"/>
  <c r="B285" i="2"/>
  <c r="D284" i="2"/>
  <c r="B284" i="2"/>
  <c r="D283" i="2"/>
  <c r="B283" i="2"/>
  <c r="D282" i="2"/>
  <c r="B282" i="2"/>
  <c r="D281" i="2"/>
  <c r="B281" i="2"/>
  <c r="D280" i="2"/>
  <c r="B280" i="2"/>
  <c r="D279" i="2"/>
  <c r="B279" i="2"/>
  <c r="D278" i="2"/>
  <c r="B278" i="2"/>
  <c r="D277" i="2"/>
  <c r="B277" i="2"/>
  <c r="D276" i="2"/>
  <c r="B276" i="2"/>
  <c r="D275" i="2"/>
  <c r="B275" i="2"/>
  <c r="D274" i="2"/>
  <c r="B274" i="2"/>
  <c r="D273" i="2"/>
  <c r="B273" i="2"/>
  <c r="D272" i="2"/>
  <c r="B272" i="2"/>
  <c r="D271" i="2"/>
  <c r="B271" i="2"/>
  <c r="D270" i="2"/>
  <c r="B270" i="2"/>
  <c r="D269" i="2"/>
  <c r="B269" i="2"/>
  <c r="D268" i="2"/>
  <c r="B268" i="2"/>
  <c r="D267" i="2"/>
  <c r="B267" i="2"/>
  <c r="D266" i="2"/>
  <c r="B266" i="2"/>
  <c r="D265" i="2"/>
  <c r="B265" i="2"/>
  <c r="D264" i="2"/>
  <c r="B264" i="2"/>
  <c r="D263" i="2"/>
  <c r="B263" i="2"/>
  <c r="D262" i="2"/>
  <c r="B262" i="2"/>
  <c r="D261" i="2"/>
  <c r="B261" i="2"/>
  <c r="D260" i="2"/>
  <c r="B260" i="2"/>
  <c r="D259" i="2"/>
  <c r="B259" i="2"/>
  <c r="D258" i="2"/>
  <c r="B258" i="2"/>
  <c r="D257" i="2"/>
  <c r="B257" i="2"/>
  <c r="D256" i="2"/>
  <c r="B256" i="2"/>
  <c r="D255" i="2"/>
  <c r="B255" i="2"/>
  <c r="D254" i="2"/>
  <c r="B254" i="2"/>
  <c r="D253" i="2"/>
  <c r="B253" i="2"/>
  <c r="D252" i="2"/>
  <c r="B252" i="2"/>
  <c r="D251" i="2"/>
  <c r="B251" i="2"/>
  <c r="D250" i="2"/>
  <c r="B250" i="2"/>
  <c r="D249" i="2"/>
  <c r="B249" i="2"/>
  <c r="D248" i="2"/>
  <c r="B248" i="2"/>
  <c r="D247" i="2"/>
  <c r="B247" i="2"/>
  <c r="D246" i="2"/>
  <c r="B246" i="2"/>
  <c r="D245" i="2"/>
  <c r="B245" i="2"/>
  <c r="D244" i="2"/>
  <c r="B244" i="2"/>
  <c r="D243" i="2"/>
  <c r="B243" i="2"/>
  <c r="D242" i="2"/>
  <c r="B242" i="2"/>
  <c r="D241" i="2"/>
  <c r="B241" i="2"/>
  <c r="D240" i="2"/>
  <c r="B240" i="2"/>
  <c r="D239" i="2"/>
  <c r="B239" i="2"/>
  <c r="D238" i="2"/>
  <c r="B238" i="2"/>
  <c r="D237" i="2"/>
  <c r="B237" i="2"/>
  <c r="D236" i="2"/>
  <c r="B236" i="2"/>
  <c r="D235" i="2"/>
  <c r="B235" i="2"/>
  <c r="D234" i="2"/>
  <c r="B234" i="2"/>
  <c r="D233" i="2"/>
  <c r="B233" i="2"/>
  <c r="D232" i="2"/>
  <c r="B232" i="2"/>
  <c r="D231" i="2"/>
  <c r="B231" i="2"/>
  <c r="D230" i="2"/>
  <c r="B230" i="2"/>
  <c r="D229" i="2"/>
  <c r="B229" i="2"/>
  <c r="D228" i="2"/>
  <c r="B228" i="2"/>
  <c r="D227" i="2"/>
  <c r="B227" i="2"/>
  <c r="D226" i="2"/>
  <c r="B226" i="2"/>
  <c r="D225" i="2"/>
  <c r="B225" i="2"/>
  <c r="D224" i="2"/>
  <c r="B224" i="2"/>
  <c r="D223" i="2"/>
  <c r="B223" i="2"/>
  <c r="D222" i="2"/>
  <c r="B222" i="2"/>
  <c r="D221" i="2"/>
  <c r="B221" i="2"/>
  <c r="D220" i="2"/>
  <c r="B220" i="2"/>
  <c r="D219" i="2"/>
  <c r="B219" i="2"/>
  <c r="D218" i="2"/>
  <c r="B218" i="2"/>
  <c r="D217" i="2"/>
  <c r="B217" i="2"/>
  <c r="D216" i="2"/>
  <c r="B216" i="2"/>
  <c r="D215" i="2"/>
  <c r="B215" i="2"/>
  <c r="D214" i="2"/>
  <c r="B214" i="2"/>
  <c r="D213" i="2"/>
  <c r="B213" i="2"/>
  <c r="D212" i="2"/>
  <c r="B212" i="2"/>
  <c r="D211" i="2"/>
  <c r="B211" i="2"/>
  <c r="D210" i="2"/>
  <c r="B210" i="2"/>
  <c r="D209" i="2"/>
  <c r="B209" i="2"/>
  <c r="D208" i="2"/>
  <c r="B208" i="2"/>
  <c r="D207" i="2"/>
  <c r="B207" i="2"/>
  <c r="D206" i="2"/>
  <c r="B206" i="2"/>
  <c r="D205" i="2"/>
  <c r="B205" i="2"/>
  <c r="D204" i="2"/>
  <c r="B204" i="2"/>
  <c r="D203" i="2"/>
  <c r="B203" i="2"/>
  <c r="D202" i="2"/>
  <c r="B202" i="2"/>
  <c r="D201" i="2"/>
  <c r="B201" i="2"/>
  <c r="D200" i="2"/>
  <c r="B200" i="2"/>
  <c r="D199" i="2"/>
  <c r="B199" i="2"/>
  <c r="D198" i="2"/>
  <c r="B198" i="2"/>
  <c r="D197" i="2"/>
  <c r="B197" i="2"/>
  <c r="D196" i="2"/>
  <c r="B196" i="2"/>
  <c r="D195" i="2"/>
  <c r="B195" i="2"/>
  <c r="D194" i="2"/>
  <c r="B194" i="2"/>
  <c r="D193" i="2"/>
  <c r="B193" i="2"/>
  <c r="D192" i="2"/>
  <c r="B192" i="2"/>
  <c r="D191" i="2"/>
  <c r="B191" i="2"/>
  <c r="D190" i="2"/>
  <c r="B190" i="2"/>
  <c r="D189" i="2"/>
  <c r="B189" i="2"/>
  <c r="D188" i="2"/>
  <c r="B188" i="2"/>
  <c r="D187" i="2"/>
  <c r="B187" i="2"/>
  <c r="D186" i="2"/>
  <c r="B186" i="2"/>
  <c r="D185" i="2"/>
  <c r="B185" i="2"/>
  <c r="D184" i="2"/>
  <c r="B184" i="2"/>
  <c r="D183" i="2"/>
  <c r="B183" i="2"/>
  <c r="D182" i="2"/>
  <c r="B182" i="2"/>
  <c r="D181" i="2"/>
  <c r="B181" i="2"/>
  <c r="D180" i="2"/>
  <c r="B180" i="2"/>
  <c r="D179" i="2"/>
  <c r="B179" i="2"/>
  <c r="D178" i="2"/>
  <c r="B178" i="2"/>
  <c r="D177" i="2"/>
  <c r="B177" i="2"/>
  <c r="D176" i="2"/>
  <c r="B176" i="2"/>
  <c r="D175" i="2"/>
  <c r="B175" i="2"/>
  <c r="D174" i="2"/>
  <c r="B174" i="2"/>
  <c r="D173" i="2"/>
  <c r="B173" i="2"/>
  <c r="D172" i="2"/>
  <c r="B172" i="2"/>
  <c r="D171" i="2"/>
  <c r="B171" i="2"/>
  <c r="D170" i="2"/>
  <c r="B170" i="2"/>
  <c r="D169" i="2"/>
  <c r="B169" i="2"/>
  <c r="D168" i="2"/>
  <c r="B168" i="2"/>
  <c r="D167" i="2"/>
  <c r="B167" i="2"/>
  <c r="D166" i="2"/>
  <c r="B166" i="2"/>
  <c r="D165" i="2"/>
  <c r="B165" i="2"/>
  <c r="D164" i="2"/>
  <c r="B164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I53" i="1"/>
  <c r="J53" i="1"/>
  <c r="K53" i="1"/>
  <c r="L53" i="1"/>
  <c r="H53" i="1"/>
  <c r="F394" i="1"/>
  <c r="F395" i="1"/>
  <c r="F396" i="1"/>
  <c r="F393" i="1"/>
  <c r="F347" i="1"/>
  <c r="G347" i="1" s="1"/>
  <c r="H347" i="1" s="1"/>
  <c r="I347" i="1" s="1"/>
  <c r="E302" i="1" l="1"/>
  <c r="G255" i="1"/>
  <c r="G253" i="1"/>
  <c r="G257" i="1"/>
  <c r="E201" i="1"/>
  <c r="G249" i="1"/>
  <c r="G248" i="1"/>
  <c r="E194" i="1"/>
  <c r="F11" i="1"/>
  <c r="G10" i="1"/>
  <c r="F10" i="1"/>
  <c r="E238" i="1"/>
  <c r="F235" i="1" s="1"/>
  <c r="G232" i="1"/>
  <c r="G237" i="1" s="1"/>
  <c r="F232" i="1"/>
  <c r="F237" i="1" s="1"/>
  <c r="E232" i="1"/>
  <c r="E237" i="1" s="1"/>
  <c r="E229" i="1"/>
  <c r="F227" i="1" s="1"/>
  <c r="F229" i="1" s="1"/>
  <c r="G227" i="1" s="1"/>
  <c r="G229" i="1" s="1"/>
  <c r="H227" i="1" s="1"/>
  <c r="H229" i="1" s="1"/>
  <c r="E16" i="1"/>
  <c r="E221" i="1" s="1"/>
  <c r="F167" i="1"/>
  <c r="G167" i="1"/>
  <c r="G169" i="1" s="1"/>
  <c r="E167" i="1"/>
  <c r="E158" i="1"/>
  <c r="E157" i="1"/>
  <c r="E156" i="1"/>
  <c r="E155" i="1"/>
  <c r="F15" i="1"/>
  <c r="F205" i="1" s="1"/>
  <c r="G15" i="1"/>
  <c r="E15" i="1"/>
  <c r="E205" i="1" s="1"/>
  <c r="E211" i="1"/>
  <c r="F208" i="1" s="1"/>
  <c r="F209" i="1"/>
  <c r="G209" i="1"/>
  <c r="E209" i="1"/>
  <c r="G205" i="1"/>
  <c r="F153" i="1"/>
  <c r="F210" i="1" s="1"/>
  <c r="G153" i="1"/>
  <c r="G210" i="1" s="1"/>
  <c r="E153" i="1"/>
  <c r="E210" i="1" s="1"/>
  <c r="I46" i="1"/>
  <c r="I67" i="1" s="1"/>
  <c r="J46" i="1"/>
  <c r="J67" i="1" s="1"/>
  <c r="J90" i="1" s="1"/>
  <c r="K46" i="1"/>
  <c r="K67" i="1" s="1"/>
  <c r="L46" i="1"/>
  <c r="L67" i="1" s="1"/>
  <c r="H46" i="1"/>
  <c r="H67" i="1" s="1"/>
  <c r="I24" i="1"/>
  <c r="I45" i="1" s="1"/>
  <c r="I66" i="1" s="1"/>
  <c r="J24" i="1"/>
  <c r="J45" i="1" s="1"/>
  <c r="J66" i="1" s="1"/>
  <c r="K24" i="1"/>
  <c r="L24" i="1"/>
  <c r="L45" i="1" s="1"/>
  <c r="L66" i="1" s="1"/>
  <c r="H24" i="1"/>
  <c r="F25" i="1"/>
  <c r="G25" i="1"/>
  <c r="E25" i="1"/>
  <c r="F24" i="1"/>
  <c r="G24" i="1"/>
  <c r="E24" i="1"/>
  <c r="E219" i="1" s="1"/>
  <c r="F23" i="1"/>
  <c r="F204" i="1" s="1"/>
  <c r="G23" i="1"/>
  <c r="G204" i="1" s="1"/>
  <c r="E23" i="1"/>
  <c r="E204" i="1" s="1"/>
  <c r="F21" i="1"/>
  <c r="F188" i="1" s="1"/>
  <c r="G21" i="1"/>
  <c r="G188" i="1" s="1"/>
  <c r="E21" i="1"/>
  <c r="E188" i="1" s="1"/>
  <c r="F194" i="1"/>
  <c r="F200" i="1" s="1"/>
  <c r="F158" i="1" s="1"/>
  <c r="G194" i="1"/>
  <c r="F193" i="1"/>
  <c r="G193" i="1"/>
  <c r="E193" i="1"/>
  <c r="F192" i="1"/>
  <c r="G192" i="1"/>
  <c r="E192" i="1"/>
  <c r="F191" i="1"/>
  <c r="G191" i="1"/>
  <c r="E191" i="1"/>
  <c r="L90" i="1" l="1"/>
  <c r="G198" i="1"/>
  <c r="G156" i="1" s="1"/>
  <c r="G200" i="1"/>
  <c r="G158" i="1" s="1"/>
  <c r="I90" i="1"/>
  <c r="H90" i="1"/>
  <c r="K90" i="1"/>
  <c r="J89" i="1"/>
  <c r="K45" i="1"/>
  <c r="K66" i="1" s="1"/>
  <c r="F198" i="1"/>
  <c r="F156" i="1" s="1"/>
  <c r="G199" i="1"/>
  <c r="G157" i="1" s="1"/>
  <c r="H45" i="1"/>
  <c r="H66" i="1" s="1"/>
  <c r="I89" i="1"/>
  <c r="L89" i="1"/>
  <c r="E227" i="1"/>
  <c r="F197" i="1"/>
  <c r="F199" i="1"/>
  <c r="F157" i="1" s="1"/>
  <c r="E208" i="1"/>
  <c r="G197" i="1"/>
  <c r="H15" i="1"/>
  <c r="F211" i="1"/>
  <c r="G208" i="1" s="1"/>
  <c r="G211" i="1" s="1"/>
  <c r="H208" i="1" s="1"/>
  <c r="F217" i="1"/>
  <c r="F219" i="1" s="1"/>
  <c r="G217" i="1" s="1"/>
  <c r="G219" i="1" s="1"/>
  <c r="H217" i="1" s="1"/>
  <c r="H219" i="1" s="1"/>
  <c r="E217" i="1"/>
  <c r="E223" i="1"/>
  <c r="I227" i="1"/>
  <c r="I229" i="1" s="1"/>
  <c r="H139" i="1"/>
  <c r="H23" i="1"/>
  <c r="H21" i="1"/>
  <c r="K89" i="1" l="1"/>
  <c r="H89" i="1"/>
  <c r="G155" i="1"/>
  <c r="G201" i="1"/>
  <c r="G256" i="1" s="1"/>
  <c r="F155" i="1"/>
  <c r="F201" i="1"/>
  <c r="H65" i="1"/>
  <c r="H88" i="1"/>
  <c r="H204" i="1" s="1"/>
  <c r="H135" i="1"/>
  <c r="I217" i="1"/>
  <c r="I219" i="1" s="1"/>
  <c r="J227" i="1"/>
  <c r="J229" i="1" s="1"/>
  <c r="I139" i="1"/>
  <c r="H44" i="1"/>
  <c r="I23" i="1"/>
  <c r="I21" i="1"/>
  <c r="H42" i="1"/>
  <c r="H86" i="1" s="1"/>
  <c r="H188" i="1" s="1"/>
  <c r="H63" i="1"/>
  <c r="I65" i="1" l="1"/>
  <c r="K227" i="1"/>
  <c r="K229" i="1" s="1"/>
  <c r="J139" i="1"/>
  <c r="J217" i="1"/>
  <c r="J219" i="1" s="1"/>
  <c r="I135" i="1"/>
  <c r="I44" i="1"/>
  <c r="I88" i="1" s="1"/>
  <c r="I204" i="1" s="1"/>
  <c r="J23" i="1"/>
  <c r="I42" i="1"/>
  <c r="I86" i="1" s="1"/>
  <c r="I188" i="1" s="1"/>
  <c r="I63" i="1"/>
  <c r="J21" i="1"/>
  <c r="J44" i="1" l="1"/>
  <c r="K217" i="1"/>
  <c r="K219" i="1" s="1"/>
  <c r="J135" i="1"/>
  <c r="L227" i="1"/>
  <c r="L229" i="1" s="1"/>
  <c r="L139" i="1" s="1"/>
  <c r="K139" i="1"/>
  <c r="J65" i="1"/>
  <c r="K23" i="1"/>
  <c r="K21" i="1"/>
  <c r="J63" i="1"/>
  <c r="J42" i="1"/>
  <c r="J86" i="1" l="1"/>
  <c r="J188" i="1" s="1"/>
  <c r="J88" i="1"/>
  <c r="J204" i="1" s="1"/>
  <c r="L23" i="1"/>
  <c r="L217" i="1"/>
  <c r="L219" i="1" s="1"/>
  <c r="L135" i="1" s="1"/>
  <c r="K135" i="1"/>
  <c r="L21" i="1"/>
  <c r="L63" i="1" s="1"/>
  <c r="K42" i="1"/>
  <c r="K65" i="1"/>
  <c r="K44" i="1"/>
  <c r="K63" i="1"/>
  <c r="K86" i="1" l="1"/>
  <c r="K188" i="1" s="1"/>
  <c r="K88" i="1"/>
  <c r="K204" i="1" s="1"/>
  <c r="L42" i="1"/>
  <c r="L86" i="1" s="1"/>
  <c r="L188" i="1" s="1"/>
  <c r="L44" i="1"/>
  <c r="L88" i="1" s="1"/>
  <c r="L204" i="1" s="1"/>
  <c r="L65" i="1"/>
  <c r="G100" i="1" l="1"/>
  <c r="G106" i="1" s="1"/>
  <c r="G183" i="1"/>
  <c r="F183" i="1"/>
  <c r="E183" i="1"/>
  <c r="G182" i="1"/>
  <c r="F182" i="1"/>
  <c r="E182" i="1"/>
  <c r="G181" i="1"/>
  <c r="F181" i="1"/>
  <c r="F203" i="1" s="1"/>
  <c r="E181" i="1"/>
  <c r="E203" i="1" s="1"/>
  <c r="L93" i="1"/>
  <c r="K93" i="1"/>
  <c r="J93" i="1"/>
  <c r="I93" i="1"/>
  <c r="H93" i="1"/>
  <c r="L92" i="1"/>
  <c r="K92" i="1"/>
  <c r="J92" i="1"/>
  <c r="I92" i="1"/>
  <c r="H92" i="1"/>
  <c r="F22" i="1"/>
  <c r="G22" i="1"/>
  <c r="E22" i="1"/>
  <c r="G20" i="1"/>
  <c r="F20" i="1"/>
  <c r="E20" i="1"/>
  <c r="F19" i="1"/>
  <c r="G19" i="1"/>
  <c r="E19" i="1"/>
  <c r="F18" i="1"/>
  <c r="G18" i="1"/>
  <c r="E18" i="1"/>
  <c r="F16" i="1"/>
  <c r="F221" i="1" s="1"/>
  <c r="F223" i="1" s="1"/>
  <c r="G16" i="1"/>
  <c r="G221" i="1" s="1"/>
  <c r="G223" i="1" s="1"/>
  <c r="E14" i="1"/>
  <c r="F14" i="1"/>
  <c r="G14" i="1"/>
  <c r="E13" i="1"/>
  <c r="F13" i="1"/>
  <c r="G13" i="1"/>
  <c r="F12" i="1"/>
  <c r="H12" i="1" s="1"/>
  <c r="H54" i="1" s="1"/>
  <c r="G12" i="1"/>
  <c r="E12" i="1"/>
  <c r="G11" i="1"/>
  <c r="E11" i="1"/>
  <c r="D360" i="1"/>
  <c r="D361" i="1" s="1"/>
  <c r="D362" i="1" s="1"/>
  <c r="D363" i="1" s="1"/>
  <c r="D364" i="1" s="1"/>
  <c r="D365" i="1" s="1"/>
  <c r="D349" i="1"/>
  <c r="D350" i="1" s="1"/>
  <c r="D351" i="1" s="1"/>
  <c r="D352" i="1" s="1"/>
  <c r="D353" i="1" s="1"/>
  <c r="D354" i="1" s="1"/>
  <c r="E180" i="1"/>
  <c r="F180" i="1"/>
  <c r="G180" i="1"/>
  <c r="H180" i="1"/>
  <c r="I180" i="1"/>
  <c r="J180" i="1"/>
  <c r="K180" i="1"/>
  <c r="L180" i="1"/>
  <c r="F3" i="1"/>
  <c r="I412" i="1"/>
  <c r="K412" i="1" s="1"/>
  <c r="I411" i="1"/>
  <c r="K411" i="1" s="1"/>
  <c r="I410" i="1"/>
  <c r="K410" i="1" s="1"/>
  <c r="G383" i="1"/>
  <c r="P383" i="1" s="1"/>
  <c r="G382" i="1"/>
  <c r="P382" i="1" s="1"/>
  <c r="G381" i="1"/>
  <c r="P381" i="1" s="1"/>
  <c r="G380" i="1"/>
  <c r="P380" i="1" s="1"/>
  <c r="G379" i="1"/>
  <c r="P379" i="1" s="1"/>
  <c r="G378" i="1"/>
  <c r="P378" i="1" s="1"/>
  <c r="G377" i="1"/>
  <c r="P377" i="1" s="1"/>
  <c r="G376" i="1"/>
  <c r="P376" i="1" s="1"/>
  <c r="G375" i="1"/>
  <c r="P375" i="1" s="1"/>
  <c r="G374" i="1"/>
  <c r="P374" i="1" s="1"/>
  <c r="L312" i="1"/>
  <c r="K312" i="1"/>
  <c r="J312" i="1"/>
  <c r="I312" i="1"/>
  <c r="H312" i="1"/>
  <c r="E299" i="1"/>
  <c r="G109" i="1" l="1"/>
  <c r="G252" i="1"/>
  <c r="G254" i="1"/>
  <c r="J393" i="1" s="1"/>
  <c r="G203" i="1"/>
  <c r="G185" i="1"/>
  <c r="I12" i="1"/>
  <c r="I54" i="1" s="1"/>
  <c r="H22" i="1"/>
  <c r="I22" i="1" s="1"/>
  <c r="I64" i="1" s="1"/>
  <c r="E187" i="1"/>
  <c r="H16" i="1"/>
  <c r="H37" i="1" s="1"/>
  <c r="H14" i="1"/>
  <c r="H56" i="1" s="1"/>
  <c r="I15" i="1"/>
  <c r="J15" i="1" s="1"/>
  <c r="K15" i="1" s="1"/>
  <c r="E186" i="1"/>
  <c r="F186" i="1"/>
  <c r="H13" i="1"/>
  <c r="I13" i="1" s="1"/>
  <c r="J13" i="1" s="1"/>
  <c r="K13" i="1" s="1"/>
  <c r="E185" i="1"/>
  <c r="G186" i="1"/>
  <c r="F187" i="1"/>
  <c r="G187" i="1"/>
  <c r="F185" i="1"/>
  <c r="Q376" i="1"/>
  <c r="I376" i="1"/>
  <c r="O376" i="1" s="1"/>
  <c r="I378" i="1"/>
  <c r="Q382" i="1"/>
  <c r="Q378" i="1"/>
  <c r="C403" i="1"/>
  <c r="K414" i="1"/>
  <c r="E418" i="1" s="1"/>
  <c r="E292" i="1" s="1"/>
  <c r="E294" i="1" s="1"/>
  <c r="E303" i="1" s="1"/>
  <c r="E304" i="1" s="1"/>
  <c r="C308" i="1" s="1"/>
  <c r="C404" i="1"/>
  <c r="I382" i="1"/>
  <c r="I374" i="1"/>
  <c r="I380" i="1"/>
  <c r="Q374" i="1"/>
  <c r="Q380" i="1"/>
  <c r="P386" i="1"/>
  <c r="P389" i="1"/>
  <c r="P388" i="1"/>
  <c r="P387" i="1"/>
  <c r="P395" i="1" s="1"/>
  <c r="Q375" i="1"/>
  <c r="I375" i="1"/>
  <c r="Q377" i="1"/>
  <c r="I377" i="1"/>
  <c r="Q381" i="1"/>
  <c r="I381" i="1"/>
  <c r="Q379" i="1"/>
  <c r="I379" i="1"/>
  <c r="Q383" i="1"/>
  <c r="I383" i="1"/>
  <c r="H185" i="1" l="1"/>
  <c r="H186" i="1"/>
  <c r="I186" i="1" s="1"/>
  <c r="J186" i="1" s="1"/>
  <c r="G112" i="1"/>
  <c r="G250" i="1"/>
  <c r="G251" i="1" s="1"/>
  <c r="C324" i="1"/>
  <c r="H187" i="1"/>
  <c r="I187" i="1" s="1"/>
  <c r="J12" i="1"/>
  <c r="I185" i="1"/>
  <c r="J185" i="1" s="1"/>
  <c r="I31" i="1"/>
  <c r="H31" i="1"/>
  <c r="H57" i="1"/>
  <c r="I16" i="1"/>
  <c r="I58" i="1" s="1"/>
  <c r="H52" i="1"/>
  <c r="H75" i="1" s="1"/>
  <c r="H98" i="1" s="1"/>
  <c r="H35" i="1"/>
  <c r="H79" i="1" s="1"/>
  <c r="H58" i="1"/>
  <c r="H81" i="1" s="1"/>
  <c r="H221" i="1" s="1"/>
  <c r="H223" i="1" s="1"/>
  <c r="H108" i="1" s="1"/>
  <c r="H249" i="1" s="1"/>
  <c r="I14" i="1"/>
  <c r="J14" i="1" s="1"/>
  <c r="H36" i="1"/>
  <c r="H32" i="1"/>
  <c r="H43" i="1"/>
  <c r="H64" i="1"/>
  <c r="H34" i="1"/>
  <c r="H55" i="1"/>
  <c r="I36" i="1"/>
  <c r="I80" i="1" s="1"/>
  <c r="J22" i="1"/>
  <c r="J43" i="1" s="1"/>
  <c r="I43" i="1"/>
  <c r="I87" i="1" s="1"/>
  <c r="I57" i="1"/>
  <c r="L13" i="1"/>
  <c r="K55" i="1"/>
  <c r="K34" i="1"/>
  <c r="J55" i="1"/>
  <c r="J34" i="1"/>
  <c r="J78" i="1" s="1"/>
  <c r="I52" i="1"/>
  <c r="L15" i="1"/>
  <c r="K57" i="1"/>
  <c r="K36" i="1"/>
  <c r="K80" i="1" s="1"/>
  <c r="I55" i="1"/>
  <c r="I34" i="1"/>
  <c r="I33" i="1"/>
  <c r="J57" i="1"/>
  <c r="J36" i="1"/>
  <c r="N376" i="1"/>
  <c r="Q388" i="1"/>
  <c r="Q389" i="1"/>
  <c r="O378" i="1"/>
  <c r="N378" i="1"/>
  <c r="O374" i="1"/>
  <c r="N374" i="1"/>
  <c r="O382" i="1"/>
  <c r="N382" i="1"/>
  <c r="Q386" i="1"/>
  <c r="Q387" i="1"/>
  <c r="Q396" i="1" s="1"/>
  <c r="O380" i="1"/>
  <c r="N380" i="1"/>
  <c r="O383" i="1"/>
  <c r="N383" i="1"/>
  <c r="O377" i="1"/>
  <c r="N377" i="1"/>
  <c r="N375" i="1"/>
  <c r="O375" i="1"/>
  <c r="O379" i="1"/>
  <c r="N379" i="1"/>
  <c r="O381" i="1"/>
  <c r="N381" i="1"/>
  <c r="I78" i="1" l="1"/>
  <c r="H19" i="1"/>
  <c r="H61" i="1" s="1"/>
  <c r="H87" i="1"/>
  <c r="K78" i="1"/>
  <c r="J80" i="1"/>
  <c r="H80" i="1"/>
  <c r="H205" i="1" s="1"/>
  <c r="K12" i="1"/>
  <c r="K33" i="1" s="1"/>
  <c r="J54" i="1"/>
  <c r="I77" i="1"/>
  <c r="H78" i="1"/>
  <c r="H103" i="1" s="1"/>
  <c r="H76" i="1"/>
  <c r="H99" i="1" s="1"/>
  <c r="H182" i="1" s="1"/>
  <c r="H192" i="1" s="1"/>
  <c r="G247" i="1"/>
  <c r="L395" i="1" s="1"/>
  <c r="I395" i="1" s="1"/>
  <c r="G26" i="1"/>
  <c r="G231" i="1"/>
  <c r="G236" i="1" s="1"/>
  <c r="G152" i="1"/>
  <c r="G159" i="1" s="1"/>
  <c r="J33" i="1"/>
  <c r="J77" i="1" s="1"/>
  <c r="I37" i="1"/>
  <c r="I81" i="1" s="1"/>
  <c r="I221" i="1" s="1"/>
  <c r="I223" i="1" s="1"/>
  <c r="I108" i="1" s="1"/>
  <c r="I249" i="1" s="1"/>
  <c r="K186" i="1"/>
  <c r="L186" i="1" s="1"/>
  <c r="K185" i="1"/>
  <c r="L185" i="1" s="1"/>
  <c r="J187" i="1"/>
  <c r="K187" i="1" s="1"/>
  <c r="L187" i="1" s="1"/>
  <c r="H104" i="1"/>
  <c r="J205" i="1"/>
  <c r="I205" i="1"/>
  <c r="K205" i="1"/>
  <c r="K31" i="1"/>
  <c r="J31" i="1"/>
  <c r="J16" i="1"/>
  <c r="K16" i="1" s="1"/>
  <c r="K58" i="1" s="1"/>
  <c r="K22" i="1"/>
  <c r="L22" i="1" s="1"/>
  <c r="L64" i="1" s="1"/>
  <c r="J32" i="1"/>
  <c r="I56" i="1"/>
  <c r="I35" i="1"/>
  <c r="I79" i="1" s="1"/>
  <c r="I32" i="1"/>
  <c r="I76" i="1" s="1"/>
  <c r="J64" i="1"/>
  <c r="J87" i="1" s="1"/>
  <c r="H181" i="1"/>
  <c r="H20" i="1"/>
  <c r="I75" i="1"/>
  <c r="I98" i="1" s="1"/>
  <c r="I19" i="1"/>
  <c r="J19" i="1" s="1"/>
  <c r="J52" i="1"/>
  <c r="L31" i="1"/>
  <c r="L55" i="1"/>
  <c r="L34" i="1"/>
  <c r="L78" i="1" s="1"/>
  <c r="J56" i="1"/>
  <c r="J35" i="1"/>
  <c r="K14" i="1"/>
  <c r="K52" i="1"/>
  <c r="K75" i="1" s="1"/>
  <c r="L57" i="1"/>
  <c r="L36" i="1"/>
  <c r="O386" i="1"/>
  <c r="O388" i="1"/>
  <c r="O389" i="1"/>
  <c r="O387" i="1"/>
  <c r="O394" i="1" s="1"/>
  <c r="N388" i="1"/>
  <c r="N386" i="1"/>
  <c r="N387" i="1"/>
  <c r="N393" i="1" s="1"/>
  <c r="I393" i="1" s="1"/>
  <c r="N389" i="1"/>
  <c r="H40" i="1" l="1"/>
  <c r="J79" i="1"/>
  <c r="L12" i="1"/>
  <c r="K54" i="1"/>
  <c r="K77" i="1" s="1"/>
  <c r="L80" i="1"/>
  <c r="L205" i="1" s="1"/>
  <c r="H84" i="1"/>
  <c r="J58" i="1"/>
  <c r="H100" i="1"/>
  <c r="H203" i="1"/>
  <c r="H211" i="1" s="1"/>
  <c r="H191" i="1"/>
  <c r="H197" i="1" s="1"/>
  <c r="H123" i="1"/>
  <c r="H198" i="1"/>
  <c r="H156" i="1" s="1"/>
  <c r="K43" i="1"/>
  <c r="L16" i="1"/>
  <c r="J37" i="1"/>
  <c r="J81" i="1" s="1"/>
  <c r="J221" i="1" s="1"/>
  <c r="J223" i="1" s="1"/>
  <c r="J108" i="1" s="1"/>
  <c r="J249" i="1" s="1"/>
  <c r="K37" i="1"/>
  <c r="K81" i="1" s="1"/>
  <c r="K221" i="1" s="1"/>
  <c r="K223" i="1" s="1"/>
  <c r="K108" i="1" s="1"/>
  <c r="K249" i="1" s="1"/>
  <c r="K64" i="1"/>
  <c r="J76" i="1"/>
  <c r="I104" i="1"/>
  <c r="I103" i="1"/>
  <c r="I102" i="1"/>
  <c r="I99" i="1"/>
  <c r="I182" i="1" s="1"/>
  <c r="I181" i="1"/>
  <c r="I203" i="1" s="1"/>
  <c r="I211" i="1" s="1"/>
  <c r="J75" i="1"/>
  <c r="J98" i="1" s="1"/>
  <c r="J104" i="1" s="1"/>
  <c r="J61" i="1"/>
  <c r="J40" i="1"/>
  <c r="H41" i="1"/>
  <c r="H62" i="1"/>
  <c r="I20" i="1"/>
  <c r="J20" i="1" s="1"/>
  <c r="H193" i="1"/>
  <c r="K19" i="1"/>
  <c r="L19" i="1" s="1"/>
  <c r="I40" i="1"/>
  <c r="I61" i="1"/>
  <c r="K32" i="1"/>
  <c r="L52" i="1"/>
  <c r="L75" i="1" s="1"/>
  <c r="K56" i="1"/>
  <c r="K35" i="1"/>
  <c r="L43" i="1"/>
  <c r="L87" i="1" s="1"/>
  <c r="L14" i="1"/>
  <c r="H85" i="1" l="1"/>
  <c r="K79" i="1"/>
  <c r="L54" i="1"/>
  <c r="L77" i="1" s="1"/>
  <c r="L33" i="1"/>
  <c r="K76" i="1"/>
  <c r="J84" i="1"/>
  <c r="K87" i="1"/>
  <c r="I84" i="1"/>
  <c r="L32" i="1"/>
  <c r="L76" i="1" s="1"/>
  <c r="I210" i="1"/>
  <c r="I105" i="1" s="1"/>
  <c r="H126" i="1"/>
  <c r="I208" i="1"/>
  <c r="J208" i="1"/>
  <c r="I126" i="1"/>
  <c r="H210" i="1"/>
  <c r="H199" i="1"/>
  <c r="H157" i="1" s="1"/>
  <c r="H131" i="1"/>
  <c r="L37" i="1"/>
  <c r="L58" i="1"/>
  <c r="J102" i="1"/>
  <c r="J103" i="1"/>
  <c r="I100" i="1"/>
  <c r="I106" i="1" s="1"/>
  <c r="J62" i="1"/>
  <c r="J41" i="1"/>
  <c r="J85" i="1" s="1"/>
  <c r="J99" i="1"/>
  <c r="J182" i="1" s="1"/>
  <c r="J181" i="1"/>
  <c r="J203" i="1" s="1"/>
  <c r="K98" i="1"/>
  <c r="K104" i="1" s="1"/>
  <c r="K61" i="1"/>
  <c r="K40" i="1"/>
  <c r="L61" i="1"/>
  <c r="L40" i="1"/>
  <c r="I193" i="1"/>
  <c r="I192" i="1"/>
  <c r="K20" i="1"/>
  <c r="I62" i="1"/>
  <c r="I41" i="1"/>
  <c r="I85" i="1" s="1"/>
  <c r="L56" i="1"/>
  <c r="L35" i="1"/>
  <c r="L79" i="1" s="1"/>
  <c r="L81" i="1" l="1"/>
  <c r="L221" i="1" s="1"/>
  <c r="L223" i="1" s="1"/>
  <c r="L108" i="1" s="1"/>
  <c r="L249" i="1" s="1"/>
  <c r="L84" i="1"/>
  <c r="K84" i="1"/>
  <c r="I209" i="1"/>
  <c r="I162" i="1" s="1"/>
  <c r="I255" i="1" s="1"/>
  <c r="I267" i="1" s="1"/>
  <c r="I282" i="1" s="1"/>
  <c r="I109" i="1"/>
  <c r="I252" i="1"/>
  <c r="I263" i="1" s="1"/>
  <c r="I254" i="1"/>
  <c r="I280" i="1" s="1"/>
  <c r="I153" i="1"/>
  <c r="I248" i="1"/>
  <c r="I266" i="1" s="1"/>
  <c r="I273" i="1" s="1"/>
  <c r="H105" i="1"/>
  <c r="H209" i="1"/>
  <c r="H162" i="1" s="1"/>
  <c r="H255" i="1" s="1"/>
  <c r="H267" i="1" s="1"/>
  <c r="J211" i="1"/>
  <c r="J210" i="1"/>
  <c r="J105" i="1" s="1"/>
  <c r="I123" i="1"/>
  <c r="I198" i="1"/>
  <c r="I156" i="1" s="1"/>
  <c r="I131" i="1"/>
  <c r="I199" i="1"/>
  <c r="I157" i="1" s="1"/>
  <c r="K103" i="1"/>
  <c r="K102" i="1"/>
  <c r="J100" i="1"/>
  <c r="L20" i="1"/>
  <c r="K62" i="1"/>
  <c r="K41" i="1"/>
  <c r="K85" i="1" s="1"/>
  <c r="J192" i="1"/>
  <c r="J193" i="1"/>
  <c r="K99" i="1"/>
  <c r="K182" i="1" s="1"/>
  <c r="K181" i="1"/>
  <c r="K203" i="1" s="1"/>
  <c r="L98" i="1"/>
  <c r="L104" i="1" s="1"/>
  <c r="F169" i="1"/>
  <c r="E169" i="1"/>
  <c r="G163" i="1"/>
  <c r="F163" i="1"/>
  <c r="E163" i="1"/>
  <c r="G141" i="1"/>
  <c r="F141" i="1"/>
  <c r="E141" i="1"/>
  <c r="G133" i="1"/>
  <c r="G136" i="1" s="1"/>
  <c r="F133" i="1"/>
  <c r="F136" i="1" s="1"/>
  <c r="E133" i="1"/>
  <c r="E136" i="1" s="1"/>
  <c r="F100" i="1"/>
  <c r="E100" i="1"/>
  <c r="I275" i="1" l="1"/>
  <c r="I163" i="1"/>
  <c r="H282" i="1"/>
  <c r="H275" i="1"/>
  <c r="H153" i="1"/>
  <c r="H248" i="1"/>
  <c r="H266" i="1" s="1"/>
  <c r="H273" i="1" s="1"/>
  <c r="J153" i="1"/>
  <c r="J248" i="1"/>
  <c r="J266" i="1" s="1"/>
  <c r="J273" i="1" s="1"/>
  <c r="H163" i="1"/>
  <c r="J106" i="1"/>
  <c r="K211" i="1"/>
  <c r="K210" i="1"/>
  <c r="K105" i="1" s="1"/>
  <c r="J126" i="1"/>
  <c r="K208" i="1"/>
  <c r="J209" i="1"/>
  <c r="J162" i="1" s="1"/>
  <c r="J255" i="1" s="1"/>
  <c r="J267" i="1" s="1"/>
  <c r="J123" i="1"/>
  <c r="J131" i="1"/>
  <c r="J199" i="1"/>
  <c r="J157" i="1" s="1"/>
  <c r="J198" i="1"/>
  <c r="J156" i="1" s="1"/>
  <c r="L103" i="1"/>
  <c r="L102" i="1"/>
  <c r="K193" i="1"/>
  <c r="K192" i="1"/>
  <c r="K100" i="1"/>
  <c r="L181" i="1"/>
  <c r="L203" i="1" s="1"/>
  <c r="L99" i="1"/>
  <c r="L182" i="1" s="1"/>
  <c r="L41" i="1"/>
  <c r="L62" i="1"/>
  <c r="F106" i="1"/>
  <c r="F109" i="1" s="1"/>
  <c r="E106" i="1"/>
  <c r="E143" i="1"/>
  <c r="G143" i="1"/>
  <c r="F143" i="1"/>
  <c r="F2" i="1"/>
  <c r="G2" i="1" s="1"/>
  <c r="L85" i="1" l="1"/>
  <c r="J275" i="1"/>
  <c r="J282" i="1"/>
  <c r="J163" i="1"/>
  <c r="K153" i="1"/>
  <c r="K248" i="1"/>
  <c r="K266" i="1" s="1"/>
  <c r="K273" i="1" s="1"/>
  <c r="J109" i="1"/>
  <c r="J254" i="1"/>
  <c r="J280" i="1" s="1"/>
  <c r="J252" i="1"/>
  <c r="J263" i="1" s="1"/>
  <c r="K209" i="1"/>
  <c r="K162" i="1" s="1"/>
  <c r="K255" i="1" s="1"/>
  <c r="K267" i="1" s="1"/>
  <c r="K126" i="1"/>
  <c r="L208" i="1"/>
  <c r="K106" i="1"/>
  <c r="L211" i="1"/>
  <c r="L210" i="1"/>
  <c r="L105" i="1" s="1"/>
  <c r="K131" i="1"/>
  <c r="K199" i="1"/>
  <c r="K157" i="1" s="1"/>
  <c r="K123" i="1"/>
  <c r="K198" i="1"/>
  <c r="K156" i="1" s="1"/>
  <c r="L100" i="1"/>
  <c r="L193" i="1"/>
  <c r="L192" i="1"/>
  <c r="L123" i="1" s="1"/>
  <c r="F112" i="1"/>
  <c r="F17" i="1"/>
  <c r="G17" i="1"/>
  <c r="G172" i="1"/>
  <c r="E109" i="1"/>
  <c r="H2" i="1"/>
  <c r="I2" i="1" l="1"/>
  <c r="H271" i="1"/>
  <c r="H262" i="1"/>
  <c r="H279" i="1"/>
  <c r="K275" i="1"/>
  <c r="K282" i="1"/>
  <c r="K109" i="1"/>
  <c r="K254" i="1"/>
  <c r="K280" i="1" s="1"/>
  <c r="K252" i="1"/>
  <c r="K263" i="1" s="1"/>
  <c r="K163" i="1"/>
  <c r="L153" i="1"/>
  <c r="L248" i="1"/>
  <c r="L266" i="1" s="1"/>
  <c r="L273" i="1" s="1"/>
  <c r="H17" i="1"/>
  <c r="F26" i="1"/>
  <c r="H26" i="1" s="1"/>
  <c r="F152" i="1"/>
  <c r="F159" i="1" s="1"/>
  <c r="F172" i="1" s="1"/>
  <c r="F231" i="1"/>
  <c r="F236" i="1" s="1"/>
  <c r="F238" i="1" s="1"/>
  <c r="G235" i="1" s="1"/>
  <c r="G238" i="1" s="1"/>
  <c r="H235" i="1" s="1"/>
  <c r="L106" i="1"/>
  <c r="L209" i="1"/>
  <c r="L162" i="1" s="1"/>
  <c r="L255" i="1" s="1"/>
  <c r="L267" i="1" s="1"/>
  <c r="L126" i="1"/>
  <c r="L198" i="1"/>
  <c r="L156" i="1" s="1"/>
  <c r="L131" i="1"/>
  <c r="L199" i="1"/>
  <c r="L157" i="1" s="1"/>
  <c r="E112" i="1"/>
  <c r="E17" i="1"/>
  <c r="I17" i="1"/>
  <c r="L275" i="1" l="1"/>
  <c r="L282" i="1"/>
  <c r="J2" i="1"/>
  <c r="I279" i="1"/>
  <c r="I271" i="1"/>
  <c r="I262" i="1"/>
  <c r="L109" i="1"/>
  <c r="L252" i="1"/>
  <c r="L263" i="1" s="1"/>
  <c r="L254" i="1"/>
  <c r="L280" i="1" s="1"/>
  <c r="L163" i="1"/>
  <c r="E231" i="1"/>
  <c r="E236" i="1" s="1"/>
  <c r="E235" i="1" s="1"/>
  <c r="E152" i="1"/>
  <c r="E159" i="1" s="1"/>
  <c r="E172" i="1" s="1"/>
  <c r="E173" i="1" s="1"/>
  <c r="E26" i="1"/>
  <c r="H68" i="1"/>
  <c r="H47" i="1"/>
  <c r="H91" i="1"/>
  <c r="I26" i="1"/>
  <c r="I59" i="1"/>
  <c r="I38" i="1"/>
  <c r="I82" i="1" s="1"/>
  <c r="I111" i="1" s="1"/>
  <c r="I253" i="1" s="1"/>
  <c r="J17" i="1"/>
  <c r="K17" i="1" s="1"/>
  <c r="H59" i="1"/>
  <c r="H38" i="1"/>
  <c r="H82" i="1" s="1"/>
  <c r="K2" i="1" l="1"/>
  <c r="J262" i="1"/>
  <c r="J279" i="1"/>
  <c r="J271" i="1"/>
  <c r="I264" i="1"/>
  <c r="I265" i="1" s="1"/>
  <c r="I281" i="1"/>
  <c r="I250" i="1"/>
  <c r="I251" i="1" s="1"/>
  <c r="I274" i="1" s="1"/>
  <c r="J26" i="1"/>
  <c r="K26" i="1" s="1"/>
  <c r="I47" i="1"/>
  <c r="I68" i="1"/>
  <c r="I91" i="1" s="1"/>
  <c r="F171" i="1"/>
  <c r="F173" i="1" s="1"/>
  <c r="E121" i="1"/>
  <c r="E124" i="1" s="1"/>
  <c r="E128" i="1" s="1"/>
  <c r="E145" i="1" s="1"/>
  <c r="I183" i="1"/>
  <c r="I194" i="1" s="1"/>
  <c r="I112" i="1"/>
  <c r="I247" i="1" s="1"/>
  <c r="I272" i="1" s="1"/>
  <c r="J59" i="1"/>
  <c r="J38" i="1"/>
  <c r="L17" i="1"/>
  <c r="K59" i="1"/>
  <c r="K38" i="1"/>
  <c r="K82" i="1" s="1"/>
  <c r="K111" i="1" s="1"/>
  <c r="K253" i="1" s="1"/>
  <c r="J82" i="1" l="1"/>
  <c r="J111" i="1" s="1"/>
  <c r="J253" i="1" s="1"/>
  <c r="J281" i="1" s="1"/>
  <c r="L2" i="1"/>
  <c r="K279" i="1"/>
  <c r="K271" i="1"/>
  <c r="K262" i="1"/>
  <c r="K264" i="1"/>
  <c r="K265" i="1" s="1"/>
  <c r="K281" i="1"/>
  <c r="K250" i="1"/>
  <c r="K251" i="1" s="1"/>
  <c r="K274" i="1" s="1"/>
  <c r="J250" i="1"/>
  <c r="J251" i="1" s="1"/>
  <c r="J274" i="1" s="1"/>
  <c r="F121" i="1"/>
  <c r="F124" i="1" s="1"/>
  <c r="F128" i="1" s="1"/>
  <c r="F145" i="1" s="1"/>
  <c r="G171" i="1"/>
  <c r="G173" i="1" s="1"/>
  <c r="K68" i="1"/>
  <c r="K91" i="1" s="1"/>
  <c r="K47" i="1"/>
  <c r="J47" i="1"/>
  <c r="L26" i="1"/>
  <c r="J68" i="1"/>
  <c r="I132" i="1"/>
  <c r="I133" i="1" s="1"/>
  <c r="I136" i="1" s="1"/>
  <c r="I231" i="1"/>
  <c r="I232" i="1" s="1"/>
  <c r="I237" i="1" s="1"/>
  <c r="I114" i="1"/>
  <c r="I167" i="1" s="1"/>
  <c r="I169" i="1" s="1"/>
  <c r="I152" i="1"/>
  <c r="J112" i="1"/>
  <c r="J247" i="1" s="1"/>
  <c r="J272" i="1" s="1"/>
  <c r="K112" i="1"/>
  <c r="K247" i="1" s="1"/>
  <c r="K272" i="1" s="1"/>
  <c r="K183" i="1"/>
  <c r="K194" i="1" s="1"/>
  <c r="K132" i="1" s="1"/>
  <c r="K133" i="1" s="1"/>
  <c r="K136" i="1" s="1"/>
  <c r="L59" i="1"/>
  <c r="L38" i="1"/>
  <c r="J183" i="1" l="1"/>
  <c r="J194" i="1" s="1"/>
  <c r="J200" i="1" s="1"/>
  <c r="J158" i="1" s="1"/>
  <c r="J264" i="1"/>
  <c r="J265" i="1" s="1"/>
  <c r="L82" i="1"/>
  <c r="L111" i="1" s="1"/>
  <c r="L253" i="1" s="1"/>
  <c r="L264" i="1" s="1"/>
  <c r="L265" i="1" s="1"/>
  <c r="J91" i="1"/>
  <c r="J114" i="1" s="1"/>
  <c r="J167" i="1" s="1"/>
  <c r="J169" i="1" s="1"/>
  <c r="L271" i="1"/>
  <c r="L262" i="1"/>
  <c r="L279" i="1"/>
  <c r="L47" i="1"/>
  <c r="L68" i="1"/>
  <c r="L91" i="1" s="1"/>
  <c r="H171" i="1"/>
  <c r="G121" i="1"/>
  <c r="I236" i="1"/>
  <c r="K231" i="1"/>
  <c r="K232" i="1" s="1"/>
  <c r="K237" i="1" s="1"/>
  <c r="K152" i="1"/>
  <c r="K114" i="1"/>
  <c r="K167" i="1" s="1"/>
  <c r="K169" i="1" s="1"/>
  <c r="J231" i="1"/>
  <c r="J236" i="1" s="1"/>
  <c r="J152" i="1"/>
  <c r="L250" i="1" l="1"/>
  <c r="L251" i="1" s="1"/>
  <c r="L274" i="1" s="1"/>
  <c r="J132" i="1"/>
  <c r="J133" i="1" s="1"/>
  <c r="J136" i="1" s="1"/>
  <c r="L281" i="1"/>
  <c r="L183" i="1"/>
  <c r="L194" i="1" s="1"/>
  <c r="L200" i="1" s="1"/>
  <c r="L158" i="1" s="1"/>
  <c r="K200" i="1"/>
  <c r="K158" i="1" s="1"/>
  <c r="L112" i="1"/>
  <c r="L247" i="1" s="1"/>
  <c r="L272" i="1" s="1"/>
  <c r="G124" i="1"/>
  <c r="G128" i="1" s="1"/>
  <c r="G145" i="1" s="1"/>
  <c r="G258" i="1"/>
  <c r="D332" i="1" s="1"/>
  <c r="J232" i="1"/>
  <c r="J237" i="1" s="1"/>
  <c r="K236" i="1"/>
  <c r="H18" i="1"/>
  <c r="H122" i="1"/>
  <c r="L152" i="1" l="1"/>
  <c r="L114" i="1"/>
  <c r="L167" i="1" s="1"/>
  <c r="L169" i="1" s="1"/>
  <c r="L132" i="1"/>
  <c r="L133" i="1" s="1"/>
  <c r="L136" i="1" s="1"/>
  <c r="L231" i="1"/>
  <c r="L236" i="1" s="1"/>
  <c r="H394" i="1"/>
  <c r="H395" i="1"/>
  <c r="G395" i="1" s="1"/>
  <c r="E395" i="1" s="1"/>
  <c r="H396" i="1"/>
  <c r="H393" i="1"/>
  <c r="G393" i="1" s="1"/>
  <c r="E393" i="1" s="1"/>
  <c r="H155" i="1"/>
  <c r="I18" i="1"/>
  <c r="I39" i="1" s="1"/>
  <c r="H39" i="1"/>
  <c r="H60" i="1"/>
  <c r="I191" i="1"/>
  <c r="I197" i="1" s="1"/>
  <c r="H83" i="1" l="1"/>
  <c r="L232" i="1"/>
  <c r="L237" i="1" s="1"/>
  <c r="I155" i="1"/>
  <c r="I60" i="1"/>
  <c r="I83" i="1" s="1"/>
  <c r="J18" i="1"/>
  <c r="J191" i="1"/>
  <c r="I122" i="1"/>
  <c r="K191" i="1"/>
  <c r="J39" i="1" l="1"/>
  <c r="J60" i="1"/>
  <c r="J83" i="1" s="1"/>
  <c r="K18" i="1"/>
  <c r="K197" i="1"/>
  <c r="J122" i="1"/>
  <c r="J197" i="1"/>
  <c r="K122" i="1"/>
  <c r="L191" i="1"/>
  <c r="L122" i="1" s="1"/>
  <c r="J155" i="1" l="1"/>
  <c r="J159" i="1" s="1"/>
  <c r="J172" i="1" s="1"/>
  <c r="J201" i="1"/>
  <c r="J256" i="1" s="1"/>
  <c r="J268" i="1" s="1"/>
  <c r="K155" i="1"/>
  <c r="K159" i="1" s="1"/>
  <c r="K172" i="1" s="1"/>
  <c r="K201" i="1"/>
  <c r="K256" i="1" s="1"/>
  <c r="K268" i="1" s="1"/>
  <c r="L18" i="1"/>
  <c r="K39" i="1"/>
  <c r="K60" i="1"/>
  <c r="K83" i="1"/>
  <c r="L197" i="1"/>
  <c r="J276" i="1" l="1"/>
  <c r="J277" i="1" s="1"/>
  <c r="J283" i="1"/>
  <c r="J284" i="1" s="1"/>
  <c r="J269" i="1"/>
  <c r="J313" i="1" s="1"/>
  <c r="J320" i="1" s="1"/>
  <c r="J322" i="1" s="1"/>
  <c r="J327" i="1" s="1"/>
  <c r="K276" i="1"/>
  <c r="K277" i="1" s="1"/>
  <c r="K283" i="1"/>
  <c r="K284" i="1" s="1"/>
  <c r="K269" i="1"/>
  <c r="K313" i="1" s="1"/>
  <c r="K320" i="1" s="1"/>
  <c r="K322" i="1" s="1"/>
  <c r="K327" i="1" s="1"/>
  <c r="L155" i="1"/>
  <c r="L159" i="1" s="1"/>
  <c r="L172" i="1" s="1"/>
  <c r="L201" i="1"/>
  <c r="L256" i="1" s="1"/>
  <c r="L268" i="1" s="1"/>
  <c r="L60" i="1"/>
  <c r="L39" i="1"/>
  <c r="L83" i="1" s="1"/>
  <c r="H33" i="1"/>
  <c r="H77" i="1" s="1"/>
  <c r="L283" i="1" l="1"/>
  <c r="L284" i="1" s="1"/>
  <c r="L276" i="1"/>
  <c r="L277" i="1" s="1"/>
  <c r="L269" i="1"/>
  <c r="L313" i="1" s="1"/>
  <c r="H102" i="1"/>
  <c r="H106" i="1" s="1"/>
  <c r="L320" i="1" l="1"/>
  <c r="L314" i="1"/>
  <c r="L315" i="1" s="1"/>
  <c r="L321" i="1" s="1"/>
  <c r="H109" i="1"/>
  <c r="H111" i="1" s="1"/>
  <c r="H252" i="1"/>
  <c r="H263" i="1" s="1"/>
  <c r="H254" i="1"/>
  <c r="L322" i="1" l="1"/>
  <c r="L327" i="1" s="1"/>
  <c r="H280" i="1"/>
  <c r="K394" i="1"/>
  <c r="I394" i="1" s="1"/>
  <c r="G394" i="1" s="1"/>
  <c r="E394" i="1" s="1"/>
  <c r="H112" i="1"/>
  <c r="H247" i="1" s="1"/>
  <c r="H253" i="1"/>
  <c r="H250" i="1"/>
  <c r="H251" i="1" s="1"/>
  <c r="H274" i="1" s="1"/>
  <c r="H183" i="1"/>
  <c r="H194" i="1" s="1"/>
  <c r="H200" i="1" s="1"/>
  <c r="H114" i="1" l="1"/>
  <c r="H167" i="1" s="1"/>
  <c r="H169" i="1" s="1"/>
  <c r="H272" i="1"/>
  <c r="M396" i="1"/>
  <c r="I396" i="1" s="1"/>
  <c r="G396" i="1" s="1"/>
  <c r="E396" i="1" s="1"/>
  <c r="H231" i="1"/>
  <c r="H232" i="1" s="1"/>
  <c r="H237" i="1" s="1"/>
  <c r="H152" i="1"/>
  <c r="H158" i="1"/>
  <c r="H201" i="1"/>
  <c r="H256" i="1" s="1"/>
  <c r="H268" i="1" s="1"/>
  <c r="H281" i="1"/>
  <c r="H264" i="1"/>
  <c r="H265" i="1" s="1"/>
  <c r="H132" i="1"/>
  <c r="H133" i="1" s="1"/>
  <c r="H136" i="1" s="1"/>
  <c r="I200" i="1"/>
  <c r="H236" i="1" l="1"/>
  <c r="H238" i="1" s="1"/>
  <c r="H140" i="1" s="1"/>
  <c r="H141" i="1" s="1"/>
  <c r="H143" i="1" s="1"/>
  <c r="H159" i="1"/>
  <c r="H172" i="1" s="1"/>
  <c r="H173" i="1" s="1"/>
  <c r="I171" i="1" s="1"/>
  <c r="I158" i="1"/>
  <c r="I159" i="1" s="1"/>
  <c r="I172" i="1" s="1"/>
  <c r="I201" i="1"/>
  <c r="I256" i="1" s="1"/>
  <c r="I268" i="1" s="1"/>
  <c r="H283" i="1"/>
  <c r="H284" i="1" s="1"/>
  <c r="H276" i="1"/>
  <c r="H277" i="1" s="1"/>
  <c r="H269" i="1"/>
  <c r="H313" i="1" s="1"/>
  <c r="H320" i="1" s="1"/>
  <c r="H322" i="1" s="1"/>
  <c r="H327" i="1" s="1"/>
  <c r="H121" i="1" l="1"/>
  <c r="H124" i="1" s="1"/>
  <c r="H128" i="1" s="1"/>
  <c r="H145" i="1" s="1"/>
  <c r="F274" i="1"/>
  <c r="I173" i="1"/>
  <c r="I121" i="1" s="1"/>
  <c r="I124" i="1" s="1"/>
  <c r="I128" i="1" s="1"/>
  <c r="I276" i="1"/>
  <c r="I277" i="1" s="1"/>
  <c r="I283" i="1"/>
  <c r="I284" i="1" s="1"/>
  <c r="I269" i="1"/>
  <c r="I313" i="1" s="1"/>
  <c r="I320" i="1" s="1"/>
  <c r="I322" i="1" s="1"/>
  <c r="I327" i="1" s="1"/>
  <c r="D331" i="1" s="1"/>
  <c r="D333" i="1" s="1"/>
  <c r="E336" i="1" s="1"/>
  <c r="E338" i="1" s="1"/>
  <c r="I235" i="1"/>
  <c r="I238" i="1" s="1"/>
  <c r="I140" i="1" s="1"/>
  <c r="I141" i="1" s="1"/>
  <c r="I143" i="1" s="1"/>
  <c r="J171" i="1" l="1"/>
  <c r="J173" i="1" s="1"/>
  <c r="J121" i="1" s="1"/>
  <c r="J124" i="1" s="1"/>
  <c r="J128" i="1" s="1"/>
  <c r="J235" i="1"/>
  <c r="J238" i="1" s="1"/>
  <c r="J140" i="1" s="1"/>
  <c r="J141" i="1" s="1"/>
  <c r="J143" i="1" s="1"/>
  <c r="D347" i="1"/>
  <c r="I3" i="1"/>
  <c r="E340" i="1"/>
  <c r="L3" i="1" s="1"/>
  <c r="K3" i="1" s="1"/>
  <c r="I145" i="1"/>
  <c r="K235" i="1" l="1"/>
  <c r="K238" i="1" s="1"/>
  <c r="K171" i="1"/>
  <c r="K173" i="1" s="1"/>
  <c r="L171" i="1" s="1"/>
  <c r="L173" i="1" s="1"/>
  <c r="L121" i="1" s="1"/>
  <c r="L124" i="1" s="1"/>
  <c r="L128" i="1" s="1"/>
  <c r="J145" i="1"/>
  <c r="L235" i="1"/>
  <c r="L238" i="1" s="1"/>
  <c r="L140" i="1" s="1"/>
  <c r="L141" i="1" s="1"/>
  <c r="L143" i="1" s="1"/>
  <c r="K140" i="1"/>
  <c r="K141" i="1" s="1"/>
  <c r="K143" i="1" s="1"/>
  <c r="K121" i="1" l="1"/>
  <c r="K124" i="1" s="1"/>
  <c r="K128" i="1" s="1"/>
  <c r="K145" i="1" s="1"/>
  <c r="L145" i="1"/>
</calcChain>
</file>

<file path=xl/sharedStrings.xml><?xml version="1.0" encoding="utf-8"?>
<sst xmlns="http://schemas.openxmlformats.org/spreadsheetml/2006/main" count="385" uniqueCount="233">
  <si>
    <t>Income Statement</t>
  </si>
  <si>
    <t>Balance Sheet</t>
  </si>
  <si>
    <t>Live Case Scenario</t>
  </si>
  <si>
    <t>Assumptions &amp; Drivers</t>
  </si>
  <si>
    <t>ABC Company Financial Modelling &amp; Valuation</t>
  </si>
  <si>
    <t xml:space="preserve"> Forecast Period</t>
  </si>
  <si>
    <t>Live Case</t>
  </si>
  <si>
    <t>Base Case</t>
  </si>
  <si>
    <t>Revenue Growth (% Change)</t>
  </si>
  <si>
    <t>Cost of Goods Sold (% of Revenue)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</si>
  <si>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</si>
  <si>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</si>
  <si>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</si>
  <si>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</si>
  <si>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</si>
  <si>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</si>
  <si>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</si>
  <si>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</si>
  <si>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</si>
  <si>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3 Type of Scenario</t>
  </si>
  <si>
    <t>Live Scenario</t>
  </si>
  <si>
    <t>Gross Profit</t>
  </si>
  <si>
    <t>Interest</t>
  </si>
  <si>
    <t>Taxes</t>
  </si>
  <si>
    <t>Cash</t>
  </si>
  <si>
    <t>Total Liabilities</t>
  </si>
  <si>
    <t>Retained Earnings</t>
  </si>
  <si>
    <t>Cashflow Statement</t>
  </si>
  <si>
    <t>Net Income</t>
  </si>
  <si>
    <t>Depreciation</t>
  </si>
  <si>
    <t>Revenues</t>
  </si>
  <si>
    <t>Cost of Goods Sold</t>
  </si>
  <si>
    <t>Distribution Expenses</t>
  </si>
  <si>
    <t>Marketing and Administration</t>
  </si>
  <si>
    <t>Research and Development</t>
  </si>
  <si>
    <t>EBIT (Operating Profit)</t>
  </si>
  <si>
    <t>Earnings Before Taxes</t>
  </si>
  <si>
    <t>Common Dividends</t>
  </si>
  <si>
    <t>ASSETS</t>
  </si>
  <si>
    <t>Trade and Other Receivables</t>
  </si>
  <si>
    <t>Inventories</t>
  </si>
  <si>
    <t>Total Current Assets</t>
  </si>
  <si>
    <t>Property Plant and Equipment</t>
  </si>
  <si>
    <t>TOTAL ASSETS</t>
  </si>
  <si>
    <t>LIABILITIES</t>
  </si>
  <si>
    <t>Trade and Other Payables</t>
  </si>
  <si>
    <t>Income Taxes Payable</t>
  </si>
  <si>
    <t>Total Current Liabilities</t>
  </si>
  <si>
    <t>Long-Term Debt</t>
  </si>
  <si>
    <t>EQUITY</t>
  </si>
  <si>
    <t>Common Stock and Additional Paid-In Capital</t>
  </si>
  <si>
    <t>Total Shareholders' Equity</t>
  </si>
  <si>
    <t>Total Liabilities &amp; Equity</t>
  </si>
  <si>
    <t>Balance Sheet Check</t>
  </si>
  <si>
    <t>Cash Flows from Operating Activities</t>
  </si>
  <si>
    <t>Changes in Operating Assets and Liabilities:</t>
  </si>
  <si>
    <t>Investing Activities</t>
  </si>
  <si>
    <t>Acquisitions of Property and Equipment</t>
  </si>
  <si>
    <t>Cash Flows from Investing Activities</t>
  </si>
  <si>
    <t>Financing Activities</t>
  </si>
  <si>
    <t>Issuance of Common Stock</t>
  </si>
  <si>
    <t>Dividends (current year)</t>
  </si>
  <si>
    <t>Increase/(Decrease) in Long-Term Debt</t>
  </si>
  <si>
    <t>Cash Flows from Financing Activities</t>
  </si>
  <si>
    <t>Cash and Equivalents, Beginning of the Year</t>
  </si>
  <si>
    <t>Increase/(Decrease) in Cash and Equivalents</t>
  </si>
  <si>
    <t>Cash and Equivalents, End of the Year</t>
  </si>
  <si>
    <t>Capital Structure Schedules</t>
  </si>
  <si>
    <t/>
  </si>
  <si>
    <t>Long Term Debt (LTD)</t>
  </si>
  <si>
    <t>Beginning of Period</t>
  </si>
  <si>
    <t>Additions (Repayments)</t>
  </si>
  <si>
    <t>LTD, End of Period</t>
  </si>
  <si>
    <t>Long-Term Debt Interest (Average Debt)</t>
  </si>
  <si>
    <t>Long Term Debt Interest</t>
  </si>
  <si>
    <t>Total Interest</t>
  </si>
  <si>
    <t>Common Stock, End of Period</t>
  </si>
  <si>
    <t>Dividends</t>
  </si>
  <si>
    <t>Retained Earnings (RE)</t>
  </si>
  <si>
    <t>RE, End of Period</t>
  </si>
  <si>
    <t>DCF Valuation</t>
  </si>
  <si>
    <t>Excerpts Provided from Financial Statement</t>
  </si>
  <si>
    <t>Tax Rate</t>
  </si>
  <si>
    <t>After-tax Interest Expense (Int Exp * (1-Tax))</t>
  </si>
  <si>
    <t>EBIT</t>
  </si>
  <si>
    <t>Unlevered Taxes</t>
  </si>
  <si>
    <t>EBITDA</t>
  </si>
  <si>
    <t>Capital Expenditures</t>
  </si>
  <si>
    <t>Change in working capital</t>
  </si>
  <si>
    <t>Long term debt</t>
  </si>
  <si>
    <t>Unlevered Free Cashflow (UFCF)</t>
  </si>
  <si>
    <t>UFCF Using EBIT</t>
  </si>
  <si>
    <t>Less: Unlevered Taxes</t>
  </si>
  <si>
    <t>Net Operating Profit After Taxes (NOPAT)</t>
  </si>
  <si>
    <t>Capex Investment</t>
  </si>
  <si>
    <t>Unlevered Free Cash Flow (UFCF) using EBIT</t>
  </si>
  <si>
    <t>UFCF Using Net Income</t>
  </si>
  <si>
    <t>Unlevered Free Cash Flow (UFCF) using Net Income</t>
  </si>
  <si>
    <t>UFCF Using EBITDA</t>
  </si>
  <si>
    <t>Unlevered Free Cash Flow (UFCF) using EBITDA</t>
  </si>
  <si>
    <t>WACC Calculation</t>
  </si>
  <si>
    <t>Using the Capital Asset Pricing Model (CAPM) to calculate the Cost of Equity</t>
  </si>
  <si>
    <t>Risk free rate</t>
  </si>
  <si>
    <t>Beta</t>
  </si>
  <si>
    <t>Equity Risk Premium</t>
  </si>
  <si>
    <t>Cost of Equity</t>
  </si>
  <si>
    <t>Calculation of Weighted Average Cost of Capital (WACC)</t>
  </si>
  <si>
    <t>Target Debt Weight (% of Total Capital Structure)</t>
  </si>
  <si>
    <t>Target Equity Weight (% of Total Capital Structure)</t>
  </si>
  <si>
    <t>Cost of Debt</t>
  </si>
  <si>
    <t>After-tax Cost of Debt</t>
  </si>
  <si>
    <t>WACC</t>
  </si>
  <si>
    <t>Terminal Growth</t>
  </si>
  <si>
    <t>Terminal Growth Rate</t>
  </si>
  <si>
    <t>All figures in USD thousands unless stated</t>
  </si>
  <si>
    <t>Unlevered Free Cash Flow (UFCF)</t>
  </si>
  <si>
    <t>Terminal Value using a Perpetual Growth Rate</t>
  </si>
  <si>
    <t>Discount The Cashflow</t>
  </si>
  <si>
    <t>Terminal Value</t>
  </si>
  <si>
    <t>Total Cash Flows</t>
  </si>
  <si>
    <t>Discounting Period</t>
  </si>
  <si>
    <t>Present Value of Cash Flows</t>
  </si>
  <si>
    <r>
      <t xml:space="preserve">EQUITY VALUE </t>
    </r>
    <r>
      <rPr>
        <b/>
        <vertAlign val="superscript"/>
        <sz val="10"/>
        <rFont val="Open Sans"/>
        <family val="2"/>
      </rPr>
      <t>1</t>
    </r>
  </si>
  <si>
    <t>Enterprise Value</t>
  </si>
  <si>
    <t>Less: Net Debt</t>
  </si>
  <si>
    <t>Equity Value</t>
  </si>
  <si>
    <t>EQUITY VALUE PER SHARE</t>
  </si>
  <si>
    <t>Shares Outstanding</t>
  </si>
  <si>
    <t>(FD 000)</t>
  </si>
  <si>
    <t>($/sh)</t>
  </si>
  <si>
    <t>Current Price</t>
  </si>
  <si>
    <t>Upside/(Downside)</t>
  </si>
  <si>
    <t>Comparable Analysis</t>
  </si>
  <si>
    <t xml:space="preserve"> </t>
  </si>
  <si>
    <t>Share</t>
  </si>
  <si>
    <t>Shares</t>
  </si>
  <si>
    <t>Market</t>
  </si>
  <si>
    <t>Net</t>
  </si>
  <si>
    <t>Enterprise</t>
  </si>
  <si>
    <t>EV / EBITDA</t>
  </si>
  <si>
    <r>
      <t xml:space="preserve">P / E </t>
    </r>
    <r>
      <rPr>
        <b/>
        <vertAlign val="superscript"/>
        <sz val="10"/>
        <color rgb="FF000000"/>
        <rFont val="Open Sans"/>
        <family val="2"/>
      </rPr>
      <t>2</t>
    </r>
  </si>
  <si>
    <t>Peer Companies</t>
  </si>
  <si>
    <t>Industry</t>
  </si>
  <si>
    <t>Location</t>
  </si>
  <si>
    <t>Price</t>
  </si>
  <si>
    <t>Outstand.</t>
  </si>
  <si>
    <t>Cap</t>
  </si>
  <si>
    <t>Debt</t>
  </si>
  <si>
    <r>
      <t xml:space="preserve">Value </t>
    </r>
    <r>
      <rPr>
        <b/>
        <vertAlign val="superscript"/>
        <sz val="10"/>
        <rFont val="Open Sans"/>
        <family val="2"/>
      </rPr>
      <t>1</t>
    </r>
  </si>
  <si>
    <t>$</t>
  </si>
  <si>
    <t>mm</t>
  </si>
  <si>
    <t>x</t>
  </si>
  <si>
    <t>Alpha.com</t>
  </si>
  <si>
    <t>Supermarkets</t>
  </si>
  <si>
    <t>Canada</t>
  </si>
  <si>
    <t>Big Bucks Company</t>
  </si>
  <si>
    <t>USA</t>
  </si>
  <si>
    <t>Centibillions Inc.</t>
  </si>
  <si>
    <t>Deep Pockets Ltd.</t>
  </si>
  <si>
    <t>Evergreen Co.</t>
  </si>
  <si>
    <t>Fat Cat Inc.</t>
  </si>
  <si>
    <t>Nav Inc.</t>
  </si>
  <si>
    <t>JJ Co.</t>
  </si>
  <si>
    <t>LRM Ltd.</t>
  </si>
  <si>
    <t>Ghana</t>
  </si>
  <si>
    <t>Zhao Ltd.</t>
  </si>
  <si>
    <t>China</t>
  </si>
  <si>
    <t>Average</t>
  </si>
  <si>
    <t>Median</t>
  </si>
  <si>
    <t>Maximum</t>
  </si>
  <si>
    <t>Minimum</t>
  </si>
  <si>
    <t>Target Company Value at Median Multiples</t>
  </si>
  <si>
    <t>2024 A "EV/EBITDA"</t>
  </si>
  <si>
    <t>2025F "EV/EBITDA"</t>
  </si>
  <si>
    <t>2024A "P/E"</t>
  </si>
  <si>
    <t>2025F "P/E"</t>
  </si>
  <si>
    <t>Other Findings</t>
  </si>
  <si>
    <t>Index</t>
  </si>
  <si>
    <t>% Change</t>
  </si>
  <si>
    <t>Stock</t>
  </si>
  <si>
    <t>Close Price</t>
  </si>
  <si>
    <t>Weekly</t>
  </si>
  <si>
    <t>Stock Price Beta</t>
  </si>
  <si>
    <t>R_Square</t>
  </si>
  <si>
    <t>Levered  Beta</t>
  </si>
  <si>
    <t>Debt/</t>
  </si>
  <si>
    <t>Levered</t>
  </si>
  <si>
    <t>Unlevered</t>
  </si>
  <si>
    <t>Name</t>
  </si>
  <si>
    <t>Region</t>
  </si>
  <si>
    <t>Equity</t>
  </si>
  <si>
    <r>
      <t xml:space="preserve">Beta </t>
    </r>
    <r>
      <rPr>
        <b/>
        <vertAlign val="superscript"/>
        <sz val="10"/>
        <color theme="1"/>
        <rFont val="Open Sans"/>
        <family val="2"/>
      </rPr>
      <t>1</t>
    </r>
  </si>
  <si>
    <r>
      <t xml:space="preserve">Beta </t>
    </r>
    <r>
      <rPr>
        <b/>
        <vertAlign val="superscript"/>
        <sz val="10"/>
        <color theme="1"/>
        <rFont val="Open Sans"/>
        <family val="2"/>
      </rPr>
      <t>2</t>
    </r>
  </si>
  <si>
    <t>North America</t>
  </si>
  <si>
    <t>Target Company Debt/Equity Ratio</t>
  </si>
  <si>
    <t>Target Company Tax Rate</t>
  </si>
  <si>
    <t xml:space="preserve">Levered Beta </t>
  </si>
  <si>
    <t>Current SP</t>
  </si>
  <si>
    <t>Target SP</t>
  </si>
  <si>
    <t>Working Capital and PP&amp;E Schedule</t>
  </si>
  <si>
    <t>Days in Period</t>
  </si>
  <si>
    <t>Revenue</t>
  </si>
  <si>
    <t>(Days)</t>
  </si>
  <si>
    <t>Inventory</t>
  </si>
  <si>
    <t>Income Tax Payable (Percent of Taxes)</t>
  </si>
  <si>
    <t>Working Capital</t>
  </si>
  <si>
    <t>Income Tax Payable</t>
  </si>
  <si>
    <t>Cash Changes from Working Capital</t>
  </si>
  <si>
    <t>Cash from Working Capital Items</t>
  </si>
  <si>
    <t>Capital Asset Turnover Ratio</t>
  </si>
  <si>
    <t>(x)</t>
  </si>
  <si>
    <t>Property, Plant &amp; Equipment (PP&amp;E)</t>
  </si>
  <si>
    <t>Capital Expenditures/Additions (Disposals)</t>
  </si>
  <si>
    <t>Depreciation Expense</t>
  </si>
  <si>
    <t>Net PP&amp;E, End of Period</t>
  </si>
  <si>
    <t>Sensitivity Analysis</t>
  </si>
  <si>
    <t>c</t>
  </si>
  <si>
    <t>Extracted Data</t>
  </si>
  <si>
    <t>Distribution Expenses (% of Revenue)</t>
  </si>
  <si>
    <t>Marketing and Administration (% of Revenue)</t>
  </si>
  <si>
    <t>Research and Development (% of Revenue)</t>
  </si>
  <si>
    <t>Depreciation (Percent of PPE)</t>
  </si>
  <si>
    <t xml:space="preserve"> Long Term Debt</t>
  </si>
  <si>
    <t xml:space="preserve"> Common Share Capital</t>
  </si>
  <si>
    <t xml:space="preserve"> Dividend Payout Ratio </t>
  </si>
  <si>
    <t xml:space="preserve">  Long Term Debt</t>
  </si>
  <si>
    <t xml:space="preserve">  Common Share Capital</t>
  </si>
  <si>
    <t xml:space="preserve">  Dividend Payout Ratio </t>
  </si>
  <si>
    <t>Depreciation &amp; Amortization (% of Sales)</t>
  </si>
  <si>
    <t>Net Interest Expences</t>
  </si>
  <si>
    <t xml:space="preserve">Share Price </t>
  </si>
  <si>
    <t>Worse Case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</si>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</sst>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0.0%"/>
    <numFmt numFmtId="167" formatCode="_(#,##0_);\(#,##0\);_(&quot;–&quot;_);_(@_)"/>
    <numFmt numFmtId="168" formatCode="#,##0_);\(#,##0\);\-"/>
    <numFmt numFmtId="169" formatCode="_(#,##0.0%_);\(#,##0.0%\);_(&quot;–&quot;_);_(@_)"/>
    <numFmt numFmtId="170" formatCode="&quot;Year &quot;0;&quot;Year &quot;\-0"/>
    <numFmt numFmtId="171" formatCode="_(#,##0%_);\(#,##0%\);_(&quot;–&quot;_)_%;_(@_)_%"/>
    <numFmt numFmtId="172" formatCode="0.00_);\(0.00\)"/>
    <numFmt numFmtId="173" formatCode="_(#,##0.0%_);\(#,##0.0%\);_(&quot;–&quot;_)_%;_(@_)_%"/>
    <numFmt numFmtId="174" formatCode="_(#,##0.0_);\(#,##0.0\);_(&quot;–&quot;_);_(@_)"/>
    <numFmt numFmtId="175" formatCode="_(#,##0_)_%;\(#,##0\)_%;_(&quot;–&quot;_)_%;_(@_)_%"/>
    <numFmt numFmtId="176" formatCode="_(#,##0.00_);\(#,##0.00\);_(&quot;–&quot;_);_(@_)"/>
    <numFmt numFmtId="177" formatCode="0000\A"/>
    <numFmt numFmtId="178" formatCode="0000\F"/>
    <numFmt numFmtId="179" formatCode="_(0.0\x_);\(0.0\x\);_(&quot;–&quot;_);_(@_)"/>
    <numFmt numFmtId="180" formatCode="0.0\x"/>
    <numFmt numFmtId="181" formatCode="#,##0.00_);\(#,##0.00\);\-"/>
    <numFmt numFmtId="182" formatCode="_(#,##0_)\⁽\¹\⁾;\(#,##0\)\⁽\¹\⁾;_(&quot;–&quot;_)\⁽\¹\⁾;_(@_)\⁽\¹\⁾"/>
    <numFmt numFmtId="183" formatCode="_(#,##0_)\⁽\²\⁾;\(#,##0\)\⁽\²\⁾;_(&quot;–&quot;_)\⁽\²\⁾;_(@_)\⁽\²\⁾"/>
    <numFmt numFmtId="184" formatCode="_(0.00\x_)_)_';_(\(0.00\x\)_'_';_(&quot;–&quot;_);_(@_)"/>
    <numFmt numFmtId="185" formatCode="0&quot;A&quot;"/>
    <numFmt numFmtId="186" formatCode="_(0.00\x_);\(0.00\x\);_(&quot;–&quot;_);_(@_)"/>
    <numFmt numFmtId="187" formatCode="_-* #,##0.0_-;\(#,##0.0\)_-;_-* &quot;-&quot;_-;_-@_-"/>
    <numFmt numFmtId="188" formatCode="0_);\(0\)"/>
    <numFmt numFmtId="189" formatCode="0.0000"/>
  </numFmts>
  <fonts count="3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Bookman"/>
      <family val="1"/>
    </font>
    <font>
      <sz val="10"/>
      <name val="Bookman"/>
    </font>
    <font>
      <sz val="10"/>
      <name val="Arial"/>
      <family val="2"/>
    </font>
    <font>
      <sz val="11"/>
      <color theme="1"/>
      <name val="Arial Narrow"/>
      <family val="2"/>
    </font>
    <font>
      <b/>
      <sz val="10"/>
      <color theme="1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sz val="10"/>
      <color theme="8" tint="-0.499984740745262"/>
      <name val="Open Sans"/>
      <family val="2"/>
    </font>
    <font>
      <b/>
      <sz val="10"/>
      <name val="Open Sans"/>
      <family val="2"/>
    </font>
    <font>
      <b/>
      <sz val="10"/>
      <color theme="8" tint="-0.499984740745262"/>
      <name val="Open Sans"/>
      <family val="2"/>
    </font>
    <font>
      <b/>
      <sz val="10"/>
      <color theme="0"/>
      <name val="Open Sans"/>
      <family val="2"/>
    </font>
    <font>
      <sz val="10"/>
      <color rgb="FF0000FF"/>
      <name val="Open Sans"/>
      <family val="2"/>
    </font>
    <font>
      <i/>
      <sz val="10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b/>
      <vertAlign val="superscript"/>
      <sz val="10"/>
      <name val="Open Sans"/>
      <family val="2"/>
    </font>
    <font>
      <sz val="10"/>
      <color rgb="FF3271D2"/>
      <name val="Open Sans"/>
      <family val="2"/>
    </font>
    <font>
      <i/>
      <sz val="10"/>
      <color theme="1"/>
      <name val="Open Sans"/>
      <family val="2"/>
    </font>
    <font>
      <b/>
      <vertAlign val="superscript"/>
      <sz val="10"/>
      <color rgb="FF000000"/>
      <name val="Open Sans"/>
      <family val="2"/>
    </font>
    <font>
      <sz val="10"/>
      <color rgb="FFC00000"/>
      <name val="Open Sans"/>
      <family val="2"/>
    </font>
    <font>
      <sz val="10"/>
      <color rgb="FF289A72"/>
      <name val="Open Sans"/>
      <family val="2"/>
    </font>
    <font>
      <b/>
      <sz val="10"/>
      <color rgb="FF3271D2"/>
      <name val="Open Sans"/>
      <family val="2"/>
    </font>
    <font>
      <b/>
      <vertAlign val="superscript"/>
      <sz val="10"/>
      <color theme="1"/>
      <name val="Open Sans"/>
      <family val="2"/>
    </font>
    <font>
      <b/>
      <sz val="10"/>
      <color rgb="FF00B050"/>
      <name val="Open Sans"/>
      <family val="2"/>
    </font>
    <font>
      <sz val="10"/>
      <color rgb="FF00B050"/>
      <name val="Open Sans"/>
      <family val="2"/>
    </font>
    <font>
      <sz val="10"/>
      <color theme="0"/>
      <name val="Open Sans"/>
      <family val="2"/>
    </font>
    <font>
      <b/>
      <sz val="10"/>
      <color theme="3"/>
      <name val="Open Sans"/>
      <family val="2"/>
    </font>
    <font>
      <sz val="10"/>
      <color theme="3"/>
      <name val="Open Sans"/>
      <family val="2"/>
    </font>
    <font>
      <i/>
      <sz val="10"/>
      <color rgb="FF000000"/>
      <name val="Open Sans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3" tint="9.9978637043366805E-2"/>
        <bgColor rgb="FF000000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lightDown"/>
    </fill>
    <fill>
      <patternFill patternType="solid">
        <fgColor theme="3" tint="0.89999084444715716"/>
        <bgColor indexed="64"/>
      </patternFill>
    </fill>
    <fill>
      <patternFill patternType="solid">
        <fgColor indexed="65"/>
        <bgColor indexed="64"/>
      </patternFill>
    </fill>
    <fill>
      <patternFill patternType="lightDown">
        <bgColor theme="2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5" fillId="0" borderId="0" applyFont="0" applyFill="0" applyBorder="0" applyAlignment="0" applyProtection="0"/>
    <xf numFmtId="0" fontId="1" fillId="0" borderId="0"/>
    <xf numFmtId="0" fontId="4" fillId="0" borderId="0"/>
  </cellStyleXfs>
  <cellXfs count="374">
    <xf numFmtId="0" fontId="0" fillId="0" borderId="0" xfId="0"/>
    <xf numFmtId="0" fontId="8" fillId="0" borderId="0" xfId="5" applyFont="1" applyAlignment="1">
      <alignment horizontal="left" indent="1"/>
    </xf>
    <xf numFmtId="167" fontId="7" fillId="0" borderId="0" xfId="5" applyNumberFormat="1" applyFont="1"/>
    <xf numFmtId="167" fontId="9" fillId="6" borderId="0" xfId="5" applyNumberFormat="1" applyFont="1" applyFill="1"/>
    <xf numFmtId="167" fontId="7" fillId="0" borderId="0" xfId="5" applyNumberFormat="1" applyFont="1" applyAlignment="1">
      <alignment horizontal="right"/>
    </xf>
    <xf numFmtId="167" fontId="9" fillId="6" borderId="0" xfId="5" applyNumberFormat="1" applyFont="1" applyFill="1" applyAlignment="1">
      <alignment horizontal="right"/>
    </xf>
    <xf numFmtId="0" fontId="10" fillId="0" borderId="0" xfId="5" applyFont="1" applyAlignment="1">
      <alignment horizontal="left" indent="1"/>
    </xf>
    <xf numFmtId="167" fontId="6" fillId="0" borderId="13" xfId="5" applyNumberFormat="1" applyFont="1" applyBorder="1"/>
    <xf numFmtId="167" fontId="11" fillId="6" borderId="13" xfId="5" applyNumberFormat="1" applyFont="1" applyFill="1" applyBorder="1"/>
    <xf numFmtId="167" fontId="6" fillId="0" borderId="0" xfId="5" applyNumberFormat="1" applyFont="1"/>
    <xf numFmtId="167" fontId="11" fillId="7" borderId="0" xfId="5" applyNumberFormat="1" applyFont="1" applyFill="1"/>
    <xf numFmtId="167" fontId="6" fillId="0" borderId="13" xfId="5" applyNumberFormat="1" applyFont="1" applyBorder="1" applyAlignment="1">
      <alignment horizontal="right"/>
    </xf>
    <xf numFmtId="167" fontId="11" fillId="6" borderId="13" xfId="5" applyNumberFormat="1" applyFont="1" applyFill="1" applyBorder="1" applyAlignment="1">
      <alignment horizontal="right"/>
    </xf>
    <xf numFmtId="167" fontId="9" fillId="7" borderId="0" xfId="5" applyNumberFormat="1" applyFont="1" applyFill="1" applyAlignment="1">
      <alignment horizontal="right"/>
    </xf>
    <xf numFmtId="167" fontId="6" fillId="0" borderId="14" xfId="5" applyNumberFormat="1" applyFont="1" applyBorder="1"/>
    <xf numFmtId="167" fontId="11" fillId="6" borderId="14" xfId="5" applyNumberFormat="1" applyFont="1" applyFill="1" applyBorder="1"/>
    <xf numFmtId="0" fontId="10" fillId="0" borderId="0" xfId="5" applyFont="1"/>
    <xf numFmtId="0" fontId="8" fillId="0" borderId="0" xfId="5" applyFont="1"/>
    <xf numFmtId="167" fontId="12" fillId="2" borderId="0" xfId="5" applyNumberFormat="1" applyFont="1" applyFill="1"/>
    <xf numFmtId="167" fontId="12" fillId="8" borderId="0" xfId="5" applyNumberFormat="1" applyFont="1" applyFill="1"/>
    <xf numFmtId="167" fontId="7" fillId="0" borderId="13" xfId="5" applyNumberFormat="1" applyFont="1" applyBorder="1"/>
    <xf numFmtId="167" fontId="9" fillId="6" borderId="13" xfId="5" applyNumberFormat="1" applyFont="1" applyFill="1" applyBorder="1"/>
    <xf numFmtId="167" fontId="9" fillId="7" borderId="0" xfId="5" applyNumberFormat="1" applyFont="1" applyFill="1"/>
    <xf numFmtId="167" fontId="8" fillId="0" borderId="0" xfId="5" applyNumberFormat="1" applyFont="1"/>
    <xf numFmtId="0" fontId="13" fillId="0" borderId="0" xfId="5" applyFont="1"/>
    <xf numFmtId="168" fontId="8" fillId="0" borderId="0" xfId="5" applyNumberFormat="1" applyFont="1"/>
    <xf numFmtId="0" fontId="8" fillId="0" borderId="0" xfId="5" applyFont="1" applyAlignment="1">
      <alignment horizontal="left"/>
    </xf>
    <xf numFmtId="0" fontId="14" fillId="0" borderId="0" xfId="5" applyFont="1" applyAlignment="1">
      <alignment horizontal="left" indent="1"/>
    </xf>
    <xf numFmtId="0" fontId="14" fillId="0" borderId="0" xfId="5" applyFont="1"/>
    <xf numFmtId="167" fontId="13" fillId="0" borderId="0" xfId="5" applyNumberFormat="1" applyFont="1" applyAlignment="1">
      <alignment horizontal="right"/>
    </xf>
    <xf numFmtId="167" fontId="8" fillId="0" borderId="0" xfId="5" applyNumberFormat="1" applyFont="1" applyAlignment="1">
      <alignment horizontal="right"/>
    </xf>
    <xf numFmtId="0" fontId="8" fillId="0" borderId="0" xfId="5" applyFont="1" applyAlignment="1">
      <alignment horizontal="left" indent="2"/>
    </xf>
    <xf numFmtId="167" fontId="15" fillId="0" borderId="0" xfId="5" applyNumberFormat="1" applyFont="1"/>
    <xf numFmtId="0" fontId="8" fillId="0" borderId="1" xfId="5" applyFont="1" applyBorder="1"/>
    <xf numFmtId="167" fontId="8" fillId="0" borderId="1" xfId="5" applyNumberFormat="1" applyFont="1" applyBorder="1"/>
    <xf numFmtId="169" fontId="7" fillId="0" borderId="15" xfId="5" applyNumberFormat="1" applyFont="1" applyBorder="1"/>
    <xf numFmtId="169" fontId="9" fillId="6" borderId="15" xfId="5" applyNumberFormat="1" applyFont="1" applyFill="1" applyBorder="1"/>
    <xf numFmtId="169" fontId="7" fillId="0" borderId="0" xfId="5" applyNumberFormat="1" applyFont="1"/>
    <xf numFmtId="169" fontId="9" fillId="7" borderId="0" xfId="5" applyNumberFormat="1" applyFont="1" applyFill="1"/>
    <xf numFmtId="167" fontId="7" fillId="0" borderId="16" xfId="5" applyNumberFormat="1" applyFont="1" applyBorder="1"/>
    <xf numFmtId="167" fontId="9" fillId="6" borderId="16" xfId="5" applyNumberFormat="1" applyFont="1" applyFill="1" applyBorder="1"/>
    <xf numFmtId="167" fontId="7" fillId="0" borderId="17" xfId="5" applyNumberFormat="1" applyFont="1" applyBorder="1"/>
    <xf numFmtId="167" fontId="9" fillId="6" borderId="17" xfId="5" applyNumberFormat="1" applyFont="1" applyFill="1" applyBorder="1"/>
    <xf numFmtId="167" fontId="6" fillId="0" borderId="18" xfId="5" applyNumberFormat="1" applyFont="1" applyBorder="1"/>
    <xf numFmtId="0" fontId="6" fillId="0" borderId="0" xfId="0" applyFont="1"/>
    <xf numFmtId="0" fontId="7" fillId="0" borderId="0" xfId="0" applyFont="1"/>
    <xf numFmtId="170" fontId="12" fillId="2" borderId="19" xfId="5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indent="1"/>
    </xf>
    <xf numFmtId="168" fontId="16" fillId="10" borderId="0" xfId="0" applyNumberFormat="1" applyFont="1" applyFill="1" applyAlignment="1">
      <alignment vertical="center"/>
    </xf>
    <xf numFmtId="168" fontId="16" fillId="10" borderId="14" xfId="0" applyNumberFormat="1" applyFont="1" applyFill="1" applyBorder="1" applyAlignment="1">
      <alignment vertical="center"/>
    </xf>
    <xf numFmtId="167" fontId="16" fillId="10" borderId="0" xfId="0" applyNumberFormat="1" applyFont="1" applyFill="1" applyAlignment="1">
      <alignment vertical="center"/>
    </xf>
    <xf numFmtId="167" fontId="16" fillId="10" borderId="14" xfId="0" applyNumberFormat="1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173" fontId="7" fillId="0" borderId="20" xfId="0" applyNumberFormat="1" applyFont="1" applyBorder="1"/>
    <xf numFmtId="0" fontId="8" fillId="0" borderId="21" xfId="0" applyFont="1" applyBorder="1" applyAlignment="1">
      <alignment horizontal="left"/>
    </xf>
    <xf numFmtId="174" fontId="7" fillId="0" borderId="22" xfId="0" applyNumberFormat="1" applyFont="1" applyBorder="1"/>
    <xf numFmtId="173" fontId="7" fillId="0" borderId="22" xfId="0" applyNumberFormat="1" applyFont="1" applyBorder="1"/>
    <xf numFmtId="0" fontId="10" fillId="0" borderId="17" xfId="0" applyFont="1" applyBorder="1" applyAlignment="1">
      <alignment horizontal="left"/>
    </xf>
    <xf numFmtId="173" fontId="12" fillId="8" borderId="24" xfId="0" applyNumberFormat="1" applyFont="1" applyFill="1" applyBorder="1"/>
    <xf numFmtId="0" fontId="10" fillId="0" borderId="0" xfId="0" applyFont="1" applyAlignment="1">
      <alignment horizontal="left" indent="1"/>
    </xf>
    <xf numFmtId="173" fontId="7" fillId="11" borderId="22" xfId="0" applyNumberFormat="1" applyFont="1" applyFill="1" applyBorder="1"/>
    <xf numFmtId="0" fontId="12" fillId="2" borderId="17" xfId="0" applyFont="1" applyFill="1" applyBorder="1" applyAlignment="1">
      <alignment horizontal="left"/>
    </xf>
    <xf numFmtId="173" fontId="16" fillId="0" borderId="20" xfId="0" applyNumberFormat="1" applyFont="1" applyBorder="1"/>
    <xf numFmtId="0" fontId="8" fillId="0" borderId="17" xfId="0" applyFont="1" applyBorder="1" applyAlignment="1">
      <alignment horizontal="left"/>
    </xf>
    <xf numFmtId="173" fontId="7" fillId="0" borderId="24" xfId="0" applyNumberFormat="1" applyFont="1" applyBorder="1"/>
    <xf numFmtId="173" fontId="16" fillId="0" borderId="0" xfId="2" applyNumberFormat="1" applyFont="1" applyFill="1" applyBorder="1" applyAlignment="1">
      <alignment horizontal="right" vertical="center"/>
    </xf>
    <xf numFmtId="167" fontId="16" fillId="0" borderId="0" xfId="0" applyNumberFormat="1" applyFont="1"/>
    <xf numFmtId="167" fontId="16" fillId="11" borderId="0" xfId="0" applyNumberFormat="1" applyFont="1" applyFill="1"/>
    <xf numFmtId="0" fontId="15" fillId="0" borderId="0" xfId="0" applyFont="1" applyAlignment="1">
      <alignment horizontal="left" indent="1"/>
    </xf>
    <xf numFmtId="167" fontId="7" fillId="0" borderId="0" xfId="0" applyNumberFormat="1" applyFont="1"/>
    <xf numFmtId="167" fontId="15" fillId="11" borderId="0" xfId="0" applyNumberFormat="1" applyFont="1" applyFill="1"/>
    <xf numFmtId="167" fontId="7" fillId="0" borderId="0" xfId="0" applyNumberFormat="1" applyFont="1" applyAlignment="1">
      <alignment vertical="center"/>
    </xf>
    <xf numFmtId="167" fontId="16" fillId="11" borderId="0" xfId="0" applyNumberFormat="1" applyFont="1" applyFill="1" applyAlignment="1">
      <alignment vertical="center"/>
    </xf>
    <xf numFmtId="167" fontId="16" fillId="11" borderId="13" xfId="0" applyNumberFormat="1" applyFont="1" applyFill="1" applyBorder="1" applyAlignment="1">
      <alignment vertical="center"/>
    </xf>
    <xf numFmtId="0" fontId="7" fillId="0" borderId="15" xfId="0" applyFont="1" applyBorder="1" applyAlignment="1">
      <alignment horizontal="left" indent="1"/>
    </xf>
    <xf numFmtId="173" fontId="16" fillId="0" borderId="25" xfId="0" applyNumberFormat="1" applyFont="1" applyBorder="1"/>
    <xf numFmtId="166" fontId="7" fillId="0" borderId="0" xfId="0" applyNumberFormat="1" applyFont="1"/>
    <xf numFmtId="174" fontId="16" fillId="10" borderId="23" xfId="0" applyNumberFormat="1" applyFont="1" applyFill="1" applyBorder="1" applyAlignment="1">
      <alignment vertical="center"/>
    </xf>
    <xf numFmtId="168" fontId="16" fillId="0" borderId="0" xfId="0" applyNumberFormat="1" applyFont="1"/>
    <xf numFmtId="0" fontId="8" fillId="0" borderId="16" xfId="0" applyFont="1" applyBorder="1" applyAlignment="1">
      <alignment horizontal="left" indent="1"/>
    </xf>
    <xf numFmtId="167" fontId="16" fillId="10" borderId="20" xfId="0" applyNumberFormat="1" applyFont="1" applyFill="1" applyBorder="1"/>
    <xf numFmtId="0" fontId="16" fillId="0" borderId="21" xfId="0" applyFont="1" applyBorder="1" applyAlignment="1">
      <alignment horizontal="left" indent="1"/>
    </xf>
    <xf numFmtId="167" fontId="16" fillId="10" borderId="24" xfId="0" applyNumberFormat="1" applyFont="1" applyFill="1" applyBorder="1"/>
    <xf numFmtId="0" fontId="8" fillId="0" borderId="17" xfId="0" applyFont="1" applyBorder="1" applyAlignment="1">
      <alignment horizontal="left" indent="1"/>
    </xf>
    <xf numFmtId="0" fontId="8" fillId="0" borderId="21" xfId="0" applyFont="1" applyBorder="1" applyAlignment="1">
      <alignment horizontal="left" indent="1"/>
    </xf>
    <xf numFmtId="167" fontId="18" fillId="0" borderId="22" xfId="0" applyNumberFormat="1" applyFont="1" applyBorder="1"/>
    <xf numFmtId="176" fontId="16" fillId="10" borderId="22" xfId="0" applyNumberFormat="1" applyFont="1" applyFill="1" applyBorder="1"/>
    <xf numFmtId="176" fontId="18" fillId="0" borderId="22" xfId="0" applyNumberFormat="1" applyFont="1" applyBorder="1"/>
    <xf numFmtId="0" fontId="19" fillId="0" borderId="17" xfId="0" applyFont="1" applyBorder="1" applyAlignment="1">
      <alignment horizontal="left" indent="1"/>
    </xf>
    <xf numFmtId="171" fontId="19" fillId="10" borderId="24" xfId="0" applyNumberFormat="1" applyFont="1" applyFill="1" applyBorder="1"/>
    <xf numFmtId="170" fontId="15" fillId="0" borderId="0" xfId="5" applyNumberFormat="1" applyFont="1" applyAlignment="1">
      <alignment horizontal="right" vertical="center"/>
    </xf>
    <xf numFmtId="170" fontId="12" fillId="0" borderId="0" xfId="5" applyNumberFormat="1" applyFont="1" applyAlignment="1">
      <alignment horizontal="right" vertical="center"/>
    </xf>
    <xf numFmtId="14" fontId="7" fillId="0" borderId="0" xfId="0" applyNumberFormat="1" applyFont="1"/>
    <xf numFmtId="176" fontId="7" fillId="0" borderId="0" xfId="1" applyNumberFormat="1" applyFont="1"/>
    <xf numFmtId="173" fontId="7" fillId="0" borderId="0" xfId="2" applyNumberFormat="1" applyFont="1"/>
    <xf numFmtId="0" fontId="12" fillId="0" borderId="0" xfId="0" applyFont="1" applyAlignment="1">
      <alignment horizontal="right" vertical="center"/>
    </xf>
    <xf numFmtId="0" fontId="23" fillId="0" borderId="0" xfId="0" applyFont="1" applyAlignment="1">
      <alignment horizontal="right"/>
    </xf>
    <xf numFmtId="167" fontId="10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right"/>
    </xf>
    <xf numFmtId="0" fontId="15" fillId="0" borderId="26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49" fontId="15" fillId="0" borderId="27" xfId="0" applyNumberFormat="1" applyFont="1" applyBorder="1" applyAlignment="1">
      <alignment horizontal="left"/>
    </xf>
    <xf numFmtId="167" fontId="15" fillId="0" borderId="27" xfId="0" applyNumberFormat="1" applyFont="1" applyBorder="1" applyAlignment="1">
      <alignment horizontal="right"/>
    </xf>
    <xf numFmtId="0" fontId="6" fillId="0" borderId="27" xfId="0" applyFont="1" applyBorder="1" applyAlignment="1">
      <alignment horizontal="center"/>
    </xf>
    <xf numFmtId="167" fontId="15" fillId="0" borderId="27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15" fillId="0" borderId="0" xfId="0" applyFont="1" applyAlignment="1">
      <alignment horizontal="left"/>
    </xf>
    <xf numFmtId="167" fontId="15" fillId="0" borderId="0" xfId="0" applyNumberFormat="1" applyFont="1" applyAlignment="1">
      <alignment horizontal="right"/>
    </xf>
    <xf numFmtId="182" fontId="15" fillId="0" borderId="0" xfId="0" applyNumberFormat="1" applyFont="1" applyAlignment="1">
      <alignment horizontal="right"/>
    </xf>
    <xf numFmtId="183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center"/>
    </xf>
    <xf numFmtId="37" fontId="7" fillId="0" borderId="0" xfId="0" applyNumberFormat="1" applyFont="1" applyAlignment="1">
      <alignment horizontal="left" vertical="center"/>
    </xf>
    <xf numFmtId="37" fontId="18" fillId="0" borderId="0" xfId="0" applyNumberFormat="1" applyFont="1" applyAlignment="1">
      <alignment horizontal="left" vertical="center"/>
    </xf>
    <xf numFmtId="167" fontId="7" fillId="0" borderId="0" xfId="0" applyNumberFormat="1" applyFont="1" applyAlignment="1">
      <alignment horizontal="right" vertical="center"/>
    </xf>
    <xf numFmtId="173" fontId="7" fillId="0" borderId="0" xfId="0" applyNumberFormat="1" applyFont="1" applyAlignment="1">
      <alignment horizontal="center" vertical="center"/>
    </xf>
    <xf numFmtId="166" fontId="7" fillId="0" borderId="0" xfId="2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16" fillId="0" borderId="29" xfId="0" applyFont="1" applyBorder="1" applyAlignment="1">
      <alignment horizontal="left" vertical="center"/>
    </xf>
    <xf numFmtId="37" fontId="7" fillId="0" borderId="29" xfId="0" applyNumberFormat="1" applyFont="1" applyBorder="1" applyAlignment="1">
      <alignment horizontal="left" vertical="center"/>
    </xf>
    <xf numFmtId="37" fontId="18" fillId="0" borderId="29" xfId="0" applyNumberFormat="1" applyFont="1" applyBorder="1" applyAlignment="1">
      <alignment horizontal="left" vertical="center"/>
    </xf>
    <xf numFmtId="167" fontId="7" fillId="0" borderId="29" xfId="0" applyNumberFormat="1" applyFont="1" applyBorder="1" applyAlignment="1">
      <alignment horizontal="right" vertical="center"/>
    </xf>
    <xf numFmtId="173" fontId="7" fillId="0" borderId="29" xfId="0" applyNumberFormat="1" applyFont="1" applyBorder="1" applyAlignment="1">
      <alignment horizontal="center" vertical="center"/>
    </xf>
    <xf numFmtId="166" fontId="7" fillId="0" borderId="29" xfId="2" applyNumberFormat="1" applyFont="1" applyFill="1" applyBorder="1" applyAlignment="1">
      <alignment horizontal="center" vertical="center"/>
    </xf>
    <xf numFmtId="176" fontId="7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7" fontId="18" fillId="0" borderId="0" xfId="0" applyNumberFormat="1" applyFont="1" applyAlignment="1">
      <alignment horizontal="right" vertical="center"/>
    </xf>
    <xf numFmtId="173" fontId="18" fillId="0" borderId="0" xfId="0" applyNumberFormat="1" applyFont="1" applyAlignment="1">
      <alignment vertical="center"/>
    </xf>
    <xf numFmtId="184" fontId="16" fillId="0" borderId="0" xfId="0" applyNumberFormat="1" applyFont="1" applyAlignment="1">
      <alignment horizontal="center" vertical="center"/>
    </xf>
    <xf numFmtId="176" fontId="18" fillId="0" borderId="0" xfId="0" applyNumberFormat="1" applyFont="1" applyAlignment="1">
      <alignment horizontal="right" vertical="center"/>
    </xf>
    <xf numFmtId="176" fontId="16" fillId="0" borderId="0" xfId="0" applyNumberFormat="1" applyFont="1" applyAlignment="1">
      <alignment horizontal="center" vertical="center"/>
    </xf>
    <xf numFmtId="37" fontId="12" fillId="0" borderId="0" xfId="0" applyNumberFormat="1" applyFont="1" applyAlignment="1">
      <alignment vertical="center"/>
    </xf>
    <xf numFmtId="185" fontId="10" fillId="0" borderId="0" xfId="0" applyNumberFormat="1" applyFont="1" applyAlignment="1">
      <alignment horizontal="right"/>
    </xf>
    <xf numFmtId="185" fontId="10" fillId="0" borderId="26" xfId="0" applyNumberFormat="1" applyFont="1" applyBorder="1" applyAlignment="1">
      <alignment horizontal="left"/>
    </xf>
    <xf numFmtId="173" fontId="16" fillId="0" borderId="27" xfId="0" applyNumberFormat="1" applyFont="1" applyBorder="1" applyAlignment="1">
      <alignment horizontal="center" vertical="center"/>
    </xf>
    <xf numFmtId="173" fontId="16" fillId="0" borderId="27" xfId="2" applyNumberFormat="1" applyFont="1" applyFill="1" applyBorder="1" applyAlignment="1">
      <alignment horizontal="center" vertical="center"/>
    </xf>
    <xf numFmtId="176" fontId="16" fillId="0" borderId="27" xfId="0" applyNumberFormat="1" applyFont="1" applyBorder="1" applyAlignment="1">
      <alignment horizontal="center" vertical="center"/>
    </xf>
    <xf numFmtId="176" fontId="16" fillId="0" borderId="28" xfId="0" applyNumberFormat="1" applyFont="1" applyBorder="1" applyAlignment="1">
      <alignment horizontal="center" vertical="center"/>
    </xf>
    <xf numFmtId="43" fontId="7" fillId="0" borderId="0" xfId="1" applyFont="1"/>
    <xf numFmtId="166" fontId="7" fillId="0" borderId="0" xfId="2" applyNumberFormat="1" applyFont="1"/>
    <xf numFmtId="166" fontId="7" fillId="0" borderId="0" xfId="2" applyNumberFormat="1" applyFont="1" applyBorder="1"/>
    <xf numFmtId="176" fontId="16" fillId="0" borderId="0" xfId="0" applyNumberFormat="1" applyFont="1" applyAlignment="1">
      <alignment horizontal="right" vertical="center"/>
    </xf>
    <xf numFmtId="49" fontId="16" fillId="0" borderId="4" xfId="0" applyNumberFormat="1" applyFont="1" applyBorder="1" applyAlignment="1">
      <alignment horizontal="left"/>
    </xf>
    <xf numFmtId="43" fontId="7" fillId="0" borderId="9" xfId="1" applyFont="1" applyBorder="1"/>
    <xf numFmtId="166" fontId="7" fillId="0" borderId="9" xfId="2" applyNumberFormat="1" applyFont="1" applyBorder="1"/>
    <xf numFmtId="176" fontId="7" fillId="0" borderId="5" xfId="1" applyNumberFormat="1" applyFont="1" applyFill="1" applyBorder="1"/>
    <xf numFmtId="167" fontId="7" fillId="0" borderId="21" xfId="4" applyNumberFormat="1" applyFont="1" applyFill="1" applyBorder="1"/>
    <xf numFmtId="167" fontId="9" fillId="6" borderId="21" xfId="4" applyNumberFormat="1" applyFont="1" applyFill="1" applyBorder="1"/>
    <xf numFmtId="167" fontId="7" fillId="0" borderId="17" xfId="4" applyNumberFormat="1" applyFont="1" applyFill="1" applyBorder="1"/>
    <xf numFmtId="167" fontId="9" fillId="6" borderId="17" xfId="4" applyNumberFormat="1" applyFont="1" applyFill="1" applyBorder="1"/>
    <xf numFmtId="167" fontId="7" fillId="0" borderId="0" xfId="4" applyNumberFormat="1" applyFont="1" applyFill="1"/>
    <xf numFmtId="167" fontId="9" fillId="7" borderId="0" xfId="4" applyNumberFormat="1" applyFont="1" applyFill="1"/>
    <xf numFmtId="166" fontId="7" fillId="0" borderId="0" xfId="2" applyNumberFormat="1" applyFont="1" applyFill="1"/>
    <xf numFmtId="166" fontId="9" fillId="6" borderId="0" xfId="2" applyNumberFormat="1" applyFont="1" applyFill="1"/>
    <xf numFmtId="167" fontId="9" fillId="6" borderId="0" xfId="4" applyNumberFormat="1" applyFont="1" applyFill="1"/>
    <xf numFmtId="0" fontId="15" fillId="0" borderId="0" xfId="5" applyFont="1" applyAlignment="1">
      <alignment horizontal="left"/>
    </xf>
    <xf numFmtId="167" fontId="7" fillId="0" borderId="0" xfId="4" applyNumberFormat="1" applyFont="1" applyFill="1" applyBorder="1"/>
    <xf numFmtId="167" fontId="7" fillId="0" borderId="14" xfId="4" applyNumberFormat="1" applyFont="1" applyFill="1" applyBorder="1"/>
    <xf numFmtId="167" fontId="9" fillId="7" borderId="0" xfId="4" applyNumberFormat="1" applyFont="1" applyFill="1" applyBorder="1"/>
    <xf numFmtId="167" fontId="7" fillId="0" borderId="16" xfId="5" applyNumberFormat="1" applyFont="1" applyBorder="1" applyAlignment="1">
      <alignment horizontal="right" vertical="center"/>
    </xf>
    <xf numFmtId="167" fontId="9" fillId="6" borderId="16" xfId="5" applyNumberFormat="1" applyFont="1" applyFill="1" applyBorder="1" applyAlignment="1">
      <alignment horizontal="right" vertical="center"/>
    </xf>
    <xf numFmtId="186" fontId="7" fillId="0" borderId="21" xfId="5" applyNumberFormat="1" applyFont="1" applyBorder="1" applyAlignment="1">
      <alignment horizontal="right" vertical="center"/>
    </xf>
    <xf numFmtId="186" fontId="9" fillId="6" borderId="21" xfId="5" applyNumberFormat="1" applyFont="1" applyFill="1" applyBorder="1" applyAlignment="1">
      <alignment horizontal="right" vertical="center"/>
    </xf>
    <xf numFmtId="169" fontId="7" fillId="0" borderId="17" xfId="5" applyNumberFormat="1" applyFont="1" applyBorder="1" applyAlignment="1">
      <alignment horizontal="right" vertical="center"/>
    </xf>
    <xf numFmtId="169" fontId="9" fillId="6" borderId="17" xfId="5" applyNumberFormat="1" applyFont="1" applyFill="1" applyBorder="1" applyAlignment="1">
      <alignment horizontal="right" vertical="center"/>
    </xf>
    <xf numFmtId="167" fontId="25" fillId="0" borderId="0" xfId="5" applyNumberFormat="1" applyFont="1" applyAlignment="1">
      <alignment horizontal="right" vertical="center"/>
    </xf>
    <xf numFmtId="167" fontId="11" fillId="7" borderId="0" xfId="5" applyNumberFormat="1" applyFont="1" applyFill="1" applyAlignment="1">
      <alignment horizontal="right" vertical="center"/>
    </xf>
    <xf numFmtId="167" fontId="26" fillId="0" borderId="0" xfId="5" applyNumberFormat="1" applyFont="1"/>
    <xf numFmtId="167" fontId="11" fillId="6" borderId="18" xfId="5" applyNumberFormat="1" applyFont="1" applyFill="1" applyBorder="1"/>
    <xf numFmtId="0" fontId="19" fillId="0" borderId="0" xfId="0" applyFont="1" applyAlignment="1">
      <alignment horizontal="left" indent="1"/>
    </xf>
    <xf numFmtId="171" fontId="19" fillId="10" borderId="0" xfId="0" applyNumberFormat="1" applyFont="1" applyFill="1"/>
    <xf numFmtId="0" fontId="16" fillId="0" borderId="0" xfId="7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0" fillId="0" borderId="0" xfId="8" applyFont="1" applyAlignment="1">
      <alignment horizontal="left"/>
    </xf>
    <xf numFmtId="0" fontId="10" fillId="0" borderId="0" xfId="7" applyFont="1" applyAlignment="1">
      <alignment horizontal="left"/>
    </xf>
    <xf numFmtId="0" fontId="10" fillId="0" borderId="0" xfId="8" applyFont="1" applyAlignment="1">
      <alignment horizontal="right"/>
    </xf>
    <xf numFmtId="177" fontId="6" fillId="0" borderId="0" xfId="0" applyNumberFormat="1" applyFont="1" applyAlignment="1">
      <alignment horizontal="right"/>
    </xf>
    <xf numFmtId="178" fontId="6" fillId="0" borderId="0" xfId="0" applyNumberFormat="1" applyFont="1" applyAlignment="1">
      <alignment horizontal="right"/>
    </xf>
    <xf numFmtId="0" fontId="8" fillId="0" borderId="0" xfId="7" applyFont="1" applyAlignment="1">
      <alignment horizontal="center"/>
    </xf>
    <xf numFmtId="0" fontId="14" fillId="0" borderId="0" xfId="7" applyFont="1" applyAlignment="1">
      <alignment horizontal="center" vertical="center"/>
    </xf>
    <xf numFmtId="0" fontId="14" fillId="5" borderId="0" xfId="7" applyFont="1" applyFill="1" applyAlignment="1">
      <alignment horizontal="center" vertical="center"/>
    </xf>
    <xf numFmtId="37" fontId="16" fillId="0" borderId="0" xfId="7" applyNumberFormat="1" applyFont="1" applyAlignment="1">
      <alignment vertical="center"/>
    </xf>
    <xf numFmtId="37" fontId="7" fillId="0" borderId="0" xfId="7" applyNumberFormat="1" applyFont="1" applyAlignment="1">
      <alignment horizontal="center" vertical="center"/>
    </xf>
    <xf numFmtId="37" fontId="7" fillId="0" borderId="0" xfId="7" applyNumberFormat="1" applyFont="1" applyAlignment="1">
      <alignment vertical="center"/>
    </xf>
    <xf numFmtId="2" fontId="7" fillId="0" borderId="0" xfId="7" applyNumberFormat="1" applyFont="1"/>
    <xf numFmtId="167" fontId="7" fillId="0" borderId="0" xfId="7" applyNumberFormat="1" applyFont="1"/>
    <xf numFmtId="168" fontId="7" fillId="10" borderId="0" xfId="0" applyNumberFormat="1" applyFont="1" applyFill="1" applyAlignment="1">
      <alignment horizontal="right"/>
    </xf>
    <xf numFmtId="168" fontId="7" fillId="0" borderId="0" xfId="7" applyNumberFormat="1" applyFont="1"/>
    <xf numFmtId="168" fontId="7" fillId="0" borderId="0" xfId="0" applyNumberFormat="1" applyFont="1" applyAlignment="1">
      <alignment horizontal="right"/>
    </xf>
    <xf numFmtId="168" fontId="7" fillId="5" borderId="0" xfId="0" applyNumberFormat="1" applyFont="1" applyFill="1" applyAlignment="1">
      <alignment horizontal="right"/>
    </xf>
    <xf numFmtId="179" fontId="16" fillId="14" borderId="0" xfId="7" applyNumberFormat="1" applyFont="1" applyFill="1" applyAlignment="1">
      <alignment horizontal="right" vertical="center"/>
    </xf>
    <xf numFmtId="168" fontId="18" fillId="0" borderId="0" xfId="0" applyNumberFormat="1" applyFont="1" applyAlignment="1">
      <alignment horizontal="right"/>
    </xf>
    <xf numFmtId="0" fontId="8" fillId="0" borderId="0" xfId="7" applyFont="1"/>
    <xf numFmtId="168" fontId="18" fillId="5" borderId="0" xfId="0" applyNumberFormat="1" applyFont="1" applyFill="1" applyAlignment="1">
      <alignment horizontal="right"/>
    </xf>
    <xf numFmtId="179" fontId="8" fillId="5" borderId="0" xfId="7" applyNumberFormat="1" applyFont="1" applyFill="1" applyAlignment="1">
      <alignment horizontal="right" vertical="center"/>
    </xf>
    <xf numFmtId="0" fontId="21" fillId="5" borderId="0" xfId="7" applyFont="1" applyFill="1"/>
    <xf numFmtId="0" fontId="16" fillId="0" borderId="0" xfId="7" applyFont="1" applyAlignment="1">
      <alignment horizontal="left" vertical="center" indent="1"/>
    </xf>
    <xf numFmtId="0" fontId="18" fillId="0" borderId="0" xfId="7" applyFont="1" applyAlignment="1">
      <alignment horizontal="left" vertical="center" indent="1"/>
    </xf>
    <xf numFmtId="167" fontId="16" fillId="0" borderId="0" xfId="7" applyNumberFormat="1" applyFont="1" applyAlignment="1">
      <alignment horizontal="right" vertical="center"/>
    </xf>
    <xf numFmtId="168" fontId="16" fillId="0" borderId="0" xfId="0" applyNumberFormat="1" applyFont="1" applyAlignment="1">
      <alignment horizontal="right"/>
    </xf>
    <xf numFmtId="0" fontId="8" fillId="5" borderId="0" xfId="7" applyFont="1" applyFill="1"/>
    <xf numFmtId="179" fontId="16" fillId="0" borderId="0" xfId="0" applyNumberFormat="1" applyFont="1" applyAlignment="1">
      <alignment horizontal="right"/>
    </xf>
    <xf numFmtId="168" fontId="16" fillId="5" borderId="0" xfId="0" applyNumberFormat="1" applyFont="1" applyFill="1" applyAlignment="1">
      <alignment horizontal="right"/>
    </xf>
    <xf numFmtId="0" fontId="7" fillId="0" borderId="0" xfId="7" applyFont="1"/>
    <xf numFmtId="180" fontId="7" fillId="0" borderId="0" xfId="7" applyNumberFormat="1" applyFont="1" applyAlignment="1">
      <alignment vertical="center"/>
    </xf>
    <xf numFmtId="179" fontId="16" fillId="5" borderId="0" xfId="7" applyNumberFormat="1" applyFont="1" applyFill="1" applyAlignment="1">
      <alignment horizontal="right" vertical="center"/>
    </xf>
    <xf numFmtId="37" fontId="15" fillId="0" borderId="0" xfId="7" applyNumberFormat="1" applyFont="1" applyAlignment="1">
      <alignment horizontal="left" vertical="center"/>
    </xf>
    <xf numFmtId="37" fontId="16" fillId="0" borderId="0" xfId="7" applyNumberFormat="1" applyFont="1" applyAlignment="1">
      <alignment horizontal="left" vertical="center" indent="1"/>
    </xf>
    <xf numFmtId="181" fontId="16" fillId="10" borderId="0" xfId="0" applyNumberFormat="1" applyFont="1" applyFill="1" applyAlignment="1">
      <alignment horizontal="right"/>
    </xf>
    <xf numFmtId="168" fontId="22" fillId="10" borderId="0" xfId="0" applyNumberFormat="1" applyFont="1" applyFill="1" applyAlignment="1">
      <alignment horizontal="right"/>
    </xf>
    <xf numFmtId="168" fontId="16" fillId="10" borderId="0" xfId="0" applyNumberFormat="1" applyFont="1" applyFill="1" applyAlignment="1">
      <alignment horizontal="right"/>
    </xf>
    <xf numFmtId="167" fontId="22" fillId="10" borderId="0" xfId="7" applyNumberFormat="1" applyFont="1" applyFill="1"/>
    <xf numFmtId="167" fontId="22" fillId="10" borderId="0" xfId="7" applyNumberFormat="1" applyFont="1" applyFill="1" applyAlignment="1">
      <alignment horizontal="right" vertical="center"/>
    </xf>
    <xf numFmtId="179" fontId="8" fillId="14" borderId="0" xfId="7" applyNumberFormat="1" applyFont="1" applyFill="1" applyAlignment="1">
      <alignment horizontal="right" vertical="center"/>
    </xf>
    <xf numFmtId="167" fontId="7" fillId="10" borderId="0" xfId="7" applyNumberFormat="1" applyFont="1" applyFill="1"/>
    <xf numFmtId="0" fontId="7" fillId="5" borderId="0" xfId="7" applyFont="1" applyFill="1"/>
    <xf numFmtId="179" fontId="7" fillId="14" borderId="0" xfId="7" applyNumberFormat="1" applyFont="1" applyFill="1"/>
    <xf numFmtId="165" fontId="27" fillId="4" borderId="12" xfId="1" applyNumberFormat="1" applyFont="1" applyFill="1" applyBorder="1" applyAlignment="1" applyProtection="1">
      <alignment horizontal="centerContinuous"/>
      <protection locked="0"/>
    </xf>
    <xf numFmtId="165" fontId="12" fillId="13" borderId="12" xfId="1" applyNumberFormat="1" applyFont="1" applyFill="1" applyBorder="1" applyAlignment="1" applyProtection="1">
      <alignment horizontal="centerContinuous"/>
      <protection locked="0"/>
    </xf>
    <xf numFmtId="165" fontId="27" fillId="13" borderId="12" xfId="1" applyNumberFormat="1" applyFont="1" applyFill="1" applyBorder="1" applyAlignment="1" applyProtection="1">
      <alignment horizontal="centerContinuous"/>
      <protection locked="0"/>
    </xf>
    <xf numFmtId="165" fontId="27" fillId="13" borderId="11" xfId="1" applyNumberFormat="1" applyFont="1" applyFill="1" applyBorder="1" applyAlignment="1" applyProtection="1">
      <alignment horizontal="centerContinuous"/>
      <protection locked="0"/>
    </xf>
    <xf numFmtId="0" fontId="12" fillId="4" borderId="7" xfId="1" applyNumberFormat="1" applyFont="1" applyFill="1" applyBorder="1" applyAlignment="1" applyProtection="1">
      <protection locked="0"/>
    </xf>
    <xf numFmtId="0" fontId="12" fillId="13" borderId="7" xfId="1" applyNumberFormat="1" applyFont="1" applyFill="1" applyBorder="1" applyAlignment="1" applyProtection="1">
      <protection locked="0"/>
    </xf>
    <xf numFmtId="0" fontId="12" fillId="13" borderId="8" xfId="1" applyNumberFormat="1" applyFont="1" applyFill="1" applyBorder="1" applyAlignment="1" applyProtection="1">
      <protection locked="0"/>
    </xf>
    <xf numFmtId="0" fontId="6" fillId="17" borderId="2" xfId="0" applyFont="1" applyFill="1" applyBorder="1" applyAlignment="1">
      <alignment horizontal="center"/>
    </xf>
    <xf numFmtId="0" fontId="6" fillId="17" borderId="5" xfId="0" applyFont="1" applyFill="1" applyBorder="1" applyAlignment="1">
      <alignment horizontal="center"/>
    </xf>
    <xf numFmtId="176" fontId="7" fillId="3" borderId="2" xfId="0" applyNumberFormat="1" applyFont="1" applyFill="1" applyBorder="1" applyAlignment="1">
      <alignment horizontal="center"/>
    </xf>
    <xf numFmtId="0" fontId="7" fillId="2" borderId="9" xfId="0" applyFont="1" applyFill="1" applyBorder="1"/>
    <xf numFmtId="0" fontId="7" fillId="2" borderId="5" xfId="0" applyFont="1" applyFill="1" applyBorder="1"/>
    <xf numFmtId="171" fontId="7" fillId="3" borderId="2" xfId="0" applyNumberFormat="1" applyFont="1" applyFill="1" applyBorder="1" applyAlignment="1">
      <alignment horizontal="center"/>
    </xf>
    <xf numFmtId="0" fontId="12" fillId="13" borderId="0" xfId="0" applyFont="1" applyFill="1"/>
    <xf numFmtId="0" fontId="7" fillId="13" borderId="0" xfId="0" applyFont="1" applyFill="1"/>
    <xf numFmtId="0" fontId="12" fillId="0" borderId="0" xfId="0" applyFont="1"/>
    <xf numFmtId="165" fontId="6" fillId="17" borderId="0" xfId="1" applyNumberFormat="1" applyFont="1" applyFill="1" applyProtection="1">
      <protection locked="0"/>
    </xf>
    <xf numFmtId="165" fontId="7" fillId="17" borderId="0" xfId="1" applyNumberFormat="1" applyFont="1" applyFill="1" applyProtection="1">
      <protection locked="0"/>
    </xf>
    <xf numFmtId="165" fontId="7" fillId="17" borderId="0" xfId="1" applyNumberFormat="1" applyFont="1" applyFill="1" applyAlignment="1" applyProtection="1">
      <alignment horizontal="center"/>
      <protection locked="0"/>
    </xf>
    <xf numFmtId="165" fontId="8" fillId="17" borderId="0" xfId="1" applyNumberFormat="1" applyFont="1" applyFill="1" applyProtection="1">
      <protection locked="0"/>
    </xf>
    <xf numFmtId="165" fontId="13" fillId="17" borderId="0" xfId="1" applyNumberFormat="1" applyFont="1" applyFill="1" applyProtection="1">
      <protection locked="0"/>
    </xf>
    <xf numFmtId="165" fontId="6" fillId="0" borderId="0" xfId="1" applyNumberFormat="1" applyFont="1" applyFill="1" applyProtection="1">
      <protection locked="0"/>
    </xf>
    <xf numFmtId="165" fontId="7" fillId="0" borderId="0" xfId="1" applyNumberFormat="1" applyFont="1" applyFill="1" applyProtection="1">
      <protection locked="0"/>
    </xf>
    <xf numFmtId="165" fontId="7" fillId="0" borderId="0" xfId="1" applyNumberFormat="1" applyFont="1" applyFill="1" applyAlignment="1" applyProtection="1">
      <alignment horizontal="center"/>
      <protection locked="0"/>
    </xf>
    <xf numFmtId="165" fontId="8" fillId="0" borderId="0" xfId="1" applyNumberFormat="1" applyFont="1" applyFill="1" applyProtection="1">
      <protection locked="0"/>
    </xf>
    <xf numFmtId="165" fontId="13" fillId="0" borderId="0" xfId="1" applyNumberFormat="1" applyFont="1" applyFill="1" applyProtection="1">
      <protection locked="0"/>
    </xf>
    <xf numFmtId="165" fontId="6" fillId="0" borderId="0" xfId="1" applyNumberFormat="1" applyFont="1" applyAlignment="1" applyProtection="1">
      <alignment horizontal="left"/>
      <protection locked="0"/>
    </xf>
    <xf numFmtId="165" fontId="7" fillId="0" borderId="0" xfId="1" applyNumberFormat="1" applyFont="1" applyFill="1" applyBorder="1" applyProtection="1">
      <protection locked="0"/>
    </xf>
    <xf numFmtId="165" fontId="7" fillId="0" borderId="0" xfId="1" applyNumberFormat="1" applyFont="1" applyFill="1" applyBorder="1" applyAlignment="1" applyProtection="1">
      <alignment horizontal="center"/>
      <protection locked="0"/>
    </xf>
    <xf numFmtId="9" fontId="6" fillId="0" borderId="0" xfId="2" applyFont="1" applyFill="1" applyBorder="1" applyProtection="1">
      <protection locked="0"/>
    </xf>
    <xf numFmtId="10" fontId="7" fillId="0" borderId="0" xfId="2" applyNumberFormat="1" applyFont="1" applyFill="1" applyBorder="1" applyProtection="1">
      <protection locked="0"/>
    </xf>
    <xf numFmtId="165" fontId="7" fillId="0" borderId="3" xfId="1" applyNumberFormat="1" applyFont="1" applyBorder="1" applyAlignment="1" applyProtection="1">
      <alignment horizontal="left"/>
      <protection locked="0"/>
    </xf>
    <xf numFmtId="165" fontId="6" fillId="0" borderId="3" xfId="1" applyNumberFormat="1" applyFont="1" applyBorder="1" applyProtection="1">
      <protection locked="0"/>
    </xf>
    <xf numFmtId="165" fontId="6" fillId="0" borderId="3" xfId="1" applyNumberFormat="1" applyFont="1" applyBorder="1" applyAlignment="1" applyProtection="1">
      <alignment horizontal="center"/>
      <protection locked="0"/>
    </xf>
    <xf numFmtId="166" fontId="8" fillId="16" borderId="3" xfId="2" applyNumberFormat="1" applyFont="1" applyFill="1" applyBorder="1" applyProtection="1">
      <protection locked="0"/>
    </xf>
    <xf numFmtId="166" fontId="8" fillId="0" borderId="3" xfId="2" applyNumberFormat="1" applyFont="1" applyFill="1" applyBorder="1" applyProtection="1">
      <protection locked="0"/>
    </xf>
    <xf numFmtId="166" fontId="28" fillId="3" borderId="3" xfId="2" applyNumberFormat="1" applyFont="1" applyFill="1" applyBorder="1" applyProtection="1">
      <protection locked="0"/>
    </xf>
    <xf numFmtId="0" fontId="27" fillId="5" borderId="0" xfId="0" applyFont="1" applyFill="1"/>
    <xf numFmtId="165" fontId="7" fillId="0" borderId="0" xfId="1" applyNumberFormat="1" applyFont="1" applyBorder="1" applyAlignment="1" applyProtection="1">
      <alignment horizontal="left"/>
      <protection locked="0"/>
    </xf>
    <xf numFmtId="165" fontId="7" fillId="0" borderId="0" xfId="1" applyNumberFormat="1" applyFont="1" applyBorder="1" applyProtection="1">
      <protection locked="0"/>
    </xf>
    <xf numFmtId="165" fontId="7" fillId="0" borderId="0" xfId="1" applyNumberFormat="1" applyFont="1" applyBorder="1" applyAlignment="1" applyProtection="1">
      <alignment horizontal="center"/>
      <protection locked="0"/>
    </xf>
    <xf numFmtId="166" fontId="8" fillId="0" borderId="0" xfId="2" applyNumberFormat="1" applyFont="1" applyFill="1" applyBorder="1" applyProtection="1">
      <protection locked="0"/>
    </xf>
    <xf numFmtId="166" fontId="29" fillId="3" borderId="0" xfId="2" applyNumberFormat="1" applyFont="1" applyFill="1" applyBorder="1" applyProtection="1">
      <protection locked="0"/>
    </xf>
    <xf numFmtId="165" fontId="7" fillId="0" borderId="0" xfId="1" applyNumberFormat="1" applyFont="1" applyFill="1" applyBorder="1" applyAlignment="1" applyProtection="1">
      <alignment horizontal="left"/>
      <protection locked="0"/>
    </xf>
    <xf numFmtId="165" fontId="19" fillId="0" borderId="0" xfId="1" applyNumberFormat="1" applyFont="1" applyBorder="1" applyProtection="1">
      <protection locked="0"/>
    </xf>
    <xf numFmtId="165" fontId="19" fillId="0" borderId="0" xfId="1" applyNumberFormat="1" applyFont="1" applyBorder="1" applyAlignment="1" applyProtection="1">
      <alignment horizontal="center"/>
      <protection locked="0"/>
    </xf>
    <xf numFmtId="165" fontId="7" fillId="0" borderId="1" xfId="1" applyNumberFormat="1" applyFont="1" applyBorder="1" applyAlignment="1" applyProtection="1">
      <alignment horizontal="left"/>
      <protection locked="0"/>
    </xf>
    <xf numFmtId="165" fontId="7" fillId="0" borderId="1" xfId="1" applyNumberFormat="1" applyFont="1" applyBorder="1" applyProtection="1">
      <protection locked="0"/>
    </xf>
    <xf numFmtId="9" fontId="13" fillId="0" borderId="1" xfId="2" applyFont="1" applyFill="1" applyBorder="1" applyAlignment="1" applyProtection="1">
      <alignment horizontal="center"/>
      <protection locked="0"/>
    </xf>
    <xf numFmtId="9" fontId="8" fillId="0" borderId="1" xfId="2" applyFont="1" applyFill="1" applyBorder="1" applyProtection="1">
      <protection locked="0"/>
    </xf>
    <xf numFmtId="166" fontId="29" fillId="3" borderId="1" xfId="2" applyNumberFormat="1" applyFont="1" applyFill="1" applyBorder="1" applyProtection="1">
      <protection locked="0"/>
    </xf>
    <xf numFmtId="165" fontId="7" fillId="0" borderId="0" xfId="1" applyNumberFormat="1" applyFont="1" applyAlignment="1" applyProtection="1">
      <alignment horizontal="left"/>
      <protection locked="0"/>
    </xf>
    <xf numFmtId="165" fontId="7" fillId="0" borderId="0" xfId="1" applyNumberFormat="1" applyFont="1" applyProtection="1">
      <protection locked="0"/>
    </xf>
    <xf numFmtId="9" fontId="13" fillId="0" borderId="0" xfId="2" applyFont="1" applyFill="1" applyAlignment="1" applyProtection="1">
      <alignment horizontal="center"/>
      <protection locked="0"/>
    </xf>
    <xf numFmtId="165" fontId="29" fillId="3" borderId="0" xfId="1" applyNumberFormat="1" applyFont="1" applyFill="1" applyProtection="1">
      <protection locked="0"/>
    </xf>
    <xf numFmtId="165" fontId="7" fillId="0" borderId="0" xfId="1" applyNumberFormat="1" applyFont="1" applyAlignment="1" applyProtection="1">
      <alignment horizontal="center"/>
      <protection locked="0"/>
    </xf>
    <xf numFmtId="166" fontId="8" fillId="0" borderId="0" xfId="2" applyNumberFormat="1" applyFont="1" applyFill="1" applyProtection="1">
      <protection locked="0"/>
    </xf>
    <xf numFmtId="166" fontId="29" fillId="3" borderId="0" xfId="2" applyNumberFormat="1" applyFont="1" applyFill="1" applyProtection="1">
      <protection locked="0"/>
    </xf>
    <xf numFmtId="187" fontId="8" fillId="0" borderId="0" xfId="1" applyNumberFormat="1" applyFont="1" applyFill="1" applyProtection="1">
      <protection locked="0"/>
    </xf>
    <xf numFmtId="187" fontId="29" fillId="3" borderId="0" xfId="1" applyNumberFormat="1" applyFont="1" applyFill="1" applyProtection="1">
      <protection locked="0"/>
    </xf>
    <xf numFmtId="165" fontId="13" fillId="3" borderId="0" xfId="1" applyNumberFormat="1" applyFont="1" applyFill="1" applyProtection="1">
      <protection locked="0"/>
    </xf>
    <xf numFmtId="10" fontId="7" fillId="3" borderId="0" xfId="2" applyNumberFormat="1" applyFont="1" applyFill="1" applyBorder="1" applyProtection="1">
      <protection locked="0"/>
    </xf>
    <xf numFmtId="166" fontId="29" fillId="3" borderId="3" xfId="2" applyNumberFormat="1" applyFont="1" applyFill="1" applyBorder="1" applyProtection="1">
      <protection locked="0"/>
    </xf>
    <xf numFmtId="166" fontId="8" fillId="0" borderId="1" xfId="2" applyNumberFormat="1" applyFont="1" applyFill="1" applyBorder="1" applyProtection="1">
      <protection locked="0"/>
    </xf>
    <xf numFmtId="165" fontId="8" fillId="0" borderId="1" xfId="1" applyNumberFormat="1" applyFont="1" applyFill="1" applyBorder="1" applyProtection="1">
      <protection locked="0"/>
    </xf>
    <xf numFmtId="165" fontId="7" fillId="0" borderId="0" xfId="1" applyNumberFormat="1" applyFont="1" applyAlignment="1" applyProtection="1">
      <alignment horizontal="left" vertical="top"/>
      <protection locked="0"/>
    </xf>
    <xf numFmtId="165" fontId="7" fillId="0" borderId="1" xfId="1" applyNumberFormat="1" applyFont="1" applyBorder="1" applyAlignment="1" applyProtection="1">
      <alignment horizontal="center"/>
      <protection locked="0"/>
    </xf>
    <xf numFmtId="165" fontId="29" fillId="3" borderId="1" xfId="1" applyNumberFormat="1" applyFont="1" applyFill="1" applyBorder="1" applyProtection="1">
      <protection locked="0"/>
    </xf>
    <xf numFmtId="165" fontId="8" fillId="0" borderId="0" xfId="1" applyNumberFormat="1" applyFont="1" applyFill="1" applyBorder="1" applyProtection="1">
      <protection locked="0"/>
    </xf>
    <xf numFmtId="165" fontId="13" fillId="0" borderId="0" xfId="1" applyNumberFormat="1" applyFont="1" applyFill="1" applyBorder="1" applyProtection="1">
      <protection locked="0"/>
    </xf>
    <xf numFmtId="165" fontId="6" fillId="0" borderId="0" xfId="1" applyNumberFormat="1" applyFont="1" applyProtection="1">
      <protection locked="0"/>
    </xf>
    <xf numFmtId="165" fontId="7" fillId="0" borderId="3" xfId="1" applyNumberFormat="1" applyFont="1" applyBorder="1" applyProtection="1">
      <protection locked="0"/>
    </xf>
    <xf numFmtId="166" fontId="6" fillId="7" borderId="3" xfId="2" applyNumberFormat="1" applyFont="1" applyFill="1" applyBorder="1" applyProtection="1">
      <protection locked="0"/>
    </xf>
    <xf numFmtId="166" fontId="6" fillId="7" borderId="0" xfId="2" applyNumberFormat="1" applyFont="1" applyFill="1" applyBorder="1" applyProtection="1">
      <protection locked="0"/>
    </xf>
    <xf numFmtId="166" fontId="6" fillId="7" borderId="1" xfId="2" applyNumberFormat="1" applyFont="1" applyFill="1" applyBorder="1" applyProtection="1">
      <protection locked="0"/>
    </xf>
    <xf numFmtId="165" fontId="6" fillId="7" borderId="0" xfId="1" applyNumberFormat="1" applyFont="1" applyFill="1" applyProtection="1">
      <protection locked="0"/>
    </xf>
    <xf numFmtId="166" fontId="6" fillId="7" borderId="0" xfId="2" applyNumberFormat="1" applyFont="1" applyFill="1" applyProtection="1">
      <protection locked="0"/>
    </xf>
    <xf numFmtId="0" fontId="7" fillId="0" borderId="1" xfId="0" applyFont="1" applyBorder="1"/>
    <xf numFmtId="0" fontId="7" fillId="5" borderId="0" xfId="0" applyFont="1" applyFill="1"/>
    <xf numFmtId="37" fontId="12" fillId="12" borderId="0" xfId="5" applyNumberFormat="1" applyFont="1" applyFill="1" applyAlignment="1">
      <alignment vertical="center"/>
    </xf>
    <xf numFmtId="37" fontId="23" fillId="0" borderId="0" xfId="5" applyNumberFormat="1" applyFont="1" applyAlignment="1">
      <alignment vertical="center"/>
    </xf>
    <xf numFmtId="167" fontId="23" fillId="0" borderId="0" xfId="5" applyNumberFormat="1" applyFont="1" applyAlignment="1">
      <alignment vertical="center"/>
    </xf>
    <xf numFmtId="0" fontId="14" fillId="0" borderId="0" xfId="5" applyFont="1" applyAlignment="1">
      <alignment horizontal="center"/>
    </xf>
    <xf numFmtId="165" fontId="30" fillId="0" borderId="0" xfId="3" applyNumberFormat="1" applyFont="1" applyFill="1" applyAlignment="1" applyProtection="1">
      <alignment horizontal="left"/>
      <protection locked="0"/>
    </xf>
    <xf numFmtId="165" fontId="30" fillId="0" borderId="0" xfId="3" applyNumberFormat="1" applyFont="1" applyFill="1" applyAlignment="1" applyProtection="1">
      <alignment horizontal="left" indent="1"/>
      <protection locked="0"/>
    </xf>
    <xf numFmtId="0" fontId="7" fillId="5" borderId="1" xfId="0" applyFont="1" applyFill="1" applyBorder="1"/>
    <xf numFmtId="0" fontId="12" fillId="9" borderId="0" xfId="0" applyFont="1" applyFill="1" applyAlignment="1">
      <alignment horizontal="left"/>
    </xf>
    <xf numFmtId="0" fontId="7" fillId="9" borderId="0" xfId="0" applyFont="1" applyFill="1"/>
    <xf numFmtId="167" fontId="7" fillId="3" borderId="0" xfId="0" applyNumberFormat="1" applyFont="1" applyFill="1"/>
    <xf numFmtId="0" fontId="7" fillId="3" borderId="0" xfId="0" applyFont="1" applyFill="1"/>
    <xf numFmtId="171" fontId="16" fillId="0" borderId="0" xfId="0" applyNumberFormat="1" applyFont="1" applyAlignment="1">
      <alignment vertical="center"/>
    </xf>
    <xf numFmtId="171" fontId="16" fillId="3" borderId="0" xfId="0" applyNumberFormat="1" applyFont="1" applyFill="1" applyAlignment="1">
      <alignment vertical="center"/>
    </xf>
    <xf numFmtId="2" fontId="7" fillId="0" borderId="0" xfId="0" applyNumberFormat="1" applyFont="1"/>
    <xf numFmtId="2" fontId="7" fillId="3" borderId="0" xfId="0" applyNumberFormat="1" applyFont="1" applyFill="1"/>
    <xf numFmtId="172" fontId="7" fillId="0" borderId="0" xfId="0" applyNumberFormat="1" applyFont="1"/>
    <xf numFmtId="172" fontId="7" fillId="3" borderId="0" xfId="0" applyNumberFormat="1" applyFont="1" applyFill="1"/>
    <xf numFmtId="167" fontId="7" fillId="5" borderId="0" xfId="0" applyNumberFormat="1" applyFont="1" applyFill="1"/>
    <xf numFmtId="0" fontId="7" fillId="0" borderId="13" xfId="0" applyFont="1" applyBorder="1"/>
    <xf numFmtId="0" fontId="7" fillId="0" borderId="23" xfId="0" applyFont="1" applyBorder="1"/>
    <xf numFmtId="173" fontId="15" fillId="0" borderId="0" xfId="0" applyNumberFormat="1" applyFont="1"/>
    <xf numFmtId="0" fontId="27" fillId="2" borderId="23" xfId="0" applyFont="1" applyFill="1" applyBorder="1"/>
    <xf numFmtId="175" fontId="14" fillId="0" borderId="0" xfId="0" applyNumberFormat="1" applyFont="1" applyAlignment="1">
      <alignment vertical="center"/>
    </xf>
    <xf numFmtId="0" fontId="14" fillId="0" borderId="0" xfId="0" quotePrefix="1" applyFont="1" applyAlignment="1">
      <alignment horizontal="right"/>
    </xf>
    <xf numFmtId="0" fontId="14" fillId="0" borderId="0" xfId="0" applyFont="1" applyAlignment="1">
      <alignment horizontal="right"/>
    </xf>
    <xf numFmtId="0" fontId="19" fillId="0" borderId="23" xfId="0" applyFont="1" applyBorder="1"/>
    <xf numFmtId="0" fontId="19" fillId="0" borderId="0" xfId="0" applyFont="1"/>
    <xf numFmtId="37" fontId="12" fillId="0" borderId="0" xfId="5" applyNumberFormat="1" applyFont="1" applyAlignment="1">
      <alignment vertical="center"/>
    </xf>
    <xf numFmtId="9" fontId="7" fillId="0" borderId="33" xfId="0" applyNumberFormat="1" applyFont="1" applyBorder="1"/>
    <xf numFmtId="10" fontId="7" fillId="0" borderId="33" xfId="0" applyNumberFormat="1" applyFont="1" applyBorder="1"/>
    <xf numFmtId="0" fontId="7" fillId="0" borderId="33" xfId="0" applyFont="1" applyBorder="1"/>
    <xf numFmtId="10" fontId="7" fillId="0" borderId="32" xfId="0" applyNumberFormat="1" applyFont="1" applyBorder="1"/>
    <xf numFmtId="0" fontId="7" fillId="0" borderId="30" xfId="0" applyFont="1" applyBorder="1"/>
    <xf numFmtId="0" fontId="7" fillId="0" borderId="3" xfId="0" applyFont="1" applyBorder="1"/>
    <xf numFmtId="0" fontId="7" fillId="0" borderId="31" xfId="0" applyFont="1" applyBorder="1"/>
    <xf numFmtId="0" fontId="7" fillId="15" borderId="0" xfId="0" applyFont="1" applyFill="1"/>
    <xf numFmtId="0" fontId="14" fillId="0" borderId="0" xfId="7" applyFont="1" applyAlignment="1">
      <alignment horizontal="right"/>
    </xf>
    <xf numFmtId="0" fontId="14" fillId="5" borderId="0" xfId="7" applyFont="1" applyFill="1" applyAlignment="1">
      <alignment horizontal="right" vertical="center"/>
    </xf>
    <xf numFmtId="37" fontId="12" fillId="8" borderId="0" xfId="7" applyNumberFormat="1" applyFont="1" applyFill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7" fillId="5" borderId="4" xfId="0" applyFont="1" applyFill="1" applyBorder="1"/>
    <xf numFmtId="0" fontId="7" fillId="5" borderId="5" xfId="0" applyFont="1" applyFill="1" applyBorder="1"/>
    <xf numFmtId="0" fontId="7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7" fillId="0" borderId="29" xfId="0" applyFont="1" applyBorder="1" applyAlignment="1">
      <alignment vertical="center"/>
    </xf>
    <xf numFmtId="169" fontId="7" fillId="0" borderId="0" xfId="1" applyNumberFormat="1" applyFont="1"/>
    <xf numFmtId="169" fontId="7" fillId="0" borderId="0" xfId="0" applyNumberFormat="1" applyFont="1"/>
    <xf numFmtId="166" fontId="8" fillId="18" borderId="3" xfId="2" applyNumberFormat="1" applyFont="1" applyFill="1" applyBorder="1" applyProtection="1">
      <protection locked="0"/>
    </xf>
    <xf numFmtId="187" fontId="6" fillId="7" borderId="0" xfId="1" applyNumberFormat="1" applyFont="1" applyFill="1" applyProtection="1">
      <protection locked="0"/>
    </xf>
    <xf numFmtId="1" fontId="12" fillId="2" borderId="19" xfId="5" applyNumberFormat="1" applyFont="1" applyFill="1" applyBorder="1" applyAlignment="1">
      <alignment horizontal="right" vertical="center"/>
    </xf>
    <xf numFmtId="188" fontId="7" fillId="3" borderId="0" xfId="0" applyNumberFormat="1" applyFont="1" applyFill="1"/>
    <xf numFmtId="0" fontId="7" fillId="19" borderId="0" xfId="0" applyFont="1" applyFill="1"/>
    <xf numFmtId="168" fontId="7" fillId="0" borderId="0" xfId="0" applyNumberFormat="1" applyFont="1"/>
    <xf numFmtId="189" fontId="7" fillId="0" borderId="30" xfId="0" applyNumberFormat="1" applyFont="1" applyBorder="1"/>
    <xf numFmtId="189" fontId="7" fillId="0" borderId="3" xfId="0" applyNumberFormat="1" applyFont="1" applyBorder="1"/>
    <xf numFmtId="189" fontId="7" fillId="0" borderId="31" xfId="0" applyNumberFormat="1" applyFont="1" applyBorder="1"/>
    <xf numFmtId="189" fontId="7" fillId="0" borderId="0" xfId="0" applyNumberFormat="1" applyFont="1"/>
    <xf numFmtId="189" fontId="7" fillId="15" borderId="0" xfId="0" applyNumberFormat="1" applyFont="1" applyFill="1"/>
    <xf numFmtId="189" fontId="7" fillId="3" borderId="0" xfId="0" applyNumberFormat="1" applyFont="1" applyFill="1"/>
    <xf numFmtId="10" fontId="7" fillId="0" borderId="0" xfId="0" applyNumberFormat="1" applyFont="1"/>
    <xf numFmtId="0" fontId="6" fillId="17" borderId="4" xfId="0" applyFont="1" applyFill="1" applyBorder="1" applyAlignment="1">
      <alignment horizontal="center"/>
    </xf>
    <xf numFmtId="176" fontId="27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5" fillId="5" borderId="0" xfId="8" applyFont="1" applyFill="1" applyAlignment="1">
      <alignment horizontal="center"/>
    </xf>
    <xf numFmtId="0" fontId="15" fillId="0" borderId="0" xfId="8" applyFont="1" applyAlignment="1">
      <alignment horizontal="center"/>
    </xf>
    <xf numFmtId="37" fontId="6" fillId="0" borderId="0" xfId="5" applyNumberFormat="1" applyFont="1" applyAlignment="1">
      <alignment horizontal="center" vertical="center"/>
    </xf>
    <xf numFmtId="37" fontId="12" fillId="0" borderId="0" xfId="5" applyNumberFormat="1" applyFont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165" fontId="12" fillId="13" borderId="10" xfId="1" applyNumberFormat="1" applyFont="1" applyFill="1" applyBorder="1" applyAlignment="1" applyProtection="1">
      <alignment horizontal="center" vertical="center"/>
      <protection locked="0"/>
    </xf>
    <xf numFmtId="165" fontId="12" fillId="13" borderId="12" xfId="1" applyNumberFormat="1" applyFont="1" applyFill="1" applyBorder="1" applyAlignment="1" applyProtection="1">
      <alignment horizontal="center" vertical="center"/>
      <protection locked="0"/>
    </xf>
    <xf numFmtId="165" fontId="12" fillId="13" borderId="6" xfId="1" applyNumberFormat="1" applyFont="1" applyFill="1" applyBorder="1" applyAlignment="1" applyProtection="1">
      <alignment horizontal="center" vertical="center"/>
      <protection locked="0"/>
    </xf>
    <xf numFmtId="165" fontId="12" fillId="13" borderId="7" xfId="1" applyNumberFormat="1" applyFont="1" applyFill="1" applyBorder="1" applyAlignment="1" applyProtection="1">
      <alignment horizontal="center" vertical="center"/>
      <protection locked="0"/>
    </xf>
  </cellXfs>
  <cellStyles count="9">
    <cellStyle name="Comma" xfId="1" builtinId="3"/>
    <cellStyle name="Comma 2" xfId="3" xr:uid="{30B63EB5-D76A-42E0-A4D6-A257182FBB86}"/>
    <cellStyle name="Comma 3" xfId="6" xr:uid="{ABFB7812-6D66-43AC-BF0C-1FB96E60D918}"/>
    <cellStyle name="Normal" xfId="0" builtinId="0"/>
    <cellStyle name="Normal 2" xfId="5" xr:uid="{F3BB301F-05B5-42E7-B57C-1385C449A59D}"/>
    <cellStyle name="Normal 2 2 2" xfId="7" xr:uid="{2D916432-4958-4DDA-8DE0-526F9F933C4D}"/>
    <cellStyle name="Normal_Master Junior Database v2" xfId="8" xr:uid="{A45CDE2F-016C-4354-8CF7-C78044017C7C}"/>
    <cellStyle name="Percent" xfId="2" builtinId="5"/>
    <cellStyle name="Percent 2" xfId="4" xr:uid="{510592D9-472C-4B62-B971-B0E2434F8761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0"/>
      </font>
      <fill>
        <patternFill>
          <bgColor rgb="FF9471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Link="$C$3" fmlaRange="$N$11:$N$13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</xdr:row>
          <xdr:rowOff>9525</xdr:rowOff>
        </xdr:from>
        <xdr:to>
          <xdr:col>3</xdr:col>
          <xdr:colOff>628650</xdr:colOff>
          <xdr:row>3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suke\Desktop\CFI\FMVA\Full%20Modell%20and%20Valuation.xlsx" TargetMode="External"/><Relationship Id="rId1" Type="http://schemas.openxmlformats.org/officeDocument/2006/relationships/externalLinkPath" Target="/Users/Sasuke/Desktop/CFI/FMVA/Full%20Modell%20and%20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D6">
            <v>365</v>
          </cell>
          <cell r="E6">
            <v>365</v>
          </cell>
          <cell r="F6">
            <v>365</v>
          </cell>
          <cell r="G6">
            <v>365</v>
          </cell>
          <cell r="H6">
            <v>365</v>
          </cell>
          <cell r="I6">
            <v>365</v>
          </cell>
          <cell r="J6">
            <v>365</v>
          </cell>
          <cell r="K6">
            <v>365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000FB-2ACD-4E2C-B4B5-8C76A627E976}">
  <dimension ref="A1:Q715"/>
  <sheetViews>
    <sheetView showGridLines="0" tabSelected="1" zoomScaleNormal="100" workbookViewId="0">
      <pane ySplit="3" topLeftCell="A408" activePane="bottomLeft" state="frozen"/>
      <selection pane="bottomLeft" activeCell="F423" sqref="F423"/>
    </sheetView>
  </sheetViews>
  <sheetFormatPr defaultRowHeight="15" outlineLevelRow="2"/>
  <cols>
    <col min="1" max="1" width="9.140625" style="45"/>
    <col min="2" max="2" width="41.5703125" style="45" bestFit="1" customWidth="1"/>
    <col min="3" max="3" width="13.5703125" style="45" bestFit="1" customWidth="1"/>
    <col min="4" max="4" width="9.7109375" style="45" bestFit="1" customWidth="1"/>
    <col min="5" max="5" width="11" style="45" bestFit="1" customWidth="1"/>
    <col min="6" max="6" width="10.42578125" style="45" bestFit="1" customWidth="1"/>
    <col min="7" max="7" width="10.28515625" style="45" customWidth="1"/>
    <col min="8" max="8" width="13.85546875" style="45" customWidth="1"/>
    <col min="9" max="9" width="12" style="45" bestFit="1" customWidth="1"/>
    <col min="10" max="10" width="10.28515625" style="45" customWidth="1"/>
    <col min="11" max="11" width="12.28515625" style="45" customWidth="1"/>
    <col min="12" max="12" width="13" style="45" bestFit="1" customWidth="1"/>
    <col min="13" max="16384" width="9.140625" style="45"/>
  </cols>
  <sheetData>
    <row r="1" spans="2:17" ht="18" customHeight="1">
      <c r="B1" s="370" t="s">
        <v>4</v>
      </c>
      <c r="C1" s="371"/>
      <c r="D1" s="371"/>
      <c r="E1" s="219"/>
      <c r="F1" s="219"/>
      <c r="G1" s="219"/>
      <c r="H1" s="220" t="s">
        <v>5</v>
      </c>
      <c r="I1" s="221"/>
      <c r="J1" s="221"/>
      <c r="K1" s="221"/>
      <c r="L1" s="222"/>
      <c r="M1" s="233"/>
      <c r="N1" s="233"/>
      <c r="O1" s="233"/>
      <c r="P1" s="233"/>
      <c r="Q1" s="233"/>
    </row>
    <row r="2" spans="2:17" ht="21" customHeight="1" thickBot="1">
      <c r="B2" s="372"/>
      <c r="C2" s="373"/>
      <c r="D2" s="373"/>
      <c r="E2" s="223">
        <v>2022</v>
      </c>
      <c r="F2" s="223">
        <f t="shared" ref="F2:L2" si="0">+E2+1</f>
        <v>2023</v>
      </c>
      <c r="G2" s="223">
        <f t="shared" si="0"/>
        <v>2024</v>
      </c>
      <c r="H2" s="224">
        <f>+G2+1</f>
        <v>2025</v>
      </c>
      <c r="I2" s="224">
        <f t="shared" si="0"/>
        <v>2026</v>
      </c>
      <c r="J2" s="224">
        <f t="shared" si="0"/>
        <v>2027</v>
      </c>
      <c r="K2" s="224">
        <f t="shared" si="0"/>
        <v>2028</v>
      </c>
      <c r="L2" s="225">
        <f t="shared" si="0"/>
        <v>2029</v>
      </c>
      <c r="M2" s="233"/>
      <c r="N2" s="233"/>
      <c r="O2" s="233"/>
      <c r="P2" s="233"/>
      <c r="Q2" s="233"/>
    </row>
    <row r="3" spans="2:17" ht="15.75" thickBot="1">
      <c r="B3" s="226" t="s">
        <v>2</v>
      </c>
      <c r="C3" s="368">
        <v>1</v>
      </c>
      <c r="D3" s="369"/>
      <c r="E3" s="227" t="s">
        <v>197</v>
      </c>
      <c r="F3" s="228">
        <f>E339</f>
        <v>7.25</v>
      </c>
      <c r="G3" s="229"/>
      <c r="H3" s="360" t="s">
        <v>198</v>
      </c>
      <c r="I3" s="228">
        <f>E338</f>
        <v>9.2841846612853658</v>
      </c>
      <c r="J3" s="230"/>
      <c r="K3" s="360" t="str">
        <f>IF(L3&gt;0,"Upside","Downside")</f>
        <v>Upside</v>
      </c>
      <c r="L3" s="231">
        <f>E340</f>
        <v>0.28057719466005038</v>
      </c>
      <c r="M3" s="233"/>
      <c r="N3" s="233"/>
      <c r="O3" s="233"/>
      <c r="P3" s="233"/>
      <c r="Q3" s="233"/>
    </row>
    <row r="5" spans="2:17">
      <c r="B5" s="232" t="s">
        <v>3</v>
      </c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3"/>
      <c r="N5" s="233"/>
      <c r="O5" s="233"/>
      <c r="P5" s="233"/>
      <c r="Q5" s="233"/>
    </row>
    <row r="6" spans="2:17" outlineLevel="1"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</row>
    <row r="7" spans="2:17" outlineLevel="1">
      <c r="B7" s="235" t="s">
        <v>19</v>
      </c>
      <c r="C7" s="236"/>
      <c r="D7" s="237"/>
      <c r="E7" s="238"/>
      <c r="F7" s="238"/>
      <c r="G7" s="238"/>
      <c r="H7" s="239"/>
      <c r="I7" s="239"/>
      <c r="J7" s="239"/>
      <c r="K7" s="239"/>
      <c r="L7" s="239"/>
      <c r="M7" s="239"/>
      <c r="N7" s="239"/>
      <c r="O7" s="239"/>
      <c r="P7" s="239"/>
      <c r="Q7" s="239"/>
    </row>
    <row r="8" spans="2:17" outlineLevel="2">
      <c r="B8" s="240"/>
      <c r="C8" s="241"/>
      <c r="D8" s="242"/>
      <c r="E8" s="243"/>
      <c r="F8" s="243"/>
      <c r="G8" s="243"/>
      <c r="H8" s="244"/>
      <c r="I8" s="244"/>
      <c r="J8" s="244"/>
      <c r="K8" s="244"/>
      <c r="L8" s="244"/>
    </row>
    <row r="9" spans="2:17" outlineLevel="2">
      <c r="B9" s="245" t="s">
        <v>7</v>
      </c>
      <c r="C9" s="246"/>
      <c r="D9" s="247"/>
      <c r="E9" s="246"/>
      <c r="F9" s="246"/>
      <c r="G9" s="248"/>
      <c r="H9" s="249"/>
      <c r="I9" s="249"/>
      <c r="J9" s="249"/>
      <c r="K9" s="249"/>
      <c r="L9" s="249"/>
    </row>
    <row r="10" spans="2:17" outlineLevel="2">
      <c r="B10" s="250" t="s">
        <v>8</v>
      </c>
      <c r="C10" s="251"/>
      <c r="D10" s="252"/>
      <c r="E10" s="253"/>
      <c r="F10" s="254">
        <f>F98/E98-1</f>
        <v>6.4798211785512594E-2</v>
      </c>
      <c r="G10" s="254">
        <f>G98/F98-1</f>
        <v>7.3680131029550733E-2</v>
      </c>
      <c r="H10" s="255">
        <v>0.06</v>
      </c>
      <c r="I10" s="255">
        <v>0.06</v>
      </c>
      <c r="J10" s="255">
        <v>0.06</v>
      </c>
      <c r="K10" s="255">
        <v>0.06</v>
      </c>
      <c r="L10" s="255">
        <v>0.06</v>
      </c>
      <c r="N10" s="297"/>
      <c r="O10" s="297"/>
    </row>
    <row r="11" spans="2:17" outlineLevel="2">
      <c r="B11" s="257" t="s">
        <v>9</v>
      </c>
      <c r="C11" s="258"/>
      <c r="D11" s="259"/>
      <c r="E11" s="260">
        <f>-$E99/E98</f>
        <v>0.46819041536685418</v>
      </c>
      <c r="F11" s="260">
        <f>-F99/F98</f>
        <v>0.43548870792867195</v>
      </c>
      <c r="G11" s="260">
        <f t="shared" ref="G11" si="1">-G99/G98</f>
        <v>0.42582878269882274</v>
      </c>
      <c r="H11" s="261">
        <v>0.45</v>
      </c>
      <c r="I11" s="261">
        <v>0.45</v>
      </c>
      <c r="J11" s="261">
        <v>0.45</v>
      </c>
      <c r="K11" s="261">
        <v>0.45</v>
      </c>
      <c r="L11" s="261">
        <v>0.45</v>
      </c>
      <c r="N11" s="256" t="s">
        <v>7</v>
      </c>
      <c r="O11" s="256"/>
    </row>
    <row r="12" spans="2:17" outlineLevel="2">
      <c r="B12" s="257" t="s">
        <v>218</v>
      </c>
      <c r="C12" s="258"/>
      <c r="D12" s="259"/>
      <c r="E12" s="260">
        <f>-E102/E$98</f>
        <v>7.2265481073911231E-2</v>
      </c>
      <c r="F12" s="260">
        <f t="shared" ref="F12:G14" si="2">-F102/F$98</f>
        <v>7.4061685390666446E-2</v>
      </c>
      <c r="G12" s="260">
        <f t="shared" si="2"/>
        <v>6.624003286426132E-2</v>
      </c>
      <c r="H12" s="261">
        <f>(F12+G12)/2</f>
        <v>7.0150859127463883E-2</v>
      </c>
      <c r="I12" s="261">
        <f t="shared" ref="I12:I22" si="3">(G12+H12)/2</f>
        <v>6.8195445995862608E-2</v>
      </c>
      <c r="J12" s="261">
        <f t="shared" ref="J12:K22" si="4">(H12+I12)/2</f>
        <v>6.9173152561663245E-2</v>
      </c>
      <c r="K12" s="261">
        <f t="shared" si="4"/>
        <v>6.8684299278762934E-2</v>
      </c>
      <c r="L12" s="261">
        <f t="shared" ref="L12:L22" si="5">(J12+K12)/2</f>
        <v>6.8928725920213096E-2</v>
      </c>
      <c r="N12" s="256" t="s">
        <v>231</v>
      </c>
      <c r="O12" s="256"/>
    </row>
    <row r="13" spans="2:17" outlineLevel="2">
      <c r="B13" s="257" t="s">
        <v>219</v>
      </c>
      <c r="C13" s="258"/>
      <c r="D13" s="259"/>
      <c r="E13" s="260">
        <f>-E103/E$98</f>
        <v>0.28870575520129693</v>
      </c>
      <c r="F13" s="260">
        <f t="shared" si="2"/>
        <v>0.30645458949456733</v>
      </c>
      <c r="G13" s="260">
        <f t="shared" si="2"/>
        <v>0.33120016432130661</v>
      </c>
      <c r="H13" s="261">
        <f t="shared" ref="H13:H16" si="6">(F13+G13)/2</f>
        <v>0.31882737690793694</v>
      </c>
      <c r="I13" s="261">
        <f t="shared" si="3"/>
        <v>0.32501377061462178</v>
      </c>
      <c r="J13" s="261">
        <f t="shared" si="4"/>
        <v>0.32192057376127936</v>
      </c>
      <c r="K13" s="261">
        <f t="shared" ref="K13:K22" si="7">(I13+J13)/2</f>
        <v>0.32346717218795057</v>
      </c>
      <c r="L13" s="261">
        <f t="shared" si="5"/>
        <v>0.32269387297461494</v>
      </c>
      <c r="N13" s="256" t="s">
        <v>232</v>
      </c>
      <c r="O13" s="256"/>
    </row>
    <row r="14" spans="2:17" outlineLevel="2">
      <c r="B14" s="262" t="s">
        <v>220</v>
      </c>
      <c r="C14" s="258"/>
      <c r="D14" s="259"/>
      <c r="E14" s="260">
        <f>-E104/E$98</f>
        <v>2.1664906290683107E-2</v>
      </c>
      <c r="F14" s="260">
        <f t="shared" si="2"/>
        <v>2.2272716787007773E-2</v>
      </c>
      <c r="G14" s="260">
        <f t="shared" si="2"/>
        <v>2.176458222682872E-2</v>
      </c>
      <c r="H14" s="261">
        <f t="shared" si="6"/>
        <v>2.2018649506918245E-2</v>
      </c>
      <c r="I14" s="261">
        <f t="shared" si="3"/>
        <v>2.1891615866873482E-2</v>
      </c>
      <c r="J14" s="261">
        <f t="shared" si="4"/>
        <v>2.1955132686895862E-2</v>
      </c>
      <c r="K14" s="261">
        <f t="shared" si="7"/>
        <v>2.192337427688467E-2</v>
      </c>
      <c r="L14" s="261">
        <f t="shared" si="5"/>
        <v>2.1939253481890266E-2</v>
      </c>
      <c r="N14" s="297"/>
      <c r="O14" s="297"/>
    </row>
    <row r="15" spans="2:17" outlineLevel="2">
      <c r="B15" s="257" t="s">
        <v>228</v>
      </c>
      <c r="C15" s="258"/>
      <c r="D15" s="259"/>
      <c r="E15" s="260">
        <f>-E105/E98</f>
        <v>3.6353811009309525E-2</v>
      </c>
      <c r="F15" s="260">
        <f t="shared" ref="F15:G15" si="8">-F105/F98</f>
        <v>3.2330618930079123E-2</v>
      </c>
      <c r="G15" s="260">
        <f t="shared" si="8"/>
        <v>3.1227444064580338E-2</v>
      </c>
      <c r="H15" s="261">
        <f>(F15+G15)/2</f>
        <v>3.1779031497329732E-2</v>
      </c>
      <c r="I15" s="261">
        <f t="shared" si="3"/>
        <v>3.1503237780955033E-2</v>
      </c>
      <c r="J15" s="261">
        <f t="shared" si="4"/>
        <v>3.1641134639142379E-2</v>
      </c>
      <c r="K15" s="261">
        <f t="shared" si="7"/>
        <v>3.1572186210048703E-2</v>
      </c>
      <c r="L15" s="261">
        <f t="shared" si="5"/>
        <v>3.1606660424595541E-2</v>
      </c>
      <c r="N15" s="297"/>
      <c r="O15" s="297"/>
    </row>
    <row r="16" spans="2:17" outlineLevel="2">
      <c r="B16" s="257" t="s">
        <v>11</v>
      </c>
      <c r="C16" s="263"/>
      <c r="D16" s="264"/>
      <c r="E16" s="260">
        <f>-E108/E135</f>
        <v>6.2E-2</v>
      </c>
      <c r="F16" s="260">
        <f t="shared" ref="F16:G16" si="9">-F108/F135</f>
        <v>6.2E-2</v>
      </c>
      <c r="G16" s="260">
        <f t="shared" si="9"/>
        <v>6.2E-2</v>
      </c>
      <c r="H16" s="261">
        <f t="shared" si="6"/>
        <v>6.2E-2</v>
      </c>
      <c r="I16" s="261">
        <f t="shared" si="3"/>
        <v>6.2E-2</v>
      </c>
      <c r="J16" s="261">
        <f t="shared" si="4"/>
        <v>6.2E-2</v>
      </c>
      <c r="K16" s="261">
        <f t="shared" si="7"/>
        <v>6.2E-2</v>
      </c>
      <c r="L16" s="261">
        <f t="shared" si="5"/>
        <v>6.2E-2</v>
      </c>
    </row>
    <row r="17" spans="2:12" outlineLevel="2">
      <c r="B17" s="265" t="s">
        <v>12</v>
      </c>
      <c r="C17" s="266"/>
      <c r="D17" s="267"/>
      <c r="E17" s="268">
        <f>-E111/E109</f>
        <v>0.347470425371256</v>
      </c>
      <c r="F17" s="268">
        <f t="shared" ref="F17:G17" si="10">-F111/F109</f>
        <v>0.24343555822810181</v>
      </c>
      <c r="G17" s="268">
        <f t="shared" si="10"/>
        <v>0.15276420725750778</v>
      </c>
      <c r="H17" s="269">
        <f>(F17+G17)/2</f>
        <v>0.19809988274280479</v>
      </c>
      <c r="I17" s="269">
        <f t="shared" si="3"/>
        <v>0.1754320450001563</v>
      </c>
      <c r="J17" s="269">
        <f t="shared" si="4"/>
        <v>0.18676596387148053</v>
      </c>
      <c r="K17" s="269">
        <f t="shared" si="7"/>
        <v>0.18109900443581842</v>
      </c>
      <c r="L17" s="269">
        <f t="shared" si="5"/>
        <v>0.18393248415364949</v>
      </c>
    </row>
    <row r="18" spans="2:12" outlineLevel="2">
      <c r="B18" s="270" t="s">
        <v>13</v>
      </c>
      <c r="C18" s="271"/>
      <c r="D18" s="272"/>
      <c r="E18" s="243">
        <f>(E122/E98)*365</f>
        <v>56.864545208911593</v>
      </c>
      <c r="F18" s="243">
        <f t="shared" ref="F18:G18" si="11">(F122/F98)*365</f>
        <v>59.251770513737341</v>
      </c>
      <c r="G18" s="243">
        <f t="shared" si="11"/>
        <v>57.723457210284863</v>
      </c>
      <c r="H18" s="273">
        <f>H185</f>
        <v>58.487613862011102</v>
      </c>
      <c r="I18" s="273">
        <f t="shared" si="3"/>
        <v>58.105535536147983</v>
      </c>
      <c r="J18" s="273">
        <f t="shared" si="4"/>
        <v>58.296574699079542</v>
      </c>
      <c r="K18" s="273">
        <f t="shared" si="7"/>
        <v>58.201055117613762</v>
      </c>
      <c r="L18" s="273">
        <f t="shared" si="5"/>
        <v>58.248814908346652</v>
      </c>
    </row>
    <row r="19" spans="2:12" outlineLevel="2">
      <c r="B19" s="270" t="s">
        <v>14</v>
      </c>
      <c r="C19" s="271"/>
      <c r="D19" s="272"/>
      <c r="E19" s="243">
        <f>(E123/-E99)*365</f>
        <v>68.631987618373074</v>
      </c>
      <c r="F19" s="243">
        <f t="shared" ref="F19:G19" si="12">(F123/-F99)*365</f>
        <v>74.351493802309562</v>
      </c>
      <c r="G19" s="243">
        <f t="shared" si="12"/>
        <v>74</v>
      </c>
      <c r="H19" s="273">
        <f t="shared" ref="H19:H20" si="13">H186</f>
        <v>74.175746901154781</v>
      </c>
      <c r="I19" s="273">
        <f t="shared" ref="I19:I21" si="14">(G19+H19)/2</f>
        <v>74.087873450577391</v>
      </c>
      <c r="J19" s="273">
        <f t="shared" ref="J19:J21" si="15">(H19+I19)/2</f>
        <v>74.131810175866093</v>
      </c>
      <c r="K19" s="273">
        <f t="shared" ref="K19:K21" si="16">(I19+J19)/2</f>
        <v>74.109841813221749</v>
      </c>
      <c r="L19" s="273">
        <f t="shared" ref="L19:L21" si="17">(J19+K19)/2</f>
        <v>74.120825994543921</v>
      </c>
    </row>
    <row r="20" spans="2:12" outlineLevel="2">
      <c r="B20" s="270" t="s">
        <v>15</v>
      </c>
      <c r="C20" s="271"/>
      <c r="D20" s="274"/>
      <c r="E20" s="243">
        <f>(E131/-E99)*365</f>
        <v>95.757325358726149</v>
      </c>
      <c r="F20" s="243">
        <f t="shared" ref="F20" si="18">(F131/-F99)*365</f>
        <v>101.54571458840979</v>
      </c>
      <c r="G20" s="243">
        <f>(G131/-G99)*365</f>
        <v>102</v>
      </c>
      <c r="H20" s="273">
        <f t="shared" si="13"/>
        <v>101.7728572942049</v>
      </c>
      <c r="I20" s="273">
        <f t="shared" si="14"/>
        <v>101.88642864710245</v>
      </c>
      <c r="J20" s="273">
        <f t="shared" si="15"/>
        <v>101.82964297065368</v>
      </c>
      <c r="K20" s="273">
        <f t="shared" si="16"/>
        <v>101.85803580887807</v>
      </c>
      <c r="L20" s="273">
        <f t="shared" si="17"/>
        <v>101.84383938976588</v>
      </c>
    </row>
    <row r="21" spans="2:12" outlineLevel="2">
      <c r="B21" s="270" t="s">
        <v>204</v>
      </c>
      <c r="C21" s="271"/>
      <c r="D21" s="274"/>
      <c r="E21" s="275">
        <f>E132/-E111</f>
        <v>0.39406012314378847</v>
      </c>
      <c r="F21" s="275">
        <f t="shared" ref="F21:G21" si="19">F132/-F111</f>
        <v>0.36805269658295597</v>
      </c>
      <c r="G21" s="275">
        <f t="shared" si="19"/>
        <v>0.37002475352237196</v>
      </c>
      <c r="H21" s="276">
        <f>(F21+G21)/2</f>
        <v>0.369038725052664</v>
      </c>
      <c r="I21" s="276">
        <f t="shared" si="14"/>
        <v>0.36953173928751798</v>
      </c>
      <c r="J21" s="276">
        <f t="shared" si="15"/>
        <v>0.36928523217009102</v>
      </c>
      <c r="K21" s="276">
        <f t="shared" si="16"/>
        <v>0.36940848572880447</v>
      </c>
      <c r="L21" s="276">
        <f t="shared" si="17"/>
        <v>0.36934685894944774</v>
      </c>
    </row>
    <row r="22" spans="2:12" outlineLevel="2">
      <c r="B22" s="270" t="s">
        <v>16</v>
      </c>
      <c r="C22" s="271"/>
      <c r="D22" s="274"/>
      <c r="E22" s="243">
        <f>-E162</f>
        <v>3004.9999999999973</v>
      </c>
      <c r="F22" s="243">
        <f t="shared" ref="F22:G22" si="20">-F162</f>
        <v>3911.0000000000018</v>
      </c>
      <c r="G22" s="243">
        <f t="shared" si="20"/>
        <v>3710.8353600000046</v>
      </c>
      <c r="H22" s="273">
        <f>(F22+G22)/2</f>
        <v>3810.9176800000032</v>
      </c>
      <c r="I22" s="273">
        <f t="shared" si="3"/>
        <v>3760.8765200000039</v>
      </c>
      <c r="J22" s="273">
        <f t="shared" si="4"/>
        <v>3785.8971000000038</v>
      </c>
      <c r="K22" s="273">
        <f t="shared" si="7"/>
        <v>3773.3868100000036</v>
      </c>
      <c r="L22" s="273">
        <f t="shared" si="5"/>
        <v>3779.6419550000037</v>
      </c>
    </row>
    <row r="23" spans="2:12" outlineLevel="2">
      <c r="B23" s="270" t="s">
        <v>209</v>
      </c>
      <c r="C23" s="271"/>
      <c r="D23" s="274"/>
      <c r="E23" s="277">
        <f>E98/E126</f>
        <v>4.2268597830036869</v>
      </c>
      <c r="F23" s="277">
        <f t="shared" ref="F23:G23" si="21">F98/F126</f>
        <v>4.2559520887536202</v>
      </c>
      <c r="G23" s="277">
        <f t="shared" si="21"/>
        <v>4.3960292798110974</v>
      </c>
      <c r="H23" s="278">
        <f>(F23+G23)/2</f>
        <v>4.3259906842823588</v>
      </c>
      <c r="I23" s="278">
        <f t="shared" ref="I23" si="22">(G23+H23)/2</f>
        <v>4.3610099820467276</v>
      </c>
      <c r="J23" s="278">
        <f t="shared" ref="J23" si="23">(H23+I23)/2</f>
        <v>4.3435003331645436</v>
      </c>
      <c r="K23" s="278">
        <f t="shared" ref="K23" si="24">(I23+J23)/2</f>
        <v>4.3522551576056356</v>
      </c>
      <c r="L23" s="278">
        <f t="shared" ref="L23" si="25">(J23+K23)/2</f>
        <v>4.3478777453850892</v>
      </c>
    </row>
    <row r="24" spans="2:12" outlineLevel="2">
      <c r="B24" s="26" t="s">
        <v>222</v>
      </c>
      <c r="C24" s="271"/>
      <c r="D24" s="274"/>
      <c r="E24" s="243">
        <f>E135</f>
        <v>20000</v>
      </c>
      <c r="F24" s="243">
        <f t="shared" ref="F24:G24" si="26">F135</f>
        <v>20000</v>
      </c>
      <c r="G24" s="243">
        <f t="shared" si="26"/>
        <v>20000</v>
      </c>
      <c r="H24" s="273">
        <f>20000</f>
        <v>20000</v>
      </c>
      <c r="I24" s="273">
        <f>20000</f>
        <v>20000</v>
      </c>
      <c r="J24" s="273">
        <f>20000</f>
        <v>20000</v>
      </c>
      <c r="K24" s="273">
        <f>20000</f>
        <v>20000</v>
      </c>
      <c r="L24" s="273">
        <f>20000</f>
        <v>20000</v>
      </c>
    </row>
    <row r="25" spans="2:12" outlineLevel="2">
      <c r="B25" s="26" t="s">
        <v>223</v>
      </c>
      <c r="C25" s="271"/>
      <c r="D25" s="274"/>
      <c r="E25" s="243">
        <f>E139</f>
        <v>7627</v>
      </c>
      <c r="F25" s="243">
        <f t="shared" ref="F25:G25" si="27">F139</f>
        <v>7627</v>
      </c>
      <c r="G25" s="243">
        <f t="shared" si="27"/>
        <v>7627</v>
      </c>
      <c r="H25" s="273">
        <v>7627</v>
      </c>
      <c r="I25" s="273">
        <v>7627</v>
      </c>
      <c r="J25" s="273">
        <v>7627</v>
      </c>
      <c r="K25" s="273">
        <v>7627</v>
      </c>
      <c r="L25" s="273">
        <v>7627</v>
      </c>
    </row>
    <row r="26" spans="2:12" outlineLevel="2">
      <c r="B26" s="26" t="s">
        <v>224</v>
      </c>
      <c r="C26" s="271"/>
      <c r="D26" s="274"/>
      <c r="E26" s="275">
        <f>E114/E112</f>
        <v>0.83162970106075218</v>
      </c>
      <c r="F26" s="275">
        <f t="shared" ref="F26:G26" si="28">F114/F112</f>
        <v>0.55755729235660356</v>
      </c>
      <c r="G26" s="275">
        <f t="shared" si="28"/>
        <v>0.33657673104707847</v>
      </c>
      <c r="H26" s="276">
        <f>(F26+G26)/2</f>
        <v>0.44706701170184104</v>
      </c>
      <c r="I26" s="276">
        <f t="shared" ref="I26:L26" si="29">(G26+H26)/2</f>
        <v>0.39182187137445978</v>
      </c>
      <c r="J26" s="276">
        <f t="shared" si="29"/>
        <v>0.41944444153815041</v>
      </c>
      <c r="K26" s="276">
        <f t="shared" si="29"/>
        <v>0.4056331564563051</v>
      </c>
      <c r="L26" s="276">
        <f t="shared" si="29"/>
        <v>0.41253879899722778</v>
      </c>
    </row>
    <row r="27" spans="2:12" outlineLevel="2">
      <c r="B27" s="270" t="s">
        <v>17</v>
      </c>
      <c r="C27" s="271"/>
      <c r="D27" s="274"/>
      <c r="E27" s="243">
        <v>0</v>
      </c>
      <c r="F27" s="243">
        <v>0</v>
      </c>
      <c r="G27" s="243">
        <v>0</v>
      </c>
      <c r="H27" s="273">
        <v>0</v>
      </c>
      <c r="I27" s="273">
        <v>0</v>
      </c>
      <c r="J27" s="273">
        <v>0</v>
      </c>
      <c r="K27" s="273">
        <v>0</v>
      </c>
      <c r="L27" s="273">
        <v>0</v>
      </c>
    </row>
    <row r="28" spans="2:12" outlineLevel="2">
      <c r="B28" s="270" t="s">
        <v>18</v>
      </c>
      <c r="C28" s="271"/>
      <c r="D28" s="274"/>
      <c r="E28" s="243">
        <v>0</v>
      </c>
      <c r="F28" s="243">
        <v>0</v>
      </c>
      <c r="G28" s="243">
        <v>0</v>
      </c>
      <c r="H28" s="279">
        <v>0</v>
      </c>
      <c r="I28" s="279">
        <v>0</v>
      </c>
      <c r="J28" s="279">
        <v>0</v>
      </c>
      <c r="K28" s="279">
        <v>0</v>
      </c>
      <c r="L28" s="279">
        <v>0</v>
      </c>
    </row>
    <row r="29" spans="2:12" outlineLevel="2">
      <c r="B29" s="270"/>
      <c r="C29" s="271"/>
      <c r="D29" s="274"/>
      <c r="E29" s="243"/>
      <c r="F29" s="243"/>
      <c r="G29" s="243"/>
      <c r="H29" s="279"/>
      <c r="I29" s="279"/>
      <c r="J29" s="279"/>
      <c r="K29" s="279"/>
      <c r="L29" s="279"/>
    </row>
    <row r="30" spans="2:12" outlineLevel="2">
      <c r="B30" s="245" t="s">
        <v>231</v>
      </c>
      <c r="C30" s="246"/>
      <c r="D30" s="247"/>
      <c r="E30" s="246"/>
      <c r="F30" s="246"/>
      <c r="G30" s="248"/>
      <c r="H30" s="280"/>
      <c r="I30" s="280"/>
      <c r="J30" s="280"/>
      <c r="K30" s="280"/>
      <c r="L30" s="280"/>
    </row>
    <row r="31" spans="2:12" outlineLevel="2">
      <c r="B31" s="250" t="s">
        <v>8</v>
      </c>
      <c r="C31" s="251"/>
      <c r="D31" s="252"/>
      <c r="E31" s="347"/>
      <c r="F31" s="254"/>
      <c r="G31" s="254"/>
      <c r="H31" s="281">
        <f t="shared" ref="H31:H38" si="30">H10-2%</f>
        <v>3.9999999999999994E-2</v>
      </c>
      <c r="I31" s="281">
        <f t="shared" ref="I31:L31" si="31">I10-2%</f>
        <v>3.9999999999999994E-2</v>
      </c>
      <c r="J31" s="281">
        <f t="shared" si="31"/>
        <v>3.9999999999999994E-2</v>
      </c>
      <c r="K31" s="281">
        <f t="shared" si="31"/>
        <v>3.9999999999999994E-2</v>
      </c>
      <c r="L31" s="281">
        <f t="shared" si="31"/>
        <v>3.9999999999999994E-2</v>
      </c>
    </row>
    <row r="32" spans="2:12" outlineLevel="2">
      <c r="B32" s="257" t="s">
        <v>9</v>
      </c>
      <c r="C32" s="258"/>
      <c r="D32" s="259"/>
      <c r="E32" s="260"/>
      <c r="F32" s="260"/>
      <c r="G32" s="260"/>
      <c r="H32" s="261">
        <f t="shared" si="30"/>
        <v>0.43</v>
      </c>
      <c r="I32" s="261">
        <f t="shared" ref="I32:L38" si="32">I11-2%</f>
        <v>0.43</v>
      </c>
      <c r="J32" s="261">
        <f t="shared" si="32"/>
        <v>0.43</v>
      </c>
      <c r="K32" s="261">
        <f t="shared" si="32"/>
        <v>0.43</v>
      </c>
      <c r="L32" s="261">
        <f t="shared" si="32"/>
        <v>0.43</v>
      </c>
    </row>
    <row r="33" spans="2:12" outlineLevel="2">
      <c r="B33" s="257" t="s">
        <v>218</v>
      </c>
      <c r="C33" s="258"/>
      <c r="D33" s="259"/>
      <c r="E33" s="260"/>
      <c r="F33" s="260"/>
      <c r="G33" s="260"/>
      <c r="H33" s="261">
        <f t="shared" si="30"/>
        <v>5.0150859127463879E-2</v>
      </c>
      <c r="I33" s="261">
        <f t="shared" si="32"/>
        <v>4.8195445995862604E-2</v>
      </c>
      <c r="J33" s="261">
        <f t="shared" si="32"/>
        <v>4.9173152561663241E-2</v>
      </c>
      <c r="K33" s="261">
        <f t="shared" si="32"/>
        <v>4.868429927876293E-2</v>
      </c>
      <c r="L33" s="261">
        <f t="shared" si="32"/>
        <v>4.8928725920213093E-2</v>
      </c>
    </row>
    <row r="34" spans="2:12" outlineLevel="2">
      <c r="B34" s="257" t="s">
        <v>219</v>
      </c>
      <c r="C34" s="258"/>
      <c r="D34" s="259"/>
      <c r="E34" s="260"/>
      <c r="F34" s="260"/>
      <c r="G34" s="260"/>
      <c r="H34" s="261">
        <f t="shared" si="30"/>
        <v>0.29882737690793693</v>
      </c>
      <c r="I34" s="261">
        <f t="shared" si="32"/>
        <v>0.30501377061462176</v>
      </c>
      <c r="J34" s="261">
        <f t="shared" si="32"/>
        <v>0.30192057376127934</v>
      </c>
      <c r="K34" s="261">
        <f t="shared" si="32"/>
        <v>0.30346717218795055</v>
      </c>
      <c r="L34" s="261">
        <f t="shared" si="32"/>
        <v>0.30269387297461492</v>
      </c>
    </row>
    <row r="35" spans="2:12" outlineLevel="2">
      <c r="B35" s="262" t="s">
        <v>220</v>
      </c>
      <c r="C35" s="258"/>
      <c r="D35" s="259"/>
      <c r="E35" s="260"/>
      <c r="F35" s="260"/>
      <c r="G35" s="260"/>
      <c r="H35" s="261">
        <f t="shared" si="30"/>
        <v>2.0186495069182443E-3</v>
      </c>
      <c r="I35" s="261">
        <f t="shared" si="32"/>
        <v>1.891615866873482E-3</v>
      </c>
      <c r="J35" s="261">
        <f t="shared" si="32"/>
        <v>1.9551326868958614E-3</v>
      </c>
      <c r="K35" s="261">
        <f t="shared" si="32"/>
        <v>1.92337427688467E-3</v>
      </c>
      <c r="L35" s="261">
        <f t="shared" si="32"/>
        <v>1.9392534818902657E-3</v>
      </c>
    </row>
    <row r="36" spans="2:12" outlineLevel="2">
      <c r="B36" s="257" t="s">
        <v>10</v>
      </c>
      <c r="C36" s="258"/>
      <c r="D36" s="259"/>
      <c r="E36" s="260"/>
      <c r="F36" s="260"/>
      <c r="G36" s="260"/>
      <c r="H36" s="261">
        <f t="shared" si="30"/>
        <v>1.1779031497329732E-2</v>
      </c>
      <c r="I36" s="261">
        <f t="shared" si="32"/>
        <v>1.1503237780955033E-2</v>
      </c>
      <c r="J36" s="261">
        <f t="shared" si="32"/>
        <v>1.1641134639142379E-2</v>
      </c>
      <c r="K36" s="261">
        <f t="shared" si="32"/>
        <v>1.1572186210048702E-2</v>
      </c>
      <c r="L36" s="261">
        <f t="shared" si="32"/>
        <v>1.1606660424595541E-2</v>
      </c>
    </row>
    <row r="37" spans="2:12" outlineLevel="2">
      <c r="B37" s="257" t="s">
        <v>11</v>
      </c>
      <c r="C37" s="263"/>
      <c r="D37" s="264"/>
      <c r="E37" s="260"/>
      <c r="F37" s="260"/>
      <c r="G37" s="260"/>
      <c r="H37" s="261">
        <f t="shared" si="30"/>
        <v>4.1999999999999996E-2</v>
      </c>
      <c r="I37" s="261">
        <f t="shared" si="32"/>
        <v>4.1999999999999996E-2</v>
      </c>
      <c r="J37" s="261">
        <f t="shared" si="32"/>
        <v>4.1999999999999996E-2</v>
      </c>
      <c r="K37" s="261">
        <f t="shared" si="32"/>
        <v>4.1999999999999996E-2</v>
      </c>
      <c r="L37" s="261">
        <f t="shared" si="32"/>
        <v>4.1999999999999996E-2</v>
      </c>
    </row>
    <row r="38" spans="2:12" outlineLevel="2">
      <c r="B38" s="265" t="s">
        <v>12</v>
      </c>
      <c r="C38" s="266"/>
      <c r="D38" s="267"/>
      <c r="E38" s="282"/>
      <c r="F38" s="282"/>
      <c r="G38" s="282"/>
      <c r="H38" s="269">
        <f t="shared" si="30"/>
        <v>0.1780998827428048</v>
      </c>
      <c r="I38" s="269">
        <f t="shared" si="32"/>
        <v>0.15543204500015631</v>
      </c>
      <c r="J38" s="269">
        <f t="shared" si="32"/>
        <v>0.16676596387148054</v>
      </c>
      <c r="K38" s="269">
        <f t="shared" si="32"/>
        <v>0.16109900443581843</v>
      </c>
      <c r="L38" s="269">
        <f t="shared" si="32"/>
        <v>0.1639324841536495</v>
      </c>
    </row>
    <row r="39" spans="2:12" outlineLevel="2">
      <c r="B39" s="270" t="s">
        <v>13</v>
      </c>
      <c r="C39" s="271"/>
      <c r="D39" s="272"/>
      <c r="E39" s="277"/>
      <c r="F39" s="277"/>
      <c r="G39" s="277"/>
      <c r="H39" s="273">
        <f t="shared" ref="H39:J41" si="33">H18-2</f>
        <v>56.487613862011102</v>
      </c>
      <c r="I39" s="273">
        <f t="shared" si="33"/>
        <v>56.105535536147983</v>
      </c>
      <c r="J39" s="273">
        <f t="shared" si="33"/>
        <v>56.296574699079542</v>
      </c>
      <c r="K39" s="273">
        <f t="shared" ref="K39:L42" si="34">K18-2%</f>
        <v>58.181055117613759</v>
      </c>
      <c r="L39" s="273">
        <f t="shared" si="34"/>
        <v>58.228814908346649</v>
      </c>
    </row>
    <row r="40" spans="2:12" outlineLevel="2">
      <c r="B40" s="270" t="s">
        <v>14</v>
      </c>
      <c r="C40" s="271"/>
      <c r="D40" s="272"/>
      <c r="E40" s="243"/>
      <c r="F40" s="243"/>
      <c r="G40" s="243"/>
      <c r="H40" s="273">
        <f t="shared" si="33"/>
        <v>72.175746901154781</v>
      </c>
      <c r="I40" s="273">
        <f t="shared" si="33"/>
        <v>72.087873450577391</v>
      </c>
      <c r="J40" s="273">
        <f t="shared" si="33"/>
        <v>72.131810175866093</v>
      </c>
      <c r="K40" s="273">
        <f t="shared" si="34"/>
        <v>74.089841813221753</v>
      </c>
      <c r="L40" s="273">
        <f t="shared" si="34"/>
        <v>74.100825994543925</v>
      </c>
    </row>
    <row r="41" spans="2:12" outlineLevel="2">
      <c r="B41" s="270" t="s">
        <v>15</v>
      </c>
      <c r="C41" s="271"/>
      <c r="D41" s="274"/>
      <c r="E41" s="243"/>
      <c r="F41" s="243"/>
      <c r="G41" s="243"/>
      <c r="H41" s="273">
        <f t="shared" si="33"/>
        <v>99.772857294204897</v>
      </c>
      <c r="I41" s="273">
        <f t="shared" si="33"/>
        <v>99.886428647102449</v>
      </c>
      <c r="J41" s="273">
        <f t="shared" si="33"/>
        <v>99.82964297065368</v>
      </c>
      <c r="K41" s="273">
        <f t="shared" si="34"/>
        <v>101.83803580887808</v>
      </c>
      <c r="L41" s="273">
        <f t="shared" si="34"/>
        <v>101.82383938976588</v>
      </c>
    </row>
    <row r="42" spans="2:12" outlineLevel="2">
      <c r="B42" s="270" t="s">
        <v>204</v>
      </c>
      <c r="C42" s="271"/>
      <c r="D42" s="274"/>
      <c r="E42" s="243"/>
      <c r="F42" s="243"/>
      <c r="G42" s="243"/>
      <c r="H42" s="276">
        <f>H21-2%</f>
        <v>0.34903872505266398</v>
      </c>
      <c r="I42" s="276">
        <f>I21-2%</f>
        <v>0.34953173928751796</v>
      </c>
      <c r="J42" s="276">
        <f>J21-2%</f>
        <v>0.349285232170091</v>
      </c>
      <c r="K42" s="276">
        <f t="shared" si="34"/>
        <v>0.34940848572880445</v>
      </c>
      <c r="L42" s="276">
        <f t="shared" si="34"/>
        <v>0.34934685894944772</v>
      </c>
    </row>
    <row r="43" spans="2:12" outlineLevel="2">
      <c r="B43" s="270" t="s">
        <v>16</v>
      </c>
      <c r="C43" s="271"/>
      <c r="D43" s="274"/>
      <c r="E43" s="243"/>
      <c r="F43" s="243"/>
      <c r="G43" s="243"/>
      <c r="H43" s="273">
        <f>H22-200</f>
        <v>3610.9176800000032</v>
      </c>
      <c r="I43" s="273">
        <f>I22-200</f>
        <v>3560.8765200000039</v>
      </c>
      <c r="J43" s="273">
        <f>J22-200</f>
        <v>3585.8971000000038</v>
      </c>
      <c r="K43" s="273">
        <f>K22-200</f>
        <v>3573.3868100000036</v>
      </c>
      <c r="L43" s="273">
        <f>L22-200</f>
        <v>3579.6419550000037</v>
      </c>
    </row>
    <row r="44" spans="2:12" outlineLevel="2">
      <c r="B44" s="270" t="s">
        <v>209</v>
      </c>
      <c r="C44" s="271"/>
      <c r="D44" s="274"/>
      <c r="E44" s="243"/>
      <c r="F44" s="243"/>
      <c r="G44" s="243"/>
      <c r="H44" s="278">
        <f>H23-2</f>
        <v>2.3259906842823588</v>
      </c>
      <c r="I44" s="278">
        <f>I23-2</f>
        <v>2.3610099820467276</v>
      </c>
      <c r="J44" s="278">
        <f>J23-2</f>
        <v>2.3435003331645436</v>
      </c>
      <c r="K44" s="278">
        <f>K23-2</f>
        <v>2.3522551576056356</v>
      </c>
      <c r="L44" s="278">
        <f>L23-2</f>
        <v>2.3478777453850892</v>
      </c>
    </row>
    <row r="45" spans="2:12" outlineLevel="2">
      <c r="B45" s="26" t="s">
        <v>225</v>
      </c>
      <c r="C45" s="271"/>
      <c r="D45" s="274"/>
      <c r="E45" s="243"/>
      <c r="F45" s="243"/>
      <c r="G45" s="243"/>
      <c r="H45" s="278">
        <f>H24</f>
        <v>20000</v>
      </c>
      <c r="I45" s="278">
        <f t="shared" ref="I45:L45" si="35">I24</f>
        <v>20000</v>
      </c>
      <c r="J45" s="278">
        <f t="shared" si="35"/>
        <v>20000</v>
      </c>
      <c r="K45" s="278">
        <f t="shared" si="35"/>
        <v>20000</v>
      </c>
      <c r="L45" s="278">
        <f t="shared" si="35"/>
        <v>20000</v>
      </c>
    </row>
    <row r="46" spans="2:12" outlineLevel="2">
      <c r="B46" s="26" t="s">
        <v>226</v>
      </c>
      <c r="C46" s="271"/>
      <c r="D46" s="274"/>
      <c r="E46" s="243"/>
      <c r="F46" s="243"/>
      <c r="G46" s="243"/>
      <c r="H46" s="278">
        <f>H25</f>
        <v>7627</v>
      </c>
      <c r="I46" s="278">
        <f t="shared" ref="I46:L46" si="36">I25</f>
        <v>7627</v>
      </c>
      <c r="J46" s="278">
        <f t="shared" si="36"/>
        <v>7627</v>
      </c>
      <c r="K46" s="278">
        <f t="shared" si="36"/>
        <v>7627</v>
      </c>
      <c r="L46" s="278">
        <f t="shared" si="36"/>
        <v>7627</v>
      </c>
    </row>
    <row r="47" spans="2:12" outlineLevel="2">
      <c r="B47" s="26" t="s">
        <v>227</v>
      </c>
      <c r="C47" s="271"/>
      <c r="D47" s="274"/>
      <c r="E47" s="243"/>
      <c r="F47" s="243"/>
      <c r="G47" s="243"/>
      <c r="H47" s="276">
        <f>H26-2%</f>
        <v>0.42706701170184103</v>
      </c>
      <c r="I47" s="276">
        <f t="shared" ref="I47:L47" si="37">I26-2%</f>
        <v>0.37182187137445977</v>
      </c>
      <c r="J47" s="276">
        <f t="shared" si="37"/>
        <v>0.3994444415381504</v>
      </c>
      <c r="K47" s="276">
        <f t="shared" si="37"/>
        <v>0.38563315645630508</v>
      </c>
      <c r="L47" s="276">
        <f t="shared" si="37"/>
        <v>0.39253879899722777</v>
      </c>
    </row>
    <row r="48" spans="2:12" outlineLevel="2">
      <c r="B48" s="270" t="s">
        <v>17</v>
      </c>
      <c r="C48" s="271"/>
      <c r="D48" s="274"/>
      <c r="E48" s="243"/>
      <c r="F48" s="243"/>
      <c r="G48" s="243"/>
      <c r="H48" s="273">
        <v>0</v>
      </c>
      <c r="I48" s="273">
        <v>0</v>
      </c>
      <c r="J48" s="273">
        <v>0</v>
      </c>
      <c r="K48" s="273">
        <v>0</v>
      </c>
      <c r="L48" s="273">
        <v>0</v>
      </c>
    </row>
    <row r="49" spans="2:12" outlineLevel="2">
      <c r="B49" s="270" t="s">
        <v>18</v>
      </c>
      <c r="C49" s="271"/>
      <c r="D49" s="274"/>
      <c r="E49" s="243"/>
      <c r="F49" s="243"/>
      <c r="G49" s="243"/>
      <c r="H49" s="273">
        <v>0</v>
      </c>
      <c r="I49" s="273">
        <v>0</v>
      </c>
      <c r="J49" s="273">
        <v>0</v>
      </c>
      <c r="K49" s="273">
        <v>0</v>
      </c>
      <c r="L49" s="273">
        <v>0</v>
      </c>
    </row>
    <row r="50" spans="2:12" outlineLevel="2">
      <c r="B50" s="270"/>
      <c r="C50" s="271"/>
      <c r="D50" s="274"/>
      <c r="E50" s="243"/>
      <c r="F50" s="243"/>
      <c r="G50" s="243"/>
      <c r="H50" s="273"/>
      <c r="I50" s="273"/>
      <c r="J50" s="273"/>
      <c r="K50" s="273"/>
      <c r="L50" s="273"/>
    </row>
    <row r="51" spans="2:12" outlineLevel="2">
      <c r="B51" s="245" t="s">
        <v>232</v>
      </c>
      <c r="C51" s="246"/>
      <c r="D51" s="247"/>
      <c r="E51" s="246"/>
      <c r="F51" s="246"/>
      <c r="G51" s="248"/>
      <c r="H51" s="273"/>
      <c r="I51" s="273"/>
      <c r="J51" s="273"/>
      <c r="K51" s="273"/>
      <c r="L51" s="273"/>
    </row>
    <row r="52" spans="2:12" outlineLevel="2">
      <c r="B52" s="250" t="s">
        <v>8</v>
      </c>
      <c r="C52" s="251"/>
      <c r="D52" s="252"/>
      <c r="E52" s="254"/>
      <c r="F52" s="254"/>
      <c r="G52" s="254"/>
      <c r="H52" s="281">
        <f>H10+2%</f>
        <v>0.08</v>
      </c>
      <c r="I52" s="281">
        <f>I10+2%</f>
        <v>0.08</v>
      </c>
      <c r="J52" s="281">
        <f>J10+2%</f>
        <v>0.08</v>
      </c>
      <c r="K52" s="281">
        <f>K10+2%</f>
        <v>0.08</v>
      </c>
      <c r="L52" s="281">
        <f>L10+2%</f>
        <v>0.08</v>
      </c>
    </row>
    <row r="53" spans="2:12" outlineLevel="2">
      <c r="B53" s="257" t="s">
        <v>9</v>
      </c>
      <c r="C53" s="258"/>
      <c r="D53" s="259"/>
      <c r="E53" s="260"/>
      <c r="F53" s="260"/>
      <c r="G53" s="260"/>
      <c r="H53" s="261">
        <f>H11</f>
        <v>0.45</v>
      </c>
      <c r="I53" s="261">
        <f t="shared" ref="I53:L53" si="38">I11</f>
        <v>0.45</v>
      </c>
      <c r="J53" s="261">
        <f t="shared" si="38"/>
        <v>0.45</v>
      </c>
      <c r="K53" s="261">
        <f t="shared" si="38"/>
        <v>0.45</v>
      </c>
      <c r="L53" s="261">
        <f t="shared" si="38"/>
        <v>0.45</v>
      </c>
    </row>
    <row r="54" spans="2:12" outlineLevel="2">
      <c r="B54" s="257" t="s">
        <v>218</v>
      </c>
      <c r="C54" s="258"/>
      <c r="D54" s="259"/>
      <c r="E54" s="260"/>
      <c r="F54" s="260"/>
      <c r="G54" s="260"/>
      <c r="H54" s="261">
        <f>H12+1%</f>
        <v>8.0150859127463878E-2</v>
      </c>
      <c r="I54" s="261">
        <f t="shared" ref="I54:L54" si="39">I12+1%</f>
        <v>7.8195445995862603E-2</v>
      </c>
      <c r="J54" s="261">
        <f t="shared" si="39"/>
        <v>7.917315256166324E-2</v>
      </c>
      <c r="K54" s="261">
        <f t="shared" si="39"/>
        <v>7.8684299278762929E-2</v>
      </c>
      <c r="L54" s="261">
        <f t="shared" si="39"/>
        <v>7.8928725920213091E-2</v>
      </c>
    </row>
    <row r="55" spans="2:12" outlineLevel="2">
      <c r="B55" s="257" t="s">
        <v>219</v>
      </c>
      <c r="C55" s="258"/>
      <c r="D55" s="259"/>
      <c r="E55" s="260"/>
      <c r="F55" s="260"/>
      <c r="G55" s="260"/>
      <c r="H55" s="261">
        <f t="shared" ref="H55:L59" si="40">H13+2%</f>
        <v>0.33882737690793696</v>
      </c>
      <c r="I55" s="261">
        <f t="shared" si="40"/>
        <v>0.3450137706146218</v>
      </c>
      <c r="J55" s="261">
        <f t="shared" si="40"/>
        <v>0.34192057376127938</v>
      </c>
      <c r="K55" s="261">
        <f t="shared" si="40"/>
        <v>0.34346717218795059</v>
      </c>
      <c r="L55" s="261">
        <f t="shared" si="40"/>
        <v>0.34269387297461495</v>
      </c>
    </row>
    <row r="56" spans="2:12" outlineLevel="2">
      <c r="B56" s="262" t="s">
        <v>220</v>
      </c>
      <c r="C56" s="258"/>
      <c r="D56" s="259"/>
      <c r="E56" s="260"/>
      <c r="F56" s="260"/>
      <c r="G56" s="260"/>
      <c r="H56" s="261">
        <f t="shared" si="40"/>
        <v>4.2018649506918249E-2</v>
      </c>
      <c r="I56" s="261">
        <f t="shared" si="40"/>
        <v>4.1891615866873483E-2</v>
      </c>
      <c r="J56" s="261">
        <f t="shared" si="40"/>
        <v>4.1955132686895866E-2</v>
      </c>
      <c r="K56" s="261">
        <f t="shared" si="40"/>
        <v>4.1923374276884667E-2</v>
      </c>
      <c r="L56" s="261">
        <f t="shared" si="40"/>
        <v>4.1939253481890267E-2</v>
      </c>
    </row>
    <row r="57" spans="2:12" outlineLevel="2">
      <c r="B57" s="257" t="s">
        <v>10</v>
      </c>
      <c r="C57" s="258"/>
      <c r="D57" s="259"/>
      <c r="E57" s="260"/>
      <c r="F57" s="260"/>
      <c r="G57" s="260"/>
      <c r="H57" s="261">
        <f t="shared" si="40"/>
        <v>5.1779031497329736E-2</v>
      </c>
      <c r="I57" s="261">
        <f t="shared" si="40"/>
        <v>5.150323778095503E-2</v>
      </c>
      <c r="J57" s="261">
        <f t="shared" si="40"/>
        <v>5.1641134639142383E-2</v>
      </c>
      <c r="K57" s="261">
        <f t="shared" si="40"/>
        <v>5.1572186210048707E-2</v>
      </c>
      <c r="L57" s="261">
        <f t="shared" si="40"/>
        <v>5.1606660424595538E-2</v>
      </c>
    </row>
    <row r="58" spans="2:12" outlineLevel="2">
      <c r="B58" s="257" t="s">
        <v>11</v>
      </c>
      <c r="C58" s="263"/>
      <c r="D58" s="264"/>
      <c r="E58" s="260"/>
      <c r="F58" s="260"/>
      <c r="G58" s="260"/>
      <c r="H58" s="261">
        <f t="shared" si="40"/>
        <v>8.2000000000000003E-2</v>
      </c>
      <c r="I58" s="261">
        <f t="shared" si="40"/>
        <v>8.2000000000000003E-2</v>
      </c>
      <c r="J58" s="261">
        <f t="shared" si="40"/>
        <v>8.2000000000000003E-2</v>
      </c>
      <c r="K58" s="261">
        <f t="shared" si="40"/>
        <v>8.2000000000000003E-2</v>
      </c>
      <c r="L58" s="261">
        <f t="shared" si="40"/>
        <v>8.2000000000000003E-2</v>
      </c>
    </row>
    <row r="59" spans="2:12" outlineLevel="2">
      <c r="B59" s="265" t="s">
        <v>12</v>
      </c>
      <c r="C59" s="266"/>
      <c r="D59" s="267"/>
      <c r="E59" s="283"/>
      <c r="F59" s="283"/>
      <c r="G59" s="283"/>
      <c r="H59" s="269">
        <f t="shared" si="40"/>
        <v>0.21809988274280478</v>
      </c>
      <c r="I59" s="269">
        <f t="shared" si="40"/>
        <v>0.19543204500015629</v>
      </c>
      <c r="J59" s="269">
        <f t="shared" si="40"/>
        <v>0.20676596387148052</v>
      </c>
      <c r="K59" s="269">
        <f t="shared" si="40"/>
        <v>0.20109900443581841</v>
      </c>
      <c r="L59" s="269">
        <f t="shared" si="40"/>
        <v>0.20393248415364948</v>
      </c>
    </row>
    <row r="60" spans="2:12" outlineLevel="2">
      <c r="B60" s="270" t="s">
        <v>13</v>
      </c>
      <c r="C60" s="271"/>
      <c r="D60" s="272"/>
      <c r="E60" s="243"/>
      <c r="F60" s="243"/>
      <c r="G60" s="243"/>
      <c r="H60" s="273">
        <f t="shared" ref="H60:L62" si="41">H18+2</f>
        <v>60.487613862011102</v>
      </c>
      <c r="I60" s="273">
        <f t="shared" si="41"/>
        <v>60.105535536147983</v>
      </c>
      <c r="J60" s="273">
        <f t="shared" si="41"/>
        <v>60.296574699079542</v>
      </c>
      <c r="K60" s="273">
        <f t="shared" si="41"/>
        <v>60.201055117613762</v>
      </c>
      <c r="L60" s="273">
        <f t="shared" si="41"/>
        <v>60.248814908346652</v>
      </c>
    </row>
    <row r="61" spans="2:12" outlineLevel="2">
      <c r="B61" s="270" t="s">
        <v>14</v>
      </c>
      <c r="C61" s="271"/>
      <c r="D61" s="272"/>
      <c r="E61" s="243"/>
      <c r="F61" s="243"/>
      <c r="G61" s="243"/>
      <c r="H61" s="273">
        <f t="shared" si="41"/>
        <v>76.175746901154781</v>
      </c>
      <c r="I61" s="273">
        <f t="shared" si="41"/>
        <v>76.087873450577391</v>
      </c>
      <c r="J61" s="273">
        <f t="shared" si="41"/>
        <v>76.131810175866093</v>
      </c>
      <c r="K61" s="273">
        <f t="shared" si="41"/>
        <v>76.109841813221749</v>
      </c>
      <c r="L61" s="273">
        <f t="shared" si="41"/>
        <v>76.120825994543921</v>
      </c>
    </row>
    <row r="62" spans="2:12" outlineLevel="2">
      <c r="B62" s="270" t="s">
        <v>15</v>
      </c>
      <c r="C62" s="271"/>
      <c r="D62" s="274"/>
      <c r="E62" s="243"/>
      <c r="F62" s="243"/>
      <c r="G62" s="243"/>
      <c r="H62" s="273">
        <f t="shared" si="41"/>
        <v>103.7728572942049</v>
      </c>
      <c r="I62" s="273">
        <f t="shared" si="41"/>
        <v>103.88642864710245</v>
      </c>
      <c r="J62" s="273">
        <f t="shared" si="41"/>
        <v>103.82964297065368</v>
      </c>
      <c r="K62" s="273">
        <f t="shared" si="41"/>
        <v>103.85803580887807</v>
      </c>
      <c r="L62" s="273">
        <f t="shared" si="41"/>
        <v>103.84383938976588</v>
      </c>
    </row>
    <row r="63" spans="2:12" outlineLevel="2">
      <c r="B63" s="284" t="s">
        <v>204</v>
      </c>
      <c r="C63" s="271"/>
      <c r="D63" s="274"/>
      <c r="E63" s="243"/>
      <c r="F63" s="243"/>
      <c r="G63" s="243"/>
      <c r="H63" s="276">
        <f>H21+2%</f>
        <v>0.38903872505266401</v>
      </c>
      <c r="I63" s="276">
        <f>I21+2%</f>
        <v>0.389531739287518</v>
      </c>
      <c r="J63" s="276">
        <f>J21+2%</f>
        <v>0.38928523217009103</v>
      </c>
      <c r="K63" s="276">
        <f>K21+2%</f>
        <v>0.38940848572880449</v>
      </c>
      <c r="L63" s="276">
        <f>L21+2%</f>
        <v>0.38934685894944776</v>
      </c>
    </row>
    <row r="64" spans="2:12" outlineLevel="2">
      <c r="B64" s="270" t="s">
        <v>16</v>
      </c>
      <c r="C64" s="271"/>
      <c r="D64" s="274"/>
      <c r="E64" s="243"/>
      <c r="F64" s="243"/>
      <c r="G64" s="243"/>
      <c r="H64" s="273">
        <f>H22+200</f>
        <v>4010.9176800000032</v>
      </c>
      <c r="I64" s="273">
        <f>I22+200</f>
        <v>3960.8765200000039</v>
      </c>
      <c r="J64" s="273">
        <f>J22+200</f>
        <v>3985.8971000000038</v>
      </c>
      <c r="K64" s="273">
        <f>K22+200</f>
        <v>3973.3868100000036</v>
      </c>
      <c r="L64" s="273">
        <f>L22+200</f>
        <v>3979.6419550000037</v>
      </c>
    </row>
    <row r="65" spans="1:17" outlineLevel="2">
      <c r="B65" s="270" t="s">
        <v>209</v>
      </c>
      <c r="C65" s="271"/>
      <c r="D65" s="274"/>
      <c r="E65" s="243"/>
      <c r="F65" s="243"/>
      <c r="G65" s="243"/>
      <c r="H65" s="278">
        <f>H23+2</f>
        <v>6.3259906842823588</v>
      </c>
      <c r="I65" s="278">
        <f>I23+2</f>
        <v>6.3610099820467276</v>
      </c>
      <c r="J65" s="278">
        <f>J23+2</f>
        <v>6.3435003331645436</v>
      </c>
      <c r="K65" s="278">
        <f>K23+2</f>
        <v>6.3522551576056356</v>
      </c>
      <c r="L65" s="278">
        <f>L23+2</f>
        <v>6.3478777453850892</v>
      </c>
    </row>
    <row r="66" spans="1:17" outlineLevel="2">
      <c r="B66" s="26" t="s">
        <v>222</v>
      </c>
      <c r="C66" s="271"/>
      <c r="D66" s="274"/>
      <c r="E66" s="243"/>
      <c r="F66" s="243"/>
      <c r="G66" s="243"/>
      <c r="H66" s="278">
        <f>H45</f>
        <v>20000</v>
      </c>
      <c r="I66" s="278">
        <f t="shared" ref="I66:L66" si="42">I45</f>
        <v>20000</v>
      </c>
      <c r="J66" s="278">
        <f t="shared" si="42"/>
        <v>20000</v>
      </c>
      <c r="K66" s="278">
        <f t="shared" si="42"/>
        <v>20000</v>
      </c>
      <c r="L66" s="278">
        <f t="shared" si="42"/>
        <v>20000</v>
      </c>
    </row>
    <row r="67" spans="1:17" outlineLevel="2">
      <c r="A67" s="45" t="s">
        <v>133</v>
      </c>
      <c r="B67" s="26" t="s">
        <v>223</v>
      </c>
      <c r="C67" s="271"/>
      <c r="D67" s="274"/>
      <c r="E67" s="243"/>
      <c r="F67" s="243"/>
      <c r="G67" s="243"/>
      <c r="H67" s="278">
        <f>H46</f>
        <v>7627</v>
      </c>
      <c r="I67" s="278">
        <f t="shared" ref="I67:L67" si="43">I46</f>
        <v>7627</v>
      </c>
      <c r="J67" s="278">
        <f t="shared" si="43"/>
        <v>7627</v>
      </c>
      <c r="K67" s="278">
        <f t="shared" si="43"/>
        <v>7627</v>
      </c>
      <c r="L67" s="278">
        <f t="shared" si="43"/>
        <v>7627</v>
      </c>
    </row>
    <row r="68" spans="1:17" outlineLevel="2">
      <c r="B68" s="26" t="s">
        <v>224</v>
      </c>
      <c r="C68" s="271"/>
      <c r="D68" s="274"/>
      <c r="E68" s="243"/>
      <c r="F68" s="243"/>
      <c r="G68" s="243"/>
      <c r="H68" s="276">
        <f>H26+2%</f>
        <v>0.46706701170184106</v>
      </c>
      <c r="I68" s="276">
        <f t="shared" ref="I68:L68" si="44">I26+2%</f>
        <v>0.4118218713744598</v>
      </c>
      <c r="J68" s="276">
        <f t="shared" si="44"/>
        <v>0.43944444153815043</v>
      </c>
      <c r="K68" s="276">
        <f t="shared" si="44"/>
        <v>0.42563315645630512</v>
      </c>
      <c r="L68" s="276">
        <f t="shared" si="44"/>
        <v>0.4325387989972278</v>
      </c>
    </row>
    <row r="69" spans="1:17" outlineLevel="2">
      <c r="B69" s="270" t="s">
        <v>17</v>
      </c>
      <c r="C69" s="271"/>
      <c r="D69" s="274"/>
      <c r="E69" s="243"/>
      <c r="F69" s="243"/>
      <c r="G69" s="243"/>
      <c r="H69" s="273">
        <v>0</v>
      </c>
      <c r="I69" s="273">
        <v>0</v>
      </c>
      <c r="J69" s="273">
        <v>0</v>
      </c>
      <c r="K69" s="273">
        <v>0</v>
      </c>
      <c r="L69" s="273">
        <v>0</v>
      </c>
    </row>
    <row r="70" spans="1:17" outlineLevel="2">
      <c r="B70" s="265" t="s">
        <v>18</v>
      </c>
      <c r="C70" s="266"/>
      <c r="D70" s="285"/>
      <c r="E70" s="283"/>
      <c r="F70" s="283"/>
      <c r="G70" s="283"/>
      <c r="H70" s="286">
        <v>0</v>
      </c>
      <c r="I70" s="286">
        <v>0</v>
      </c>
      <c r="J70" s="286">
        <v>0</v>
      </c>
      <c r="K70" s="286">
        <v>0</v>
      </c>
      <c r="L70" s="286">
        <v>0</v>
      </c>
    </row>
    <row r="71" spans="1:17" outlineLevel="1">
      <c r="B71" s="258"/>
      <c r="C71" s="258"/>
      <c r="D71" s="259"/>
      <c r="E71" s="287"/>
      <c r="F71" s="287"/>
      <c r="G71" s="287"/>
      <c r="H71" s="288"/>
      <c r="I71" s="288"/>
      <c r="J71" s="288"/>
      <c r="K71" s="288"/>
      <c r="L71" s="288"/>
    </row>
    <row r="72" spans="1:17" outlineLevel="1">
      <c r="B72" s="235" t="s">
        <v>20</v>
      </c>
      <c r="C72" s="236"/>
      <c r="D72" s="237"/>
      <c r="E72" s="238"/>
      <c r="F72" s="238"/>
      <c r="G72" s="238"/>
      <c r="H72" s="239"/>
      <c r="I72" s="239"/>
      <c r="J72" s="239"/>
      <c r="K72" s="239"/>
      <c r="L72" s="239"/>
      <c r="M72" s="239"/>
      <c r="N72" s="239"/>
      <c r="O72" s="239"/>
      <c r="P72" s="239"/>
      <c r="Q72" s="239"/>
    </row>
    <row r="73" spans="1:17" outlineLevel="2">
      <c r="B73" s="271"/>
      <c r="C73" s="271"/>
      <c r="D73" s="274"/>
      <c r="E73" s="243"/>
      <c r="F73" s="243"/>
      <c r="G73" s="243"/>
      <c r="H73" s="244"/>
      <c r="I73" s="244"/>
      <c r="J73" s="244"/>
      <c r="K73" s="244"/>
      <c r="L73" s="244"/>
    </row>
    <row r="74" spans="1:17" outlineLevel="2">
      <c r="B74" s="289" t="s">
        <v>6</v>
      </c>
      <c r="C74" s="271"/>
      <c r="D74" s="274"/>
      <c r="E74" s="243"/>
      <c r="F74" s="243"/>
      <c r="G74" s="243"/>
      <c r="H74" s="244"/>
      <c r="I74" s="244"/>
      <c r="J74" s="244"/>
      <c r="K74" s="244"/>
      <c r="L74" s="244"/>
    </row>
    <row r="75" spans="1:17" outlineLevel="2">
      <c r="B75" s="290" t="s">
        <v>8</v>
      </c>
      <c r="C75" s="251"/>
      <c r="D75" s="252"/>
      <c r="E75" s="254"/>
      <c r="F75" s="254"/>
      <c r="G75" s="254"/>
      <c r="H75" s="291">
        <f t="shared" ref="H75:L87" si="45">CHOOSE($C$3,H10,H31,H52)</f>
        <v>0.06</v>
      </c>
      <c r="I75" s="291">
        <f t="shared" si="45"/>
        <v>0.06</v>
      </c>
      <c r="J75" s="291">
        <f t="shared" si="45"/>
        <v>0.06</v>
      </c>
      <c r="K75" s="291">
        <f t="shared" si="45"/>
        <v>0.06</v>
      </c>
      <c r="L75" s="291">
        <f t="shared" si="45"/>
        <v>0.06</v>
      </c>
    </row>
    <row r="76" spans="1:17" outlineLevel="2">
      <c r="B76" s="258" t="s">
        <v>9</v>
      </c>
      <c r="C76" s="258"/>
      <c r="D76" s="259"/>
      <c r="E76" s="260"/>
      <c r="F76" s="260"/>
      <c r="G76" s="260"/>
      <c r="H76" s="292">
        <f t="shared" si="45"/>
        <v>0.45</v>
      </c>
      <c r="I76" s="292">
        <f t="shared" si="45"/>
        <v>0.45</v>
      </c>
      <c r="J76" s="292">
        <f t="shared" si="45"/>
        <v>0.45</v>
      </c>
      <c r="K76" s="292">
        <f t="shared" si="45"/>
        <v>0.45</v>
      </c>
      <c r="L76" s="292">
        <f t="shared" si="45"/>
        <v>0.45</v>
      </c>
    </row>
    <row r="77" spans="1:17" outlineLevel="2">
      <c r="B77" s="258" t="s">
        <v>218</v>
      </c>
      <c r="C77" s="258"/>
      <c r="D77" s="259"/>
      <c r="E77" s="260"/>
      <c r="F77" s="260"/>
      <c r="G77" s="260"/>
      <c r="H77" s="292">
        <f t="shared" si="45"/>
        <v>7.0150859127463883E-2</v>
      </c>
      <c r="I77" s="292">
        <f t="shared" si="45"/>
        <v>6.8195445995862608E-2</v>
      </c>
      <c r="J77" s="292">
        <f t="shared" si="45"/>
        <v>6.9173152561663245E-2</v>
      </c>
      <c r="K77" s="292">
        <f t="shared" si="45"/>
        <v>6.8684299278762934E-2</v>
      </c>
      <c r="L77" s="292">
        <f t="shared" si="45"/>
        <v>6.8928725920213096E-2</v>
      </c>
    </row>
    <row r="78" spans="1:17" outlineLevel="2">
      <c r="B78" s="258" t="s">
        <v>219</v>
      </c>
      <c r="C78" s="258"/>
      <c r="D78" s="259"/>
      <c r="E78" s="287"/>
      <c r="F78" s="287"/>
      <c r="G78" s="287"/>
      <c r="H78" s="292">
        <f t="shared" si="45"/>
        <v>0.31882737690793694</v>
      </c>
      <c r="I78" s="292">
        <f t="shared" si="45"/>
        <v>0.32501377061462178</v>
      </c>
      <c r="J78" s="292">
        <f t="shared" si="45"/>
        <v>0.32192057376127936</v>
      </c>
      <c r="K78" s="292">
        <f t="shared" si="45"/>
        <v>0.32346717218795057</v>
      </c>
      <c r="L78" s="292">
        <f t="shared" si="45"/>
        <v>0.32269387297461494</v>
      </c>
    </row>
    <row r="79" spans="1:17" outlineLevel="2">
      <c r="B79" s="246" t="s">
        <v>220</v>
      </c>
      <c r="C79" s="258"/>
      <c r="D79" s="259"/>
      <c r="E79" s="260"/>
      <c r="F79" s="260"/>
      <c r="G79" s="260"/>
      <c r="H79" s="292">
        <f t="shared" si="45"/>
        <v>2.2018649506918245E-2</v>
      </c>
      <c r="I79" s="292">
        <f t="shared" si="45"/>
        <v>2.1891615866873482E-2</v>
      </c>
      <c r="J79" s="292">
        <f t="shared" si="45"/>
        <v>2.1955132686895862E-2</v>
      </c>
      <c r="K79" s="292">
        <f t="shared" si="45"/>
        <v>2.192337427688467E-2</v>
      </c>
      <c r="L79" s="292">
        <f t="shared" si="45"/>
        <v>2.1939253481890266E-2</v>
      </c>
    </row>
    <row r="80" spans="1:17" outlineLevel="2">
      <c r="B80" s="258" t="s">
        <v>10</v>
      </c>
      <c r="C80" s="258"/>
      <c r="D80" s="259"/>
      <c r="E80" s="260"/>
      <c r="F80" s="260"/>
      <c r="G80" s="260"/>
      <c r="H80" s="292">
        <f t="shared" si="45"/>
        <v>3.1779031497329732E-2</v>
      </c>
      <c r="I80" s="292">
        <f t="shared" si="45"/>
        <v>3.1503237780955033E-2</v>
      </c>
      <c r="J80" s="292">
        <f t="shared" si="45"/>
        <v>3.1641134639142379E-2</v>
      </c>
      <c r="K80" s="292">
        <f t="shared" si="45"/>
        <v>3.1572186210048703E-2</v>
      </c>
      <c r="L80" s="292">
        <f t="shared" si="45"/>
        <v>3.1606660424595541E-2</v>
      </c>
    </row>
    <row r="81" spans="2:17" outlineLevel="2">
      <c r="B81" s="258" t="s">
        <v>11</v>
      </c>
      <c r="C81" s="263"/>
      <c r="D81" s="264"/>
      <c r="E81" s="260"/>
      <c r="F81" s="260"/>
      <c r="G81" s="260"/>
      <c r="H81" s="292">
        <f t="shared" si="45"/>
        <v>6.2E-2</v>
      </c>
      <c r="I81" s="292">
        <f t="shared" si="45"/>
        <v>6.2E-2</v>
      </c>
      <c r="J81" s="292">
        <f t="shared" si="45"/>
        <v>6.2E-2</v>
      </c>
      <c r="K81" s="292">
        <f t="shared" si="45"/>
        <v>6.2E-2</v>
      </c>
      <c r="L81" s="292">
        <f t="shared" si="45"/>
        <v>6.2E-2</v>
      </c>
    </row>
    <row r="82" spans="2:17" outlineLevel="2">
      <c r="B82" s="266" t="s">
        <v>12</v>
      </c>
      <c r="C82" s="266"/>
      <c r="D82" s="267"/>
      <c r="E82" s="283"/>
      <c r="F82" s="283"/>
      <c r="G82" s="283"/>
      <c r="H82" s="293">
        <f t="shared" si="45"/>
        <v>0.19809988274280479</v>
      </c>
      <c r="I82" s="293">
        <f t="shared" si="45"/>
        <v>0.1754320450001563</v>
      </c>
      <c r="J82" s="293">
        <f t="shared" si="45"/>
        <v>0.18676596387148053</v>
      </c>
      <c r="K82" s="293">
        <f t="shared" si="45"/>
        <v>0.18109900443581842</v>
      </c>
      <c r="L82" s="293">
        <f t="shared" si="45"/>
        <v>0.18393248415364949</v>
      </c>
    </row>
    <row r="83" spans="2:17" outlineLevel="2">
      <c r="B83" s="271" t="s">
        <v>13</v>
      </c>
      <c r="C83" s="271"/>
      <c r="D83" s="272"/>
      <c r="E83" s="243"/>
      <c r="F83" s="243"/>
      <c r="G83" s="243"/>
      <c r="H83" s="294">
        <f t="shared" si="45"/>
        <v>58.487613862011102</v>
      </c>
      <c r="I83" s="294">
        <f t="shared" si="45"/>
        <v>58.105535536147983</v>
      </c>
      <c r="J83" s="294">
        <f t="shared" si="45"/>
        <v>58.296574699079542</v>
      </c>
      <c r="K83" s="294">
        <f t="shared" si="45"/>
        <v>58.201055117613762</v>
      </c>
      <c r="L83" s="294">
        <f t="shared" si="45"/>
        <v>58.248814908346652</v>
      </c>
    </row>
    <row r="84" spans="2:17" outlineLevel="2">
      <c r="B84" s="271" t="s">
        <v>14</v>
      </c>
      <c r="C84" s="271"/>
      <c r="D84" s="272"/>
      <c r="E84" s="243"/>
      <c r="F84" s="243"/>
      <c r="G84" s="243"/>
      <c r="H84" s="294">
        <f t="shared" si="45"/>
        <v>74.175746901154781</v>
      </c>
      <c r="I84" s="294">
        <f t="shared" si="45"/>
        <v>74.087873450577391</v>
      </c>
      <c r="J84" s="294">
        <f t="shared" si="45"/>
        <v>74.131810175866093</v>
      </c>
      <c r="K84" s="294">
        <f t="shared" si="45"/>
        <v>74.109841813221749</v>
      </c>
      <c r="L84" s="294">
        <f t="shared" si="45"/>
        <v>74.120825994543921</v>
      </c>
    </row>
    <row r="85" spans="2:17" outlineLevel="2">
      <c r="B85" s="271" t="s">
        <v>15</v>
      </c>
      <c r="C85" s="271"/>
      <c r="D85" s="274"/>
      <c r="E85" s="243"/>
      <c r="F85" s="243"/>
      <c r="G85" s="243"/>
      <c r="H85" s="294">
        <f t="shared" si="45"/>
        <v>101.7728572942049</v>
      </c>
      <c r="I85" s="294">
        <f t="shared" si="45"/>
        <v>101.88642864710245</v>
      </c>
      <c r="J85" s="294">
        <f t="shared" si="45"/>
        <v>101.82964297065368</v>
      </c>
      <c r="K85" s="294">
        <f t="shared" si="45"/>
        <v>101.85803580887807</v>
      </c>
      <c r="L85" s="294">
        <f t="shared" si="45"/>
        <v>101.84383938976588</v>
      </c>
    </row>
    <row r="86" spans="2:17" outlineLevel="2">
      <c r="B86" s="271" t="s">
        <v>204</v>
      </c>
      <c r="C86" s="271"/>
      <c r="D86" s="274"/>
      <c r="E86" s="243"/>
      <c r="F86" s="243"/>
      <c r="G86" s="243"/>
      <c r="H86" s="295">
        <f t="shared" si="45"/>
        <v>0.369038725052664</v>
      </c>
      <c r="I86" s="295">
        <f t="shared" si="45"/>
        <v>0.36953173928751798</v>
      </c>
      <c r="J86" s="295">
        <f t="shared" si="45"/>
        <v>0.36928523217009102</v>
      </c>
      <c r="K86" s="295">
        <f t="shared" si="45"/>
        <v>0.36940848572880447</v>
      </c>
      <c r="L86" s="295">
        <f t="shared" si="45"/>
        <v>0.36934685894944774</v>
      </c>
    </row>
    <row r="87" spans="2:17" outlineLevel="2">
      <c r="B87" s="271" t="s">
        <v>16</v>
      </c>
      <c r="C87" s="271"/>
      <c r="D87" s="274"/>
      <c r="E87" s="243"/>
      <c r="F87" s="243"/>
      <c r="G87" s="243"/>
      <c r="H87" s="294">
        <f t="shared" si="45"/>
        <v>3810.9176800000032</v>
      </c>
      <c r="I87" s="294">
        <f t="shared" si="45"/>
        <v>3760.8765200000039</v>
      </c>
      <c r="J87" s="294">
        <f t="shared" si="45"/>
        <v>3785.8971000000038</v>
      </c>
      <c r="K87" s="294">
        <f t="shared" si="45"/>
        <v>3773.3868100000036</v>
      </c>
      <c r="L87" s="294">
        <f t="shared" si="45"/>
        <v>3779.6419550000037</v>
      </c>
    </row>
    <row r="88" spans="2:17" outlineLevel="2">
      <c r="B88" s="271" t="s">
        <v>209</v>
      </c>
      <c r="C88" s="271"/>
      <c r="D88" s="274"/>
      <c r="E88" s="243"/>
      <c r="F88" s="243"/>
      <c r="G88" s="243"/>
      <c r="H88" s="348">
        <f t="shared" ref="H88:L88" si="46">CHOOSE($C$3,H23,H44,H65)</f>
        <v>4.3259906842823588</v>
      </c>
      <c r="I88" s="348">
        <f t="shared" si="46"/>
        <v>4.3610099820467276</v>
      </c>
      <c r="J88" s="348">
        <f t="shared" si="46"/>
        <v>4.3435003331645436</v>
      </c>
      <c r="K88" s="348">
        <f t="shared" si="46"/>
        <v>4.3522551576056356</v>
      </c>
      <c r="L88" s="348">
        <f t="shared" si="46"/>
        <v>4.3478777453850892</v>
      </c>
    </row>
    <row r="89" spans="2:17" outlineLevel="2">
      <c r="B89" s="17" t="s">
        <v>222</v>
      </c>
      <c r="C89" s="271"/>
      <c r="D89" s="274"/>
      <c r="E89" s="243"/>
      <c r="F89" s="243"/>
      <c r="G89" s="243"/>
      <c r="H89" s="294">
        <f t="shared" ref="H89:L89" si="47">CHOOSE($C$3,H24,H45,H66)</f>
        <v>20000</v>
      </c>
      <c r="I89" s="294">
        <f t="shared" si="47"/>
        <v>20000</v>
      </c>
      <c r="J89" s="294">
        <f t="shared" si="47"/>
        <v>20000</v>
      </c>
      <c r="K89" s="294">
        <f t="shared" si="47"/>
        <v>20000</v>
      </c>
      <c r="L89" s="294">
        <f t="shared" si="47"/>
        <v>20000</v>
      </c>
    </row>
    <row r="90" spans="2:17" outlineLevel="2">
      <c r="B90" s="17" t="s">
        <v>223</v>
      </c>
      <c r="C90" s="271"/>
      <c r="D90" s="274"/>
      <c r="E90" s="243"/>
      <c r="F90" s="243"/>
      <c r="G90" s="243"/>
      <c r="H90" s="294">
        <f t="shared" ref="H90:L90" si="48">CHOOSE($C$3,H25,H46,H67)</f>
        <v>7627</v>
      </c>
      <c r="I90" s="294">
        <f t="shared" si="48"/>
        <v>7627</v>
      </c>
      <c r="J90" s="294">
        <f t="shared" si="48"/>
        <v>7627</v>
      </c>
      <c r="K90" s="294">
        <f t="shared" si="48"/>
        <v>7627</v>
      </c>
      <c r="L90" s="294">
        <f t="shared" si="48"/>
        <v>7627</v>
      </c>
    </row>
    <row r="91" spans="2:17" outlineLevel="2">
      <c r="B91" s="17" t="s">
        <v>224</v>
      </c>
      <c r="C91" s="271"/>
      <c r="D91" s="274"/>
      <c r="E91" s="243"/>
      <c r="F91" s="243"/>
      <c r="G91" s="243"/>
      <c r="H91" s="295">
        <f t="shared" ref="H91:L91" si="49">CHOOSE($C$3,H26,H47,H68)</f>
        <v>0.44706701170184104</v>
      </c>
      <c r="I91" s="295">
        <f t="shared" si="49"/>
        <v>0.39182187137445978</v>
      </c>
      <c r="J91" s="295">
        <f t="shared" si="49"/>
        <v>0.41944444153815041</v>
      </c>
      <c r="K91" s="295">
        <f t="shared" si="49"/>
        <v>0.4056331564563051</v>
      </c>
      <c r="L91" s="295">
        <f t="shared" si="49"/>
        <v>0.41253879899722778</v>
      </c>
    </row>
    <row r="92" spans="2:17" outlineLevel="2">
      <c r="B92" s="271" t="s">
        <v>17</v>
      </c>
      <c r="C92" s="271"/>
      <c r="D92" s="274"/>
      <c r="E92" s="243"/>
      <c r="F92" s="243"/>
      <c r="G92" s="243"/>
      <c r="H92" s="294">
        <f t="shared" ref="H92:L93" si="50">CHOOSE($C$3,H27,H48,H69)</f>
        <v>0</v>
      </c>
      <c r="I92" s="294">
        <f t="shared" si="50"/>
        <v>0</v>
      </c>
      <c r="J92" s="294">
        <f t="shared" si="50"/>
        <v>0</v>
      </c>
      <c r="K92" s="294">
        <f t="shared" si="50"/>
        <v>0</v>
      </c>
      <c r="L92" s="294">
        <f t="shared" si="50"/>
        <v>0</v>
      </c>
    </row>
    <row r="93" spans="2:17" outlineLevel="2">
      <c r="B93" s="271" t="s">
        <v>18</v>
      </c>
      <c r="H93" s="294">
        <f t="shared" si="50"/>
        <v>0</v>
      </c>
      <c r="I93" s="294">
        <f t="shared" si="50"/>
        <v>0</v>
      </c>
      <c r="J93" s="294">
        <f t="shared" si="50"/>
        <v>0</v>
      </c>
      <c r="K93" s="294">
        <f t="shared" si="50"/>
        <v>0</v>
      </c>
      <c r="L93" s="294">
        <f t="shared" si="50"/>
        <v>0</v>
      </c>
    </row>
    <row r="94" spans="2:17" outlineLevel="2">
      <c r="B94" s="296"/>
      <c r="C94" s="296"/>
      <c r="D94" s="296"/>
      <c r="E94" s="296"/>
      <c r="F94" s="296"/>
      <c r="G94" s="296"/>
      <c r="H94" s="296"/>
      <c r="I94" s="296"/>
      <c r="J94" s="296"/>
      <c r="K94" s="296"/>
      <c r="L94" s="296"/>
    </row>
    <row r="96" spans="2:17">
      <c r="B96" s="232" t="s">
        <v>0</v>
      </c>
      <c r="C96" s="232"/>
      <c r="D96" s="232"/>
      <c r="E96" s="232"/>
      <c r="F96" s="232"/>
      <c r="G96" s="232"/>
      <c r="H96" s="232"/>
      <c r="I96" s="232"/>
      <c r="J96" s="232"/>
      <c r="K96" s="232"/>
      <c r="L96" s="232"/>
      <c r="M96" s="233"/>
      <c r="N96" s="233"/>
      <c r="O96" s="233"/>
      <c r="P96" s="233"/>
      <c r="Q96" s="233"/>
    </row>
    <row r="97" spans="2:12" outlineLevel="1"/>
    <row r="98" spans="2:12" outlineLevel="1">
      <c r="B98" s="1" t="s">
        <v>30</v>
      </c>
      <c r="E98" s="2">
        <v>81422</v>
      </c>
      <c r="F98" s="2">
        <v>86698</v>
      </c>
      <c r="G98" s="2">
        <v>93085.92</v>
      </c>
      <c r="H98" s="3">
        <f>G98*(1+H75)</f>
        <v>98671.075200000007</v>
      </c>
      <c r="I98" s="3">
        <f>H98*(1+I75)</f>
        <v>104591.33971200002</v>
      </c>
      <c r="J98" s="3">
        <f>I98*(1+J75)</f>
        <v>110866.82009472002</v>
      </c>
      <c r="K98" s="3">
        <f>J98*(1+K75)</f>
        <v>117518.82930040323</v>
      </c>
      <c r="L98" s="3">
        <f>K98*(1+L75)</f>
        <v>124569.95905842743</v>
      </c>
    </row>
    <row r="99" spans="2:12" outlineLevel="1">
      <c r="B99" s="1" t="s">
        <v>31</v>
      </c>
      <c r="E99" s="4">
        <v>-38121</v>
      </c>
      <c r="F99" s="4">
        <v>-37756</v>
      </c>
      <c r="G99" s="4">
        <v>-39638.663999999997</v>
      </c>
      <c r="H99" s="5">
        <f>-H98*H76</f>
        <v>-44401.983840000001</v>
      </c>
      <c r="I99" s="5">
        <f>-I98*I76</f>
        <v>-47066.102870400005</v>
      </c>
      <c r="J99" s="5">
        <f>-J98*J76</f>
        <v>-49890.069042624011</v>
      </c>
      <c r="K99" s="5">
        <f>-K98*K76</f>
        <v>-52883.473185181458</v>
      </c>
      <c r="L99" s="5">
        <f>-L98*L76</f>
        <v>-56056.481576292346</v>
      </c>
    </row>
    <row r="100" spans="2:12" outlineLevel="1">
      <c r="B100" s="6" t="s">
        <v>21</v>
      </c>
      <c r="E100" s="7">
        <f>SUM(E98:E99)</f>
        <v>43301</v>
      </c>
      <c r="F100" s="7">
        <f t="shared" ref="F100" si="51">SUM(F98:F99)</f>
        <v>48942</v>
      </c>
      <c r="G100" s="7">
        <f>SUM(G98:G99)</f>
        <v>53447.256000000001</v>
      </c>
      <c r="H100" s="8">
        <f>SUM(H98:H99)</f>
        <v>54269.091360000006</v>
      </c>
      <c r="I100" s="8">
        <f t="shared" ref="I100:L100" si="52">SUM(I98:I99)</f>
        <v>57525.23684160001</v>
      </c>
      <c r="J100" s="8">
        <f t="shared" si="52"/>
        <v>60976.751052096013</v>
      </c>
      <c r="K100" s="8">
        <f t="shared" si="52"/>
        <v>64635.356115221774</v>
      </c>
      <c r="L100" s="8">
        <f t="shared" si="52"/>
        <v>68513.477482135087</v>
      </c>
    </row>
    <row r="101" spans="2:12" outlineLevel="1">
      <c r="B101" s="6"/>
      <c r="E101" s="9"/>
      <c r="F101" s="9"/>
      <c r="G101" s="9"/>
      <c r="H101" s="10"/>
      <c r="I101" s="10"/>
      <c r="J101" s="10"/>
      <c r="K101" s="10"/>
      <c r="L101" s="10"/>
    </row>
    <row r="102" spans="2:12" outlineLevel="1">
      <c r="B102" s="1" t="s">
        <v>32</v>
      </c>
      <c r="E102" s="4">
        <v>-5884</v>
      </c>
      <c r="F102" s="4">
        <v>-6421</v>
      </c>
      <c r="G102" s="4">
        <v>-6166.0144</v>
      </c>
      <c r="H102" s="5">
        <f>-$H98*H77</f>
        <v>-6921.8606963105958</v>
      </c>
      <c r="I102" s="5">
        <f>-I98*I77</f>
        <v>-7132.6530589646172</v>
      </c>
      <c r="J102" s="5">
        <f>-J98*J77</f>
        <v>-7669.0074604385409</v>
      </c>
      <c r="K102" s="5">
        <f>-K98*K77</f>
        <v>-8071.6984425587498</v>
      </c>
      <c r="L102" s="5">
        <f>-L98*L77</f>
        <v>-8586.4485658305111</v>
      </c>
    </row>
    <row r="103" spans="2:12" outlineLevel="1">
      <c r="B103" s="1" t="s">
        <v>33</v>
      </c>
      <c r="E103" s="4">
        <v>-23507</v>
      </c>
      <c r="F103" s="4">
        <v>-26569</v>
      </c>
      <c r="G103" s="4">
        <v>-30830.072</v>
      </c>
      <c r="H103" s="5">
        <f>-H98*H78</f>
        <v>-31459.040082701791</v>
      </c>
      <c r="I103" s="5">
        <f>-I98*I78</f>
        <v>-33993.625693431954</v>
      </c>
      <c r="J103" s="5">
        <f>-J98*J78</f>
        <v>-35690.310335980808</v>
      </c>
      <c r="K103" s="5">
        <f>-K98*K78</f>
        <v>-38013.483392639901</v>
      </c>
      <c r="L103" s="5">
        <f>-L98*L78</f>
        <v>-40197.962544853166</v>
      </c>
    </row>
    <row r="104" spans="2:12" outlineLevel="1">
      <c r="B104" s="1" t="s">
        <v>34</v>
      </c>
      <c r="E104" s="4">
        <v>-1764</v>
      </c>
      <c r="F104" s="4">
        <v>-1931</v>
      </c>
      <c r="G104" s="4">
        <v>-2025.9761599999999</v>
      </c>
      <c r="H104" s="5">
        <f>-H98*H79</f>
        <v>-2172.6038212995732</v>
      </c>
      <c r="I104" s="5">
        <f>-I98*I79</f>
        <v>-2289.6734319767743</v>
      </c>
      <c r="J104" s="5">
        <f>-J98*J79</f>
        <v>-2434.0957457537907</v>
      </c>
      <c r="K104" s="5">
        <f>-K98*K79</f>
        <v>-2576.4092793340606</v>
      </c>
      <c r="L104" s="5">
        <f>-L98*L79</f>
        <v>-2732.9719080115319</v>
      </c>
    </row>
    <row r="105" spans="2:12" outlineLevel="1">
      <c r="B105" s="1" t="s">
        <v>29</v>
      </c>
      <c r="E105" s="4">
        <v>-2960</v>
      </c>
      <c r="F105" s="4">
        <v>-2803</v>
      </c>
      <c r="G105" s="4">
        <v>-2906.83536</v>
      </c>
      <c r="H105" s="5">
        <f>H210</f>
        <v>-3135.6712066561909</v>
      </c>
      <c r="I105" s="5">
        <f t="shared" ref="I105:L105" si="53">I210</f>
        <v>-3294.9658447757815</v>
      </c>
      <c r="J105" s="5">
        <f t="shared" si="53"/>
        <v>-3507.951981630612</v>
      </c>
      <c r="K105" s="5">
        <f t="shared" si="53"/>
        <v>-3710.3263618592582</v>
      </c>
      <c r="L105" s="5">
        <f t="shared" si="53"/>
        <v>-3937.2403950654848</v>
      </c>
    </row>
    <row r="106" spans="2:12" outlineLevel="1">
      <c r="B106" s="6" t="s">
        <v>35</v>
      </c>
      <c r="E106" s="7">
        <f>SUM(E100:E105)</f>
        <v>9186</v>
      </c>
      <c r="F106" s="7">
        <f t="shared" ref="F106" si="54">SUM(F100:F105)</f>
        <v>11218</v>
      </c>
      <c r="G106" s="7">
        <f>SUM(G100:G105)</f>
        <v>11518.358080000002</v>
      </c>
      <c r="H106" s="8">
        <f>SUM(H100:H105)</f>
        <v>10579.915553031851</v>
      </c>
      <c r="I106" s="8">
        <f t="shared" ref="I106:L106" si="55">SUM(I100:I105)</f>
        <v>10814.318812450887</v>
      </c>
      <c r="J106" s="8">
        <f t="shared" si="55"/>
        <v>11675.385528292263</v>
      </c>
      <c r="K106" s="8">
        <f t="shared" si="55"/>
        <v>12263.438638829804</v>
      </c>
      <c r="L106" s="8">
        <f t="shared" si="55"/>
        <v>13058.854068374392</v>
      </c>
    </row>
    <row r="107" spans="2:12" outlineLevel="1">
      <c r="B107" s="6"/>
      <c r="E107" s="9"/>
      <c r="F107" s="9"/>
      <c r="G107" s="9"/>
      <c r="H107" s="10"/>
      <c r="I107" s="10"/>
      <c r="J107" s="10"/>
      <c r="K107" s="10"/>
      <c r="L107" s="10"/>
    </row>
    <row r="108" spans="2:12" outlineLevel="1">
      <c r="B108" s="1" t="s">
        <v>22</v>
      </c>
      <c r="E108" s="2">
        <v>-1240</v>
      </c>
      <c r="F108" s="2">
        <v>-1240</v>
      </c>
      <c r="G108" s="2">
        <v>-1240</v>
      </c>
      <c r="H108" s="3">
        <f>-H223</f>
        <v>-1240</v>
      </c>
      <c r="I108" s="3">
        <f t="shared" ref="I108:L108" si="56">-I223</f>
        <v>-1240</v>
      </c>
      <c r="J108" s="3">
        <f t="shared" si="56"/>
        <v>-1240</v>
      </c>
      <c r="K108" s="3">
        <f t="shared" si="56"/>
        <v>-1240</v>
      </c>
      <c r="L108" s="3">
        <f t="shared" si="56"/>
        <v>-1240</v>
      </c>
    </row>
    <row r="109" spans="2:12" outlineLevel="1">
      <c r="B109" s="1" t="s">
        <v>36</v>
      </c>
      <c r="E109" s="11">
        <f>SUM(E106:E108)</f>
        <v>7946</v>
      </c>
      <c r="F109" s="11">
        <f t="shared" ref="F109" si="57">SUM(F106:F108)</f>
        <v>9978</v>
      </c>
      <c r="G109" s="11">
        <f>SUM(G106:G108)</f>
        <v>10278.358080000002</v>
      </c>
      <c r="H109" s="12">
        <f>SUM(H106:H108)</f>
        <v>9339.9155530318512</v>
      </c>
      <c r="I109" s="12">
        <f t="shared" ref="I109:L109" si="58">SUM(I106:I108)</f>
        <v>9574.318812450887</v>
      </c>
      <c r="J109" s="12">
        <f t="shared" si="58"/>
        <v>10435.385528292263</v>
      </c>
      <c r="K109" s="12">
        <f t="shared" si="58"/>
        <v>11023.438638829804</v>
      </c>
      <c r="L109" s="12">
        <f t="shared" si="58"/>
        <v>11818.854068374392</v>
      </c>
    </row>
    <row r="110" spans="2:12" outlineLevel="1">
      <c r="B110" s="1"/>
      <c r="E110" s="4"/>
      <c r="F110" s="4"/>
      <c r="G110" s="4"/>
      <c r="H110" s="13"/>
      <c r="I110" s="13"/>
      <c r="J110" s="13"/>
      <c r="K110" s="13"/>
      <c r="L110" s="13"/>
    </row>
    <row r="111" spans="2:12" outlineLevel="1">
      <c r="B111" s="1" t="s">
        <v>23</v>
      </c>
      <c r="E111" s="2">
        <v>-2761</v>
      </c>
      <c r="F111" s="2">
        <v>-2429</v>
      </c>
      <c r="G111" s="2">
        <v>-1570.1652240000001</v>
      </c>
      <c r="H111" s="3">
        <f>-H109*H82</f>
        <v>-1850.2361758833085</v>
      </c>
      <c r="I111" s="3">
        <f>-I109*I82</f>
        <v>-1679.6423287517271</v>
      </c>
      <c r="J111" s="3">
        <f>-J109*J82</f>
        <v>-1948.9748365620037</v>
      </c>
      <c r="K111" s="3">
        <f>-K109*K82</f>
        <v>-1996.3337629514108</v>
      </c>
      <c r="L111" s="3">
        <f>-L109*L82</f>
        <v>-2173.8711886455685</v>
      </c>
    </row>
    <row r="112" spans="2:12" ht="15.75" outlineLevel="1" thickBot="1">
      <c r="B112" s="6" t="s">
        <v>28</v>
      </c>
      <c r="E112" s="14">
        <f>SUM(E109:E111)</f>
        <v>5185</v>
      </c>
      <c r="F112" s="14">
        <f t="shared" ref="F112" si="59">SUM(F109:F111)</f>
        <v>7549</v>
      </c>
      <c r="G112" s="14">
        <f>SUM(G109:G111)</f>
        <v>8708.1928560000015</v>
      </c>
      <c r="H112" s="15">
        <f>SUM(H109:H111)</f>
        <v>7489.6793771485427</v>
      </c>
      <c r="I112" s="15">
        <f t="shared" ref="I112:L112" si="60">SUM(I109:I111)</f>
        <v>7894.6764836991597</v>
      </c>
      <c r="J112" s="15">
        <f t="shared" si="60"/>
        <v>8486.4106917302597</v>
      </c>
      <c r="K112" s="15">
        <f t="shared" si="60"/>
        <v>9027.1048758783945</v>
      </c>
      <c r="L112" s="15">
        <f t="shared" si="60"/>
        <v>9644.9828797288246</v>
      </c>
    </row>
    <row r="113" spans="2:17" outlineLevel="1">
      <c r="B113" s="16"/>
      <c r="E113" s="9"/>
      <c r="F113" s="9"/>
      <c r="G113" s="9"/>
      <c r="H113" s="10"/>
      <c r="I113" s="10"/>
      <c r="J113" s="10"/>
      <c r="K113" s="10"/>
      <c r="L113" s="10"/>
    </row>
    <row r="114" spans="2:17" outlineLevel="1">
      <c r="B114" s="17" t="s">
        <v>37</v>
      </c>
      <c r="E114" s="18">
        <v>4312</v>
      </c>
      <c r="F114" s="18">
        <v>4209</v>
      </c>
      <c r="G114" s="18">
        <v>2930.9750848000026</v>
      </c>
      <c r="H114" s="19">
        <f>H112*H91</f>
        <v>3348.3885777467049</v>
      </c>
      <c r="I114" s="19">
        <f t="shared" ref="I114:L114" si="61">I112*I91</f>
        <v>3093.3069137389448</v>
      </c>
      <c r="J114" s="19">
        <f t="shared" si="61"/>
        <v>3559.5777932561878</v>
      </c>
      <c r="K114" s="19">
        <f t="shared" si="61"/>
        <v>3661.6930444646555</v>
      </c>
      <c r="L114" s="19">
        <f t="shared" si="61"/>
        <v>3978.929653552153</v>
      </c>
    </row>
    <row r="115" spans="2:17" outlineLevel="1"/>
    <row r="116" spans="2:17" outlineLevel="1"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</row>
    <row r="118" spans="2:17">
      <c r="B118" s="232" t="s">
        <v>1</v>
      </c>
      <c r="C118" s="232"/>
      <c r="D118" s="232"/>
      <c r="E118" s="232"/>
      <c r="F118" s="232"/>
      <c r="G118" s="232"/>
      <c r="H118" s="232"/>
      <c r="I118" s="232"/>
      <c r="J118" s="232"/>
      <c r="K118" s="232"/>
      <c r="L118" s="232"/>
      <c r="M118" s="233"/>
      <c r="N118" s="233"/>
      <c r="O118" s="233"/>
      <c r="P118" s="233"/>
      <c r="Q118" s="233"/>
    </row>
    <row r="119" spans="2:17" outlineLevel="1"/>
    <row r="120" spans="2:17" outlineLevel="1">
      <c r="B120" s="16" t="s">
        <v>38</v>
      </c>
      <c r="C120" s="16"/>
      <c r="D120" s="24"/>
      <c r="E120" s="24"/>
      <c r="F120" s="24"/>
      <c r="G120" s="25"/>
      <c r="H120" s="25"/>
      <c r="I120" s="25"/>
      <c r="J120" s="25"/>
      <c r="K120" s="25"/>
    </row>
    <row r="121" spans="2:17" outlineLevel="1">
      <c r="B121" s="1" t="s">
        <v>24</v>
      </c>
      <c r="C121" s="17"/>
      <c r="E121" s="2">
        <f>E173</f>
        <v>5289.0000000000027</v>
      </c>
      <c r="F121" s="2">
        <f t="shared" ref="F121:G121" si="62">F173</f>
        <v>5918.0000000000009</v>
      </c>
      <c r="G121" s="2">
        <f t="shared" si="62"/>
        <v>10158.783447912327</v>
      </c>
      <c r="H121" s="3">
        <f>H173</f>
        <v>11994.532059191155</v>
      </c>
      <c r="I121" s="3">
        <f t="shared" ref="I121:L121" si="63">I173</f>
        <v>14947.614890996992</v>
      </c>
      <c r="J121" s="3">
        <f t="shared" si="63"/>
        <v>17576.280149038903</v>
      </c>
      <c r="K121" s="3">
        <f t="shared" si="63"/>
        <v>20685.133785531485</v>
      </c>
      <c r="L121" s="3">
        <f t="shared" si="63"/>
        <v>23864.426369353758</v>
      </c>
    </row>
    <row r="122" spans="2:17" outlineLevel="1">
      <c r="B122" s="1" t="s">
        <v>39</v>
      </c>
      <c r="C122" s="17"/>
      <c r="E122" s="2">
        <v>12685</v>
      </c>
      <c r="F122" s="2">
        <v>14074</v>
      </c>
      <c r="G122" s="2">
        <v>14721.208547945205</v>
      </c>
      <c r="H122" s="3">
        <f>H191</f>
        <v>15811.056837389207</v>
      </c>
      <c r="I122" s="3">
        <f t="shared" ref="I122:L123" si="64">I191</f>
        <v>16650.235086051896</v>
      </c>
      <c r="J122" s="3">
        <f t="shared" si="64"/>
        <v>17707.276326852763</v>
      </c>
      <c r="K122" s="3">
        <f t="shared" si="64"/>
        <v>18738.958524575923</v>
      </c>
      <c r="L122" s="3">
        <f t="shared" si="64"/>
        <v>19879.595858451125</v>
      </c>
    </row>
    <row r="123" spans="2:17" outlineLevel="1">
      <c r="B123" s="1" t="s">
        <v>40</v>
      </c>
      <c r="C123" s="17"/>
      <c r="E123" s="2">
        <v>7168</v>
      </c>
      <c r="F123" s="2">
        <v>7691</v>
      </c>
      <c r="G123" s="2">
        <v>8036.3318794520546</v>
      </c>
      <c r="H123" s="3">
        <f>H192</f>
        <v>9023.4255211643977</v>
      </c>
      <c r="I123" s="3">
        <f t="shared" si="64"/>
        <v>9553.4999267782259</v>
      </c>
      <c r="J123" s="3">
        <f t="shared" si="64"/>
        <v>10132.715418982621</v>
      </c>
      <c r="K123" s="3">
        <f t="shared" si="64"/>
        <v>10737.495430924799</v>
      </c>
      <c r="L123" s="3">
        <f t="shared" si="64"/>
        <v>11383.432100774582</v>
      </c>
    </row>
    <row r="124" spans="2:17" outlineLevel="1">
      <c r="B124" s="1" t="s">
        <v>41</v>
      </c>
      <c r="C124" s="17"/>
      <c r="E124" s="20">
        <f>SUM(E121:E123)</f>
        <v>25142.000000000004</v>
      </c>
      <c r="F124" s="20">
        <f t="shared" ref="F124" si="65">SUM(F121:F123)</f>
        <v>27683</v>
      </c>
      <c r="G124" s="20">
        <f>SUM(G121:G123)</f>
        <v>32916.323875309587</v>
      </c>
      <c r="H124" s="21">
        <f t="shared" ref="H124:L124" si="66">SUM(H121:H123)</f>
        <v>36829.014417744758</v>
      </c>
      <c r="I124" s="21">
        <f t="shared" si="66"/>
        <v>41151.349903827111</v>
      </c>
      <c r="J124" s="21">
        <f t="shared" si="66"/>
        <v>45416.271894874284</v>
      </c>
      <c r="K124" s="21">
        <f t="shared" si="66"/>
        <v>50161.587741032206</v>
      </c>
      <c r="L124" s="21">
        <f t="shared" si="66"/>
        <v>55127.454328579464</v>
      </c>
    </row>
    <row r="125" spans="2:17" outlineLevel="1">
      <c r="B125" s="6"/>
      <c r="C125" s="16"/>
      <c r="E125" s="2"/>
      <c r="F125" s="2"/>
      <c r="G125" s="2"/>
      <c r="H125" s="22"/>
      <c r="I125" s="22"/>
      <c r="J125" s="22"/>
      <c r="K125" s="22"/>
      <c r="L125" s="22"/>
    </row>
    <row r="126" spans="2:17" outlineLevel="1">
      <c r="B126" s="1" t="s">
        <v>42</v>
      </c>
      <c r="C126" s="17"/>
      <c r="E126" s="2">
        <v>19262.999999999996</v>
      </c>
      <c r="F126" s="2">
        <v>20371</v>
      </c>
      <c r="G126" s="2">
        <v>21175.000000000004</v>
      </c>
      <c r="H126" s="3">
        <f>H211</f>
        <v>22808.896828766199</v>
      </c>
      <c r="I126" s="3">
        <f t="shared" ref="I126:L126" si="67">I211</f>
        <v>23983.283721564141</v>
      </c>
      <c r="J126" s="3">
        <f t="shared" si="67"/>
        <v>25524.763805864797</v>
      </c>
      <c r="K126" s="3">
        <f t="shared" si="67"/>
        <v>27001.824351919531</v>
      </c>
      <c r="L126" s="3">
        <f t="shared" si="67"/>
        <v>28650.750171310148</v>
      </c>
    </row>
    <row r="127" spans="2:17" outlineLevel="1">
      <c r="B127" s="1"/>
      <c r="C127" s="17"/>
      <c r="E127" s="2"/>
      <c r="F127" s="2"/>
      <c r="G127" s="2"/>
      <c r="H127" s="22"/>
      <c r="I127" s="22"/>
      <c r="J127" s="22"/>
      <c r="K127" s="22"/>
      <c r="L127" s="22"/>
    </row>
    <row r="128" spans="2:17" ht="15.75" outlineLevel="1" thickBot="1">
      <c r="B128" s="6" t="s">
        <v>43</v>
      </c>
      <c r="C128" s="16"/>
      <c r="E128" s="14">
        <f>SUM(E124:E127)</f>
        <v>44405</v>
      </c>
      <c r="F128" s="14">
        <f t="shared" ref="F128:L128" si="68">SUM(F124:F127)</f>
        <v>48054</v>
      </c>
      <c r="G128" s="14">
        <f t="shared" si="68"/>
        <v>54091.323875309594</v>
      </c>
      <c r="H128" s="15">
        <f>SUM(H124:H127)</f>
        <v>59637.911246510957</v>
      </c>
      <c r="I128" s="15">
        <f t="shared" si="68"/>
        <v>65134.633625391252</v>
      </c>
      <c r="J128" s="15">
        <f t="shared" si="68"/>
        <v>70941.035700739085</v>
      </c>
      <c r="K128" s="15">
        <f t="shared" si="68"/>
        <v>77163.412092951738</v>
      </c>
      <c r="L128" s="15">
        <f t="shared" si="68"/>
        <v>83778.204499889616</v>
      </c>
    </row>
    <row r="129" spans="2:12" outlineLevel="1">
      <c r="B129" s="17"/>
      <c r="C129" s="17"/>
      <c r="E129" s="2"/>
      <c r="F129" s="2"/>
      <c r="G129" s="2"/>
      <c r="H129" s="22"/>
      <c r="I129" s="22"/>
      <c r="J129" s="22"/>
      <c r="K129" s="22"/>
      <c r="L129" s="22"/>
    </row>
    <row r="130" spans="2:12" outlineLevel="1">
      <c r="B130" s="16" t="s">
        <v>44</v>
      </c>
      <c r="C130" s="16"/>
      <c r="E130" s="2"/>
      <c r="F130" s="2"/>
      <c r="G130" s="2"/>
      <c r="H130" s="22"/>
      <c r="I130" s="22"/>
      <c r="J130" s="22"/>
      <c r="K130" s="22"/>
      <c r="L130" s="22"/>
    </row>
    <row r="131" spans="2:12" outlineLevel="1">
      <c r="B131" s="1" t="s">
        <v>45</v>
      </c>
      <c r="C131" s="17"/>
      <c r="E131" s="2">
        <v>10001</v>
      </c>
      <c r="F131" s="2">
        <v>10504</v>
      </c>
      <c r="G131" s="2">
        <v>11077.106104109589</v>
      </c>
      <c r="H131" s="3">
        <f>H193</f>
        <v>12380.593876514828</v>
      </c>
      <c r="I131" s="3">
        <f t="shared" ref="I131:L131" si="69">I193</f>
        <v>13138.074333704641</v>
      </c>
      <c r="J131" s="3">
        <f t="shared" si="69"/>
        <v>13918.597036689494</v>
      </c>
      <c r="K131" s="3">
        <f t="shared" si="69"/>
        <v>14757.826590120703</v>
      </c>
      <c r="L131" s="3">
        <f t="shared" si="69"/>
        <v>15641.115907976129</v>
      </c>
    </row>
    <row r="132" spans="2:12" outlineLevel="1">
      <c r="B132" s="1" t="s">
        <v>46</v>
      </c>
      <c r="C132" s="17"/>
      <c r="E132" s="2">
        <v>1088</v>
      </c>
      <c r="F132" s="2">
        <v>894</v>
      </c>
      <c r="G132" s="2">
        <v>581</v>
      </c>
      <c r="H132" s="3">
        <f>H194</f>
        <v>682.80879939429281</v>
      </c>
      <c r="I132" s="3">
        <f t="shared" ref="I132:L132" si="70">I194</f>
        <v>620.6811511245628</v>
      </c>
      <c r="J132" s="3">
        <f t="shared" si="70"/>
        <v>719.72762501346472</v>
      </c>
      <c r="K132" s="3">
        <f t="shared" si="70"/>
        <v>737.46263238116671</v>
      </c>
      <c r="L132" s="3">
        <f t="shared" si="70"/>
        <v>802.91249528694311</v>
      </c>
    </row>
    <row r="133" spans="2:12" outlineLevel="1">
      <c r="B133" s="1" t="s">
        <v>47</v>
      </c>
      <c r="C133" s="17"/>
      <c r="E133" s="20">
        <f>SUM(E131:E132)</f>
        <v>11089</v>
      </c>
      <c r="F133" s="20">
        <f t="shared" ref="F133:L133" si="71">SUM(F131:F132)</f>
        <v>11398</v>
      </c>
      <c r="G133" s="20">
        <f t="shared" si="71"/>
        <v>11658.106104109589</v>
      </c>
      <c r="H133" s="21">
        <f t="shared" si="71"/>
        <v>13063.402675909121</v>
      </c>
      <c r="I133" s="21">
        <f t="shared" si="71"/>
        <v>13758.755484829204</v>
      </c>
      <c r="J133" s="21">
        <f t="shared" si="71"/>
        <v>14638.32466170296</v>
      </c>
      <c r="K133" s="21">
        <f t="shared" si="71"/>
        <v>15495.28922250187</v>
      </c>
      <c r="L133" s="21">
        <f t="shared" si="71"/>
        <v>16444.028403263073</v>
      </c>
    </row>
    <row r="134" spans="2:12" outlineLevel="1">
      <c r="B134" s="6"/>
      <c r="C134" s="16"/>
      <c r="E134" s="2"/>
      <c r="F134" s="2"/>
      <c r="G134" s="2"/>
      <c r="H134" s="22"/>
      <c r="I134" s="22"/>
      <c r="J134" s="22"/>
      <c r="K134" s="22"/>
      <c r="L134" s="22"/>
    </row>
    <row r="135" spans="2:12" outlineLevel="1">
      <c r="B135" s="1" t="s">
        <v>48</v>
      </c>
      <c r="C135" s="17"/>
      <c r="E135" s="2">
        <v>20000</v>
      </c>
      <c r="F135" s="2">
        <v>20000</v>
      </c>
      <c r="G135" s="2">
        <v>20000</v>
      </c>
      <c r="H135" s="3">
        <f>H219</f>
        <v>20000</v>
      </c>
      <c r="I135" s="3">
        <f t="shared" ref="I135:L135" si="72">I219</f>
        <v>20000</v>
      </c>
      <c r="J135" s="3">
        <f t="shared" si="72"/>
        <v>20000</v>
      </c>
      <c r="K135" s="3">
        <f t="shared" si="72"/>
        <v>20000</v>
      </c>
      <c r="L135" s="3">
        <f t="shared" si="72"/>
        <v>20000</v>
      </c>
    </row>
    <row r="136" spans="2:12" outlineLevel="1">
      <c r="B136" s="1" t="s">
        <v>25</v>
      </c>
      <c r="C136" s="26"/>
      <c r="E136" s="20">
        <f>SUM(E133:E135)</f>
        <v>31089</v>
      </c>
      <c r="F136" s="20">
        <f t="shared" ref="F136:L136" si="73">SUM(F133:F135)</f>
        <v>31398</v>
      </c>
      <c r="G136" s="20">
        <f t="shared" si="73"/>
        <v>31658.106104109589</v>
      </c>
      <c r="H136" s="21">
        <f>SUM(H133:H135)</f>
        <v>33063.402675909121</v>
      </c>
      <c r="I136" s="21">
        <f t="shared" si="73"/>
        <v>33758.755484829206</v>
      </c>
      <c r="J136" s="21">
        <f t="shared" si="73"/>
        <v>34638.324661702958</v>
      </c>
      <c r="K136" s="21">
        <f t="shared" si="73"/>
        <v>35495.289222501873</v>
      </c>
      <c r="L136" s="21">
        <f t="shared" si="73"/>
        <v>36444.028403263073</v>
      </c>
    </row>
    <row r="137" spans="2:12" outlineLevel="1">
      <c r="B137" s="17"/>
      <c r="C137" s="17"/>
      <c r="E137" s="2"/>
      <c r="F137" s="2"/>
      <c r="G137" s="2"/>
      <c r="H137" s="22"/>
      <c r="I137" s="22"/>
      <c r="J137" s="22"/>
      <c r="K137" s="22"/>
      <c r="L137" s="22"/>
    </row>
    <row r="138" spans="2:12" outlineLevel="1">
      <c r="B138" s="16" t="s">
        <v>49</v>
      </c>
      <c r="C138" s="16"/>
      <c r="E138" s="2"/>
      <c r="F138" s="2"/>
      <c r="G138" s="2"/>
      <c r="H138" s="22"/>
      <c r="I138" s="22"/>
      <c r="J138" s="22"/>
      <c r="K138" s="22"/>
      <c r="L138" s="22"/>
    </row>
    <row r="139" spans="2:12" outlineLevel="1">
      <c r="B139" s="1" t="s">
        <v>50</v>
      </c>
      <c r="C139" s="17"/>
      <c r="E139" s="2">
        <v>7627</v>
      </c>
      <c r="F139" s="2">
        <v>7627</v>
      </c>
      <c r="G139" s="2">
        <v>7627</v>
      </c>
      <c r="H139" s="3">
        <f>H229</f>
        <v>7627</v>
      </c>
      <c r="I139" s="3">
        <f t="shared" ref="I139:L139" si="74">I229</f>
        <v>7627</v>
      </c>
      <c r="J139" s="3">
        <f t="shared" si="74"/>
        <v>7627</v>
      </c>
      <c r="K139" s="3">
        <f t="shared" si="74"/>
        <v>7627</v>
      </c>
      <c r="L139" s="3">
        <f t="shared" si="74"/>
        <v>7627</v>
      </c>
    </row>
    <row r="140" spans="2:12" outlineLevel="1">
      <c r="B140" s="1" t="s">
        <v>26</v>
      </c>
      <c r="C140" s="17"/>
      <c r="E140" s="2">
        <v>5689</v>
      </c>
      <c r="F140" s="2">
        <v>9029</v>
      </c>
      <c r="G140" s="2">
        <v>14806.217771199999</v>
      </c>
      <c r="H140" s="3">
        <f>H238</f>
        <v>18947.50857060184</v>
      </c>
      <c r="I140" s="3">
        <f t="shared" ref="I140:L140" si="75">I238</f>
        <v>23748.878140562054</v>
      </c>
      <c r="J140" s="3">
        <f t="shared" si="75"/>
        <v>28675.711039036127</v>
      </c>
      <c r="K140" s="3">
        <f t="shared" si="75"/>
        <v>34041.122870449864</v>
      </c>
      <c r="L140" s="3">
        <f t="shared" si="75"/>
        <v>39707.176096626536</v>
      </c>
    </row>
    <row r="141" spans="2:12" outlineLevel="1">
      <c r="B141" s="6" t="s">
        <v>51</v>
      </c>
      <c r="C141" s="16"/>
      <c r="E141" s="7">
        <f>SUM(E139:E140)</f>
        <v>13316</v>
      </c>
      <c r="F141" s="7">
        <f t="shared" ref="F141:L141" si="76">SUM(F139:F140)</f>
        <v>16656</v>
      </c>
      <c r="G141" s="7">
        <f t="shared" si="76"/>
        <v>22433.217771199998</v>
      </c>
      <c r="H141" s="8">
        <f t="shared" si="76"/>
        <v>26574.50857060184</v>
      </c>
      <c r="I141" s="8">
        <f t="shared" si="76"/>
        <v>31375.878140562054</v>
      </c>
      <c r="J141" s="8">
        <f t="shared" si="76"/>
        <v>36302.711039036127</v>
      </c>
      <c r="K141" s="8">
        <f t="shared" si="76"/>
        <v>41668.122870449864</v>
      </c>
      <c r="L141" s="8">
        <f t="shared" si="76"/>
        <v>47334.176096626536</v>
      </c>
    </row>
    <row r="142" spans="2:12" outlineLevel="1">
      <c r="B142" s="6"/>
      <c r="C142" s="16"/>
      <c r="E142" s="9"/>
      <c r="F142" s="9"/>
      <c r="G142" s="9"/>
      <c r="H142" s="10"/>
      <c r="I142" s="10"/>
      <c r="J142" s="10"/>
      <c r="K142" s="10"/>
      <c r="L142" s="10"/>
    </row>
    <row r="143" spans="2:12" ht="15.75" outlineLevel="1" thickBot="1">
      <c r="B143" s="6" t="s">
        <v>52</v>
      </c>
      <c r="C143" s="17"/>
      <c r="E143" s="14">
        <f>SUM(E141,E136)</f>
        <v>44405</v>
      </c>
      <c r="F143" s="14">
        <f t="shared" ref="F143:L143" si="77">SUM(F141,F136)</f>
        <v>48054</v>
      </c>
      <c r="G143" s="14">
        <f t="shared" si="77"/>
        <v>54091.323875309587</v>
      </c>
      <c r="H143" s="15">
        <f>SUM(H141,H136)</f>
        <v>59637.911246510965</v>
      </c>
      <c r="I143" s="15">
        <f t="shared" si="77"/>
        <v>65134.63362539126</v>
      </c>
      <c r="J143" s="15">
        <f t="shared" si="77"/>
        <v>70941.035700739085</v>
      </c>
      <c r="K143" s="15">
        <f t="shared" si="77"/>
        <v>77163.412092951738</v>
      </c>
      <c r="L143" s="15">
        <f t="shared" si="77"/>
        <v>83778.204499889602</v>
      </c>
    </row>
    <row r="144" spans="2:12" outlineLevel="1">
      <c r="B144" s="1"/>
      <c r="C144" s="17"/>
      <c r="E144" s="23"/>
      <c r="F144" s="23"/>
      <c r="G144" s="23"/>
      <c r="H144" s="23"/>
      <c r="I144" s="23"/>
      <c r="J144" s="23"/>
      <c r="K144" s="23"/>
      <c r="L144" s="23"/>
    </row>
    <row r="145" spans="2:17" outlineLevel="1">
      <c r="B145" s="27" t="s">
        <v>53</v>
      </c>
      <c r="C145" s="28"/>
      <c r="E145" s="19">
        <f>E128-E143</f>
        <v>0</v>
      </c>
      <c r="F145" s="19">
        <f t="shared" ref="F145:L145" si="78">F128-F143</f>
        <v>0</v>
      </c>
      <c r="G145" s="19">
        <f t="shared" si="78"/>
        <v>0</v>
      </c>
      <c r="H145" s="19">
        <f t="shared" si="78"/>
        <v>0</v>
      </c>
      <c r="I145" s="19">
        <f t="shared" si="78"/>
        <v>0</v>
      </c>
      <c r="J145" s="19">
        <f t="shared" si="78"/>
        <v>0</v>
      </c>
      <c r="K145" s="19">
        <f t="shared" si="78"/>
        <v>0</v>
      </c>
      <c r="L145" s="19">
        <f t="shared" si="78"/>
        <v>0</v>
      </c>
    </row>
    <row r="146" spans="2:17" outlineLevel="1"/>
    <row r="147" spans="2:17" outlineLevel="1">
      <c r="B147" s="296"/>
      <c r="C147" s="296"/>
      <c r="D147" s="296"/>
      <c r="E147" s="296"/>
      <c r="F147" s="296"/>
      <c r="G147" s="296"/>
      <c r="H147" s="296"/>
      <c r="I147" s="296"/>
      <c r="J147" s="296"/>
      <c r="K147" s="296"/>
      <c r="L147" s="296"/>
    </row>
    <row r="149" spans="2:17">
      <c r="B149" s="232" t="s">
        <v>27</v>
      </c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3"/>
      <c r="N149" s="233"/>
      <c r="O149" s="233"/>
      <c r="P149" s="233"/>
      <c r="Q149" s="233"/>
    </row>
    <row r="150" spans="2:17" outlineLevel="1"/>
    <row r="151" spans="2:17" outlineLevel="1">
      <c r="B151" s="16" t="s">
        <v>54</v>
      </c>
      <c r="C151" s="16"/>
      <c r="D151" s="29"/>
      <c r="E151" s="29"/>
      <c r="F151" s="29"/>
      <c r="G151" s="30"/>
      <c r="H151" s="30"/>
      <c r="I151" s="30"/>
      <c r="J151" s="30"/>
      <c r="K151" s="30"/>
    </row>
    <row r="152" spans="2:17" outlineLevel="1">
      <c r="B152" s="1" t="s">
        <v>28</v>
      </c>
      <c r="C152" s="17"/>
      <c r="E152" s="2">
        <f>E112</f>
        <v>5185</v>
      </c>
      <c r="F152" s="2">
        <f t="shared" ref="F152:G152" si="79">F112</f>
        <v>7549</v>
      </c>
      <c r="G152" s="2">
        <f t="shared" si="79"/>
        <v>8708.1928560000015</v>
      </c>
      <c r="H152" s="3">
        <f>H112</f>
        <v>7489.6793771485427</v>
      </c>
      <c r="I152" s="3">
        <f t="shared" ref="I152:L152" si="80">I112</f>
        <v>7894.6764836991597</v>
      </c>
      <c r="J152" s="3">
        <f t="shared" si="80"/>
        <v>8486.4106917302597</v>
      </c>
      <c r="K152" s="3">
        <f t="shared" si="80"/>
        <v>9027.1048758783945</v>
      </c>
      <c r="L152" s="3">
        <f t="shared" si="80"/>
        <v>9644.9828797288246</v>
      </c>
    </row>
    <row r="153" spans="2:17" outlineLevel="1">
      <c r="B153" s="1" t="s">
        <v>29</v>
      </c>
      <c r="C153" s="17"/>
      <c r="E153" s="2">
        <f>-E105</f>
        <v>2960</v>
      </c>
      <c r="F153" s="2">
        <f t="shared" ref="F153:G153" si="81">-F105</f>
        <v>2803</v>
      </c>
      <c r="G153" s="2">
        <f t="shared" si="81"/>
        <v>2906.83536</v>
      </c>
      <c r="H153" s="3">
        <f>-H105</f>
        <v>3135.6712066561909</v>
      </c>
      <c r="I153" s="3">
        <f t="shared" ref="I153:L153" si="82">-I105</f>
        <v>3294.9658447757815</v>
      </c>
      <c r="J153" s="3">
        <f t="shared" si="82"/>
        <v>3507.951981630612</v>
      </c>
      <c r="K153" s="3">
        <f t="shared" si="82"/>
        <v>3710.3263618592582</v>
      </c>
      <c r="L153" s="3">
        <f t="shared" si="82"/>
        <v>3937.2403950654848</v>
      </c>
    </row>
    <row r="154" spans="2:17" outlineLevel="1">
      <c r="B154" s="1" t="s">
        <v>55</v>
      </c>
      <c r="C154" s="17"/>
      <c r="E154" s="2"/>
      <c r="F154" s="2"/>
      <c r="G154" s="2"/>
      <c r="H154" s="22"/>
      <c r="I154" s="22"/>
      <c r="J154" s="22"/>
      <c r="K154" s="22"/>
      <c r="L154" s="22"/>
    </row>
    <row r="155" spans="2:17" outlineLevel="1">
      <c r="B155" s="31" t="s">
        <v>39</v>
      </c>
      <c r="C155" s="1"/>
      <c r="E155" s="2">
        <f>E197</f>
        <v>-1280</v>
      </c>
      <c r="F155" s="2">
        <f t="shared" ref="F155:G155" si="83">F197</f>
        <v>-1389</v>
      </c>
      <c r="G155" s="2">
        <f t="shared" si="83"/>
        <v>-647.20854794520528</v>
      </c>
      <c r="H155" s="3">
        <f>H197</f>
        <v>-1089.8482894440021</v>
      </c>
      <c r="I155" s="3">
        <f t="shared" ref="I155:L155" si="84">I197</f>
        <v>-839.17824866268893</v>
      </c>
      <c r="J155" s="3">
        <f t="shared" si="84"/>
        <v>-1057.0412408008669</v>
      </c>
      <c r="K155" s="3">
        <f t="shared" si="84"/>
        <v>-1031.6821977231593</v>
      </c>
      <c r="L155" s="3">
        <f t="shared" si="84"/>
        <v>-1140.6373338752019</v>
      </c>
    </row>
    <row r="156" spans="2:17" outlineLevel="1">
      <c r="B156" s="31" t="s">
        <v>40</v>
      </c>
      <c r="C156" s="1"/>
      <c r="E156" s="2">
        <f>E198</f>
        <v>-470</v>
      </c>
      <c r="F156" s="2">
        <f t="shared" ref="F156:L156" si="85">F198</f>
        <v>-523</v>
      </c>
      <c r="G156" s="2">
        <f t="shared" si="85"/>
        <v>-345.33187945205464</v>
      </c>
      <c r="H156" s="3">
        <f t="shared" si="85"/>
        <v>-987.09364171234301</v>
      </c>
      <c r="I156" s="3">
        <f t="shared" si="85"/>
        <v>-530.07440561382828</v>
      </c>
      <c r="J156" s="3">
        <f t="shared" si="85"/>
        <v>-579.21549220439556</v>
      </c>
      <c r="K156" s="3">
        <f t="shared" si="85"/>
        <v>-604.78001194217723</v>
      </c>
      <c r="L156" s="3">
        <f t="shared" si="85"/>
        <v>-645.93666984978336</v>
      </c>
    </row>
    <row r="157" spans="2:17" outlineLevel="1">
      <c r="B157" s="31" t="s">
        <v>45</v>
      </c>
      <c r="C157" s="1"/>
      <c r="E157" s="2">
        <f>E199</f>
        <v>490</v>
      </c>
      <c r="F157" s="2">
        <f t="shared" ref="F157:L158" si="86">F199</f>
        <v>503</v>
      </c>
      <c r="G157" s="2">
        <f t="shared" si="86"/>
        <v>573.10610410958907</v>
      </c>
      <c r="H157" s="3">
        <f t="shared" si="86"/>
        <v>1303.4877724052385</v>
      </c>
      <c r="I157" s="3">
        <f t="shared" si="86"/>
        <v>757.48045718981302</v>
      </c>
      <c r="J157" s="3">
        <f t="shared" si="86"/>
        <v>780.52270298485382</v>
      </c>
      <c r="K157" s="3">
        <f t="shared" si="86"/>
        <v>839.22955343120884</v>
      </c>
      <c r="L157" s="3">
        <f t="shared" si="86"/>
        <v>883.28931785542591</v>
      </c>
    </row>
    <row r="158" spans="2:17" outlineLevel="1">
      <c r="B158" s="31" t="s">
        <v>46</v>
      </c>
      <c r="C158" s="1"/>
      <c r="E158" s="2">
        <f>E200</f>
        <v>50</v>
      </c>
      <c r="F158" s="2">
        <f t="shared" ref="F158:G158" si="87">F200</f>
        <v>-194</v>
      </c>
      <c r="G158" s="2">
        <f t="shared" si="87"/>
        <v>-313</v>
      </c>
      <c r="H158" s="3">
        <f t="shared" si="86"/>
        <v>101.80879939429281</v>
      </c>
      <c r="I158" s="3">
        <f t="shared" si="86"/>
        <v>-62.127648269730003</v>
      </c>
      <c r="J158" s="3">
        <f t="shared" si="86"/>
        <v>99.046473888901915</v>
      </c>
      <c r="K158" s="3">
        <f t="shared" si="86"/>
        <v>17.735007367701996</v>
      </c>
      <c r="L158" s="3">
        <f t="shared" si="86"/>
        <v>65.449862905776399</v>
      </c>
    </row>
    <row r="159" spans="2:17" outlineLevel="1">
      <c r="B159" s="1" t="s">
        <v>54</v>
      </c>
      <c r="C159" s="17"/>
      <c r="E159" s="20">
        <f>SUM(E152:E158)</f>
        <v>6935</v>
      </c>
      <c r="F159" s="20">
        <f t="shared" ref="F159" si="88">SUM(F152:F158)</f>
        <v>8749</v>
      </c>
      <c r="G159" s="20">
        <f>SUM(G152:G158)</f>
        <v>10882.593892712332</v>
      </c>
      <c r="H159" s="21">
        <f t="shared" ref="H159:L159" si="89">SUM(H152:H158)</f>
        <v>9953.70522444792</v>
      </c>
      <c r="I159" s="21">
        <f t="shared" si="89"/>
        <v>10515.742483118507</v>
      </c>
      <c r="J159" s="21">
        <f t="shared" si="89"/>
        <v>11237.675117229366</v>
      </c>
      <c r="K159" s="21">
        <f t="shared" si="89"/>
        <v>11957.933588871227</v>
      </c>
      <c r="L159" s="21">
        <f t="shared" si="89"/>
        <v>12744.388451830526</v>
      </c>
    </row>
    <row r="160" spans="2:17" outlineLevel="1">
      <c r="B160" s="17"/>
      <c r="C160" s="17"/>
      <c r="E160" s="2"/>
      <c r="F160" s="2"/>
      <c r="G160" s="2"/>
      <c r="H160" s="22"/>
      <c r="I160" s="22"/>
      <c r="J160" s="22"/>
      <c r="K160" s="22"/>
      <c r="L160" s="22"/>
    </row>
    <row r="161" spans="2:12" outlineLevel="1">
      <c r="B161" s="16" t="s">
        <v>56</v>
      </c>
      <c r="C161" s="16"/>
      <c r="E161" s="2"/>
      <c r="F161" s="2"/>
      <c r="G161" s="2"/>
      <c r="H161" s="22"/>
      <c r="I161" s="22"/>
      <c r="J161" s="22"/>
      <c r="K161" s="22"/>
      <c r="L161" s="22"/>
    </row>
    <row r="162" spans="2:12" outlineLevel="1">
      <c r="B162" s="1" t="s">
        <v>57</v>
      </c>
      <c r="C162" s="17"/>
      <c r="E162" s="2">
        <v>-3004.9999999999973</v>
      </c>
      <c r="F162" s="2">
        <v>-3911.0000000000018</v>
      </c>
      <c r="G162" s="2">
        <v>-3710.8353600000046</v>
      </c>
      <c r="H162" s="3">
        <f>-H209</f>
        <v>-4769.5680354223878</v>
      </c>
      <c r="I162" s="3">
        <f t="shared" ref="I162:L162" si="90">-I209</f>
        <v>-4469.3527375737249</v>
      </c>
      <c r="J162" s="3">
        <f t="shared" si="90"/>
        <v>-5049.4320659312689</v>
      </c>
      <c r="K162" s="3">
        <f t="shared" si="90"/>
        <v>-5187.3869079139913</v>
      </c>
      <c r="L162" s="3">
        <f t="shared" si="90"/>
        <v>-5586.1662144561014</v>
      </c>
    </row>
    <row r="163" spans="2:12" outlineLevel="1">
      <c r="B163" s="1" t="s">
        <v>58</v>
      </c>
      <c r="C163" s="17"/>
      <c r="E163" s="20">
        <f>SUM(E162)</f>
        <v>-3004.9999999999973</v>
      </c>
      <c r="F163" s="20">
        <f t="shared" ref="F163:L163" si="91">SUM(F162)</f>
        <v>-3911.0000000000018</v>
      </c>
      <c r="G163" s="20">
        <f t="shared" si="91"/>
        <v>-3710.8353600000046</v>
      </c>
      <c r="H163" s="21">
        <f t="shared" si="91"/>
        <v>-4769.5680354223878</v>
      </c>
      <c r="I163" s="21">
        <f t="shared" si="91"/>
        <v>-4469.3527375737249</v>
      </c>
      <c r="J163" s="21">
        <f t="shared" si="91"/>
        <v>-5049.4320659312689</v>
      </c>
      <c r="K163" s="21">
        <f t="shared" si="91"/>
        <v>-5187.3869079139913</v>
      </c>
      <c r="L163" s="21">
        <f t="shared" si="91"/>
        <v>-5586.1662144561014</v>
      </c>
    </row>
    <row r="164" spans="2:12" outlineLevel="1">
      <c r="B164" s="17"/>
      <c r="C164" s="17"/>
      <c r="E164" s="2"/>
      <c r="F164" s="2"/>
      <c r="G164" s="2"/>
      <c r="H164" s="22"/>
      <c r="I164" s="22"/>
      <c r="J164" s="22"/>
      <c r="K164" s="22"/>
      <c r="L164" s="22"/>
    </row>
    <row r="165" spans="2:12" outlineLevel="1">
      <c r="B165" s="16" t="s">
        <v>59</v>
      </c>
      <c r="C165" s="16"/>
      <c r="E165" s="2"/>
      <c r="F165" s="2"/>
      <c r="G165" s="2"/>
      <c r="H165" s="22"/>
      <c r="I165" s="22"/>
      <c r="J165" s="22"/>
      <c r="K165" s="22"/>
      <c r="L165" s="22"/>
    </row>
    <row r="166" spans="2:12" outlineLevel="1">
      <c r="B166" s="1" t="s">
        <v>60</v>
      </c>
      <c r="C166" s="17"/>
      <c r="E166" s="2">
        <v>0</v>
      </c>
      <c r="F166" s="2">
        <v>0</v>
      </c>
      <c r="G166" s="2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</row>
    <row r="167" spans="2:12" outlineLevel="1">
      <c r="B167" s="1" t="s">
        <v>61</v>
      </c>
      <c r="C167" s="17"/>
      <c r="E167" s="2">
        <f>-E114</f>
        <v>-4312</v>
      </c>
      <c r="F167" s="2">
        <f t="shared" ref="F167:G167" si="92">-F114</f>
        <v>-4209</v>
      </c>
      <c r="G167" s="2">
        <f t="shared" si="92"/>
        <v>-2930.9750848000026</v>
      </c>
      <c r="H167" s="3">
        <f>-H114</f>
        <v>-3348.3885777467049</v>
      </c>
      <c r="I167" s="3">
        <f t="shared" ref="I167:L167" si="93">-I114</f>
        <v>-3093.3069137389448</v>
      </c>
      <c r="J167" s="3">
        <f t="shared" si="93"/>
        <v>-3559.5777932561878</v>
      </c>
      <c r="K167" s="3">
        <f t="shared" si="93"/>
        <v>-3661.6930444646555</v>
      </c>
      <c r="L167" s="3">
        <f t="shared" si="93"/>
        <v>-3978.929653552153</v>
      </c>
    </row>
    <row r="168" spans="2:12" outlineLevel="1">
      <c r="B168" s="1" t="s">
        <v>62</v>
      </c>
      <c r="C168" s="17"/>
      <c r="E168" s="2">
        <v>0</v>
      </c>
      <c r="F168" s="2">
        <v>0</v>
      </c>
      <c r="G168" s="2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</row>
    <row r="169" spans="2:12" outlineLevel="1">
      <c r="B169" s="1" t="s">
        <v>63</v>
      </c>
      <c r="C169" s="17"/>
      <c r="E169" s="20">
        <f>SUM(E166:E168)</f>
        <v>-4312</v>
      </c>
      <c r="F169" s="20">
        <f t="shared" ref="F169:L169" si="94">SUM(F166:F168)</f>
        <v>-4209</v>
      </c>
      <c r="G169" s="20">
        <f t="shared" si="94"/>
        <v>-2930.9750848000026</v>
      </c>
      <c r="H169" s="21">
        <f t="shared" si="94"/>
        <v>-3348.3885777467049</v>
      </c>
      <c r="I169" s="21">
        <f t="shared" si="94"/>
        <v>-3093.3069137389448</v>
      </c>
      <c r="J169" s="21">
        <f t="shared" si="94"/>
        <v>-3559.5777932561878</v>
      </c>
      <c r="K169" s="21">
        <f t="shared" si="94"/>
        <v>-3661.6930444646555</v>
      </c>
      <c r="L169" s="21">
        <f t="shared" si="94"/>
        <v>-3978.929653552153</v>
      </c>
    </row>
    <row r="170" spans="2:12" outlineLevel="1">
      <c r="B170" s="1"/>
      <c r="C170" s="17"/>
      <c r="E170" s="2"/>
      <c r="F170" s="2"/>
      <c r="G170" s="2"/>
      <c r="H170" s="22"/>
      <c r="I170" s="22"/>
      <c r="J170" s="22"/>
      <c r="K170" s="22"/>
      <c r="L170" s="22"/>
    </row>
    <row r="171" spans="2:12" outlineLevel="1">
      <c r="B171" s="1" t="s">
        <v>64</v>
      </c>
      <c r="C171" s="17"/>
      <c r="E171" s="2">
        <v>5671</v>
      </c>
      <c r="F171" s="2">
        <f>E173</f>
        <v>5289.0000000000027</v>
      </c>
      <c r="G171" s="2">
        <f t="shared" ref="G171" si="95">F173</f>
        <v>5918.0000000000009</v>
      </c>
      <c r="H171" s="3">
        <f>G173</f>
        <v>10158.783447912327</v>
      </c>
      <c r="I171" s="3">
        <f t="shared" ref="I171:K171" si="96">H173</f>
        <v>11994.532059191155</v>
      </c>
      <c r="J171" s="3">
        <f t="shared" si="96"/>
        <v>14947.614890996992</v>
      </c>
      <c r="K171" s="3">
        <f t="shared" si="96"/>
        <v>17576.280149038903</v>
      </c>
      <c r="L171" s="3">
        <f>K173</f>
        <v>20685.133785531485</v>
      </c>
    </row>
    <row r="172" spans="2:12" outlineLevel="1">
      <c r="B172" s="1" t="s">
        <v>65</v>
      </c>
      <c r="C172" s="17"/>
      <c r="E172" s="2">
        <f>E169+E163+E159</f>
        <v>-381.99999999999727</v>
      </c>
      <c r="F172" s="2">
        <f t="shared" ref="F172:L172" si="97">F169+F163+F159</f>
        <v>628.99999999999818</v>
      </c>
      <c r="G172" s="2">
        <f t="shared" si="97"/>
        <v>4240.7834479123248</v>
      </c>
      <c r="H172" s="3">
        <f t="shared" si="97"/>
        <v>1835.7486112788274</v>
      </c>
      <c r="I172" s="3">
        <f t="shared" si="97"/>
        <v>2953.0828318058375</v>
      </c>
      <c r="J172" s="3">
        <f t="shared" si="97"/>
        <v>2628.6652580419104</v>
      </c>
      <c r="K172" s="3">
        <f t="shared" si="97"/>
        <v>3108.8536364925803</v>
      </c>
      <c r="L172" s="3">
        <f t="shared" si="97"/>
        <v>3179.2925838222709</v>
      </c>
    </row>
    <row r="173" spans="2:12" ht="15.75" outlineLevel="1" thickBot="1">
      <c r="B173" s="6" t="s">
        <v>66</v>
      </c>
      <c r="C173" s="16"/>
      <c r="E173" s="14">
        <f>SUM(E171:E172)</f>
        <v>5289.0000000000027</v>
      </c>
      <c r="F173" s="14">
        <f t="shared" ref="F173:L173" si="98">SUM(F171:F172)</f>
        <v>5918.0000000000009</v>
      </c>
      <c r="G173" s="14">
        <f t="shared" si="98"/>
        <v>10158.783447912327</v>
      </c>
      <c r="H173" s="15">
        <f t="shared" si="98"/>
        <v>11994.532059191155</v>
      </c>
      <c r="I173" s="15">
        <f t="shared" si="98"/>
        <v>14947.614890996992</v>
      </c>
      <c r="J173" s="15">
        <f t="shared" si="98"/>
        <v>17576.280149038903</v>
      </c>
      <c r="K173" s="15">
        <f t="shared" si="98"/>
        <v>20685.133785531485</v>
      </c>
      <c r="L173" s="15">
        <f t="shared" si="98"/>
        <v>23864.426369353758</v>
      </c>
    </row>
    <row r="174" spans="2:12" outlineLevel="1">
      <c r="B174" s="16"/>
      <c r="C174" s="16"/>
      <c r="D174" s="32"/>
      <c r="E174" s="32"/>
      <c r="F174" s="32"/>
      <c r="G174" s="32"/>
      <c r="H174" s="32"/>
      <c r="I174" s="32"/>
      <c r="J174" s="32"/>
      <c r="K174" s="32"/>
    </row>
    <row r="175" spans="2:12" outlineLevel="1">
      <c r="B175" s="33"/>
      <c r="C175" s="33"/>
      <c r="D175" s="34"/>
      <c r="E175" s="34"/>
      <c r="F175" s="34"/>
      <c r="G175" s="34"/>
      <c r="H175" s="34"/>
      <c r="I175" s="34"/>
      <c r="J175" s="34"/>
      <c r="K175" s="34"/>
      <c r="L175" s="296"/>
    </row>
    <row r="177" spans="2:17" s="297" customFormat="1">
      <c r="B177" s="298" t="s">
        <v>199</v>
      </c>
      <c r="C177" s="298"/>
      <c r="D177" s="298"/>
      <c r="E177" s="298"/>
      <c r="F177" s="298"/>
      <c r="G177" s="298"/>
      <c r="H177" s="298"/>
      <c r="I177" s="298"/>
      <c r="J177" s="298"/>
      <c r="K177" s="298"/>
      <c r="L177" s="233"/>
      <c r="M177" s="233"/>
      <c r="N177" s="233"/>
      <c r="O177" s="233"/>
      <c r="P177" s="233"/>
      <c r="Q177" s="233"/>
    </row>
    <row r="178" spans="2:17" s="297" customFormat="1" outlineLevel="1">
      <c r="B178" s="299"/>
      <c r="C178" s="299"/>
      <c r="D178" s="300"/>
      <c r="E178" s="300"/>
      <c r="F178" s="300"/>
      <c r="G178" s="300"/>
      <c r="H178" s="300"/>
      <c r="I178" s="300"/>
      <c r="J178" s="300"/>
      <c r="K178" s="300"/>
    </row>
    <row r="179" spans="2:17" s="297" customFormat="1" outlineLevel="1">
      <c r="B179" s="299"/>
      <c r="C179" s="299"/>
      <c r="E179" s="300"/>
      <c r="F179" s="300"/>
      <c r="G179" s="300"/>
      <c r="H179" s="300"/>
      <c r="I179" s="300"/>
      <c r="J179" s="300"/>
      <c r="K179" s="300"/>
      <c r="L179" s="300"/>
    </row>
    <row r="180" spans="2:17" s="297" customFormat="1" outlineLevel="1">
      <c r="B180" s="17" t="s">
        <v>200</v>
      </c>
      <c r="C180" s="17"/>
      <c r="E180" s="39">
        <f>[1]Sheet1!D6</f>
        <v>365</v>
      </c>
      <c r="F180" s="39">
        <f>[1]Sheet1!E6</f>
        <v>365</v>
      </c>
      <c r="G180" s="39">
        <f>[1]Sheet1!F6</f>
        <v>365</v>
      </c>
      <c r="H180" s="40">
        <f>[1]Sheet1!G6</f>
        <v>365</v>
      </c>
      <c r="I180" s="40">
        <f>[1]Sheet1!H6</f>
        <v>365</v>
      </c>
      <c r="J180" s="40">
        <f>[1]Sheet1!I6</f>
        <v>365</v>
      </c>
      <c r="K180" s="40">
        <f>[1]Sheet1!J6</f>
        <v>365</v>
      </c>
      <c r="L180" s="40">
        <f>[1]Sheet1!K6</f>
        <v>365</v>
      </c>
    </row>
    <row r="181" spans="2:17" s="297" customFormat="1" outlineLevel="1">
      <c r="B181" s="17" t="s">
        <v>201</v>
      </c>
      <c r="C181" s="17"/>
      <c r="E181" s="148">
        <f>E98</f>
        <v>81422</v>
      </c>
      <c r="F181" s="148">
        <f t="shared" ref="F181:L181" si="99">F98</f>
        <v>86698</v>
      </c>
      <c r="G181" s="148">
        <f t="shared" si="99"/>
        <v>93085.92</v>
      </c>
      <c r="H181" s="149">
        <f t="shared" si="99"/>
        <v>98671.075200000007</v>
      </c>
      <c r="I181" s="149">
        <f t="shared" si="99"/>
        <v>104591.33971200002</v>
      </c>
      <c r="J181" s="149">
        <f t="shared" si="99"/>
        <v>110866.82009472002</v>
      </c>
      <c r="K181" s="149">
        <f t="shared" si="99"/>
        <v>117518.82930040323</v>
      </c>
      <c r="L181" s="149">
        <f t="shared" si="99"/>
        <v>124569.95905842743</v>
      </c>
    </row>
    <row r="182" spans="2:17" s="297" customFormat="1" outlineLevel="1">
      <c r="B182" s="17" t="s">
        <v>31</v>
      </c>
      <c r="C182" s="17"/>
      <c r="E182" s="148">
        <f>-E99</f>
        <v>38121</v>
      </c>
      <c r="F182" s="148">
        <f t="shared" ref="F182:L182" si="100">-F99</f>
        <v>37756</v>
      </c>
      <c r="G182" s="148">
        <f t="shared" si="100"/>
        <v>39638.663999999997</v>
      </c>
      <c r="H182" s="149">
        <f t="shared" si="100"/>
        <v>44401.983840000001</v>
      </c>
      <c r="I182" s="149">
        <f t="shared" si="100"/>
        <v>47066.102870400005</v>
      </c>
      <c r="J182" s="149">
        <f t="shared" si="100"/>
        <v>49890.069042624011</v>
      </c>
      <c r="K182" s="149">
        <f t="shared" si="100"/>
        <v>52883.473185181458</v>
      </c>
      <c r="L182" s="149">
        <f t="shared" si="100"/>
        <v>56056.481576292346</v>
      </c>
    </row>
    <row r="183" spans="2:17" s="297" customFormat="1" outlineLevel="1">
      <c r="B183" s="17" t="s">
        <v>23</v>
      </c>
      <c r="C183" s="17"/>
      <c r="E183" s="150">
        <f>-E111</f>
        <v>2761</v>
      </c>
      <c r="F183" s="150">
        <f t="shared" ref="F183:L183" si="101">-F111</f>
        <v>2429</v>
      </c>
      <c r="G183" s="150">
        <f t="shared" si="101"/>
        <v>1570.1652240000001</v>
      </c>
      <c r="H183" s="151">
        <f>-H111</f>
        <v>1850.2361758833085</v>
      </c>
      <c r="I183" s="151">
        <f t="shared" si="101"/>
        <v>1679.6423287517271</v>
      </c>
      <c r="J183" s="151">
        <f t="shared" si="101"/>
        <v>1948.9748365620037</v>
      </c>
      <c r="K183" s="151">
        <f t="shared" si="101"/>
        <v>1996.3337629514108</v>
      </c>
      <c r="L183" s="151">
        <f t="shared" si="101"/>
        <v>2173.8711886455685</v>
      </c>
    </row>
    <row r="184" spans="2:17" s="297" customFormat="1" outlineLevel="1">
      <c r="B184" s="16"/>
      <c r="C184" s="16"/>
      <c r="E184" s="152"/>
      <c r="F184" s="152"/>
      <c r="G184" s="152"/>
      <c r="H184" s="153"/>
      <c r="I184" s="153"/>
      <c r="J184" s="153"/>
      <c r="K184" s="153"/>
      <c r="L184" s="153"/>
    </row>
    <row r="185" spans="2:17" s="297" customFormat="1" outlineLevel="1">
      <c r="B185" s="17" t="s">
        <v>39</v>
      </c>
      <c r="C185" s="301" t="s">
        <v>202</v>
      </c>
      <c r="E185" s="2">
        <f>(E122/E181)*E180</f>
        <v>56.864545208911593</v>
      </c>
      <c r="F185" s="2">
        <f t="shared" ref="F185" si="102">(F122/F181)*F180</f>
        <v>59.251770513737341</v>
      </c>
      <c r="G185" s="2">
        <f>(G122/G181)*G180</f>
        <v>57.723457210284863</v>
      </c>
      <c r="H185" s="3">
        <f>(F185+G185)/2</f>
        <v>58.487613862011102</v>
      </c>
      <c r="I185" s="3">
        <f t="shared" ref="I185:L185" si="103">(G185+H185)/2</f>
        <v>58.105535536147983</v>
      </c>
      <c r="J185" s="3">
        <f t="shared" si="103"/>
        <v>58.296574699079542</v>
      </c>
      <c r="K185" s="3">
        <f t="shared" si="103"/>
        <v>58.201055117613762</v>
      </c>
      <c r="L185" s="3">
        <f t="shared" si="103"/>
        <v>58.248814908346652</v>
      </c>
    </row>
    <row r="186" spans="2:17" s="297" customFormat="1" outlineLevel="1">
      <c r="B186" s="17" t="s">
        <v>203</v>
      </c>
      <c r="C186" s="301" t="s">
        <v>202</v>
      </c>
      <c r="E186" s="2">
        <f>(E123/E182)*E180</f>
        <v>68.631987618373074</v>
      </c>
      <c r="F186" s="2">
        <f t="shared" ref="F186:G186" si="104">(F123/F182)*F180</f>
        <v>74.351493802309562</v>
      </c>
      <c r="G186" s="2">
        <f t="shared" si="104"/>
        <v>74</v>
      </c>
      <c r="H186" s="3">
        <f t="shared" ref="H186:H187" si="105">(F186+G186)/2</f>
        <v>74.175746901154781</v>
      </c>
      <c r="I186" s="3">
        <f t="shared" ref="I186:I187" si="106">(G186+H186)/2</f>
        <v>74.087873450577391</v>
      </c>
      <c r="J186" s="3">
        <f t="shared" ref="J186:J187" si="107">(H186+I186)/2</f>
        <v>74.131810175866093</v>
      </c>
      <c r="K186" s="3">
        <f t="shared" ref="K186:K187" si="108">(I186+J186)/2</f>
        <v>74.109841813221749</v>
      </c>
      <c r="L186" s="3">
        <f t="shared" ref="L186:L187" si="109">(J186+K186)/2</f>
        <v>74.120825994543921</v>
      </c>
    </row>
    <row r="187" spans="2:17" s="297" customFormat="1" outlineLevel="1">
      <c r="B187" s="17" t="s">
        <v>45</v>
      </c>
      <c r="C187" s="301" t="s">
        <v>202</v>
      </c>
      <c r="E187" s="2">
        <f>(E131/E182)*E180</f>
        <v>95.757325358726149</v>
      </c>
      <c r="F187" s="2">
        <f t="shared" ref="F187:G187" si="110">(F131/F182)*F180</f>
        <v>101.54571458840979</v>
      </c>
      <c r="G187" s="2">
        <f t="shared" si="110"/>
        <v>102</v>
      </c>
      <c r="H187" s="3">
        <f t="shared" si="105"/>
        <v>101.7728572942049</v>
      </c>
      <c r="I187" s="3">
        <f t="shared" si="106"/>
        <v>101.88642864710245</v>
      </c>
      <c r="J187" s="3">
        <f t="shared" si="107"/>
        <v>101.82964297065368</v>
      </c>
      <c r="K187" s="3">
        <f t="shared" si="108"/>
        <v>101.85803580887807</v>
      </c>
      <c r="L187" s="3">
        <f t="shared" si="109"/>
        <v>101.84383938976588</v>
      </c>
    </row>
    <row r="188" spans="2:17" s="297" customFormat="1" outlineLevel="1">
      <c r="B188" s="26" t="s">
        <v>204</v>
      </c>
      <c r="C188" s="17"/>
      <c r="E188" s="154">
        <f>E21</f>
        <v>0.39406012314378847</v>
      </c>
      <c r="F188" s="154">
        <f t="shared" ref="F188:G188" si="111">F21</f>
        <v>0.36805269658295597</v>
      </c>
      <c r="G188" s="154">
        <f t="shared" si="111"/>
        <v>0.37002475352237196</v>
      </c>
      <c r="H188" s="155">
        <f>H86</f>
        <v>0.369038725052664</v>
      </c>
      <c r="I188" s="155">
        <f t="shared" ref="I188:L188" si="112">I86</f>
        <v>0.36953173928751798</v>
      </c>
      <c r="J188" s="155">
        <f t="shared" si="112"/>
        <v>0.36928523217009102</v>
      </c>
      <c r="K188" s="155">
        <f t="shared" si="112"/>
        <v>0.36940848572880447</v>
      </c>
      <c r="L188" s="155">
        <f t="shared" si="112"/>
        <v>0.36934685894944774</v>
      </c>
    </row>
    <row r="189" spans="2:17" s="297" customFormat="1" outlineLevel="1">
      <c r="B189" s="17"/>
      <c r="C189" s="17"/>
      <c r="E189" s="152"/>
      <c r="F189" s="152"/>
      <c r="G189" s="152"/>
      <c r="H189" s="153"/>
      <c r="I189" s="153"/>
      <c r="J189" s="153"/>
      <c r="K189" s="153"/>
      <c r="L189" s="153"/>
    </row>
    <row r="190" spans="2:17" s="297" customFormat="1" outlineLevel="1">
      <c r="B190" s="16" t="s">
        <v>205</v>
      </c>
      <c r="C190" s="17"/>
      <c r="E190" s="152"/>
      <c r="F190" s="152"/>
      <c r="G190" s="152"/>
      <c r="H190" s="153"/>
      <c r="I190" s="153"/>
      <c r="J190" s="153"/>
      <c r="K190" s="153"/>
      <c r="L190" s="153"/>
    </row>
    <row r="191" spans="2:17" s="297" customFormat="1" outlineLevel="1">
      <c r="B191" s="1" t="s">
        <v>39</v>
      </c>
      <c r="C191" s="17"/>
      <c r="E191" s="152">
        <f>E122</f>
        <v>12685</v>
      </c>
      <c r="F191" s="152">
        <f t="shared" ref="F191:G191" si="113">F122</f>
        <v>14074</v>
      </c>
      <c r="G191" s="152">
        <f t="shared" si="113"/>
        <v>14721.208547945205</v>
      </c>
      <c r="H191" s="156">
        <f>H185/H180*H181</f>
        <v>15811.056837389207</v>
      </c>
      <c r="I191" s="156">
        <f t="shared" ref="I191:K191" si="114">I185/I180*I181</f>
        <v>16650.235086051896</v>
      </c>
      <c r="J191" s="156">
        <f t="shared" si="114"/>
        <v>17707.276326852763</v>
      </c>
      <c r="K191" s="156">
        <f t="shared" si="114"/>
        <v>18738.958524575923</v>
      </c>
      <c r="L191" s="156">
        <f>L185/L180*L181</f>
        <v>19879.595858451125</v>
      </c>
    </row>
    <row r="192" spans="2:17" s="297" customFormat="1" outlineLevel="1">
      <c r="B192" s="1" t="s">
        <v>203</v>
      </c>
      <c r="C192" s="17"/>
      <c r="E192" s="152">
        <f>E123</f>
        <v>7168</v>
      </c>
      <c r="F192" s="152">
        <f t="shared" ref="F192:G192" si="115">F123</f>
        <v>7691</v>
      </c>
      <c r="G192" s="152">
        <f t="shared" si="115"/>
        <v>8036.3318794520546</v>
      </c>
      <c r="H192" s="156">
        <f>H186/H180*H182</f>
        <v>9023.4255211643977</v>
      </c>
      <c r="I192" s="156">
        <f t="shared" ref="I192:L192" si="116">I186/I180*I182</f>
        <v>9553.4999267782259</v>
      </c>
      <c r="J192" s="156">
        <f t="shared" si="116"/>
        <v>10132.715418982621</v>
      </c>
      <c r="K192" s="156">
        <f t="shared" si="116"/>
        <v>10737.495430924799</v>
      </c>
      <c r="L192" s="156">
        <f t="shared" si="116"/>
        <v>11383.432100774582</v>
      </c>
    </row>
    <row r="193" spans="2:12" s="297" customFormat="1" outlineLevel="1">
      <c r="B193" s="1" t="s">
        <v>45</v>
      </c>
      <c r="C193" s="17"/>
      <c r="E193" s="152">
        <f>E131</f>
        <v>10001</v>
      </c>
      <c r="F193" s="152">
        <f t="shared" ref="F193:G193" si="117">F131</f>
        <v>10504</v>
      </c>
      <c r="G193" s="152">
        <f t="shared" si="117"/>
        <v>11077.106104109589</v>
      </c>
      <c r="H193" s="156">
        <f>H187/H180*H182</f>
        <v>12380.593876514828</v>
      </c>
      <c r="I193" s="156">
        <f t="shared" ref="I193:L193" si="118">I187/I180*I182</f>
        <v>13138.074333704641</v>
      </c>
      <c r="J193" s="156">
        <f t="shared" si="118"/>
        <v>13918.597036689494</v>
      </c>
      <c r="K193" s="156">
        <f t="shared" si="118"/>
        <v>14757.826590120703</v>
      </c>
      <c r="L193" s="156">
        <f t="shared" si="118"/>
        <v>15641.115907976129</v>
      </c>
    </row>
    <row r="194" spans="2:12" s="297" customFormat="1" outlineLevel="1">
      <c r="B194" s="1" t="s">
        <v>206</v>
      </c>
      <c r="C194" s="17"/>
      <c r="E194" s="152">
        <f>E132</f>
        <v>1088</v>
      </c>
      <c r="F194" s="152">
        <f t="shared" ref="F194:G194" si="119">F132</f>
        <v>894</v>
      </c>
      <c r="G194" s="152">
        <f t="shared" si="119"/>
        <v>581</v>
      </c>
      <c r="H194" s="156">
        <f>H183*H188</f>
        <v>682.80879939429281</v>
      </c>
      <c r="I194" s="156">
        <f t="shared" ref="I194:L194" si="120">I183*I188</f>
        <v>620.6811511245628</v>
      </c>
      <c r="J194" s="156">
        <f t="shared" si="120"/>
        <v>719.72762501346472</v>
      </c>
      <c r="K194" s="156">
        <f t="shared" si="120"/>
        <v>737.46263238116671</v>
      </c>
      <c r="L194" s="156">
        <f t="shared" si="120"/>
        <v>802.91249528694311</v>
      </c>
    </row>
    <row r="195" spans="2:12" s="297" customFormat="1" outlineLevel="1">
      <c r="B195" s="17"/>
      <c r="C195" s="17"/>
      <c r="E195" s="152"/>
      <c r="F195" s="152"/>
      <c r="G195" s="152"/>
      <c r="H195" s="153"/>
      <c r="I195" s="153"/>
      <c r="J195" s="153"/>
      <c r="K195" s="153"/>
      <c r="L195" s="153"/>
    </row>
    <row r="196" spans="2:12" s="297" customFormat="1" outlineLevel="1">
      <c r="B196" s="157" t="s">
        <v>207</v>
      </c>
      <c r="C196" s="157"/>
      <c r="E196" s="152"/>
      <c r="F196" s="152"/>
      <c r="G196" s="152"/>
      <c r="H196" s="153"/>
      <c r="I196" s="153"/>
      <c r="J196" s="153"/>
      <c r="K196" s="153"/>
      <c r="L196" s="153"/>
    </row>
    <row r="197" spans="2:12" s="297" customFormat="1" outlineLevel="1">
      <c r="B197" s="1" t="s">
        <v>39</v>
      </c>
      <c r="C197" s="1"/>
      <c r="E197" s="152">
        <v>-1280</v>
      </c>
      <c r="F197" s="152">
        <f t="shared" ref="F197:H198" si="121">E191-F191</f>
        <v>-1389</v>
      </c>
      <c r="G197" s="152">
        <f t="shared" si="121"/>
        <v>-647.20854794520528</v>
      </c>
      <c r="H197" s="156">
        <f t="shared" si="121"/>
        <v>-1089.8482894440021</v>
      </c>
      <c r="I197" s="156">
        <f t="shared" ref="I197:L198" si="122">H191-I191</f>
        <v>-839.17824866268893</v>
      </c>
      <c r="J197" s="156">
        <f t="shared" si="122"/>
        <v>-1057.0412408008669</v>
      </c>
      <c r="K197" s="156">
        <f t="shared" si="122"/>
        <v>-1031.6821977231593</v>
      </c>
      <c r="L197" s="156">
        <f t="shared" si="122"/>
        <v>-1140.6373338752019</v>
      </c>
    </row>
    <row r="198" spans="2:12" s="297" customFormat="1" outlineLevel="1">
      <c r="B198" s="1" t="s">
        <v>203</v>
      </c>
      <c r="C198" s="1"/>
      <c r="E198" s="152">
        <v>-470</v>
      </c>
      <c r="F198" s="152">
        <f t="shared" si="121"/>
        <v>-523</v>
      </c>
      <c r="G198" s="152">
        <f t="shared" si="121"/>
        <v>-345.33187945205464</v>
      </c>
      <c r="H198" s="156">
        <f t="shared" si="121"/>
        <v>-987.09364171234301</v>
      </c>
      <c r="I198" s="156">
        <f t="shared" si="122"/>
        <v>-530.07440561382828</v>
      </c>
      <c r="J198" s="156">
        <f t="shared" si="122"/>
        <v>-579.21549220439556</v>
      </c>
      <c r="K198" s="156">
        <f t="shared" si="122"/>
        <v>-604.78001194217723</v>
      </c>
      <c r="L198" s="156">
        <f t="shared" si="122"/>
        <v>-645.93666984978336</v>
      </c>
    </row>
    <row r="199" spans="2:12" s="297" customFormat="1" outlineLevel="1">
      <c r="B199" s="1" t="s">
        <v>45</v>
      </c>
      <c r="C199" s="1"/>
      <c r="E199" s="158">
        <v>490</v>
      </c>
      <c r="F199" s="152">
        <f t="shared" ref="F199:H200" si="123">F193-E193</f>
        <v>503</v>
      </c>
      <c r="G199" s="152">
        <f t="shared" si="123"/>
        <v>573.10610410958907</v>
      </c>
      <c r="H199" s="156">
        <f t="shared" si="123"/>
        <v>1303.4877724052385</v>
      </c>
      <c r="I199" s="156">
        <f t="shared" ref="I199:L199" si="124">I193-H193</f>
        <v>757.48045718981302</v>
      </c>
      <c r="J199" s="156">
        <f t="shared" si="124"/>
        <v>780.52270298485382</v>
      </c>
      <c r="K199" s="156">
        <f t="shared" si="124"/>
        <v>839.22955343120884</v>
      </c>
      <c r="L199" s="156">
        <f t="shared" si="124"/>
        <v>883.28931785542591</v>
      </c>
    </row>
    <row r="200" spans="2:12" s="297" customFormat="1" outlineLevel="1">
      <c r="B200" s="1" t="s">
        <v>46</v>
      </c>
      <c r="C200" s="1"/>
      <c r="E200" s="158">
        <v>50</v>
      </c>
      <c r="F200" s="152">
        <f t="shared" si="123"/>
        <v>-194</v>
      </c>
      <c r="G200" s="152">
        <f t="shared" si="123"/>
        <v>-313</v>
      </c>
      <c r="H200" s="156">
        <f t="shared" si="123"/>
        <v>101.80879939429281</v>
      </c>
      <c r="I200" s="156">
        <f t="shared" ref="I200:K200" si="125">I194-H194</f>
        <v>-62.127648269730003</v>
      </c>
      <c r="J200" s="156">
        <f>J194-I194</f>
        <v>99.046473888901915</v>
      </c>
      <c r="K200" s="156">
        <f t="shared" si="125"/>
        <v>17.735007367701996</v>
      </c>
      <c r="L200" s="156">
        <f>L194-K194</f>
        <v>65.449862905776399</v>
      </c>
    </row>
    <row r="201" spans="2:12" s="297" customFormat="1" ht="15.75" outlineLevel="1" thickBot="1">
      <c r="B201" s="1" t="s">
        <v>208</v>
      </c>
      <c r="C201" s="1"/>
      <c r="E201" s="159">
        <f>SUM(E197:E200)</f>
        <v>-1210</v>
      </c>
      <c r="F201" s="159">
        <f t="shared" ref="F201:L201" si="126">SUM(F197:F200)</f>
        <v>-1603</v>
      </c>
      <c r="G201" s="159">
        <f t="shared" si="126"/>
        <v>-732.43432328767085</v>
      </c>
      <c r="H201" s="159">
        <f t="shared" si="126"/>
        <v>-671.64535935681386</v>
      </c>
      <c r="I201" s="159">
        <f t="shared" si="126"/>
        <v>-673.89984535643418</v>
      </c>
      <c r="J201" s="159">
        <f t="shared" si="126"/>
        <v>-756.68755613150677</v>
      </c>
      <c r="K201" s="159">
        <f t="shared" si="126"/>
        <v>-779.49764886642572</v>
      </c>
      <c r="L201" s="159">
        <f t="shared" si="126"/>
        <v>-837.83482296378293</v>
      </c>
    </row>
    <row r="202" spans="2:12" s="297" customFormat="1" outlineLevel="1">
      <c r="B202" s="1"/>
      <c r="C202" s="1"/>
      <c r="E202" s="158"/>
      <c r="F202" s="158"/>
      <c r="G202" s="158"/>
      <c r="H202" s="160"/>
      <c r="I202" s="160"/>
      <c r="J202" s="160"/>
      <c r="K202" s="160"/>
      <c r="L202" s="160"/>
    </row>
    <row r="203" spans="2:12" s="297" customFormat="1" outlineLevel="1">
      <c r="B203" s="1" t="s">
        <v>201</v>
      </c>
      <c r="C203" s="302"/>
      <c r="E203" s="161">
        <f>E181</f>
        <v>81422</v>
      </c>
      <c r="F203" s="161">
        <f t="shared" ref="F203:L203" si="127">F181</f>
        <v>86698</v>
      </c>
      <c r="G203" s="161">
        <f t="shared" si="127"/>
        <v>93085.92</v>
      </c>
      <c r="H203" s="162">
        <f t="shared" si="127"/>
        <v>98671.075200000007</v>
      </c>
      <c r="I203" s="162">
        <f t="shared" si="127"/>
        <v>104591.33971200002</v>
      </c>
      <c r="J203" s="162">
        <f t="shared" si="127"/>
        <v>110866.82009472002</v>
      </c>
      <c r="K203" s="162">
        <f t="shared" si="127"/>
        <v>117518.82930040323</v>
      </c>
      <c r="L203" s="162">
        <f t="shared" si="127"/>
        <v>124569.95905842743</v>
      </c>
    </row>
    <row r="204" spans="2:12" s="297" customFormat="1" outlineLevel="1">
      <c r="B204" s="1" t="s">
        <v>209</v>
      </c>
      <c r="C204" s="301" t="s">
        <v>210</v>
      </c>
      <c r="E204" s="163">
        <f>E23</f>
        <v>4.2268597830036869</v>
      </c>
      <c r="F204" s="163">
        <f t="shared" ref="F204:G204" si="128">F23</f>
        <v>4.2559520887536202</v>
      </c>
      <c r="G204" s="163">
        <f t="shared" si="128"/>
        <v>4.3960292798110974</v>
      </c>
      <c r="H204" s="164">
        <f>H88</f>
        <v>4.3259906842823588</v>
      </c>
      <c r="I204" s="164">
        <f t="shared" ref="I204:L204" si="129">I88</f>
        <v>4.3610099820467276</v>
      </c>
      <c r="J204" s="164">
        <f t="shared" si="129"/>
        <v>4.3435003331645436</v>
      </c>
      <c r="K204" s="164">
        <f t="shared" si="129"/>
        <v>4.3522551576056356</v>
      </c>
      <c r="L204" s="164">
        <f t="shared" si="129"/>
        <v>4.3478777453850892</v>
      </c>
    </row>
    <row r="205" spans="2:12" s="297" customFormat="1" outlineLevel="1">
      <c r="B205" s="1" t="s">
        <v>221</v>
      </c>
      <c r="C205" s="301"/>
      <c r="E205" s="165">
        <f>E15</f>
        <v>3.6353811009309525E-2</v>
      </c>
      <c r="F205" s="165">
        <f t="shared" ref="F205:G205" si="130">F15</f>
        <v>3.2330618930079123E-2</v>
      </c>
      <c r="G205" s="165">
        <f t="shared" si="130"/>
        <v>3.1227444064580338E-2</v>
      </c>
      <c r="H205" s="166">
        <f>H80</f>
        <v>3.1779031497329732E-2</v>
      </c>
      <c r="I205" s="166">
        <f t="shared" ref="I205:L205" si="131">I80</f>
        <v>3.1503237780955033E-2</v>
      </c>
      <c r="J205" s="166">
        <f t="shared" si="131"/>
        <v>3.1641134639142379E-2</v>
      </c>
      <c r="K205" s="166">
        <f t="shared" si="131"/>
        <v>3.1572186210048703E-2</v>
      </c>
      <c r="L205" s="166">
        <f t="shared" si="131"/>
        <v>3.1606660424595541E-2</v>
      </c>
    </row>
    <row r="206" spans="2:12" s="297" customFormat="1" outlineLevel="1">
      <c r="B206" s="303"/>
      <c r="C206" s="302"/>
      <c r="E206" s="167"/>
      <c r="F206" s="167"/>
      <c r="G206" s="167"/>
      <c r="H206" s="168"/>
      <c r="I206" s="168"/>
      <c r="J206" s="168"/>
      <c r="K206" s="168"/>
      <c r="L206" s="168"/>
    </row>
    <row r="207" spans="2:12" s="297" customFormat="1" outlineLevel="1">
      <c r="B207" s="6" t="s">
        <v>211</v>
      </c>
      <c r="C207" s="16"/>
      <c r="E207" s="169"/>
      <c r="F207" s="169"/>
      <c r="G207" s="169"/>
      <c r="H207" s="22"/>
      <c r="I207" s="22"/>
      <c r="J207" s="22"/>
      <c r="K207" s="22"/>
      <c r="L207" s="22"/>
    </row>
    <row r="208" spans="2:12" s="297" customFormat="1" outlineLevel="1">
      <c r="B208" s="1" t="s">
        <v>70</v>
      </c>
      <c r="C208" s="17"/>
      <c r="E208" s="2">
        <f>E211-E210-E209</f>
        <v>19218</v>
      </c>
      <c r="F208" s="2">
        <f>E211</f>
        <v>19262.999999999996</v>
      </c>
      <c r="G208" s="2">
        <f>F211</f>
        <v>20371</v>
      </c>
      <c r="H208" s="3">
        <f>G211</f>
        <v>21175.000000000004</v>
      </c>
      <c r="I208" s="3">
        <f t="shared" ref="I208:L208" si="132">H211</f>
        <v>22808.896828766199</v>
      </c>
      <c r="J208" s="3">
        <f t="shared" si="132"/>
        <v>23983.283721564141</v>
      </c>
      <c r="K208" s="3">
        <f t="shared" si="132"/>
        <v>25524.763805864797</v>
      </c>
      <c r="L208" s="3">
        <f t="shared" si="132"/>
        <v>27001.824351919531</v>
      </c>
    </row>
    <row r="209" spans="2:17" s="297" customFormat="1" outlineLevel="1">
      <c r="B209" s="1" t="s">
        <v>212</v>
      </c>
      <c r="C209" s="17"/>
      <c r="E209" s="2">
        <f>-E162</f>
        <v>3004.9999999999973</v>
      </c>
      <c r="F209" s="2">
        <f t="shared" ref="F209:G209" si="133">-F162</f>
        <v>3911.0000000000018</v>
      </c>
      <c r="G209" s="2">
        <f t="shared" si="133"/>
        <v>3710.8353600000046</v>
      </c>
      <c r="H209" s="3">
        <f>H211-H210-H208</f>
        <v>4769.5680354223878</v>
      </c>
      <c r="I209" s="3">
        <f>I211-I210-I208</f>
        <v>4469.3527375737249</v>
      </c>
      <c r="J209" s="3">
        <f t="shared" ref="J209:L209" si="134">J211-J210-J208</f>
        <v>5049.4320659312689</v>
      </c>
      <c r="K209" s="3">
        <f t="shared" si="134"/>
        <v>5187.3869079139913</v>
      </c>
      <c r="L209" s="3">
        <f t="shared" si="134"/>
        <v>5586.1662144561014</v>
      </c>
    </row>
    <row r="210" spans="2:17" s="297" customFormat="1" outlineLevel="1">
      <c r="B210" s="1" t="s">
        <v>213</v>
      </c>
      <c r="C210" s="17"/>
      <c r="E210" s="2">
        <f>-E153</f>
        <v>-2960</v>
      </c>
      <c r="F210" s="2">
        <f t="shared" ref="F210:G210" si="135">-F153</f>
        <v>-2803</v>
      </c>
      <c r="G210" s="2">
        <f t="shared" si="135"/>
        <v>-2906.83536</v>
      </c>
      <c r="H210" s="3">
        <f>-H205*H203</f>
        <v>-3135.6712066561909</v>
      </c>
      <c r="I210" s="3">
        <f t="shared" ref="I210:L210" si="136">-I205*I203</f>
        <v>-3294.9658447757815</v>
      </c>
      <c r="J210" s="3">
        <f t="shared" si="136"/>
        <v>-3507.951981630612</v>
      </c>
      <c r="K210" s="3">
        <f t="shared" si="136"/>
        <v>-3710.3263618592582</v>
      </c>
      <c r="L210" s="3">
        <f t="shared" si="136"/>
        <v>-3937.2403950654848</v>
      </c>
    </row>
    <row r="211" spans="2:17" s="297" customFormat="1" outlineLevel="1">
      <c r="B211" s="6" t="s">
        <v>214</v>
      </c>
      <c r="C211" s="16"/>
      <c r="E211" s="43">
        <f>E126</f>
        <v>19262.999999999996</v>
      </c>
      <c r="F211" s="43">
        <f>SUM(F208:F210)</f>
        <v>20371</v>
      </c>
      <c r="G211" s="43">
        <f>SUM(G208:G210)</f>
        <v>21175.000000000004</v>
      </c>
      <c r="H211" s="170">
        <f>H203/H204</f>
        <v>22808.896828766199</v>
      </c>
      <c r="I211" s="170">
        <f t="shared" ref="I211:L211" si="137">I203/I204</f>
        <v>23983.283721564141</v>
      </c>
      <c r="J211" s="170">
        <f t="shared" si="137"/>
        <v>25524.763805864797</v>
      </c>
      <c r="K211" s="170">
        <f t="shared" si="137"/>
        <v>27001.824351919531</v>
      </c>
      <c r="L211" s="170">
        <f t="shared" si="137"/>
        <v>28650.750171310148</v>
      </c>
    </row>
    <row r="212" spans="2:17" outlineLevel="1"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</row>
    <row r="214" spans="2:17">
      <c r="B214" s="232" t="s">
        <v>67</v>
      </c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3"/>
      <c r="N214" s="233"/>
      <c r="O214" s="233"/>
      <c r="P214" s="233"/>
      <c r="Q214" s="233"/>
    </row>
    <row r="215" spans="2:17" outlineLevel="1">
      <c r="B215" s="299"/>
      <c r="C215" s="299"/>
      <c r="D215" s="300"/>
      <c r="E215" s="300"/>
      <c r="F215" s="300"/>
      <c r="G215" s="300"/>
      <c r="H215" s="300"/>
      <c r="I215" s="300"/>
      <c r="J215" s="300"/>
      <c r="K215" s="300"/>
      <c r="L215" s="297"/>
    </row>
    <row r="216" spans="2:17" outlineLevel="1">
      <c r="B216" s="16" t="s">
        <v>69</v>
      </c>
      <c r="C216" s="16"/>
      <c r="D216" s="23"/>
      <c r="E216" s="23"/>
      <c r="F216" s="23"/>
      <c r="G216" s="2"/>
      <c r="H216" s="2"/>
      <c r="I216" s="2"/>
      <c r="J216" s="2"/>
      <c r="K216" s="2"/>
      <c r="L216" s="297"/>
    </row>
    <row r="217" spans="2:17" outlineLevel="1">
      <c r="B217" s="1" t="s">
        <v>70</v>
      </c>
      <c r="C217" s="17"/>
      <c r="E217" s="4">
        <f>E219-E218</f>
        <v>20000</v>
      </c>
      <c r="F217" s="4">
        <f>E219</f>
        <v>20000</v>
      </c>
      <c r="G217" s="4">
        <f>F219</f>
        <v>20000</v>
      </c>
      <c r="H217" s="5">
        <f>G219</f>
        <v>20000</v>
      </c>
      <c r="I217" s="5">
        <f t="shared" ref="I217:L217" si="138">H219</f>
        <v>20000</v>
      </c>
      <c r="J217" s="5">
        <f t="shared" si="138"/>
        <v>20000</v>
      </c>
      <c r="K217" s="5">
        <f t="shared" si="138"/>
        <v>20000</v>
      </c>
      <c r="L217" s="5">
        <f t="shared" si="138"/>
        <v>20000</v>
      </c>
    </row>
    <row r="218" spans="2:17" outlineLevel="1">
      <c r="B218" s="1" t="s">
        <v>71</v>
      </c>
      <c r="C218" s="17"/>
      <c r="E218" s="2">
        <v>0</v>
      </c>
      <c r="F218" s="2">
        <v>0</v>
      </c>
      <c r="G218" s="2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</row>
    <row r="219" spans="2:17" outlineLevel="1">
      <c r="B219" s="6" t="s">
        <v>72</v>
      </c>
      <c r="C219" s="16"/>
      <c r="E219" s="7">
        <f>E24</f>
        <v>20000</v>
      </c>
      <c r="F219" s="7">
        <f>F217-F218</f>
        <v>20000</v>
      </c>
      <c r="G219" s="7">
        <f>G217-G218</f>
        <v>20000</v>
      </c>
      <c r="H219" s="8">
        <f>H217-H218</f>
        <v>20000</v>
      </c>
      <c r="I219" s="8">
        <f t="shared" ref="I219:L219" si="139">I217-I218</f>
        <v>20000</v>
      </c>
      <c r="J219" s="8">
        <f t="shared" si="139"/>
        <v>20000</v>
      </c>
      <c r="K219" s="8">
        <f t="shared" si="139"/>
        <v>20000</v>
      </c>
      <c r="L219" s="8">
        <f t="shared" si="139"/>
        <v>20000</v>
      </c>
    </row>
    <row r="220" spans="2:17" outlineLevel="1">
      <c r="B220" s="17" t="s">
        <v>68</v>
      </c>
      <c r="C220" s="17"/>
      <c r="E220" s="2"/>
      <c r="F220" s="2"/>
      <c r="G220" s="2"/>
      <c r="H220" s="22"/>
      <c r="I220" s="22"/>
      <c r="J220" s="22"/>
      <c r="K220" s="22"/>
      <c r="L220" s="22"/>
    </row>
    <row r="221" spans="2:17" outlineLevel="1">
      <c r="B221" s="1" t="s">
        <v>73</v>
      </c>
      <c r="C221" s="16"/>
      <c r="E221" s="35">
        <f>E16</f>
        <v>6.2E-2</v>
      </c>
      <c r="F221" s="35">
        <f t="shared" ref="F221:G221" si="140">F16</f>
        <v>6.2E-2</v>
      </c>
      <c r="G221" s="35">
        <f t="shared" si="140"/>
        <v>6.2E-2</v>
      </c>
      <c r="H221" s="36">
        <f>H81</f>
        <v>6.2E-2</v>
      </c>
      <c r="I221" s="36">
        <f t="shared" ref="I221:L221" si="141">I81</f>
        <v>6.2E-2</v>
      </c>
      <c r="J221" s="36">
        <f t="shared" si="141"/>
        <v>6.2E-2</v>
      </c>
      <c r="K221" s="36">
        <f t="shared" si="141"/>
        <v>6.2E-2</v>
      </c>
      <c r="L221" s="36">
        <f t="shared" si="141"/>
        <v>6.2E-2</v>
      </c>
    </row>
    <row r="222" spans="2:17" outlineLevel="1">
      <c r="B222" s="1"/>
      <c r="C222" s="16"/>
      <c r="E222" s="37"/>
      <c r="F222" s="37"/>
      <c r="G222" s="37"/>
      <c r="H222" s="38"/>
      <c r="I222" s="38"/>
      <c r="J222" s="38"/>
      <c r="K222" s="38"/>
      <c r="L222" s="38"/>
    </row>
    <row r="223" spans="2:17" outlineLevel="1">
      <c r="B223" s="1" t="s">
        <v>74</v>
      </c>
      <c r="C223" s="17"/>
      <c r="E223" s="2">
        <f>E219*E221</f>
        <v>1240</v>
      </c>
      <c r="F223" s="2">
        <f t="shared" ref="F223:L223" si="142">F219*F221</f>
        <v>1240</v>
      </c>
      <c r="G223" s="2">
        <f t="shared" si="142"/>
        <v>1240</v>
      </c>
      <c r="H223" s="3">
        <f t="shared" si="142"/>
        <v>1240</v>
      </c>
      <c r="I223" s="3">
        <f t="shared" si="142"/>
        <v>1240</v>
      </c>
      <c r="J223" s="3">
        <f t="shared" si="142"/>
        <v>1240</v>
      </c>
      <c r="K223" s="3">
        <f t="shared" si="142"/>
        <v>1240</v>
      </c>
      <c r="L223" s="3">
        <f t="shared" si="142"/>
        <v>1240</v>
      </c>
    </row>
    <row r="224" spans="2:17" outlineLevel="1">
      <c r="B224" s="6" t="s">
        <v>75</v>
      </c>
      <c r="C224" s="16"/>
      <c r="E224" s="7"/>
      <c r="F224" s="7"/>
      <c r="G224" s="7"/>
      <c r="H224" s="8"/>
      <c r="I224" s="8"/>
      <c r="J224" s="8"/>
      <c r="K224" s="8"/>
      <c r="L224" s="8"/>
    </row>
    <row r="225" spans="2:12" outlineLevel="1">
      <c r="B225" s="17"/>
      <c r="C225" s="17"/>
      <c r="E225" s="2"/>
      <c r="F225" s="2"/>
      <c r="G225" s="2"/>
      <c r="H225" s="22"/>
      <c r="I225" s="22"/>
      <c r="J225" s="22"/>
      <c r="K225" s="22"/>
      <c r="L225" s="22"/>
    </row>
    <row r="226" spans="2:12" outlineLevel="1">
      <c r="B226" s="16" t="s">
        <v>50</v>
      </c>
      <c r="C226" s="17"/>
      <c r="E226" s="2"/>
      <c r="F226" s="2"/>
      <c r="G226" s="2"/>
      <c r="H226" s="22"/>
      <c r="I226" s="22"/>
      <c r="J226" s="22"/>
      <c r="K226" s="22"/>
      <c r="L226" s="22"/>
    </row>
    <row r="227" spans="2:12" outlineLevel="1">
      <c r="B227" s="1" t="s">
        <v>70</v>
      </c>
      <c r="C227" s="17"/>
      <c r="E227" s="2">
        <f>E229-E228</f>
        <v>7627</v>
      </c>
      <c r="F227" s="2">
        <f>E229</f>
        <v>7627</v>
      </c>
      <c r="G227" s="2">
        <f>F229</f>
        <v>7627</v>
      </c>
      <c r="H227" s="3">
        <f>G229</f>
        <v>7627</v>
      </c>
      <c r="I227" s="3">
        <f t="shared" ref="I227:L227" si="143">H229</f>
        <v>7627</v>
      </c>
      <c r="J227" s="3">
        <f t="shared" si="143"/>
        <v>7627</v>
      </c>
      <c r="K227" s="3">
        <f t="shared" si="143"/>
        <v>7627</v>
      </c>
      <c r="L227" s="3">
        <f t="shared" si="143"/>
        <v>7627</v>
      </c>
    </row>
    <row r="228" spans="2:12" outlineLevel="1">
      <c r="B228" s="1" t="s">
        <v>71</v>
      </c>
      <c r="C228" s="17"/>
      <c r="E228" s="2">
        <v>0</v>
      </c>
      <c r="F228" s="2">
        <v>0</v>
      </c>
      <c r="G228" s="2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</row>
    <row r="229" spans="2:12" outlineLevel="1">
      <c r="B229" s="6" t="s">
        <v>76</v>
      </c>
      <c r="C229" s="17"/>
      <c r="E229" s="7">
        <f>E139</f>
        <v>7627</v>
      </c>
      <c r="F229" s="7">
        <f>F227-F228</f>
        <v>7627</v>
      </c>
      <c r="G229" s="7">
        <f t="shared" ref="G229:L229" si="144">G227-G228</f>
        <v>7627</v>
      </c>
      <c r="H229" s="8">
        <f t="shared" si="144"/>
        <v>7627</v>
      </c>
      <c r="I229" s="8">
        <f t="shared" si="144"/>
        <v>7627</v>
      </c>
      <c r="J229" s="8">
        <f t="shared" si="144"/>
        <v>7627</v>
      </c>
      <c r="K229" s="8">
        <f t="shared" si="144"/>
        <v>7627</v>
      </c>
      <c r="L229" s="8">
        <f t="shared" si="144"/>
        <v>7627</v>
      </c>
    </row>
    <row r="230" spans="2:12" outlineLevel="1">
      <c r="B230" s="17"/>
      <c r="C230" s="17"/>
      <c r="E230" s="2"/>
      <c r="F230" s="2"/>
      <c r="G230" s="2"/>
      <c r="H230" s="22"/>
      <c r="I230" s="22"/>
      <c r="J230" s="22"/>
      <c r="K230" s="22"/>
      <c r="L230" s="22"/>
    </row>
    <row r="231" spans="2:12" outlineLevel="1">
      <c r="B231" s="1" t="s">
        <v>28</v>
      </c>
      <c r="C231" s="17"/>
      <c r="E231" s="39">
        <f>E112</f>
        <v>5185</v>
      </c>
      <c r="F231" s="39">
        <f t="shared" ref="F231:L231" si="145">F112</f>
        <v>7549</v>
      </c>
      <c r="G231" s="39">
        <f t="shared" si="145"/>
        <v>8708.1928560000015</v>
      </c>
      <c r="H231" s="40">
        <f t="shared" si="145"/>
        <v>7489.6793771485427</v>
      </c>
      <c r="I231" s="40">
        <f t="shared" si="145"/>
        <v>7894.6764836991597</v>
      </c>
      <c r="J231" s="40">
        <f t="shared" si="145"/>
        <v>8486.4106917302597</v>
      </c>
      <c r="K231" s="40">
        <f t="shared" si="145"/>
        <v>9027.1048758783945</v>
      </c>
      <c r="L231" s="40">
        <f t="shared" si="145"/>
        <v>9644.9828797288246</v>
      </c>
    </row>
    <row r="232" spans="2:12" outlineLevel="1">
      <c r="B232" s="1" t="s">
        <v>77</v>
      </c>
      <c r="C232" s="17"/>
      <c r="E232" s="41">
        <f>E114</f>
        <v>4312</v>
      </c>
      <c r="F232" s="41">
        <f t="shared" ref="F232:G232" si="146">F114</f>
        <v>4209</v>
      </c>
      <c r="G232" s="41">
        <f t="shared" si="146"/>
        <v>2930.9750848000026</v>
      </c>
      <c r="H232" s="42">
        <f>H231*H91</f>
        <v>3348.3885777467049</v>
      </c>
      <c r="I232" s="42">
        <f t="shared" ref="I232:L232" si="147">I231*I91</f>
        <v>3093.3069137389448</v>
      </c>
      <c r="J232" s="42">
        <f t="shared" si="147"/>
        <v>3559.5777932561878</v>
      </c>
      <c r="K232" s="42">
        <f t="shared" si="147"/>
        <v>3661.6930444646555</v>
      </c>
      <c r="L232" s="42">
        <f t="shared" si="147"/>
        <v>3978.929653552153</v>
      </c>
    </row>
    <row r="233" spans="2:12" outlineLevel="1">
      <c r="B233" s="17"/>
      <c r="C233" s="17"/>
      <c r="E233" s="2"/>
      <c r="F233" s="2"/>
      <c r="G233" s="2"/>
      <c r="H233" s="22"/>
      <c r="I233" s="22"/>
      <c r="J233" s="22"/>
      <c r="K233" s="22"/>
      <c r="L233" s="22"/>
    </row>
    <row r="234" spans="2:12" outlineLevel="1">
      <c r="B234" s="16" t="s">
        <v>78</v>
      </c>
      <c r="C234" s="16"/>
      <c r="E234" s="2"/>
      <c r="F234" s="2"/>
      <c r="G234" s="2"/>
      <c r="H234" s="22"/>
      <c r="I234" s="22"/>
      <c r="J234" s="22"/>
      <c r="K234" s="22"/>
      <c r="L234" s="22"/>
    </row>
    <row r="235" spans="2:12" outlineLevel="1">
      <c r="B235" s="1" t="s">
        <v>70</v>
      </c>
      <c r="C235" s="17"/>
      <c r="E235" s="2">
        <f>E238-E237-E236</f>
        <v>4816</v>
      </c>
      <c r="F235" s="2">
        <f>E238</f>
        <v>5689</v>
      </c>
      <c r="G235" s="2">
        <f>F238</f>
        <v>9029</v>
      </c>
      <c r="H235" s="3">
        <f>G238</f>
        <v>14806.217771199999</v>
      </c>
      <c r="I235" s="3">
        <f t="shared" ref="I235:K235" si="148">H238</f>
        <v>18947.50857060184</v>
      </c>
      <c r="J235" s="3">
        <f t="shared" si="148"/>
        <v>23748.878140562054</v>
      </c>
      <c r="K235" s="3">
        <f t="shared" si="148"/>
        <v>28675.711039036127</v>
      </c>
      <c r="L235" s="3">
        <f>K238</f>
        <v>34041.122870449864</v>
      </c>
    </row>
    <row r="236" spans="2:12" outlineLevel="1">
      <c r="B236" s="1" t="s">
        <v>28</v>
      </c>
      <c r="C236" s="17"/>
      <c r="E236" s="2">
        <f>E231</f>
        <v>5185</v>
      </c>
      <c r="F236" s="2">
        <f t="shared" ref="F236:G236" si="149">F231</f>
        <v>7549</v>
      </c>
      <c r="G236" s="2">
        <f t="shared" si="149"/>
        <v>8708.1928560000015</v>
      </c>
      <c r="H236" s="3">
        <f t="shared" ref="H236:L236" si="150">H231</f>
        <v>7489.6793771485427</v>
      </c>
      <c r="I236" s="3">
        <f t="shared" si="150"/>
        <v>7894.6764836991597</v>
      </c>
      <c r="J236" s="3">
        <f t="shared" si="150"/>
        <v>8486.4106917302597</v>
      </c>
      <c r="K236" s="3">
        <f t="shared" si="150"/>
        <v>9027.1048758783945</v>
      </c>
      <c r="L236" s="3">
        <f t="shared" si="150"/>
        <v>9644.9828797288246</v>
      </c>
    </row>
    <row r="237" spans="2:12" outlineLevel="1">
      <c r="B237" s="1" t="s">
        <v>77</v>
      </c>
      <c r="C237" s="17"/>
      <c r="E237" s="2">
        <f>-E232</f>
        <v>-4312</v>
      </c>
      <c r="F237" s="2">
        <f t="shared" ref="F237:G237" si="151">-F232</f>
        <v>-4209</v>
      </c>
      <c r="G237" s="2">
        <f t="shared" si="151"/>
        <v>-2930.9750848000026</v>
      </c>
      <c r="H237" s="3">
        <f t="shared" ref="H237:L237" si="152">-H232</f>
        <v>-3348.3885777467049</v>
      </c>
      <c r="I237" s="3">
        <f t="shared" si="152"/>
        <v>-3093.3069137389448</v>
      </c>
      <c r="J237" s="3">
        <f t="shared" si="152"/>
        <v>-3559.5777932561878</v>
      </c>
      <c r="K237" s="3">
        <f t="shared" si="152"/>
        <v>-3661.6930444646555</v>
      </c>
      <c r="L237" s="3">
        <f t="shared" si="152"/>
        <v>-3978.929653552153</v>
      </c>
    </row>
    <row r="238" spans="2:12" outlineLevel="1">
      <c r="B238" s="6" t="s">
        <v>79</v>
      </c>
      <c r="C238" s="16"/>
      <c r="E238" s="43">
        <f>E140</f>
        <v>5689</v>
      </c>
      <c r="F238" s="43">
        <f>SUM(F235:F237)</f>
        <v>9029</v>
      </c>
      <c r="G238" s="43">
        <f>SUM(G235:G237)</f>
        <v>14806.217771199999</v>
      </c>
      <c r="H238" s="8">
        <f t="shared" ref="H238:L238" si="153">SUM(H235:H237)</f>
        <v>18947.50857060184</v>
      </c>
      <c r="I238" s="8">
        <f t="shared" si="153"/>
        <v>23748.878140562054</v>
      </c>
      <c r="J238" s="8">
        <f t="shared" si="153"/>
        <v>28675.711039036127</v>
      </c>
      <c r="K238" s="8">
        <f t="shared" si="153"/>
        <v>34041.122870449864</v>
      </c>
      <c r="L238" s="8">
        <f t="shared" si="153"/>
        <v>39707.176096626536</v>
      </c>
    </row>
    <row r="239" spans="2:12" outlineLevel="1">
      <c r="L239" s="297"/>
    </row>
    <row r="240" spans="2:12" outlineLevel="1"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04"/>
    </row>
    <row r="241" spans="2:17">
      <c r="L241" s="297"/>
    </row>
    <row r="242" spans="2:17">
      <c r="B242" s="298" t="s">
        <v>80</v>
      </c>
      <c r="C242" s="298"/>
      <c r="D242" s="298"/>
      <c r="E242" s="298"/>
      <c r="F242" s="298"/>
      <c r="G242" s="298"/>
      <c r="H242" s="298"/>
      <c r="I242" s="298"/>
      <c r="J242" s="298"/>
      <c r="K242" s="298"/>
      <c r="L242" s="232"/>
      <c r="M242" s="233"/>
      <c r="N242" s="233"/>
      <c r="O242" s="233"/>
      <c r="P242" s="233"/>
      <c r="Q242" s="233"/>
    </row>
    <row r="243" spans="2:17" outlineLevel="1">
      <c r="B243" s="297"/>
      <c r="C243" s="297"/>
      <c r="D243" s="297"/>
      <c r="E243" s="297"/>
      <c r="F243" s="297"/>
      <c r="G243" s="297"/>
      <c r="H243" s="297"/>
      <c r="I243" s="297"/>
      <c r="J243" s="297"/>
      <c r="K243" s="297"/>
    </row>
    <row r="244" spans="2:17" outlineLevel="1">
      <c r="B244" s="305" t="s">
        <v>217</v>
      </c>
      <c r="C244" s="305"/>
      <c r="D244" s="305"/>
      <c r="E244" s="305"/>
      <c r="F244" s="305"/>
      <c r="G244" s="305"/>
      <c r="H244" s="305"/>
      <c r="I244" s="305"/>
      <c r="J244" s="305"/>
      <c r="K244" s="305"/>
      <c r="L244" s="306"/>
      <c r="M244" s="306" t="s">
        <v>216</v>
      </c>
      <c r="N244" s="306"/>
      <c r="O244" s="306"/>
      <c r="P244" s="306"/>
      <c r="Q244" s="306"/>
    </row>
    <row r="245" spans="2:17" outlineLevel="2">
      <c r="B245" s="297"/>
      <c r="C245" s="297"/>
      <c r="D245" s="297"/>
      <c r="E245" s="297"/>
    </row>
    <row r="246" spans="2:17" outlineLevel="2">
      <c r="B246" s="44" t="s">
        <v>81</v>
      </c>
      <c r="F246" s="91"/>
      <c r="G246" s="92"/>
      <c r="H246" s="92"/>
      <c r="I246" s="92"/>
      <c r="J246" s="92"/>
      <c r="K246" s="92"/>
    </row>
    <row r="247" spans="2:17" outlineLevel="2">
      <c r="B247" s="47" t="s">
        <v>28</v>
      </c>
      <c r="F247" s="70"/>
      <c r="G247" s="70">
        <f>G112</f>
        <v>8708.1928560000015</v>
      </c>
      <c r="H247" s="307">
        <f>H112</f>
        <v>7489.6793771485427</v>
      </c>
      <c r="I247" s="307">
        <f t="shared" ref="I247:L247" si="154">I112</f>
        <v>7894.6764836991597</v>
      </c>
      <c r="J247" s="307">
        <f t="shared" si="154"/>
        <v>8486.4106917302597</v>
      </c>
      <c r="K247" s="307">
        <f t="shared" si="154"/>
        <v>9027.1048758783945</v>
      </c>
      <c r="L247" s="307">
        <f t="shared" si="154"/>
        <v>9644.9828797288246</v>
      </c>
    </row>
    <row r="248" spans="2:17" outlineLevel="2">
      <c r="B248" s="47" t="s">
        <v>29</v>
      </c>
      <c r="F248" s="70"/>
      <c r="G248" s="70">
        <f>-G105</f>
        <v>2906.83536</v>
      </c>
      <c r="H248" s="307">
        <f>-H105</f>
        <v>3135.6712066561909</v>
      </c>
      <c r="I248" s="307">
        <f t="shared" ref="I248:L248" si="155">-I105</f>
        <v>3294.9658447757815</v>
      </c>
      <c r="J248" s="307">
        <f t="shared" si="155"/>
        <v>3507.951981630612</v>
      </c>
      <c r="K248" s="307">
        <f t="shared" si="155"/>
        <v>3710.3263618592582</v>
      </c>
      <c r="L248" s="307">
        <f t="shared" si="155"/>
        <v>3937.2403950654848</v>
      </c>
    </row>
    <row r="249" spans="2:17" outlineLevel="2">
      <c r="B249" s="47" t="s">
        <v>229</v>
      </c>
      <c r="F249" s="70"/>
      <c r="G249" s="70">
        <f>-G108</f>
        <v>1240</v>
      </c>
      <c r="H249" s="307">
        <f>-H108</f>
        <v>1240</v>
      </c>
      <c r="I249" s="307">
        <f t="shared" ref="I249:L249" si="156">-I108</f>
        <v>1240</v>
      </c>
      <c r="J249" s="307">
        <f t="shared" si="156"/>
        <v>1240</v>
      </c>
      <c r="K249" s="307">
        <f t="shared" si="156"/>
        <v>1240</v>
      </c>
      <c r="L249" s="307">
        <f t="shared" si="156"/>
        <v>1240</v>
      </c>
    </row>
    <row r="250" spans="2:17" outlineLevel="2">
      <c r="B250" s="47" t="s">
        <v>82</v>
      </c>
      <c r="F250" s="309"/>
      <c r="G250" s="309">
        <f>-G111/G109</f>
        <v>0.15276420725750778</v>
      </c>
      <c r="H250" s="310">
        <f>-H111/H109</f>
        <v>0.19809988274280479</v>
      </c>
      <c r="I250" s="310">
        <f t="shared" ref="I250:L250" si="157">-I111/I109</f>
        <v>0.1754320450001563</v>
      </c>
      <c r="J250" s="310">
        <f t="shared" si="157"/>
        <v>0.18676596387148053</v>
      </c>
      <c r="K250" s="310">
        <f t="shared" si="157"/>
        <v>0.18109900443581842</v>
      </c>
      <c r="L250" s="310">
        <f t="shared" si="157"/>
        <v>0.18393248415364946</v>
      </c>
    </row>
    <row r="251" spans="2:17" outlineLevel="2">
      <c r="B251" s="47" t="s">
        <v>83</v>
      </c>
      <c r="F251" s="311"/>
      <c r="G251" s="311">
        <f>G249-(G249*G250)</f>
        <v>1050.5723830006905</v>
      </c>
      <c r="H251" s="312">
        <f>H249-(1-H250)</f>
        <v>1239.1980998827428</v>
      </c>
      <c r="I251" s="312">
        <f t="shared" ref="I251:L251" si="158">I249-(1-I250)</f>
        <v>1239.1754320450002</v>
      </c>
      <c r="J251" s="312">
        <f t="shared" si="158"/>
        <v>1239.1867659638715</v>
      </c>
      <c r="K251" s="312">
        <f t="shared" si="158"/>
        <v>1239.1810990044357</v>
      </c>
      <c r="L251" s="312">
        <f t="shared" si="158"/>
        <v>1239.1839324841537</v>
      </c>
    </row>
    <row r="252" spans="2:17" outlineLevel="2">
      <c r="B252" s="47" t="s">
        <v>84</v>
      </c>
      <c r="F252" s="70"/>
      <c r="G252" s="70">
        <f>G106</f>
        <v>11518.358080000002</v>
      </c>
      <c r="H252" s="307">
        <f>H106</f>
        <v>10579.915553031851</v>
      </c>
      <c r="I252" s="307">
        <f t="shared" ref="I252:L252" si="159">I106</f>
        <v>10814.318812450887</v>
      </c>
      <c r="J252" s="307">
        <f t="shared" si="159"/>
        <v>11675.385528292263</v>
      </c>
      <c r="K252" s="307">
        <f t="shared" si="159"/>
        <v>12263.438638829804</v>
      </c>
      <c r="L252" s="307">
        <f t="shared" si="159"/>
        <v>13058.854068374392</v>
      </c>
    </row>
    <row r="253" spans="2:17" outlineLevel="2">
      <c r="B253" s="47" t="s">
        <v>85</v>
      </c>
      <c r="F253" s="313"/>
      <c r="G253" s="313">
        <f>G111</f>
        <v>-1570.1652240000001</v>
      </c>
      <c r="H253" s="314">
        <f>H111</f>
        <v>-1850.2361758833085</v>
      </c>
      <c r="I253" s="314">
        <f t="shared" ref="I253:L253" si="160">I111</f>
        <v>-1679.6423287517271</v>
      </c>
      <c r="J253" s="314">
        <f t="shared" si="160"/>
        <v>-1948.9748365620037</v>
      </c>
      <c r="K253" s="314">
        <f t="shared" si="160"/>
        <v>-1996.3337629514108</v>
      </c>
      <c r="L253" s="314">
        <f t="shared" si="160"/>
        <v>-2173.8711886455685</v>
      </c>
    </row>
    <row r="254" spans="2:17" outlineLevel="2">
      <c r="B254" s="47" t="s">
        <v>86</v>
      </c>
      <c r="F254" s="70"/>
      <c r="G254" s="70">
        <f>G106-G105</f>
        <v>14425.193440000003</v>
      </c>
      <c r="H254" s="307">
        <f>H106-H105</f>
        <v>13715.586759688042</v>
      </c>
      <c r="I254" s="307">
        <f t="shared" ref="I254:L254" si="161">I106-I105</f>
        <v>14109.284657226668</v>
      </c>
      <c r="J254" s="307">
        <f t="shared" si="161"/>
        <v>15183.337509922876</v>
      </c>
      <c r="K254" s="307">
        <f t="shared" si="161"/>
        <v>15973.765000689062</v>
      </c>
      <c r="L254" s="307">
        <f t="shared" si="161"/>
        <v>16996.094463439877</v>
      </c>
    </row>
    <row r="255" spans="2:17" outlineLevel="2">
      <c r="B255" s="47" t="s">
        <v>87</v>
      </c>
      <c r="F255" s="70"/>
      <c r="G255" s="70">
        <f>G162</f>
        <v>-3710.8353600000046</v>
      </c>
      <c r="H255" s="307">
        <f>H162</f>
        <v>-4769.5680354223878</v>
      </c>
      <c r="I255" s="307">
        <f t="shared" ref="I255:L255" si="162">I162</f>
        <v>-4469.3527375737249</v>
      </c>
      <c r="J255" s="307">
        <f t="shared" si="162"/>
        <v>-5049.4320659312689</v>
      </c>
      <c r="K255" s="307">
        <f t="shared" si="162"/>
        <v>-5187.3869079139913</v>
      </c>
      <c r="L255" s="307">
        <f t="shared" si="162"/>
        <v>-5586.1662144561014</v>
      </c>
    </row>
    <row r="256" spans="2:17" outlineLevel="2">
      <c r="B256" s="47" t="s">
        <v>88</v>
      </c>
      <c r="F256" s="70"/>
      <c r="G256" s="70">
        <f>G201</f>
        <v>-732.43432328767085</v>
      </c>
      <c r="H256" s="307">
        <f t="shared" ref="H256:L256" si="163">H201</f>
        <v>-671.64535935681386</v>
      </c>
      <c r="I256" s="307">
        <f t="shared" si="163"/>
        <v>-673.89984535643418</v>
      </c>
      <c r="J256" s="307">
        <f t="shared" si="163"/>
        <v>-756.68755613150677</v>
      </c>
      <c r="K256" s="307">
        <f t="shared" si="163"/>
        <v>-779.49764886642572</v>
      </c>
      <c r="L256" s="350">
        <f t="shared" si="163"/>
        <v>-837.83482296378293</v>
      </c>
    </row>
    <row r="257" spans="2:17" outlineLevel="2">
      <c r="B257" s="47" t="s">
        <v>89</v>
      </c>
      <c r="C257" s="297"/>
      <c r="D257" s="297"/>
      <c r="E257" s="297"/>
      <c r="F257" s="315"/>
      <c r="G257" s="70">
        <f>G135</f>
        <v>20000</v>
      </c>
      <c r="H257" s="351"/>
      <c r="I257" s="351"/>
      <c r="J257" s="351"/>
      <c r="K257" s="351"/>
      <c r="L257" s="351"/>
    </row>
    <row r="258" spans="2:17" outlineLevel="2">
      <c r="B258" s="47" t="s">
        <v>24</v>
      </c>
      <c r="C258" s="297"/>
      <c r="D258" s="297"/>
      <c r="E258" s="297"/>
      <c r="F258" s="315"/>
      <c r="G258" s="70">
        <f>G121</f>
        <v>10158.783447912327</v>
      </c>
      <c r="H258" s="351"/>
      <c r="I258" s="351"/>
      <c r="J258" s="351"/>
      <c r="K258" s="351"/>
      <c r="L258" s="351"/>
    </row>
    <row r="259" spans="2:17" outlineLevel="1">
      <c r="B259" s="297"/>
      <c r="C259" s="297"/>
      <c r="D259" s="297"/>
      <c r="E259" s="297"/>
      <c r="F259" s="297"/>
      <c r="G259" s="297"/>
      <c r="H259" s="297"/>
      <c r="I259" s="297"/>
      <c r="J259" s="297"/>
      <c r="K259" s="297"/>
    </row>
    <row r="260" spans="2:17" outlineLevel="1">
      <c r="B260" s="305" t="s">
        <v>90</v>
      </c>
      <c r="C260" s="305"/>
      <c r="D260" s="305"/>
      <c r="E260" s="305"/>
      <c r="F260" s="305"/>
      <c r="G260" s="305"/>
      <c r="H260" s="305"/>
      <c r="I260" s="305"/>
      <c r="J260" s="305"/>
      <c r="K260" s="305"/>
      <c r="L260" s="306"/>
      <c r="M260" s="306" t="s">
        <v>216</v>
      </c>
      <c r="N260" s="306"/>
      <c r="O260" s="306"/>
      <c r="P260" s="306"/>
      <c r="Q260" s="306"/>
    </row>
    <row r="261" spans="2:17" outlineLevel="2"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</row>
    <row r="262" spans="2:17" ht="15.75" outlineLevel="2" thickBot="1">
      <c r="B262" s="44" t="s">
        <v>91</v>
      </c>
      <c r="H262" s="349">
        <f>H$2</f>
        <v>2025</v>
      </c>
      <c r="I262" s="349">
        <f t="shared" ref="I262:L262" si="164">I$2</f>
        <v>2026</v>
      </c>
      <c r="J262" s="349">
        <f t="shared" si="164"/>
        <v>2027</v>
      </c>
      <c r="K262" s="349">
        <f t="shared" si="164"/>
        <v>2028</v>
      </c>
      <c r="L262" s="349">
        <f t="shared" si="164"/>
        <v>2029</v>
      </c>
    </row>
    <row r="263" spans="2:17" outlineLevel="2">
      <c r="B263" s="47" t="s">
        <v>84</v>
      </c>
      <c r="H263" s="48">
        <f>H252</f>
        <v>10579.915553031851</v>
      </c>
      <c r="I263" s="48">
        <f t="shared" ref="I263:L263" si="165">I252</f>
        <v>10814.318812450887</v>
      </c>
      <c r="J263" s="48">
        <f t="shared" si="165"/>
        <v>11675.385528292263</v>
      </c>
      <c r="K263" s="48">
        <f t="shared" si="165"/>
        <v>12263.438638829804</v>
      </c>
      <c r="L263" s="48">
        <f t="shared" si="165"/>
        <v>13058.854068374392</v>
      </c>
    </row>
    <row r="264" spans="2:17" outlineLevel="2">
      <c r="B264" s="47" t="s">
        <v>92</v>
      </c>
      <c r="H264" s="48">
        <f>H253</f>
        <v>-1850.2361758833085</v>
      </c>
      <c r="I264" s="48">
        <f t="shared" ref="I264:L264" si="166">I253</f>
        <v>-1679.6423287517271</v>
      </c>
      <c r="J264" s="48">
        <f t="shared" si="166"/>
        <v>-1948.9748365620037</v>
      </c>
      <c r="K264" s="48">
        <f t="shared" si="166"/>
        <v>-1996.3337629514108</v>
      </c>
      <c r="L264" s="48">
        <f t="shared" si="166"/>
        <v>-2173.8711886455685</v>
      </c>
    </row>
    <row r="265" spans="2:17" outlineLevel="2">
      <c r="B265" s="47" t="s">
        <v>93</v>
      </c>
      <c r="H265" s="48">
        <f>SUM(H263:H264)</f>
        <v>8729.6793771485427</v>
      </c>
      <c r="I265" s="48">
        <f t="shared" ref="I265:L265" si="167">SUM(I263:I264)</f>
        <v>9134.6764836991606</v>
      </c>
      <c r="J265" s="48">
        <f t="shared" si="167"/>
        <v>9726.4106917302597</v>
      </c>
      <c r="K265" s="48">
        <f t="shared" si="167"/>
        <v>10267.104875878395</v>
      </c>
      <c r="L265" s="48">
        <f t="shared" si="167"/>
        <v>10884.982879728825</v>
      </c>
    </row>
    <row r="266" spans="2:17" outlineLevel="2">
      <c r="B266" s="47" t="s">
        <v>29</v>
      </c>
      <c r="H266" s="48">
        <f>H248</f>
        <v>3135.6712066561909</v>
      </c>
      <c r="I266" s="48">
        <f t="shared" ref="I266:L266" si="168">I248</f>
        <v>3294.9658447757815</v>
      </c>
      <c r="J266" s="48">
        <f t="shared" si="168"/>
        <v>3507.951981630612</v>
      </c>
      <c r="K266" s="48">
        <f t="shared" si="168"/>
        <v>3710.3263618592582</v>
      </c>
      <c r="L266" s="48">
        <f t="shared" si="168"/>
        <v>3937.2403950654848</v>
      </c>
    </row>
    <row r="267" spans="2:17" outlineLevel="2">
      <c r="B267" s="47" t="s">
        <v>94</v>
      </c>
      <c r="H267" s="48">
        <f>H255</f>
        <v>-4769.5680354223878</v>
      </c>
      <c r="I267" s="48">
        <f t="shared" ref="I267:L267" si="169">I255</f>
        <v>-4469.3527375737249</v>
      </c>
      <c r="J267" s="48">
        <f t="shared" si="169"/>
        <v>-5049.4320659312689</v>
      </c>
      <c r="K267" s="48">
        <f t="shared" si="169"/>
        <v>-5187.3869079139913</v>
      </c>
      <c r="L267" s="48">
        <f t="shared" si="169"/>
        <v>-5586.1662144561014</v>
      </c>
    </row>
    <row r="268" spans="2:17" outlineLevel="2">
      <c r="B268" s="47" t="s">
        <v>88</v>
      </c>
      <c r="H268" s="48">
        <f>H256</f>
        <v>-671.64535935681386</v>
      </c>
      <c r="I268" s="48">
        <f t="shared" ref="I268:L268" si="170">I256</f>
        <v>-673.89984535643418</v>
      </c>
      <c r="J268" s="48">
        <f t="shared" si="170"/>
        <v>-756.68755613150677</v>
      </c>
      <c r="K268" s="48">
        <f t="shared" si="170"/>
        <v>-779.49764886642572</v>
      </c>
      <c r="L268" s="48">
        <f t="shared" si="170"/>
        <v>-837.83482296378293</v>
      </c>
    </row>
    <row r="269" spans="2:17" ht="15.75" outlineLevel="2" thickBot="1">
      <c r="B269" s="47" t="s">
        <v>95</v>
      </c>
      <c r="H269" s="49">
        <f>SUM(H265:H268)</f>
        <v>6424.1371890255314</v>
      </c>
      <c r="I269" s="49">
        <f t="shared" ref="I269:L269" si="171">SUM(I265:I268)</f>
        <v>7286.3897455447823</v>
      </c>
      <c r="J269" s="49">
        <f t="shared" si="171"/>
        <v>7428.2430512980973</v>
      </c>
      <c r="K269" s="49">
        <f t="shared" si="171"/>
        <v>8010.5466809572345</v>
      </c>
      <c r="L269" s="49">
        <f t="shared" si="171"/>
        <v>8398.2222373744244</v>
      </c>
    </row>
    <row r="270" spans="2:17" outlineLevel="2">
      <c r="B270" s="47"/>
      <c r="G270" s="297"/>
      <c r="H270" s="297"/>
      <c r="I270" s="297"/>
      <c r="J270" s="297"/>
      <c r="K270" s="297"/>
    </row>
    <row r="271" spans="2:17" ht="15.75" outlineLevel="2" thickBot="1">
      <c r="B271" s="44" t="s">
        <v>96</v>
      </c>
      <c r="H271" s="349">
        <f>H$2</f>
        <v>2025</v>
      </c>
      <c r="I271" s="349">
        <f t="shared" ref="I271:L271" si="172">I$2</f>
        <v>2026</v>
      </c>
      <c r="J271" s="349">
        <f t="shared" si="172"/>
        <v>2027</v>
      </c>
      <c r="K271" s="349">
        <f t="shared" si="172"/>
        <v>2028</v>
      </c>
      <c r="L271" s="349">
        <f t="shared" si="172"/>
        <v>2029</v>
      </c>
    </row>
    <row r="272" spans="2:17" outlineLevel="2">
      <c r="B272" s="47" t="s">
        <v>28</v>
      </c>
      <c r="H272" s="50">
        <f>H247</f>
        <v>7489.6793771485427</v>
      </c>
      <c r="I272" s="50">
        <f t="shared" ref="I272:L272" si="173">I247</f>
        <v>7894.6764836991597</v>
      </c>
      <c r="J272" s="50">
        <f t="shared" si="173"/>
        <v>8486.4106917302597</v>
      </c>
      <c r="K272" s="50">
        <f t="shared" si="173"/>
        <v>9027.1048758783945</v>
      </c>
      <c r="L272" s="50">
        <f t="shared" si="173"/>
        <v>9644.9828797288246</v>
      </c>
    </row>
    <row r="273" spans="2:17" outlineLevel="2">
      <c r="B273" s="47" t="s">
        <v>29</v>
      </c>
      <c r="H273" s="50">
        <f>H266</f>
        <v>3135.6712066561909</v>
      </c>
      <c r="I273" s="50">
        <f t="shared" ref="I273:L273" si="174">I266</f>
        <v>3294.9658447757815</v>
      </c>
      <c r="J273" s="50">
        <f t="shared" si="174"/>
        <v>3507.951981630612</v>
      </c>
      <c r="K273" s="50">
        <f t="shared" si="174"/>
        <v>3710.3263618592582</v>
      </c>
      <c r="L273" s="50">
        <f t="shared" si="174"/>
        <v>3937.2403950654848</v>
      </c>
    </row>
    <row r="274" spans="2:17" outlineLevel="2">
      <c r="B274" s="47" t="s">
        <v>83</v>
      </c>
      <c r="F274" s="352">
        <f>H269-H277</f>
        <v>0.801900117257901</v>
      </c>
      <c r="H274" s="50">
        <f>H251</f>
        <v>1239.1980998827428</v>
      </c>
      <c r="I274" s="50">
        <f t="shared" ref="I274:L274" si="175">I251</f>
        <v>1239.1754320450002</v>
      </c>
      <c r="J274" s="50">
        <f t="shared" si="175"/>
        <v>1239.1867659638715</v>
      </c>
      <c r="K274" s="50">
        <f t="shared" si="175"/>
        <v>1239.1810990044357</v>
      </c>
      <c r="L274" s="50">
        <f t="shared" si="175"/>
        <v>1239.1839324841537</v>
      </c>
    </row>
    <row r="275" spans="2:17" outlineLevel="2">
      <c r="B275" s="47" t="s">
        <v>94</v>
      </c>
      <c r="H275" s="48">
        <f>H267</f>
        <v>-4769.5680354223878</v>
      </c>
      <c r="I275" s="48">
        <f t="shared" ref="I275:L275" si="176">I267</f>
        <v>-4469.3527375737249</v>
      </c>
      <c r="J275" s="48">
        <f t="shared" si="176"/>
        <v>-5049.4320659312689</v>
      </c>
      <c r="K275" s="48">
        <f t="shared" si="176"/>
        <v>-5187.3869079139913</v>
      </c>
      <c r="L275" s="48">
        <f t="shared" si="176"/>
        <v>-5586.1662144561014</v>
      </c>
    </row>
    <row r="276" spans="2:17" outlineLevel="2">
      <c r="B276" s="47" t="s">
        <v>88</v>
      </c>
      <c r="H276" s="50">
        <f>H268</f>
        <v>-671.64535935681386</v>
      </c>
      <c r="I276" s="50">
        <f t="shared" ref="I276:L276" si="177">I268</f>
        <v>-673.89984535643418</v>
      </c>
      <c r="J276" s="50">
        <f t="shared" si="177"/>
        <v>-756.68755613150677</v>
      </c>
      <c r="K276" s="50">
        <f t="shared" si="177"/>
        <v>-779.49764886642572</v>
      </c>
      <c r="L276" s="50">
        <f t="shared" si="177"/>
        <v>-837.83482296378293</v>
      </c>
    </row>
    <row r="277" spans="2:17" ht="15.75" outlineLevel="2" thickBot="1">
      <c r="B277" s="47" t="s">
        <v>97</v>
      </c>
      <c r="H277" s="51">
        <f>SUM(H272:H276)</f>
        <v>6423.3352889082735</v>
      </c>
      <c r="I277" s="51">
        <f t="shared" ref="I277:L277" si="178">SUM(I272:I276)</f>
        <v>7285.5651775897823</v>
      </c>
      <c r="J277" s="51">
        <f t="shared" si="178"/>
        <v>7427.4298172619692</v>
      </c>
      <c r="K277" s="51">
        <f t="shared" si="178"/>
        <v>8009.7277799616704</v>
      </c>
      <c r="L277" s="51">
        <f t="shared" si="178"/>
        <v>8397.4061698585774</v>
      </c>
    </row>
    <row r="278" spans="2:17" outlineLevel="2">
      <c r="B278" s="47"/>
      <c r="H278" s="297"/>
      <c r="I278" s="297"/>
      <c r="J278" s="297"/>
      <c r="K278" s="297"/>
      <c r="L278" s="297"/>
    </row>
    <row r="279" spans="2:17" ht="15.75" outlineLevel="2" thickBot="1">
      <c r="B279" s="44" t="s">
        <v>98</v>
      </c>
      <c r="H279" s="349">
        <f>H$2</f>
        <v>2025</v>
      </c>
      <c r="I279" s="349">
        <f t="shared" ref="I279:L279" si="179">I$2</f>
        <v>2026</v>
      </c>
      <c r="J279" s="349">
        <f t="shared" si="179"/>
        <v>2027</v>
      </c>
      <c r="K279" s="349">
        <f t="shared" si="179"/>
        <v>2028</v>
      </c>
      <c r="L279" s="349">
        <f t="shared" si="179"/>
        <v>2029</v>
      </c>
    </row>
    <row r="280" spans="2:17" outlineLevel="2">
      <c r="B280" s="47" t="s">
        <v>86</v>
      </c>
      <c r="H280" s="48">
        <f>H254</f>
        <v>13715.586759688042</v>
      </c>
      <c r="I280" s="48">
        <f t="shared" ref="I280:L280" si="180">I254</f>
        <v>14109.284657226668</v>
      </c>
      <c r="J280" s="48">
        <f t="shared" si="180"/>
        <v>15183.337509922876</v>
      </c>
      <c r="K280" s="48">
        <f t="shared" si="180"/>
        <v>15973.765000689062</v>
      </c>
      <c r="L280" s="48">
        <f t="shared" si="180"/>
        <v>16996.094463439877</v>
      </c>
    </row>
    <row r="281" spans="2:17" outlineLevel="2">
      <c r="B281" s="47" t="s">
        <v>85</v>
      </c>
      <c r="H281" s="48">
        <f>H253</f>
        <v>-1850.2361758833085</v>
      </c>
      <c r="I281" s="48">
        <f t="shared" ref="I281:L281" si="181">I253</f>
        <v>-1679.6423287517271</v>
      </c>
      <c r="J281" s="48">
        <f t="shared" si="181"/>
        <v>-1948.9748365620037</v>
      </c>
      <c r="K281" s="48">
        <f t="shared" si="181"/>
        <v>-1996.3337629514108</v>
      </c>
      <c r="L281" s="48">
        <f t="shared" si="181"/>
        <v>-2173.8711886455685</v>
      </c>
    </row>
    <row r="282" spans="2:17" outlineLevel="2">
      <c r="B282" s="47" t="s">
        <v>94</v>
      </c>
      <c r="H282" s="48">
        <f>H267</f>
        <v>-4769.5680354223878</v>
      </c>
      <c r="I282" s="48">
        <f t="shared" ref="I282:L282" si="182">I267</f>
        <v>-4469.3527375737249</v>
      </c>
      <c r="J282" s="48">
        <f t="shared" si="182"/>
        <v>-5049.4320659312689</v>
      </c>
      <c r="K282" s="48">
        <f t="shared" si="182"/>
        <v>-5187.3869079139913</v>
      </c>
      <c r="L282" s="48">
        <f t="shared" si="182"/>
        <v>-5586.1662144561014</v>
      </c>
    </row>
    <row r="283" spans="2:17" outlineLevel="2">
      <c r="B283" s="47" t="s">
        <v>88</v>
      </c>
      <c r="H283" s="48">
        <f>H268</f>
        <v>-671.64535935681386</v>
      </c>
      <c r="I283" s="48">
        <f t="shared" ref="I283:L283" si="183">I268</f>
        <v>-673.89984535643418</v>
      </c>
      <c r="J283" s="48">
        <f t="shared" si="183"/>
        <v>-756.68755613150677</v>
      </c>
      <c r="K283" s="48">
        <f t="shared" si="183"/>
        <v>-779.49764886642572</v>
      </c>
      <c r="L283" s="48">
        <f t="shared" si="183"/>
        <v>-837.83482296378293</v>
      </c>
    </row>
    <row r="284" spans="2:17" ht="15.75" outlineLevel="2" thickBot="1">
      <c r="B284" s="47" t="s">
        <v>99</v>
      </c>
      <c r="H284" s="49">
        <f>SUM(H280:H283)</f>
        <v>6424.1371890255314</v>
      </c>
      <c r="I284" s="49">
        <f t="shared" ref="I284:L284" si="184">SUM(I280:I283)</f>
        <v>7286.3897455447823</v>
      </c>
      <c r="J284" s="49">
        <f t="shared" si="184"/>
        <v>7428.2430512980973</v>
      </c>
      <c r="K284" s="49">
        <f t="shared" si="184"/>
        <v>8010.5466809572345</v>
      </c>
      <c r="L284" s="49">
        <f t="shared" si="184"/>
        <v>8398.2222373744244</v>
      </c>
    </row>
    <row r="285" spans="2:17" outlineLevel="2">
      <c r="B285" s="297"/>
      <c r="C285" s="297"/>
      <c r="D285" s="297"/>
      <c r="E285" s="297"/>
      <c r="F285" s="297"/>
      <c r="G285" s="297"/>
      <c r="H285" s="297"/>
      <c r="I285" s="297"/>
      <c r="J285" s="297"/>
      <c r="K285" s="297"/>
    </row>
    <row r="286" spans="2:17" outlineLevel="1">
      <c r="B286" s="297"/>
      <c r="C286" s="297"/>
      <c r="D286" s="297"/>
      <c r="E286" s="297"/>
      <c r="F286" s="297"/>
      <c r="G286" s="297"/>
      <c r="H286" s="297"/>
      <c r="I286" s="297"/>
      <c r="J286" s="297"/>
      <c r="K286" s="297"/>
    </row>
    <row r="287" spans="2:17" outlineLevel="1">
      <c r="B287" s="305" t="s">
        <v>100</v>
      </c>
      <c r="C287" s="305"/>
      <c r="D287" s="305"/>
      <c r="E287" s="305"/>
      <c r="F287" s="305"/>
      <c r="G287" s="305"/>
      <c r="H287" s="305"/>
      <c r="I287" s="305"/>
      <c r="J287" s="305"/>
      <c r="K287" s="305"/>
      <c r="L287" s="306"/>
      <c r="M287" s="306" t="s">
        <v>216</v>
      </c>
      <c r="N287" s="306"/>
      <c r="O287" s="306"/>
      <c r="P287" s="306"/>
      <c r="Q287" s="306"/>
    </row>
    <row r="288" spans="2:17" outlineLevel="2">
      <c r="B288" s="297"/>
      <c r="C288" s="297"/>
      <c r="D288" s="297"/>
      <c r="E288" s="297"/>
      <c r="F288" s="297"/>
      <c r="G288" s="297"/>
      <c r="H288" s="297"/>
      <c r="I288" s="297"/>
      <c r="J288" s="297"/>
      <c r="K288" s="297"/>
    </row>
    <row r="289" spans="2:11" outlineLevel="2">
      <c r="B289" s="52" t="s">
        <v>101</v>
      </c>
      <c r="H289" s="297"/>
      <c r="I289" s="297"/>
      <c r="J289" s="297"/>
      <c r="K289" s="297"/>
    </row>
    <row r="290" spans="2:11" outlineLevel="2">
      <c r="B290" s="52"/>
      <c r="H290" s="297"/>
      <c r="I290" s="297"/>
      <c r="J290" s="297"/>
      <c r="K290" s="297"/>
    </row>
    <row r="291" spans="2:11" outlineLevel="2">
      <c r="B291" s="53" t="s">
        <v>102</v>
      </c>
      <c r="C291" s="316"/>
      <c r="D291" s="316"/>
      <c r="E291" s="54">
        <v>0.03</v>
      </c>
      <c r="H291" s="297"/>
      <c r="I291" s="297"/>
      <c r="J291" s="297"/>
      <c r="K291" s="297"/>
    </row>
    <row r="292" spans="2:11" outlineLevel="2">
      <c r="B292" s="55" t="s">
        <v>103</v>
      </c>
      <c r="E292" s="56">
        <f>E418</f>
        <v>0.99304028795244048</v>
      </c>
      <c r="H292" s="297"/>
      <c r="I292" s="297"/>
      <c r="J292" s="297"/>
      <c r="K292" s="297"/>
    </row>
    <row r="293" spans="2:11" outlineLevel="2">
      <c r="B293" s="55" t="s">
        <v>104</v>
      </c>
      <c r="E293" s="57">
        <v>0.06</v>
      </c>
      <c r="H293" s="297"/>
      <c r="I293" s="297"/>
      <c r="J293" s="297"/>
      <c r="K293" s="297"/>
    </row>
    <row r="294" spans="2:11" outlineLevel="2">
      <c r="B294" s="58" t="s">
        <v>105</v>
      </c>
      <c r="C294" s="317"/>
      <c r="D294" s="317"/>
      <c r="E294" s="59">
        <f>E291+E292*E293</f>
        <v>8.9582417277146428E-2</v>
      </c>
      <c r="H294" s="297"/>
      <c r="I294" s="297"/>
      <c r="J294" s="297"/>
      <c r="K294" s="297"/>
    </row>
    <row r="295" spans="2:11" outlineLevel="2">
      <c r="B295" s="60"/>
      <c r="C295" s="318"/>
      <c r="H295" s="297"/>
      <c r="I295" s="297"/>
      <c r="J295" s="297"/>
      <c r="K295" s="297"/>
    </row>
    <row r="296" spans="2:11" outlineLevel="2">
      <c r="B296" s="52" t="s">
        <v>106</v>
      </c>
      <c r="H296" s="297"/>
      <c r="I296" s="297"/>
      <c r="J296" s="297"/>
      <c r="K296" s="297"/>
    </row>
    <row r="297" spans="2:11" outlineLevel="2">
      <c r="B297" s="60"/>
      <c r="H297" s="297"/>
      <c r="I297" s="297"/>
      <c r="J297" s="297"/>
      <c r="K297" s="297"/>
    </row>
    <row r="298" spans="2:11" outlineLevel="2">
      <c r="B298" s="53" t="s">
        <v>107</v>
      </c>
      <c r="C298" s="316"/>
      <c r="D298" s="316"/>
      <c r="E298" s="54">
        <v>0.1</v>
      </c>
      <c r="H298" s="297"/>
      <c r="I298" s="297"/>
      <c r="J298" s="297"/>
      <c r="K298" s="297"/>
    </row>
    <row r="299" spans="2:11" outlineLevel="2">
      <c r="B299" s="55" t="s">
        <v>108</v>
      </c>
      <c r="E299" s="61">
        <f>1-E298</f>
        <v>0.9</v>
      </c>
      <c r="H299" s="297"/>
      <c r="I299" s="297"/>
      <c r="J299" s="297"/>
      <c r="K299" s="297"/>
    </row>
    <row r="300" spans="2:11" outlineLevel="2">
      <c r="B300" s="55" t="s">
        <v>109</v>
      </c>
      <c r="E300" s="57">
        <v>0.06</v>
      </c>
      <c r="H300" s="297"/>
      <c r="I300" s="297"/>
      <c r="J300" s="297"/>
      <c r="K300" s="297"/>
    </row>
    <row r="301" spans="2:11" outlineLevel="2">
      <c r="B301" s="55" t="s">
        <v>82</v>
      </c>
      <c r="E301" s="57">
        <v>0.21</v>
      </c>
      <c r="H301" s="297"/>
      <c r="I301" s="297"/>
      <c r="J301" s="297"/>
      <c r="K301" s="297"/>
    </row>
    <row r="302" spans="2:11" outlineLevel="2">
      <c r="B302" s="55" t="s">
        <v>110</v>
      </c>
      <c r="E302" s="61">
        <f>E300-(E300*E301)</f>
        <v>4.7399999999999998E-2</v>
      </c>
      <c r="H302" s="297"/>
      <c r="I302" s="297"/>
      <c r="J302" s="297"/>
      <c r="K302" s="297"/>
    </row>
    <row r="303" spans="2:11" outlineLevel="2">
      <c r="B303" s="55" t="s">
        <v>105</v>
      </c>
      <c r="E303" s="61">
        <f>E294</f>
        <v>8.9582417277146428E-2</v>
      </c>
      <c r="H303" s="297"/>
      <c r="I303" s="297"/>
      <c r="J303" s="297"/>
      <c r="K303" s="297"/>
    </row>
    <row r="304" spans="2:11" outlineLevel="2">
      <c r="B304" s="62" t="s">
        <v>111</v>
      </c>
      <c r="C304" s="319"/>
      <c r="D304" s="319"/>
      <c r="E304" s="59">
        <f>E303*E299+E298*E302</f>
        <v>8.5364175549431778E-2</v>
      </c>
      <c r="H304" s="297"/>
      <c r="I304" s="297"/>
      <c r="J304" s="297"/>
      <c r="K304" s="297"/>
    </row>
    <row r="305" spans="2:17" outlineLevel="1">
      <c r="B305" s="297"/>
      <c r="C305" s="297"/>
      <c r="D305" s="297"/>
      <c r="E305" s="297"/>
      <c r="F305" s="297"/>
      <c r="G305" s="297"/>
      <c r="H305" s="297"/>
      <c r="I305" s="297"/>
      <c r="J305" s="297"/>
      <c r="K305" s="297"/>
    </row>
    <row r="306" spans="2:17" outlineLevel="1">
      <c r="B306" s="305" t="s">
        <v>112</v>
      </c>
      <c r="C306" s="305"/>
      <c r="D306" s="305"/>
      <c r="E306" s="305"/>
      <c r="F306" s="305"/>
      <c r="G306" s="305"/>
      <c r="H306" s="305"/>
      <c r="I306" s="305"/>
      <c r="J306" s="305"/>
      <c r="K306" s="305"/>
      <c r="L306" s="306"/>
      <c r="M306" s="306" t="s">
        <v>216</v>
      </c>
      <c r="N306" s="306"/>
      <c r="O306" s="306"/>
      <c r="P306" s="306"/>
      <c r="Q306" s="306"/>
    </row>
    <row r="307" spans="2:17" outlineLevel="2">
      <c r="B307" s="297"/>
      <c r="C307" s="297"/>
      <c r="D307" s="297"/>
      <c r="E307" s="297"/>
      <c r="F307" s="297"/>
      <c r="G307" s="297"/>
      <c r="H307" s="297"/>
      <c r="I307" s="297"/>
      <c r="J307" s="297"/>
      <c r="K307" s="297"/>
    </row>
    <row r="308" spans="2:17" outlineLevel="2">
      <c r="B308" s="53" t="s">
        <v>111</v>
      </c>
      <c r="C308" s="63">
        <f>E304</f>
        <v>8.5364175549431778E-2</v>
      </c>
    </row>
    <row r="309" spans="2:17" outlineLevel="2">
      <c r="B309" s="64" t="s">
        <v>113</v>
      </c>
      <c r="C309" s="65">
        <v>0.02</v>
      </c>
    </row>
    <row r="310" spans="2:17" outlineLevel="2">
      <c r="B310" s="52"/>
    </row>
    <row r="311" spans="2:17" outlineLevel="2">
      <c r="B311" s="320" t="s">
        <v>114</v>
      </c>
    </row>
    <row r="312" spans="2:17" ht="15.75" outlineLevel="2" thickBot="1">
      <c r="C312" s="66"/>
      <c r="H312" s="46">
        <f>+G$4</f>
        <v>0</v>
      </c>
      <c r="I312" s="46">
        <f>+H$4</f>
        <v>0</v>
      </c>
      <c r="J312" s="46">
        <f>+I$4</f>
        <v>0</v>
      </c>
      <c r="K312" s="46">
        <f>+J$4</f>
        <v>0</v>
      </c>
      <c r="L312" s="46">
        <f>+K$4</f>
        <v>0</v>
      </c>
    </row>
    <row r="313" spans="2:17" outlineLevel="2">
      <c r="B313" s="47" t="s">
        <v>115</v>
      </c>
      <c r="C313" s="66"/>
      <c r="H313" s="67">
        <f>H269</f>
        <v>6424.1371890255314</v>
      </c>
      <c r="I313" s="67">
        <f>I269</f>
        <v>7286.3897455447823</v>
      </c>
      <c r="J313" s="67">
        <f>J269</f>
        <v>7428.2430512980973</v>
      </c>
      <c r="K313" s="67">
        <f>K269</f>
        <v>8010.5466809572345</v>
      </c>
      <c r="L313" s="67">
        <f>L269</f>
        <v>8398.2222373744244</v>
      </c>
    </row>
    <row r="314" spans="2:17" outlineLevel="2">
      <c r="B314" s="47" t="s">
        <v>112</v>
      </c>
      <c r="C314" s="66"/>
      <c r="H314" s="67"/>
      <c r="I314" s="67"/>
      <c r="J314" s="67"/>
      <c r="K314" s="67"/>
      <c r="L314" s="68">
        <f>L313*(1+C309)</f>
        <v>8566.1866821219137</v>
      </c>
    </row>
    <row r="315" spans="2:17" outlineLevel="2">
      <c r="B315" s="69" t="s">
        <v>116</v>
      </c>
      <c r="C315" s="66"/>
      <c r="H315" s="70"/>
      <c r="L315" s="71">
        <f>L314/(C308-C309)</f>
        <v>131053.23535586736</v>
      </c>
    </row>
    <row r="316" spans="2:17" outlineLevel="2">
      <c r="B316" s="297"/>
      <c r="C316" s="297"/>
      <c r="D316" s="297"/>
      <c r="E316" s="297"/>
      <c r="F316" s="297"/>
      <c r="G316" s="297"/>
      <c r="H316" s="297"/>
      <c r="I316" s="297"/>
      <c r="J316" s="297"/>
      <c r="K316" s="297"/>
    </row>
    <row r="317" spans="2:17" outlineLevel="1">
      <c r="B317" s="297"/>
      <c r="C317" s="297"/>
      <c r="D317" s="297"/>
      <c r="E317" s="297"/>
      <c r="F317" s="297"/>
      <c r="G317" s="297"/>
      <c r="H317" s="297"/>
      <c r="I317" s="297"/>
      <c r="J317" s="297"/>
      <c r="K317" s="297"/>
    </row>
    <row r="318" spans="2:17" outlineLevel="1">
      <c r="B318" s="305" t="s">
        <v>117</v>
      </c>
      <c r="C318" s="305"/>
      <c r="D318" s="305"/>
      <c r="E318" s="305"/>
      <c r="F318" s="305"/>
      <c r="G318" s="305"/>
      <c r="H318" s="305"/>
      <c r="I318" s="305"/>
      <c r="J318" s="305"/>
      <c r="K318" s="305"/>
      <c r="L318" s="306"/>
      <c r="M318" s="306" t="s">
        <v>216</v>
      </c>
      <c r="N318" s="306"/>
      <c r="O318" s="306"/>
      <c r="P318" s="306"/>
      <c r="Q318" s="306"/>
    </row>
    <row r="319" spans="2:17" outlineLevel="1">
      <c r="B319" s="297"/>
      <c r="C319" s="297"/>
      <c r="D319" s="297"/>
      <c r="E319" s="297"/>
      <c r="F319" s="297"/>
      <c r="G319" s="297"/>
      <c r="H319" s="297"/>
      <c r="I319" s="297"/>
      <c r="J319" s="297"/>
      <c r="K319" s="297"/>
    </row>
    <row r="320" spans="2:17" outlineLevel="1">
      <c r="B320" s="47" t="s">
        <v>115</v>
      </c>
      <c r="H320" s="68">
        <f>H313</f>
        <v>6424.1371890255314</v>
      </c>
      <c r="I320" s="68">
        <f>I313</f>
        <v>7286.3897455447823</v>
      </c>
      <c r="J320" s="68">
        <f>J313</f>
        <v>7428.2430512980973</v>
      </c>
      <c r="K320" s="68">
        <f>K313</f>
        <v>8010.5466809572345</v>
      </c>
      <c r="L320" s="68">
        <f>L313</f>
        <v>8398.2222373744244</v>
      </c>
    </row>
    <row r="321" spans="2:12" outlineLevel="1">
      <c r="B321" s="47" t="s">
        <v>118</v>
      </c>
      <c r="H321" s="72"/>
      <c r="I321" s="72"/>
      <c r="J321" s="72"/>
      <c r="K321" s="72"/>
      <c r="L321" s="73">
        <f>L315</f>
        <v>131053.23535586736</v>
      </c>
    </row>
    <row r="322" spans="2:12" outlineLevel="1">
      <c r="B322" s="47" t="s">
        <v>119</v>
      </c>
      <c r="H322" s="74">
        <f>SUM(H320:H321)</f>
        <v>6424.1371890255314</v>
      </c>
      <c r="I322" s="74">
        <f t="shared" ref="I322:L322" si="185">SUM(I320:I321)</f>
        <v>7286.3897455447823</v>
      </c>
      <c r="J322" s="74">
        <f t="shared" si="185"/>
        <v>7428.2430512980973</v>
      </c>
      <c r="K322" s="74">
        <f t="shared" si="185"/>
        <v>8010.5466809572345</v>
      </c>
      <c r="L322" s="74">
        <f t="shared" si="185"/>
        <v>139451.45759324179</v>
      </c>
    </row>
    <row r="323" spans="2:12" outlineLevel="1">
      <c r="B323" s="47"/>
      <c r="H323" s="72"/>
      <c r="I323" s="72"/>
      <c r="J323" s="72"/>
      <c r="K323" s="72"/>
      <c r="L323" s="72"/>
    </row>
    <row r="324" spans="2:12" outlineLevel="1">
      <c r="B324" s="75" t="s">
        <v>111</v>
      </c>
      <c r="C324" s="76">
        <f>C308</f>
        <v>8.5364175549431778E-2</v>
      </c>
      <c r="H324" s="72"/>
      <c r="I324" s="72"/>
      <c r="J324" s="72"/>
      <c r="K324" s="72"/>
      <c r="L324" s="72"/>
    </row>
    <row r="325" spans="2:12" outlineLevel="1">
      <c r="B325" s="47"/>
      <c r="C325" s="77"/>
      <c r="H325" s="72"/>
      <c r="I325" s="72"/>
      <c r="J325" s="72"/>
      <c r="K325" s="72"/>
      <c r="L325" s="72"/>
    </row>
    <row r="326" spans="2:12" outlineLevel="1">
      <c r="B326" s="47" t="s">
        <v>120</v>
      </c>
      <c r="H326" s="78">
        <v>1</v>
      </c>
      <c r="I326" s="78">
        <v>2</v>
      </c>
      <c r="J326" s="78">
        <v>3</v>
      </c>
      <c r="K326" s="78">
        <v>4</v>
      </c>
      <c r="L326" s="78">
        <v>5</v>
      </c>
    </row>
    <row r="327" spans="2:12" outlineLevel="1">
      <c r="B327" s="47" t="s">
        <v>121</v>
      </c>
      <c r="H327" s="50">
        <f>H322/(1+$C$326)^H326</f>
        <v>6424.1371890255314</v>
      </c>
      <c r="I327" s="50">
        <f>I322/(1+$C$326)^I326</f>
        <v>7286.3897455447823</v>
      </c>
      <c r="J327" s="50">
        <f>J322/(1+$C$326)^J326</f>
        <v>7428.2430512980973</v>
      </c>
      <c r="K327" s="50">
        <f>K322/(1+$C$326)^K326</f>
        <v>8010.5466809572345</v>
      </c>
      <c r="L327" s="50">
        <f>L322/(1+$C$326)^L326</f>
        <v>139451.45759324179</v>
      </c>
    </row>
    <row r="328" spans="2:12" outlineLevel="1">
      <c r="B328" s="297"/>
      <c r="C328" s="297"/>
      <c r="D328" s="297"/>
      <c r="E328" s="297"/>
      <c r="F328" s="297"/>
      <c r="G328" s="297"/>
      <c r="H328" s="297"/>
      <c r="I328" s="297"/>
      <c r="J328" s="297"/>
      <c r="K328" s="297"/>
    </row>
    <row r="329" spans="2:12" outlineLevel="1">
      <c r="B329" s="297"/>
      <c r="C329" s="297"/>
      <c r="D329" s="297"/>
      <c r="E329" s="297"/>
      <c r="F329" s="297"/>
      <c r="G329" s="297"/>
      <c r="H329" s="297"/>
      <c r="I329" s="297"/>
      <c r="J329" s="297"/>
      <c r="K329" s="297"/>
    </row>
    <row r="330" spans="2:12" ht="16.5" outlineLevel="1">
      <c r="B330" s="52" t="s">
        <v>122</v>
      </c>
      <c r="C330" s="79"/>
      <c r="F330" s="297"/>
      <c r="G330" s="297"/>
      <c r="H330" s="297"/>
      <c r="I330" s="297"/>
      <c r="J330" s="297"/>
      <c r="K330" s="297"/>
    </row>
    <row r="331" spans="2:12" outlineLevel="1">
      <c r="B331" s="80" t="s">
        <v>123</v>
      </c>
      <c r="C331" s="316"/>
      <c r="D331" s="81">
        <f>SUM(H327:L327)</f>
        <v>168600.77426006744</v>
      </c>
      <c r="F331" s="297"/>
      <c r="G331" s="297"/>
      <c r="H331" s="297"/>
      <c r="I331" s="297"/>
      <c r="J331" s="297"/>
      <c r="K331" s="297"/>
    </row>
    <row r="332" spans="2:12" outlineLevel="1">
      <c r="B332" s="82" t="s">
        <v>124</v>
      </c>
      <c r="D332" s="83">
        <f>G257-G258</f>
        <v>9841.2165520876733</v>
      </c>
      <c r="F332" s="297"/>
      <c r="G332" s="297"/>
      <c r="H332" s="297"/>
      <c r="I332" s="297"/>
      <c r="J332" s="297"/>
      <c r="K332" s="297"/>
    </row>
    <row r="333" spans="2:12" outlineLevel="1">
      <c r="B333" s="84" t="s">
        <v>125</v>
      </c>
      <c r="C333" s="317"/>
      <c r="D333" s="83">
        <f>D331-D332</f>
        <v>158759.55770797975</v>
      </c>
      <c r="F333" s="297"/>
      <c r="G333" s="297"/>
      <c r="H333" s="297"/>
      <c r="I333" s="297"/>
      <c r="J333" s="297"/>
      <c r="K333" s="297"/>
    </row>
    <row r="334" spans="2:12" outlineLevel="1">
      <c r="F334" s="297"/>
      <c r="G334" s="297"/>
      <c r="H334" s="297"/>
      <c r="I334" s="297"/>
      <c r="J334" s="297"/>
      <c r="K334" s="297"/>
    </row>
    <row r="335" spans="2:12" outlineLevel="1">
      <c r="B335" s="52" t="s">
        <v>126</v>
      </c>
      <c r="C335" s="79"/>
      <c r="F335" s="297"/>
      <c r="G335" s="297"/>
      <c r="H335" s="297"/>
      <c r="I335" s="297"/>
      <c r="J335" s="297"/>
      <c r="K335" s="297"/>
    </row>
    <row r="336" spans="2:12" outlineLevel="1">
      <c r="B336" s="80" t="s">
        <v>125</v>
      </c>
      <c r="C336" s="316"/>
      <c r="D336" s="316"/>
      <c r="E336" s="81">
        <f>D333</f>
        <v>158759.55770797975</v>
      </c>
      <c r="F336" s="297"/>
      <c r="G336" s="297"/>
      <c r="H336" s="297"/>
      <c r="I336" s="297"/>
      <c r="J336" s="297"/>
      <c r="K336" s="297"/>
    </row>
    <row r="337" spans="2:17" outlineLevel="1">
      <c r="B337" s="85" t="s">
        <v>127</v>
      </c>
      <c r="D337" s="321" t="s">
        <v>128</v>
      </c>
      <c r="E337" s="86">
        <v>17100</v>
      </c>
      <c r="F337" s="297"/>
      <c r="G337" s="297"/>
      <c r="H337" s="297"/>
      <c r="I337" s="297"/>
      <c r="J337" s="297"/>
      <c r="K337" s="297"/>
    </row>
    <row r="338" spans="2:17" outlineLevel="1">
      <c r="B338" s="85" t="s">
        <v>125</v>
      </c>
      <c r="D338" s="322" t="s">
        <v>129</v>
      </c>
      <c r="E338" s="87">
        <f>E336/E337</f>
        <v>9.2841846612853658</v>
      </c>
      <c r="F338" s="297"/>
      <c r="G338" s="297"/>
      <c r="H338" s="297"/>
      <c r="I338" s="297"/>
      <c r="J338" s="297"/>
      <c r="K338" s="297"/>
    </row>
    <row r="339" spans="2:17" outlineLevel="1">
      <c r="B339" s="85" t="s">
        <v>130</v>
      </c>
      <c r="D339" s="322" t="s">
        <v>129</v>
      </c>
      <c r="E339" s="88">
        <v>7.25</v>
      </c>
      <c r="F339" s="297"/>
      <c r="G339" s="297"/>
      <c r="H339" s="297"/>
      <c r="I339" s="297"/>
      <c r="J339" s="297"/>
      <c r="K339" s="297"/>
    </row>
    <row r="340" spans="2:17" outlineLevel="1">
      <c r="B340" s="89" t="s">
        <v>131</v>
      </c>
      <c r="C340" s="323"/>
      <c r="D340" s="323"/>
      <c r="E340" s="90">
        <f>E338/E339-1</f>
        <v>0.28057719466005038</v>
      </c>
      <c r="F340" s="297"/>
      <c r="G340" s="297"/>
      <c r="H340" s="297"/>
      <c r="I340" s="297"/>
      <c r="J340" s="297"/>
      <c r="K340" s="297"/>
    </row>
    <row r="341" spans="2:17" outlineLevel="1">
      <c r="B341" s="171"/>
      <c r="C341" s="324"/>
      <c r="D341" s="324"/>
      <c r="E341" s="172"/>
      <c r="F341" s="297"/>
      <c r="G341" s="297"/>
      <c r="H341" s="297"/>
      <c r="I341" s="297"/>
      <c r="J341" s="297"/>
      <c r="K341" s="297"/>
    </row>
    <row r="343" spans="2:17">
      <c r="B343" s="298" t="s">
        <v>215</v>
      </c>
      <c r="C343" s="298"/>
      <c r="D343" s="298"/>
      <c r="E343" s="298"/>
      <c r="F343" s="298"/>
      <c r="G343" s="298"/>
      <c r="H343" s="298"/>
      <c r="I343" s="298"/>
      <c r="J343" s="298"/>
      <c r="K343" s="298"/>
      <c r="L343" s="232"/>
      <c r="M343" s="233"/>
      <c r="N343" s="233"/>
      <c r="O343" s="233"/>
      <c r="P343" s="233"/>
      <c r="Q343" s="233"/>
    </row>
    <row r="344" spans="2:17" outlineLevel="1">
      <c r="B344" s="325"/>
      <c r="C344" s="325"/>
      <c r="D344" s="325"/>
      <c r="G344" s="325"/>
      <c r="H344" s="325"/>
      <c r="I344" s="325"/>
      <c r="J344" s="325"/>
      <c r="K344" s="325"/>
      <c r="L344" s="234"/>
    </row>
    <row r="345" spans="2:17" outlineLevel="1">
      <c r="B345" s="325"/>
      <c r="C345" s="325"/>
      <c r="D345" s="366" t="s">
        <v>230</v>
      </c>
      <c r="E345" s="367"/>
      <c r="F345" s="367"/>
      <c r="G345" s="367"/>
      <c r="H345" s="367"/>
      <c r="I345" s="367"/>
      <c r="J345" s="367"/>
      <c r="K345" s="325"/>
      <c r="L345" s="234"/>
    </row>
    <row r="346" spans="2:17" outlineLevel="1">
      <c r="E346" s="362" t="s">
        <v>112</v>
      </c>
      <c r="F346" s="362"/>
      <c r="G346" s="362"/>
      <c r="H346" s="362"/>
      <c r="I346" s="362"/>
    </row>
    <row r="347" spans="2:17" outlineLevel="1">
      <c r="D347" s="361">
        <f>E338</f>
        <v>9.2841846612853658</v>
      </c>
      <c r="E347" s="326">
        <v>0</v>
      </c>
      <c r="F347" s="327">
        <f>E347+2%</f>
        <v>0.02</v>
      </c>
      <c r="G347" s="327">
        <f t="shared" ref="G347:I347" si="186">F347+2%</f>
        <v>0.04</v>
      </c>
      <c r="H347" s="327">
        <f t="shared" si="186"/>
        <v>0.06</v>
      </c>
      <c r="I347" s="327">
        <f t="shared" si="186"/>
        <v>0.08</v>
      </c>
      <c r="M347" s="297"/>
      <c r="N347" s="297"/>
      <c r="O347" s="297"/>
      <c r="P347" s="297"/>
      <c r="Q347" s="297"/>
    </row>
    <row r="348" spans="2:17" outlineLevel="1">
      <c r="D348" s="329">
        <v>0.13500000000000001</v>
      </c>
      <c r="E348" s="353">
        <f t="dataTable" ref="E348:I354" dt2D="1" dtr="1" r1="C309" r2="C308"/>
        <v>5.2582091206019479</v>
      </c>
      <c r="F348" s="354">
        <v>5.9763100699795775</v>
      </c>
      <c r="G348" s="354">
        <v>6.9967693138319973</v>
      </c>
      <c r="H348" s="354">
        <v>8.5614734877390397</v>
      </c>
      <c r="I348" s="354">
        <v>11.264144333578477</v>
      </c>
      <c r="L348" s="359"/>
      <c r="M348" s="297"/>
      <c r="N348" s="297"/>
      <c r="O348" s="297"/>
      <c r="P348" s="297"/>
      <c r="Q348" s="297"/>
    </row>
    <row r="349" spans="2:17" outlineLevel="1">
      <c r="D349" s="329">
        <f>D348-1%</f>
        <v>0.125</v>
      </c>
      <c r="E349" s="355">
        <v>5.5492456287197545</v>
      </c>
      <c r="F349" s="356">
        <v>6.3911726700605493</v>
      </c>
      <c r="G349" s="356">
        <v>7.6293006720323069</v>
      </c>
      <c r="H349" s="356">
        <v>9.6293535982943741</v>
      </c>
      <c r="I349" s="356">
        <v>13.407231347900503</v>
      </c>
      <c r="L349" s="359"/>
      <c r="M349" s="297"/>
      <c r="N349" s="297"/>
      <c r="O349" s="297"/>
      <c r="P349" s="297"/>
      <c r="Q349" s="297"/>
    </row>
    <row r="350" spans="2:17" outlineLevel="1">
      <c r="D350" s="329">
        <f t="shared" ref="D350:D354" si="187">D349-1%</f>
        <v>0.115</v>
      </c>
      <c r="E350" s="355">
        <v>5.8908971817276132</v>
      </c>
      <c r="F350" s="357">
        <v>6.8933747648954089</v>
      </c>
      <c r="G350" s="357">
        <v>8.4305070590860272</v>
      </c>
      <c r="H350" s="357">
        <v>11.085553749051645</v>
      </c>
      <c r="I350" s="356">
        <v>16.774939513263675</v>
      </c>
      <c r="L350" s="359"/>
      <c r="M350" s="297"/>
      <c r="N350" s="297"/>
      <c r="O350" s="297"/>
      <c r="P350" s="297"/>
      <c r="Q350" s="297"/>
    </row>
    <row r="351" spans="2:17" outlineLevel="1">
      <c r="C351" s="45" t="s">
        <v>111</v>
      </c>
      <c r="D351" s="329">
        <f t="shared" si="187"/>
        <v>0.10500000000000001</v>
      </c>
      <c r="E351" s="355">
        <v>6.2976252210226829</v>
      </c>
      <c r="F351" s="357">
        <v>7.5137420585149419</v>
      </c>
      <c r="G351" s="358">
        <v>9.4782384883101294</v>
      </c>
      <c r="H351" s="357">
        <v>13.188953966812145</v>
      </c>
      <c r="I351" s="356">
        <v>22.836814210917392</v>
      </c>
      <c r="L351" s="359"/>
      <c r="M351" s="297"/>
      <c r="N351" s="297"/>
      <c r="O351" s="297"/>
      <c r="P351" s="297"/>
      <c r="Q351" s="297"/>
    </row>
    <row r="352" spans="2:17" outlineLevel="1">
      <c r="D352" s="329">
        <f t="shared" si="187"/>
        <v>9.5000000000000015E-2</v>
      </c>
      <c r="E352" s="355">
        <v>6.7899802159588187</v>
      </c>
      <c r="F352" s="357">
        <v>8.2995406304330164</v>
      </c>
      <c r="G352" s="357">
        <v>10.906963164524807</v>
      </c>
      <c r="H352" s="357">
        <v>16.494297166150076</v>
      </c>
      <c r="I352" s="356">
        <v>36.981188505442717</v>
      </c>
      <c r="L352" s="359"/>
      <c r="M352" s="297"/>
      <c r="N352" s="297"/>
      <c r="O352" s="297"/>
      <c r="P352" s="297"/>
      <c r="Q352" s="297"/>
    </row>
    <row r="353" spans="4:17" outlineLevel="1">
      <c r="D353" s="329">
        <f t="shared" si="187"/>
        <v>8.500000000000002E-2</v>
      </c>
      <c r="E353" s="355">
        <v>7.3981834449975761</v>
      </c>
      <c r="F353" s="356">
        <v>9.3271233783258811</v>
      </c>
      <c r="G353" s="356">
        <v>12.970676585723787</v>
      </c>
      <c r="H353" s="356">
        <v>22.443914924958342</v>
      </c>
      <c r="I353" s="356">
        <v>107.70305997806909</v>
      </c>
      <c r="L353" s="359"/>
      <c r="M353" s="297"/>
      <c r="N353" s="297"/>
      <c r="O353" s="297"/>
      <c r="P353" s="297"/>
      <c r="Q353" s="297"/>
    </row>
    <row r="354" spans="4:17" outlineLevel="1">
      <c r="D354" s="329">
        <f t="shared" si="187"/>
        <v>7.5000000000000025E-2</v>
      </c>
      <c r="E354" s="355">
        <v>8.168574201780002</v>
      </c>
      <c r="F354" s="356">
        <v>10.728372579997972</v>
      </c>
      <c r="G354" s="356">
        <v>16.213654819036471</v>
      </c>
      <c r="H354" s="356">
        <v>36.32635636217762</v>
      </c>
      <c r="I354" s="356">
        <v>-104.4625544398112</v>
      </c>
      <c r="L354" s="359"/>
      <c r="M354" s="297"/>
      <c r="N354" s="297"/>
      <c r="O354" s="297"/>
      <c r="P354" s="297"/>
      <c r="Q354" s="297"/>
    </row>
    <row r="355" spans="4:17" outlineLevel="1">
      <c r="M355" s="297"/>
      <c r="N355" s="297"/>
      <c r="O355" s="297"/>
      <c r="P355" s="297"/>
      <c r="Q355" s="297"/>
    </row>
    <row r="356" spans="4:17" outlineLevel="1">
      <c r="D356" s="363"/>
      <c r="E356" s="363"/>
      <c r="F356" s="363"/>
      <c r="G356" s="363"/>
      <c r="H356" s="363"/>
      <c r="I356" s="363"/>
      <c r="M356" s="297"/>
      <c r="N356" s="297"/>
      <c r="O356" s="297"/>
      <c r="P356" s="297"/>
      <c r="Q356" s="297"/>
    </row>
    <row r="357" spans="4:17" outlineLevel="1">
      <c r="M357" s="297"/>
      <c r="N357" s="297"/>
      <c r="O357" s="297"/>
      <c r="P357" s="297"/>
      <c r="Q357" s="297"/>
    </row>
    <row r="358" spans="4:17" outlineLevel="1">
      <c r="E358" s="328"/>
      <c r="F358" s="328"/>
      <c r="G358" s="328"/>
      <c r="H358" s="328"/>
      <c r="I358" s="328"/>
      <c r="M358" s="297"/>
      <c r="N358" s="297"/>
      <c r="O358" s="297"/>
      <c r="P358" s="297"/>
      <c r="Q358" s="297"/>
    </row>
    <row r="359" spans="4:17" outlineLevel="1">
      <c r="D359" s="329">
        <v>0.13300000000000001</v>
      </c>
      <c r="E359" s="330"/>
      <c r="F359" s="331"/>
      <c r="G359" s="331"/>
      <c r="H359" s="331"/>
      <c r="I359" s="331"/>
      <c r="L359" s="359"/>
      <c r="M359" s="297"/>
      <c r="N359" s="297"/>
      <c r="O359" s="297"/>
      <c r="P359" s="297"/>
      <c r="Q359" s="297"/>
    </row>
    <row r="360" spans="4:17" outlineLevel="1">
      <c r="D360" s="329">
        <f>D359-1%</f>
        <v>0.12300000000000001</v>
      </c>
      <c r="E360" s="332"/>
      <c r="L360" s="359"/>
      <c r="M360" s="297"/>
      <c r="N360" s="297"/>
      <c r="O360" s="297"/>
      <c r="P360" s="297"/>
      <c r="Q360" s="297"/>
    </row>
    <row r="361" spans="4:17" outlineLevel="1">
      <c r="D361" s="329">
        <f t="shared" ref="D361:D365" si="188">D360-1%</f>
        <v>0.11300000000000002</v>
      </c>
      <c r="E361" s="332"/>
      <c r="F361" s="333"/>
      <c r="G361" s="333"/>
      <c r="H361" s="333"/>
      <c r="L361" s="359"/>
      <c r="M361" s="297"/>
      <c r="N361" s="297"/>
      <c r="O361" s="297"/>
      <c r="P361" s="297"/>
      <c r="Q361" s="297"/>
    </row>
    <row r="362" spans="4:17" outlineLevel="1">
      <c r="D362" s="329">
        <f t="shared" si="188"/>
        <v>0.10300000000000002</v>
      </c>
      <c r="E362" s="332"/>
      <c r="F362" s="333"/>
      <c r="G362" s="308"/>
      <c r="H362" s="333"/>
      <c r="L362" s="359"/>
      <c r="M362" s="297"/>
      <c r="N362" s="297"/>
      <c r="O362" s="297"/>
      <c r="P362" s="297"/>
      <c r="Q362" s="297"/>
    </row>
    <row r="363" spans="4:17" outlineLevel="1">
      <c r="D363" s="329">
        <f t="shared" si="188"/>
        <v>9.3000000000000027E-2</v>
      </c>
      <c r="E363" s="332"/>
      <c r="F363" s="333"/>
      <c r="G363" s="333"/>
      <c r="H363" s="333"/>
      <c r="L363" s="359"/>
      <c r="M363" s="297"/>
      <c r="N363" s="297"/>
      <c r="O363" s="297"/>
      <c r="P363" s="297"/>
      <c r="Q363" s="297"/>
    </row>
    <row r="364" spans="4:17" outlineLevel="1">
      <c r="D364" s="329">
        <f t="shared" si="188"/>
        <v>8.3000000000000032E-2</v>
      </c>
      <c r="E364" s="332"/>
      <c r="L364" s="359"/>
      <c r="M364" s="297"/>
      <c r="N364" s="297"/>
      <c r="O364" s="297"/>
      <c r="P364" s="297"/>
      <c r="Q364" s="297"/>
    </row>
    <row r="365" spans="4:17" outlineLevel="1">
      <c r="D365" s="329">
        <f t="shared" si="188"/>
        <v>7.3000000000000037E-2</v>
      </c>
      <c r="E365" s="332"/>
      <c r="L365" s="359"/>
      <c r="M365" s="297"/>
      <c r="N365" s="297"/>
      <c r="O365" s="297"/>
      <c r="P365" s="297"/>
      <c r="Q365" s="297"/>
    </row>
    <row r="366" spans="4:17" outlineLevel="1">
      <c r="M366" s="297"/>
      <c r="N366" s="297"/>
      <c r="O366" s="297"/>
      <c r="P366" s="297"/>
      <c r="Q366" s="297"/>
    </row>
    <row r="367" spans="4:17" s="296" customFormat="1" outlineLevel="1"/>
    <row r="369" spans="2:17">
      <c r="B369" s="232" t="s">
        <v>132</v>
      </c>
      <c r="C369" s="232"/>
      <c r="D369" s="232"/>
      <c r="E369" s="232"/>
      <c r="F369" s="232"/>
      <c r="G369" s="232"/>
      <c r="H369" s="232"/>
      <c r="I369" s="232"/>
      <c r="J369" s="232"/>
      <c r="K369" s="232"/>
      <c r="L369" s="232"/>
      <c r="M369" s="232"/>
      <c r="N369" s="232"/>
      <c r="O369" s="232"/>
      <c r="P369" s="232"/>
      <c r="Q369" s="232"/>
    </row>
    <row r="370" spans="2:17" outlineLevel="1">
      <c r="B370" s="297"/>
      <c r="C370" s="297"/>
      <c r="D370" s="297"/>
      <c r="E370" s="297"/>
      <c r="F370" s="297"/>
      <c r="G370" s="297"/>
      <c r="H370" s="297"/>
      <c r="I370" s="297"/>
      <c r="J370" s="297"/>
      <c r="K370" s="297"/>
      <c r="L370" s="297"/>
      <c r="M370" s="297"/>
      <c r="N370" s="297"/>
      <c r="O370" s="297"/>
      <c r="P370" s="297"/>
      <c r="Q370" s="297"/>
    </row>
    <row r="371" spans="2:17" ht="16.5" outlineLevel="1">
      <c r="B371" s="173" t="s">
        <v>133</v>
      </c>
      <c r="D371" s="173"/>
      <c r="E371" s="174" t="s">
        <v>134</v>
      </c>
      <c r="F371" s="174" t="s">
        <v>135</v>
      </c>
      <c r="G371" s="174" t="s">
        <v>136</v>
      </c>
      <c r="H371" s="174" t="s">
        <v>137</v>
      </c>
      <c r="I371" s="174" t="s">
        <v>138</v>
      </c>
      <c r="J371" s="365" t="s">
        <v>86</v>
      </c>
      <c r="K371" s="365"/>
      <c r="L371" s="364" t="s">
        <v>28</v>
      </c>
      <c r="M371" s="364"/>
      <c r="N371" s="364" t="s">
        <v>139</v>
      </c>
      <c r="O371" s="364"/>
      <c r="P371" s="364" t="s">
        <v>140</v>
      </c>
      <c r="Q371" s="364"/>
    </row>
    <row r="372" spans="2:17" ht="16.5" outlineLevel="1">
      <c r="B372" s="175" t="s">
        <v>141</v>
      </c>
      <c r="C372" s="176" t="s">
        <v>142</v>
      </c>
      <c r="D372" s="176" t="s">
        <v>143</v>
      </c>
      <c r="E372" s="177" t="s">
        <v>144</v>
      </c>
      <c r="F372" s="177" t="s">
        <v>145</v>
      </c>
      <c r="G372" s="177" t="s">
        <v>146</v>
      </c>
      <c r="H372" s="177" t="s">
        <v>147</v>
      </c>
      <c r="I372" s="177" t="s">
        <v>148</v>
      </c>
      <c r="J372" s="178">
        <v>2024</v>
      </c>
      <c r="K372" s="179">
        <v>2025</v>
      </c>
      <c r="L372" s="178">
        <v>2024</v>
      </c>
      <c r="M372" s="179">
        <v>2025</v>
      </c>
      <c r="N372" s="178">
        <v>2024</v>
      </c>
      <c r="O372" s="179">
        <v>2025</v>
      </c>
      <c r="P372" s="178">
        <v>2024</v>
      </c>
      <c r="Q372" s="179">
        <v>2025</v>
      </c>
    </row>
    <row r="373" spans="2:17" outlineLevel="1">
      <c r="B373" s="180"/>
      <c r="C373" s="180"/>
      <c r="D373" s="180"/>
      <c r="E373" s="334" t="s">
        <v>149</v>
      </c>
      <c r="F373" s="334" t="s">
        <v>150</v>
      </c>
      <c r="G373" s="181"/>
      <c r="H373" s="180"/>
      <c r="I373" s="181"/>
      <c r="J373" s="181"/>
      <c r="K373" s="181"/>
      <c r="L373" s="182"/>
      <c r="M373" s="182"/>
      <c r="N373" s="335" t="s">
        <v>151</v>
      </c>
      <c r="O373" s="335" t="s">
        <v>151</v>
      </c>
      <c r="P373" s="335" t="s">
        <v>151</v>
      </c>
      <c r="Q373" s="335" t="s">
        <v>151</v>
      </c>
    </row>
    <row r="374" spans="2:17" outlineLevel="1">
      <c r="B374" s="183" t="s">
        <v>152</v>
      </c>
      <c r="C374" s="184" t="s">
        <v>153</v>
      </c>
      <c r="D374" s="185" t="s">
        <v>154</v>
      </c>
      <c r="E374" s="186">
        <v>21.698492861715472</v>
      </c>
      <c r="F374" s="187">
        <v>368.32051197901291</v>
      </c>
      <c r="G374" s="188">
        <f>E374*F374</f>
        <v>7992</v>
      </c>
      <c r="H374" s="189">
        <v>2150</v>
      </c>
      <c r="I374" s="188">
        <f>G374+H374</f>
        <v>10142</v>
      </c>
      <c r="J374" s="190">
        <v>1086</v>
      </c>
      <c r="K374" s="190">
        <v>1096.8599999999999</v>
      </c>
      <c r="L374" s="191">
        <v>553</v>
      </c>
      <c r="M374" s="191">
        <v>586.18000000000006</v>
      </c>
      <c r="N374" s="192">
        <f t="shared" ref="N374:N383" si="189">$I374/J374</f>
        <v>9.3388581952117864</v>
      </c>
      <c r="O374" s="192">
        <f t="shared" ref="O374:O383" si="190">$I374/K374</f>
        <v>9.2463942526849383</v>
      </c>
      <c r="P374" s="192">
        <f t="shared" ref="P374:P383" si="191">$G374/L374</f>
        <v>14.452079566003617</v>
      </c>
      <c r="Q374" s="192">
        <f t="shared" ref="Q374:Q383" si="192">$G374/M374</f>
        <v>13.634037326418504</v>
      </c>
    </row>
    <row r="375" spans="2:17" outlineLevel="1">
      <c r="B375" s="183" t="s">
        <v>155</v>
      </c>
      <c r="C375" s="184" t="s">
        <v>153</v>
      </c>
      <c r="D375" s="185" t="s">
        <v>156</v>
      </c>
      <c r="E375" s="186">
        <v>35.877385404688418</v>
      </c>
      <c r="F375" s="187">
        <v>300.91378951458347</v>
      </c>
      <c r="G375" s="188">
        <f t="shared" ref="G375:G383" si="193">E375*F375</f>
        <v>10796</v>
      </c>
      <c r="H375" s="189">
        <v>50</v>
      </c>
      <c r="I375" s="188">
        <f t="shared" ref="I375:I383" si="194">G375+H375</f>
        <v>10846</v>
      </c>
      <c r="J375" s="190">
        <v>2169</v>
      </c>
      <c r="K375" s="190">
        <v>2212.38</v>
      </c>
      <c r="L375" s="191">
        <v>770</v>
      </c>
      <c r="M375" s="191">
        <v>808.5</v>
      </c>
      <c r="N375" s="192">
        <f t="shared" si="189"/>
        <v>5.0004610419548179</v>
      </c>
      <c r="O375" s="192">
        <f t="shared" si="190"/>
        <v>4.9024127862302134</v>
      </c>
      <c r="P375" s="192">
        <f t="shared" si="191"/>
        <v>14.02077922077922</v>
      </c>
      <c r="Q375" s="192">
        <f t="shared" si="192"/>
        <v>13.353123067408781</v>
      </c>
    </row>
    <row r="376" spans="2:17" outlineLevel="1">
      <c r="B376" s="183" t="s">
        <v>157</v>
      </c>
      <c r="C376" s="184" t="s">
        <v>153</v>
      </c>
      <c r="D376" s="185" t="s">
        <v>156</v>
      </c>
      <c r="E376" s="186">
        <v>15.374632440897289</v>
      </c>
      <c r="F376" s="187">
        <v>669.99975704126928</v>
      </c>
      <c r="G376" s="188">
        <f t="shared" si="193"/>
        <v>10301</v>
      </c>
      <c r="H376" s="189">
        <v>1283</v>
      </c>
      <c r="I376" s="188">
        <f t="shared" si="194"/>
        <v>11584</v>
      </c>
      <c r="J376" s="190">
        <v>1530</v>
      </c>
      <c r="K376" s="190">
        <v>1575.9</v>
      </c>
      <c r="L376" s="191">
        <v>632</v>
      </c>
      <c r="M376" s="191">
        <v>650.96</v>
      </c>
      <c r="N376" s="192">
        <f t="shared" si="189"/>
        <v>7.5712418300653592</v>
      </c>
      <c r="O376" s="192">
        <f t="shared" si="190"/>
        <v>7.3507202233644264</v>
      </c>
      <c r="P376" s="192">
        <f t="shared" si="191"/>
        <v>16.299050632911392</v>
      </c>
      <c r="Q376" s="192">
        <f t="shared" si="192"/>
        <v>15.824321002826593</v>
      </c>
    </row>
    <row r="377" spans="2:17" outlineLevel="1">
      <c r="B377" s="183" t="s">
        <v>158</v>
      </c>
      <c r="C377" s="184" t="s">
        <v>153</v>
      </c>
      <c r="D377" s="185" t="s">
        <v>156</v>
      </c>
      <c r="E377" s="186">
        <v>39.924401838067752</v>
      </c>
      <c r="F377" s="187">
        <v>248.49464345738468</v>
      </c>
      <c r="G377" s="188">
        <f t="shared" si="193"/>
        <v>9921</v>
      </c>
      <c r="H377" s="189">
        <v>2866</v>
      </c>
      <c r="I377" s="188">
        <f t="shared" si="194"/>
        <v>12787</v>
      </c>
      <c r="J377" s="190">
        <v>1142</v>
      </c>
      <c r="K377" s="190">
        <v>1164.8399999999999</v>
      </c>
      <c r="L377" s="191">
        <v>461</v>
      </c>
      <c r="M377" s="191">
        <v>484.05</v>
      </c>
      <c r="N377" s="192">
        <f t="shared" si="189"/>
        <v>11.197022767075307</v>
      </c>
      <c r="O377" s="192">
        <f t="shared" si="190"/>
        <v>10.977473301054223</v>
      </c>
      <c r="P377" s="192">
        <f t="shared" si="191"/>
        <v>21.520607375271151</v>
      </c>
      <c r="Q377" s="192">
        <f t="shared" si="192"/>
        <v>20.495816547877286</v>
      </c>
    </row>
    <row r="378" spans="2:17" outlineLevel="1">
      <c r="B378" s="183" t="s">
        <v>159</v>
      </c>
      <c r="C378" s="184" t="s">
        <v>153</v>
      </c>
      <c r="D378" s="185" t="s">
        <v>154</v>
      </c>
      <c r="E378" s="186">
        <v>45.631373013610364</v>
      </c>
      <c r="F378" s="187">
        <v>261.48676254911442</v>
      </c>
      <c r="G378" s="188">
        <f t="shared" si="193"/>
        <v>11932</v>
      </c>
      <c r="H378" s="189">
        <v>396</v>
      </c>
      <c r="I378" s="188">
        <f t="shared" si="194"/>
        <v>12328</v>
      </c>
      <c r="J378" s="190">
        <v>2055</v>
      </c>
      <c r="K378" s="190">
        <v>2096.1</v>
      </c>
      <c r="L378" s="191">
        <v>693</v>
      </c>
      <c r="M378" s="191">
        <v>699.93</v>
      </c>
      <c r="N378" s="192">
        <f t="shared" si="189"/>
        <v>5.9990267639902672</v>
      </c>
      <c r="O378" s="192">
        <f t="shared" si="190"/>
        <v>5.881398788225753</v>
      </c>
      <c r="P378" s="192">
        <f t="shared" si="191"/>
        <v>17.217893217893216</v>
      </c>
      <c r="Q378" s="192">
        <f t="shared" si="192"/>
        <v>17.04741902761705</v>
      </c>
    </row>
    <row r="379" spans="2:17" outlineLevel="1">
      <c r="B379" s="183" t="s">
        <v>160</v>
      </c>
      <c r="C379" s="184" t="s">
        <v>153</v>
      </c>
      <c r="D379" s="185" t="s">
        <v>154</v>
      </c>
      <c r="E379" s="186">
        <v>37.929366506268146</v>
      </c>
      <c r="F379" s="187">
        <v>244.71803393990436</v>
      </c>
      <c r="G379" s="188">
        <f t="shared" si="193"/>
        <v>9282</v>
      </c>
      <c r="H379" s="189">
        <v>1218</v>
      </c>
      <c r="I379" s="188">
        <f t="shared" si="194"/>
        <v>10500</v>
      </c>
      <c r="J379" s="190">
        <v>2625</v>
      </c>
      <c r="K379" s="190">
        <v>2625</v>
      </c>
      <c r="L379" s="191">
        <v>732</v>
      </c>
      <c r="M379" s="191">
        <v>739.32</v>
      </c>
      <c r="N379" s="192">
        <f t="shared" si="189"/>
        <v>4</v>
      </c>
      <c r="O379" s="192">
        <f t="shared" si="190"/>
        <v>4</v>
      </c>
      <c r="P379" s="192">
        <f t="shared" si="191"/>
        <v>12.680327868852459</v>
      </c>
      <c r="Q379" s="192">
        <f t="shared" si="192"/>
        <v>12.55478006817075</v>
      </c>
    </row>
    <row r="380" spans="2:17" outlineLevel="1">
      <c r="B380" s="183" t="s">
        <v>161</v>
      </c>
      <c r="C380" s="184" t="s">
        <v>153</v>
      </c>
      <c r="D380" s="185" t="s">
        <v>156</v>
      </c>
      <c r="E380" s="186">
        <v>46.356571433408185</v>
      </c>
      <c r="F380" s="187">
        <v>379</v>
      </c>
      <c r="G380" s="188">
        <f t="shared" si="193"/>
        <v>17569.140573261702</v>
      </c>
      <c r="H380" s="189">
        <v>17199.999999999993</v>
      </c>
      <c r="I380" s="188">
        <f t="shared" si="194"/>
        <v>34769.140573261699</v>
      </c>
      <c r="J380" s="190">
        <v>4688</v>
      </c>
      <c r="K380" s="190">
        <v>4688</v>
      </c>
      <c r="L380" s="191">
        <v>1092</v>
      </c>
      <c r="M380" s="191">
        <v>1168.44</v>
      </c>
      <c r="N380" s="192">
        <f t="shared" si="189"/>
        <v>7.4166255489039461</v>
      </c>
      <c r="O380" s="192">
        <f t="shared" si="190"/>
        <v>7.4166255489039461</v>
      </c>
      <c r="P380" s="192">
        <f t="shared" si="191"/>
        <v>16.088956568920974</v>
      </c>
      <c r="Q380" s="192">
        <f t="shared" si="192"/>
        <v>15.036408008337357</v>
      </c>
    </row>
    <row r="381" spans="2:17" outlineLevel="1">
      <c r="B381" s="183" t="s">
        <v>162</v>
      </c>
      <c r="C381" s="184" t="s">
        <v>153</v>
      </c>
      <c r="D381" s="185" t="s">
        <v>154</v>
      </c>
      <c r="E381" s="186">
        <v>40.566817779110671</v>
      </c>
      <c r="F381" s="187">
        <v>122.27974170935197</v>
      </c>
      <c r="G381" s="188">
        <f t="shared" si="193"/>
        <v>4960.5</v>
      </c>
      <c r="H381" s="189">
        <v>1433</v>
      </c>
      <c r="I381" s="188">
        <f t="shared" si="194"/>
        <v>6393.5</v>
      </c>
      <c r="J381" s="190">
        <v>850</v>
      </c>
      <c r="K381" s="190">
        <v>884</v>
      </c>
      <c r="L381" s="191">
        <v>276</v>
      </c>
      <c r="M381" s="191">
        <v>281.52</v>
      </c>
      <c r="N381" s="192">
        <f t="shared" si="189"/>
        <v>7.5217647058823527</v>
      </c>
      <c r="O381" s="192">
        <f t="shared" si="190"/>
        <v>7.2324660633484159</v>
      </c>
      <c r="P381" s="192">
        <f t="shared" si="191"/>
        <v>17.972826086956523</v>
      </c>
      <c r="Q381" s="192">
        <f t="shared" si="192"/>
        <v>17.620417732310315</v>
      </c>
    </row>
    <row r="382" spans="2:17" outlineLevel="1">
      <c r="B382" s="183" t="s">
        <v>163</v>
      </c>
      <c r="C382" s="184" t="s">
        <v>153</v>
      </c>
      <c r="D382" s="185" t="s">
        <v>164</v>
      </c>
      <c r="E382" s="186">
        <v>18.943668553284319</v>
      </c>
      <c r="F382" s="187">
        <v>48.997901192642821</v>
      </c>
      <c r="G382" s="188">
        <f t="shared" si="193"/>
        <v>928.2</v>
      </c>
      <c r="H382" s="189">
        <v>121.79999999999995</v>
      </c>
      <c r="I382" s="188">
        <f t="shared" si="194"/>
        <v>1050</v>
      </c>
      <c r="J382" s="190">
        <v>252</v>
      </c>
      <c r="K382" s="190">
        <v>257.04000000000002</v>
      </c>
      <c r="L382" s="191">
        <v>74</v>
      </c>
      <c r="M382" s="191">
        <v>76.22</v>
      </c>
      <c r="N382" s="192">
        <f t="shared" si="189"/>
        <v>4.166666666666667</v>
      </c>
      <c r="O382" s="192">
        <f t="shared" si="190"/>
        <v>4.0849673202614376</v>
      </c>
      <c r="P382" s="192">
        <f t="shared" si="191"/>
        <v>12.543243243243245</v>
      </c>
      <c r="Q382" s="192">
        <f t="shared" si="192"/>
        <v>12.177906061401208</v>
      </c>
    </row>
    <row r="383" spans="2:17" outlineLevel="1">
      <c r="B383" s="183" t="s">
        <v>165</v>
      </c>
      <c r="C383" s="184" t="s">
        <v>153</v>
      </c>
      <c r="D383" s="185" t="s">
        <v>166</v>
      </c>
      <c r="E383" s="186">
        <v>15.372458268607836</v>
      </c>
      <c r="F383" s="187">
        <v>96.158986036647022</v>
      </c>
      <c r="G383" s="188">
        <f t="shared" si="193"/>
        <v>1478.2</v>
      </c>
      <c r="H383" s="189">
        <v>121.79999999999995</v>
      </c>
      <c r="I383" s="188">
        <f t="shared" si="194"/>
        <v>1600</v>
      </c>
      <c r="J383" s="190">
        <v>402</v>
      </c>
      <c r="K383" s="190">
        <v>402</v>
      </c>
      <c r="L383" s="191">
        <v>114</v>
      </c>
      <c r="M383" s="191">
        <v>121.98</v>
      </c>
      <c r="N383" s="192">
        <f t="shared" si="189"/>
        <v>3.9800995024875623</v>
      </c>
      <c r="O383" s="192">
        <f t="shared" si="190"/>
        <v>3.9800995024875623</v>
      </c>
      <c r="P383" s="192">
        <f t="shared" si="191"/>
        <v>12.966666666666667</v>
      </c>
      <c r="Q383" s="192">
        <f t="shared" si="192"/>
        <v>12.118380062305295</v>
      </c>
    </row>
    <row r="384" spans="2:17" outlineLevel="1">
      <c r="B384" s="183"/>
      <c r="C384" s="183"/>
      <c r="D384" s="183"/>
      <c r="E384" s="193"/>
      <c r="F384" s="193"/>
      <c r="G384" s="193"/>
      <c r="H384" s="194"/>
      <c r="I384" s="193"/>
      <c r="J384" s="193"/>
      <c r="K384" s="193"/>
      <c r="L384" s="195"/>
      <c r="M384" s="196"/>
      <c r="N384" s="196"/>
      <c r="O384" s="196"/>
      <c r="P384" s="196"/>
      <c r="Q384" s="197"/>
    </row>
    <row r="385" spans="2:17" outlineLevel="1">
      <c r="B385" s="183"/>
      <c r="C385" s="183"/>
      <c r="D385" s="183"/>
      <c r="E385" s="193"/>
      <c r="F385" s="193"/>
      <c r="G385" s="193"/>
      <c r="H385" s="194"/>
      <c r="I385" s="193"/>
      <c r="J385" s="193"/>
      <c r="K385" s="193"/>
      <c r="L385" s="195"/>
      <c r="M385" s="196"/>
      <c r="N385" s="196"/>
      <c r="O385" s="196"/>
      <c r="P385" s="196"/>
      <c r="Q385" s="197"/>
    </row>
    <row r="386" spans="2:17" outlineLevel="1">
      <c r="B386" s="198" t="s">
        <v>167</v>
      </c>
      <c r="C386" s="199"/>
      <c r="D386" s="199"/>
      <c r="E386" s="194"/>
      <c r="F386" s="194"/>
      <c r="G386" s="200"/>
      <c r="H386" s="194"/>
      <c r="I386" s="200"/>
      <c r="J386" s="194"/>
      <c r="K386" s="201"/>
      <c r="L386" s="202"/>
      <c r="M386" s="195"/>
      <c r="N386" s="192">
        <f>AVERAGE(N374:N383)</f>
        <v>6.6191767022238066</v>
      </c>
      <c r="O386" s="192">
        <f t="shared" ref="O386:P386" si="195">AVERAGE(O374:O383)</f>
        <v>6.5072557786560923</v>
      </c>
      <c r="P386" s="192">
        <f t="shared" si="195"/>
        <v>15.576243044749848</v>
      </c>
      <c r="Q386" s="192">
        <f>AVERAGE(Q374:Q383)</f>
        <v>14.986260890467316</v>
      </c>
    </row>
    <row r="387" spans="2:17" outlineLevel="1">
      <c r="B387" s="198" t="s">
        <v>168</v>
      </c>
      <c r="C387" s="198"/>
      <c r="D387" s="198"/>
      <c r="E387" s="194"/>
      <c r="F387" s="194"/>
      <c r="G387" s="200"/>
      <c r="H387" s="194"/>
      <c r="I387" s="200"/>
      <c r="J387" s="203"/>
      <c r="K387" s="193"/>
      <c r="L387" s="204"/>
      <c r="M387" s="204"/>
      <c r="N387" s="192">
        <f>MEDIAN(N374:N382)</f>
        <v>7.4166255489039461</v>
      </c>
      <c r="O387" s="192">
        <f t="shared" ref="O387:Q387" si="196">MEDIAN(O374:O382)</f>
        <v>7.2324660633484159</v>
      </c>
      <c r="P387" s="192">
        <f t="shared" si="196"/>
        <v>16.088956568920974</v>
      </c>
      <c r="Q387" s="192">
        <f t="shared" si="196"/>
        <v>15.036408008337357</v>
      </c>
    </row>
    <row r="388" spans="2:17" outlineLevel="1">
      <c r="B388" s="198" t="s">
        <v>169</v>
      </c>
      <c r="C388" s="198"/>
      <c r="D388" s="198"/>
      <c r="E388" s="205"/>
      <c r="F388" s="205"/>
      <c r="G388" s="200"/>
      <c r="H388" s="205"/>
      <c r="I388" s="200"/>
      <c r="J388" s="201"/>
      <c r="K388" s="205"/>
      <c r="L388" s="204"/>
      <c r="M388" s="204"/>
      <c r="N388" s="192">
        <f>MAX(N374:N383)</f>
        <v>11.197022767075307</v>
      </c>
      <c r="O388" s="192">
        <f t="shared" ref="O388:Q388" si="197">MAX(O374:O383)</f>
        <v>10.977473301054223</v>
      </c>
      <c r="P388" s="192">
        <f t="shared" si="197"/>
        <v>21.520607375271151</v>
      </c>
      <c r="Q388" s="192">
        <f t="shared" si="197"/>
        <v>20.495816547877286</v>
      </c>
    </row>
    <row r="389" spans="2:17" outlineLevel="1">
      <c r="B389" s="198" t="s">
        <v>170</v>
      </c>
      <c r="C389" s="198"/>
      <c r="D389" s="198"/>
      <c r="E389" s="205"/>
      <c r="F389" s="205"/>
      <c r="G389" s="200"/>
      <c r="H389" s="205"/>
      <c r="I389" s="200"/>
      <c r="J389" s="201"/>
      <c r="K389" s="206"/>
      <c r="L389" s="204"/>
      <c r="M389" s="204"/>
      <c r="N389" s="192">
        <f>MIN(N374:N382)</f>
        <v>4</v>
      </c>
      <c r="O389" s="192">
        <f t="shared" ref="O389:Q389" si="198">MIN(O374:O382)</f>
        <v>4</v>
      </c>
      <c r="P389" s="192">
        <f t="shared" si="198"/>
        <v>12.543243243243245</v>
      </c>
      <c r="Q389" s="192">
        <f t="shared" si="198"/>
        <v>12.177906061401208</v>
      </c>
    </row>
    <row r="390" spans="2:17" outlineLevel="1">
      <c r="B390" s="198"/>
      <c r="C390" s="198"/>
      <c r="D390" s="198"/>
      <c r="E390" s="205"/>
      <c r="F390" s="205"/>
      <c r="G390" s="200"/>
      <c r="H390" s="205"/>
      <c r="I390" s="200"/>
      <c r="J390" s="201"/>
      <c r="K390" s="206"/>
      <c r="L390" s="204"/>
      <c r="M390" s="204"/>
      <c r="N390" s="207"/>
      <c r="O390" s="207"/>
      <c r="P390" s="207"/>
      <c r="Q390" s="207"/>
    </row>
    <row r="391" spans="2:17" outlineLevel="1">
      <c r="B391" s="198"/>
      <c r="C391" s="198"/>
      <c r="D391" s="198"/>
      <c r="E391" s="205"/>
      <c r="F391" s="205"/>
      <c r="G391" s="200"/>
      <c r="H391" s="205"/>
      <c r="I391" s="200"/>
      <c r="J391" s="201"/>
      <c r="K391" s="206"/>
      <c r="L391" s="204"/>
      <c r="M391" s="204"/>
      <c r="N391" s="207"/>
      <c r="O391" s="207"/>
      <c r="P391" s="207"/>
      <c r="Q391" s="207"/>
    </row>
    <row r="392" spans="2:17" outlineLevel="1">
      <c r="B392" s="208" t="s">
        <v>171</v>
      </c>
      <c r="C392" s="180"/>
      <c r="D392" s="180"/>
      <c r="E392" s="193"/>
      <c r="F392" s="193"/>
      <c r="G392" s="193"/>
      <c r="H392" s="194"/>
      <c r="I392" s="193"/>
      <c r="J392" s="193"/>
      <c r="K392" s="193"/>
      <c r="L392" s="195"/>
      <c r="M392" s="196"/>
      <c r="N392" s="196"/>
      <c r="O392" s="196"/>
      <c r="P392" s="196"/>
      <c r="Q392" s="197"/>
    </row>
    <row r="393" spans="2:17" outlineLevel="1">
      <c r="B393" s="209" t="s">
        <v>172</v>
      </c>
      <c r="C393" s="180"/>
      <c r="D393" s="180"/>
      <c r="E393" s="210">
        <f>G393/F393</f>
        <v>5.6809965884735636</v>
      </c>
      <c r="F393" s="211">
        <f>$E$337</f>
        <v>17100</v>
      </c>
      <c r="G393" s="212">
        <f>I393-H393</f>
        <v>97145.041662897944</v>
      </c>
      <c r="H393" s="213">
        <f>$D$332</f>
        <v>9841.2165520876733</v>
      </c>
      <c r="I393" s="212">
        <f>N393*J393</f>
        <v>106986.25821498562</v>
      </c>
      <c r="J393" s="214">
        <f>G254</f>
        <v>14425.193440000003</v>
      </c>
      <c r="K393" s="193"/>
      <c r="L393" s="195"/>
      <c r="M393" s="196"/>
      <c r="N393" s="215">
        <f>N387</f>
        <v>7.4166255489039461</v>
      </c>
      <c r="O393" s="196"/>
      <c r="P393" s="196"/>
      <c r="Q393" s="197"/>
    </row>
    <row r="394" spans="2:17" outlineLevel="1">
      <c r="B394" s="209" t="s">
        <v>173</v>
      </c>
      <c r="C394" s="205"/>
      <c r="D394" s="205"/>
      <c r="E394" s="210">
        <f t="shared" ref="E394:E396" si="199">G394/F394</f>
        <v>5.2255145746354943</v>
      </c>
      <c r="F394" s="211">
        <f t="shared" ref="F394:F396" si="200">$E$337</f>
        <v>17100</v>
      </c>
      <c r="G394" s="212">
        <f t="shared" ref="G394:G396" si="201">I394-H394</f>
        <v>89356.299226266958</v>
      </c>
      <c r="H394" s="213">
        <f t="shared" ref="H394:H396" si="202">$D$332</f>
        <v>9841.2165520876733</v>
      </c>
      <c r="I394" s="216">
        <f>K394*O394</f>
        <v>99197.515778354631</v>
      </c>
      <c r="J394" s="205"/>
      <c r="K394" s="214">
        <f>H254</f>
        <v>13715.586759688042</v>
      </c>
      <c r="L394" s="217"/>
      <c r="M394" s="217"/>
      <c r="N394" s="202"/>
      <c r="O394" s="218">
        <f>O387</f>
        <v>7.2324660633484159</v>
      </c>
      <c r="P394" s="217"/>
      <c r="Q394" s="217"/>
    </row>
    <row r="395" spans="2:17" outlineLevel="1">
      <c r="B395" s="209" t="s">
        <v>174</v>
      </c>
      <c r="C395" s="205"/>
      <c r="D395" s="205"/>
      <c r="E395" s="210">
        <f t="shared" si="199"/>
        <v>7.617808193092646</v>
      </c>
      <c r="F395" s="211">
        <f t="shared" si="200"/>
        <v>17100</v>
      </c>
      <c r="G395" s="212">
        <f t="shared" si="201"/>
        <v>130264.52010188425</v>
      </c>
      <c r="H395" s="213">
        <f t="shared" si="202"/>
        <v>9841.2165520876733</v>
      </c>
      <c r="I395" s="216">
        <f>L395*P395</f>
        <v>140105.73665397192</v>
      </c>
      <c r="J395" s="205"/>
      <c r="K395" s="205"/>
      <c r="L395" s="214">
        <f>G247</f>
        <v>8708.1928560000015</v>
      </c>
      <c r="M395" s="217"/>
      <c r="N395" s="202"/>
      <c r="O395" s="217"/>
      <c r="P395" s="218">
        <f>P387</f>
        <v>16.088956568920974</v>
      </c>
      <c r="Q395" s="217"/>
    </row>
    <row r="396" spans="2:17" outlineLevel="1">
      <c r="B396" s="209" t="s">
        <v>175</v>
      </c>
      <c r="C396" s="205"/>
      <c r="D396" s="205"/>
      <c r="E396" s="210">
        <f t="shared" si="199"/>
        <v>6.0103309014238491</v>
      </c>
      <c r="F396" s="211">
        <f t="shared" si="200"/>
        <v>17100</v>
      </c>
      <c r="G396" s="212">
        <f t="shared" si="201"/>
        <v>102776.65841434782</v>
      </c>
      <c r="H396" s="213">
        <f t="shared" si="202"/>
        <v>9841.2165520876733</v>
      </c>
      <c r="I396" s="216">
        <f>M396*Q396</f>
        <v>112617.8749664355</v>
      </c>
      <c r="J396" s="205"/>
      <c r="K396" s="205"/>
      <c r="L396" s="217"/>
      <c r="M396" s="214">
        <f>H247</f>
        <v>7489.6793771485427</v>
      </c>
      <c r="N396" s="202"/>
      <c r="O396" s="217"/>
      <c r="P396" s="217"/>
      <c r="Q396" s="218">
        <f>Q387</f>
        <v>15.036408008337357</v>
      </c>
    </row>
    <row r="397" spans="2:17" s="296" customFormat="1" outlineLevel="1">
      <c r="B397" s="304"/>
      <c r="C397" s="304"/>
      <c r="D397" s="304"/>
      <c r="E397" s="304"/>
      <c r="F397" s="304"/>
      <c r="G397" s="304"/>
      <c r="H397" s="304"/>
      <c r="I397" s="304"/>
      <c r="J397" s="304"/>
      <c r="K397" s="304"/>
      <c r="L397" s="304"/>
      <c r="M397" s="304"/>
      <c r="N397" s="304"/>
      <c r="O397" s="304"/>
      <c r="P397" s="304"/>
      <c r="Q397" s="304"/>
    </row>
    <row r="398" spans="2:17">
      <c r="B398" s="297"/>
      <c r="C398" s="297"/>
      <c r="D398" s="297"/>
      <c r="E398" s="297"/>
      <c r="F398" s="297"/>
      <c r="G398" s="297"/>
      <c r="H398" s="297"/>
      <c r="I398" s="297"/>
      <c r="J398" s="297"/>
      <c r="K398" s="297"/>
      <c r="L398" s="297"/>
      <c r="M398" s="297"/>
      <c r="N398" s="297"/>
      <c r="O398" s="297"/>
      <c r="P398" s="297"/>
      <c r="Q398" s="297"/>
    </row>
    <row r="399" spans="2:17" ht="16.5" customHeight="1">
      <c r="B399" s="232" t="s">
        <v>176</v>
      </c>
      <c r="C399" s="232"/>
      <c r="D399" s="232"/>
      <c r="E399" s="232"/>
      <c r="F399" s="232"/>
      <c r="G399" s="232"/>
      <c r="H399" s="232"/>
      <c r="I399" s="232"/>
      <c r="J399" s="232"/>
      <c r="K399" s="232"/>
      <c r="L399" s="232"/>
      <c r="M399" s="232"/>
      <c r="N399" s="232"/>
      <c r="O399" s="232"/>
      <c r="P399" s="232"/>
      <c r="Q399" s="232"/>
    </row>
    <row r="400" spans="2:17" ht="15.75" outlineLevel="1" thickBot="1">
      <c r="B400" s="297"/>
      <c r="C400" s="297"/>
      <c r="D400" s="297"/>
      <c r="E400" s="297"/>
      <c r="F400" s="297"/>
      <c r="G400" s="297"/>
      <c r="H400" s="297"/>
      <c r="I400" s="297"/>
      <c r="J400" s="297"/>
      <c r="K400" s="297"/>
      <c r="L400" s="297"/>
      <c r="M400" s="297"/>
      <c r="N400" s="297"/>
      <c r="O400" s="297"/>
      <c r="P400" s="297"/>
      <c r="Q400" s="297"/>
    </row>
    <row r="401" spans="2:17" ht="15.75" outlineLevel="1" thickBot="1">
      <c r="B401" s="337" t="s">
        <v>182</v>
      </c>
      <c r="C401" s="338"/>
      <c r="D401" s="338"/>
      <c r="E401" s="338"/>
      <c r="F401" s="338"/>
      <c r="G401" s="338"/>
      <c r="H401" s="338"/>
      <c r="I401" s="338"/>
      <c r="J401" s="338"/>
      <c r="K401" s="339"/>
      <c r="L401" s="297"/>
      <c r="M401" s="297"/>
      <c r="N401" s="297"/>
      <c r="O401" s="297"/>
      <c r="P401" s="297"/>
      <c r="Q401" s="297"/>
    </row>
    <row r="402" spans="2:17" ht="15.75" outlineLevel="1" thickBot="1">
      <c r="B402" s="297"/>
      <c r="C402" s="297"/>
      <c r="D402" s="297"/>
      <c r="E402" s="297"/>
      <c r="F402" s="297"/>
      <c r="G402" s="297"/>
      <c r="H402" s="297"/>
      <c r="I402" s="297"/>
      <c r="J402" s="297"/>
      <c r="K402" s="297"/>
    </row>
    <row r="403" spans="2:17" ht="15.75" outlineLevel="1" thickBot="1">
      <c r="B403" s="340" t="s">
        <v>103</v>
      </c>
      <c r="C403" s="341">
        <f>SLOPE(Sheet2!D4:D314,Sheet2!B4:B314)</f>
        <v>0.9085170340727784</v>
      </c>
      <c r="D403" s="297"/>
      <c r="E403" s="297"/>
      <c r="F403" s="297"/>
      <c r="G403" s="297"/>
      <c r="H403" s="297"/>
      <c r="I403" s="297"/>
      <c r="J403" s="297"/>
      <c r="K403" s="297"/>
    </row>
    <row r="404" spans="2:17" ht="15.75" outlineLevel="1" thickBot="1">
      <c r="B404" s="340" t="s">
        <v>183</v>
      </c>
      <c r="C404" s="341">
        <f>RSQ(Sheet2!D4:D314,Sheet2!B4:B314)</f>
        <v>8.9883185247873087E-2</v>
      </c>
      <c r="D404" s="297"/>
      <c r="E404" s="297"/>
      <c r="F404" s="297"/>
      <c r="G404" s="297"/>
      <c r="H404" s="297"/>
      <c r="I404" s="297"/>
      <c r="J404" s="297"/>
      <c r="K404" s="297"/>
    </row>
    <row r="405" spans="2:17" ht="15.75" outlineLevel="1" thickBot="1">
      <c r="B405" s="297"/>
      <c r="C405" s="297"/>
      <c r="D405" s="297"/>
      <c r="E405" s="297"/>
      <c r="F405" s="297"/>
      <c r="G405" s="297"/>
      <c r="H405" s="297"/>
      <c r="I405" s="297"/>
      <c r="J405" s="297"/>
      <c r="K405" s="297"/>
    </row>
    <row r="406" spans="2:17" ht="15.75" outlineLevel="1" thickBot="1">
      <c r="B406" s="337" t="s">
        <v>184</v>
      </c>
      <c r="C406" s="338"/>
      <c r="D406" s="338"/>
      <c r="E406" s="338"/>
      <c r="F406" s="338"/>
      <c r="G406" s="338"/>
      <c r="H406" s="338"/>
      <c r="I406" s="338"/>
      <c r="J406" s="338"/>
      <c r="K406" s="339"/>
    </row>
    <row r="407" spans="2:17" outlineLevel="1">
      <c r="B407" s="342"/>
      <c r="C407" s="96"/>
      <c r="D407" s="96"/>
      <c r="E407" s="96"/>
      <c r="F407" s="97"/>
      <c r="G407" s="97"/>
      <c r="H407" s="98" t="s">
        <v>167</v>
      </c>
      <c r="I407" s="99" t="s">
        <v>185</v>
      </c>
      <c r="J407" s="98" t="s">
        <v>186</v>
      </c>
      <c r="K407" s="100" t="s">
        <v>187</v>
      </c>
    </row>
    <row r="408" spans="2:17" ht="16.5" outlineLevel="1">
      <c r="B408" s="101" t="s">
        <v>188</v>
      </c>
      <c r="C408" s="102"/>
      <c r="D408" s="103" t="s">
        <v>189</v>
      </c>
      <c r="E408" s="102"/>
      <c r="F408" s="104" t="s">
        <v>147</v>
      </c>
      <c r="G408" s="104" t="s">
        <v>190</v>
      </c>
      <c r="H408" s="105" t="s">
        <v>82</v>
      </c>
      <c r="I408" s="106" t="s">
        <v>190</v>
      </c>
      <c r="J408" s="105" t="s">
        <v>191</v>
      </c>
      <c r="K408" s="107" t="s">
        <v>192</v>
      </c>
    </row>
    <row r="409" spans="2:17" outlineLevel="1">
      <c r="B409" s="108"/>
      <c r="C409" s="108"/>
      <c r="D409" s="108"/>
      <c r="E409" s="108"/>
      <c r="F409" s="109"/>
      <c r="G409" s="109"/>
      <c r="H409" s="110"/>
      <c r="I409" s="99"/>
      <c r="J409" s="111"/>
      <c r="K409" s="109"/>
    </row>
    <row r="410" spans="2:17" outlineLevel="1">
      <c r="B410" s="112" t="s">
        <v>152</v>
      </c>
      <c r="C410" s="343"/>
      <c r="D410" s="113" t="s">
        <v>193</v>
      </c>
      <c r="E410" s="114"/>
      <c r="F410" s="115">
        <v>63000</v>
      </c>
      <c r="G410" s="115">
        <v>370000</v>
      </c>
      <c r="H410" s="116">
        <v>0.315</v>
      </c>
      <c r="I410" s="117">
        <f>F410/G410</f>
        <v>0.17027027027027028</v>
      </c>
      <c r="J410" s="118">
        <v>1.01</v>
      </c>
      <c r="K410" s="118">
        <f>J410/(1+(1-H410)*I410)</f>
        <v>0.9045031525698588</v>
      </c>
    </row>
    <row r="411" spans="2:17" outlineLevel="1">
      <c r="B411" s="112" t="s">
        <v>155</v>
      </c>
      <c r="C411" s="343"/>
      <c r="D411" s="113" t="s">
        <v>193</v>
      </c>
      <c r="E411" s="114"/>
      <c r="F411" s="115">
        <v>90000</v>
      </c>
      <c r="G411" s="115">
        <v>300000</v>
      </c>
      <c r="H411" s="116">
        <v>0.26500000000000001</v>
      </c>
      <c r="I411" s="117">
        <f>F411/G411</f>
        <v>0.3</v>
      </c>
      <c r="J411" s="118">
        <v>1.0900000000000001</v>
      </c>
      <c r="K411" s="118">
        <f>J411/(1+(1-H411)*I411)</f>
        <v>0.89307660794756261</v>
      </c>
    </row>
    <row r="412" spans="2:17" outlineLevel="1">
      <c r="B412" s="119" t="s">
        <v>157</v>
      </c>
      <c r="C412" s="344"/>
      <c r="D412" s="120" t="s">
        <v>193</v>
      </c>
      <c r="E412" s="121"/>
      <c r="F412" s="122">
        <v>75000</v>
      </c>
      <c r="G412" s="122">
        <v>125000</v>
      </c>
      <c r="H412" s="123">
        <v>0.3</v>
      </c>
      <c r="I412" s="124">
        <f>F412/G412</f>
        <v>0.6</v>
      </c>
      <c r="J412" s="125">
        <v>1.25</v>
      </c>
      <c r="K412" s="125">
        <f>J412/(1+(1-H412)*I412)</f>
        <v>0.88028169014084512</v>
      </c>
    </row>
    <row r="413" spans="2:17" outlineLevel="1">
      <c r="C413" s="126"/>
      <c r="D413" s="127"/>
      <c r="E413" s="127"/>
      <c r="F413" s="128"/>
      <c r="G413" s="128"/>
      <c r="H413" s="129"/>
      <c r="I413" s="130"/>
      <c r="J413" s="131"/>
      <c r="K413" s="132"/>
    </row>
    <row r="414" spans="2:17" outlineLevel="1">
      <c r="B414" s="320"/>
      <c r="C414" s="133"/>
      <c r="D414" s="133"/>
      <c r="E414" s="133"/>
      <c r="F414" s="134"/>
      <c r="G414" s="135" t="s">
        <v>167</v>
      </c>
      <c r="H414" s="136"/>
      <c r="I414" s="137"/>
      <c r="J414" s="138"/>
      <c r="K414" s="139">
        <f>AVERAGE(K410:K412)</f>
        <v>0.89262048355275547</v>
      </c>
    </row>
    <row r="415" spans="2:17" outlineLevel="1">
      <c r="B415" s="93"/>
      <c r="C415" s="140"/>
      <c r="D415" s="141"/>
      <c r="E415" s="140"/>
      <c r="F415" s="141"/>
    </row>
    <row r="416" spans="2:17" outlineLevel="1">
      <c r="B416" s="93" t="s">
        <v>194</v>
      </c>
      <c r="C416" s="140"/>
      <c r="D416" s="141"/>
      <c r="E416" s="345">
        <v>0.15</v>
      </c>
      <c r="F416" s="142"/>
    </row>
    <row r="417" spans="2:17" ht="15.75" outlineLevel="1" thickBot="1">
      <c r="B417" s="93" t="s">
        <v>195</v>
      </c>
      <c r="E417" s="346">
        <v>0.25</v>
      </c>
      <c r="F417" s="143"/>
    </row>
    <row r="418" spans="2:17" ht="15.75" outlineLevel="1" thickBot="1">
      <c r="B418" s="144" t="s">
        <v>196</v>
      </c>
      <c r="C418" s="145"/>
      <c r="D418" s="146"/>
      <c r="E418" s="147">
        <f>K414*(1+(1-E417)*E416)</f>
        <v>0.99304028795244048</v>
      </c>
      <c r="F418" s="142"/>
    </row>
    <row r="419" spans="2:17" outlineLevel="1">
      <c r="B419" s="297"/>
      <c r="C419" s="297"/>
      <c r="D419" s="297"/>
      <c r="E419" s="297"/>
      <c r="F419" s="297"/>
      <c r="G419" s="297"/>
      <c r="H419" s="297"/>
      <c r="I419" s="297"/>
      <c r="J419" s="297"/>
      <c r="K419" s="297"/>
    </row>
    <row r="420" spans="2:17" outlineLevel="1">
      <c r="B420" s="297"/>
      <c r="C420" s="297"/>
      <c r="D420" s="297"/>
      <c r="E420" s="297"/>
      <c r="F420" s="297"/>
      <c r="G420" s="297"/>
      <c r="H420" s="297"/>
      <c r="I420" s="297"/>
      <c r="J420" s="297"/>
      <c r="K420" s="297"/>
    </row>
    <row r="421" spans="2:17" outlineLevel="1">
      <c r="B421" s="297"/>
      <c r="C421" s="297"/>
      <c r="D421" s="297"/>
      <c r="E421" s="297"/>
      <c r="F421" s="297"/>
      <c r="G421" s="297"/>
      <c r="H421" s="297"/>
      <c r="I421" s="297"/>
      <c r="J421" s="297"/>
      <c r="K421" s="297"/>
    </row>
    <row r="422" spans="2:17" outlineLevel="1">
      <c r="B422" s="93"/>
      <c r="G422" s="297"/>
    </row>
    <row r="423" spans="2:17" outlineLevel="1">
      <c r="B423" s="93"/>
      <c r="G423" s="297"/>
      <c r="H423" s="297"/>
      <c r="I423" s="297"/>
      <c r="J423" s="297"/>
      <c r="K423" s="297"/>
      <c r="L423" s="297"/>
      <c r="M423" s="297"/>
      <c r="N423" s="297"/>
      <c r="O423" s="297"/>
      <c r="P423" s="297"/>
      <c r="Q423" s="297"/>
    </row>
    <row r="424" spans="2:17" outlineLevel="1">
      <c r="B424" s="93"/>
      <c r="G424" s="297"/>
      <c r="H424" s="297"/>
      <c r="I424" s="297"/>
      <c r="J424" s="297"/>
      <c r="K424" s="297"/>
      <c r="L424" s="297"/>
      <c r="M424" s="297"/>
      <c r="N424" s="297"/>
      <c r="O424" s="297"/>
      <c r="P424" s="297"/>
      <c r="Q424" s="297"/>
    </row>
    <row r="425" spans="2:17" outlineLevel="1">
      <c r="B425" s="93"/>
      <c r="G425" s="297"/>
      <c r="H425" s="297"/>
      <c r="I425" s="297"/>
      <c r="J425" s="297"/>
      <c r="K425" s="297"/>
      <c r="L425" s="297"/>
      <c r="M425" s="297"/>
      <c r="N425" s="297"/>
      <c r="O425" s="297"/>
      <c r="P425" s="297"/>
      <c r="Q425" s="297"/>
    </row>
    <row r="426" spans="2:17" outlineLevel="1">
      <c r="B426" s="93"/>
      <c r="G426" s="297"/>
      <c r="H426" s="297"/>
      <c r="I426" s="297"/>
      <c r="J426" s="297"/>
      <c r="K426" s="297"/>
      <c r="L426" s="297"/>
      <c r="M426" s="297"/>
      <c r="N426" s="297"/>
      <c r="O426" s="297"/>
      <c r="P426" s="297"/>
      <c r="Q426" s="297"/>
    </row>
    <row r="427" spans="2:17" outlineLevel="1">
      <c r="B427" s="93"/>
      <c r="G427" s="297"/>
      <c r="H427" s="297"/>
      <c r="I427" s="297"/>
      <c r="J427" s="297"/>
      <c r="K427" s="297"/>
      <c r="L427" s="297"/>
      <c r="M427" s="297"/>
      <c r="N427" s="297"/>
      <c r="O427" s="297"/>
      <c r="P427" s="297"/>
      <c r="Q427" s="297"/>
    </row>
    <row r="428" spans="2:17" outlineLevel="1">
      <c r="B428" s="93"/>
      <c r="G428" s="297"/>
      <c r="H428" s="297"/>
      <c r="I428" s="297"/>
      <c r="J428" s="297"/>
      <c r="K428" s="297"/>
      <c r="L428" s="297"/>
      <c r="M428" s="297"/>
      <c r="N428" s="297"/>
      <c r="O428" s="297"/>
      <c r="P428" s="297"/>
      <c r="Q428" s="297"/>
    </row>
    <row r="429" spans="2:17" outlineLevel="1">
      <c r="B429" s="93"/>
      <c r="G429" s="297"/>
      <c r="H429" s="297"/>
      <c r="I429" s="297"/>
      <c r="J429" s="297"/>
      <c r="K429" s="297"/>
      <c r="L429" s="297"/>
      <c r="M429" s="297"/>
      <c r="N429" s="297"/>
      <c r="O429" s="297"/>
      <c r="P429" s="297"/>
      <c r="Q429" s="297"/>
    </row>
    <row r="430" spans="2:17" outlineLevel="1">
      <c r="B430" s="93"/>
      <c r="G430" s="297"/>
      <c r="H430" s="297"/>
      <c r="I430" s="297"/>
      <c r="J430" s="297"/>
      <c r="K430" s="297"/>
      <c r="L430" s="297"/>
      <c r="M430" s="297"/>
      <c r="N430" s="297"/>
      <c r="O430" s="297"/>
      <c r="P430" s="297"/>
      <c r="Q430" s="297"/>
    </row>
    <row r="431" spans="2:17" outlineLevel="1">
      <c r="B431" s="93"/>
      <c r="G431" s="297"/>
      <c r="H431" s="297"/>
      <c r="I431" s="297"/>
      <c r="J431" s="297"/>
      <c r="K431" s="297"/>
      <c r="L431" s="297"/>
      <c r="M431" s="297"/>
      <c r="N431" s="297"/>
      <c r="O431" s="297"/>
      <c r="P431" s="297"/>
      <c r="Q431" s="297"/>
    </row>
    <row r="432" spans="2:17" outlineLevel="1">
      <c r="B432" s="93"/>
      <c r="G432" s="297"/>
      <c r="H432" s="297"/>
      <c r="I432" s="297"/>
      <c r="J432" s="297"/>
      <c r="K432" s="297"/>
      <c r="L432" s="297"/>
      <c r="M432" s="297"/>
      <c r="N432" s="297"/>
      <c r="O432" s="297"/>
      <c r="P432" s="297"/>
      <c r="Q432" s="297"/>
    </row>
    <row r="433" spans="2:17" outlineLevel="1">
      <c r="B433" s="93"/>
      <c r="G433" s="297"/>
      <c r="H433" s="297"/>
      <c r="I433" s="297"/>
      <c r="J433" s="297"/>
      <c r="K433" s="297"/>
      <c r="L433" s="297"/>
      <c r="M433" s="297"/>
      <c r="N433" s="297"/>
      <c r="O433" s="297"/>
      <c r="P433" s="297"/>
      <c r="Q433" s="297"/>
    </row>
    <row r="434" spans="2:17" outlineLevel="1">
      <c r="B434" s="93"/>
      <c r="G434" s="297"/>
      <c r="H434" s="297"/>
      <c r="I434" s="297"/>
      <c r="J434" s="297"/>
      <c r="K434" s="297"/>
      <c r="L434" s="297"/>
      <c r="M434" s="297"/>
      <c r="N434" s="297"/>
      <c r="O434" s="297"/>
      <c r="P434" s="297"/>
      <c r="Q434" s="297"/>
    </row>
    <row r="435" spans="2:17" outlineLevel="1">
      <c r="B435" s="93"/>
      <c r="G435" s="297"/>
      <c r="H435" s="297"/>
      <c r="I435" s="297"/>
      <c r="J435" s="297"/>
      <c r="K435" s="297"/>
      <c r="L435" s="297"/>
      <c r="M435" s="297"/>
      <c r="N435" s="297"/>
      <c r="O435" s="297"/>
      <c r="P435" s="297"/>
      <c r="Q435" s="297"/>
    </row>
    <row r="436" spans="2:17" outlineLevel="1">
      <c r="B436" s="93"/>
      <c r="G436" s="297"/>
      <c r="H436" s="297"/>
      <c r="I436" s="297"/>
      <c r="J436" s="297"/>
      <c r="K436" s="297"/>
      <c r="L436" s="297"/>
      <c r="M436" s="297"/>
      <c r="N436" s="297"/>
      <c r="O436" s="297"/>
      <c r="P436" s="297"/>
      <c r="Q436" s="297"/>
    </row>
    <row r="437" spans="2:17" outlineLevel="1">
      <c r="B437" s="93"/>
      <c r="G437" s="297"/>
      <c r="H437" s="297"/>
      <c r="I437" s="297"/>
      <c r="J437" s="297"/>
      <c r="K437" s="297"/>
      <c r="L437" s="297"/>
      <c r="M437" s="297"/>
      <c r="N437" s="297"/>
      <c r="O437" s="297"/>
      <c r="P437" s="297"/>
      <c r="Q437" s="297"/>
    </row>
    <row r="438" spans="2:17" outlineLevel="1">
      <c r="B438" s="93"/>
      <c r="G438" s="297"/>
      <c r="H438" s="297"/>
      <c r="I438" s="297"/>
      <c r="J438" s="297"/>
      <c r="K438" s="297"/>
      <c r="L438" s="297"/>
      <c r="M438" s="297"/>
      <c r="N438" s="297"/>
      <c r="O438" s="297"/>
      <c r="P438" s="297"/>
      <c r="Q438" s="297"/>
    </row>
    <row r="439" spans="2:17" outlineLevel="1">
      <c r="B439" s="93"/>
      <c r="G439" s="297"/>
      <c r="H439" s="297"/>
      <c r="I439" s="297"/>
      <c r="J439" s="297"/>
      <c r="K439" s="297"/>
      <c r="L439" s="297"/>
      <c r="M439" s="297"/>
      <c r="N439" s="297"/>
      <c r="O439" s="297"/>
      <c r="P439" s="297"/>
      <c r="Q439" s="297"/>
    </row>
    <row r="440" spans="2:17" outlineLevel="1">
      <c r="B440" s="93"/>
      <c r="G440" s="297"/>
      <c r="H440" s="297"/>
      <c r="I440" s="297"/>
      <c r="J440" s="297"/>
      <c r="K440" s="297"/>
      <c r="L440" s="297"/>
      <c r="M440" s="297"/>
      <c r="N440" s="297"/>
      <c r="O440" s="297"/>
      <c r="P440" s="297"/>
      <c r="Q440" s="297"/>
    </row>
    <row r="441" spans="2:17" outlineLevel="1">
      <c r="B441" s="93"/>
      <c r="G441" s="297"/>
      <c r="H441" s="297"/>
      <c r="I441" s="297"/>
      <c r="J441" s="297"/>
      <c r="K441" s="297"/>
      <c r="L441" s="297"/>
      <c r="M441" s="297"/>
      <c r="N441" s="297"/>
      <c r="O441" s="297"/>
      <c r="P441" s="297"/>
      <c r="Q441" s="297"/>
    </row>
    <row r="442" spans="2:17" outlineLevel="1">
      <c r="B442" s="93"/>
      <c r="G442" s="297"/>
      <c r="H442" s="297"/>
      <c r="I442" s="297"/>
      <c r="J442" s="297"/>
      <c r="K442" s="297"/>
      <c r="L442" s="297"/>
      <c r="M442" s="297"/>
      <c r="N442" s="297"/>
      <c r="O442" s="297"/>
      <c r="P442" s="297"/>
      <c r="Q442" s="297"/>
    </row>
    <row r="443" spans="2:17" outlineLevel="1">
      <c r="B443" s="93"/>
      <c r="G443" s="297"/>
      <c r="H443" s="297"/>
      <c r="I443" s="297"/>
      <c r="J443" s="297"/>
      <c r="K443" s="297"/>
      <c r="L443" s="297"/>
      <c r="M443" s="297"/>
      <c r="N443" s="297"/>
      <c r="O443" s="297"/>
      <c r="P443" s="297"/>
      <c r="Q443" s="297"/>
    </row>
    <row r="444" spans="2:17" outlineLevel="1">
      <c r="B444" s="93"/>
      <c r="G444" s="297"/>
      <c r="H444" s="297"/>
      <c r="I444" s="297"/>
      <c r="J444" s="297"/>
      <c r="K444" s="297"/>
      <c r="L444" s="297"/>
      <c r="M444" s="297"/>
      <c r="N444" s="297"/>
      <c r="O444" s="297"/>
      <c r="P444" s="297"/>
      <c r="Q444" s="297"/>
    </row>
    <row r="445" spans="2:17" outlineLevel="1">
      <c r="B445" s="93"/>
      <c r="G445" s="297"/>
      <c r="H445" s="297"/>
      <c r="I445" s="297"/>
      <c r="J445" s="297"/>
      <c r="K445" s="297"/>
      <c r="L445" s="297"/>
      <c r="M445" s="297"/>
      <c r="N445" s="297"/>
      <c r="O445" s="297"/>
      <c r="P445" s="297"/>
      <c r="Q445" s="297"/>
    </row>
    <row r="446" spans="2:17" outlineLevel="1">
      <c r="B446" s="93"/>
      <c r="G446" s="297"/>
      <c r="H446" s="297"/>
      <c r="I446" s="297"/>
      <c r="J446" s="297"/>
      <c r="K446" s="297"/>
      <c r="L446" s="297"/>
      <c r="M446" s="297"/>
      <c r="N446" s="297"/>
      <c r="O446" s="297"/>
      <c r="P446" s="297"/>
      <c r="Q446" s="297"/>
    </row>
    <row r="447" spans="2:17" outlineLevel="1">
      <c r="B447" s="93"/>
      <c r="G447" s="297"/>
      <c r="H447" s="297"/>
      <c r="I447" s="297"/>
      <c r="J447" s="297"/>
      <c r="K447" s="297"/>
      <c r="L447" s="297"/>
      <c r="M447" s="297"/>
      <c r="N447" s="297"/>
      <c r="O447" s="297"/>
      <c r="P447" s="297"/>
      <c r="Q447" s="297"/>
    </row>
    <row r="448" spans="2:17" outlineLevel="1">
      <c r="B448" s="93"/>
      <c r="G448" s="297"/>
      <c r="H448" s="297"/>
      <c r="I448" s="297"/>
      <c r="J448" s="297"/>
      <c r="K448" s="297"/>
      <c r="L448" s="297"/>
      <c r="M448" s="297"/>
      <c r="N448" s="297"/>
      <c r="O448" s="297"/>
      <c r="P448" s="297"/>
      <c r="Q448" s="297"/>
    </row>
    <row r="449" spans="2:17" outlineLevel="1">
      <c r="B449" s="93"/>
      <c r="G449" s="297"/>
      <c r="H449" s="297"/>
      <c r="I449" s="297"/>
      <c r="J449" s="297"/>
      <c r="K449" s="297"/>
      <c r="L449" s="297"/>
      <c r="M449" s="297"/>
      <c r="N449" s="297"/>
      <c r="O449" s="297"/>
      <c r="P449" s="297"/>
      <c r="Q449" s="297"/>
    </row>
    <row r="450" spans="2:17" outlineLevel="1">
      <c r="B450" s="93"/>
      <c r="G450" s="297"/>
      <c r="H450" s="297"/>
      <c r="I450" s="297"/>
      <c r="J450" s="297"/>
      <c r="K450" s="297"/>
      <c r="L450" s="297"/>
      <c r="M450" s="297"/>
      <c r="N450" s="297"/>
      <c r="O450" s="297"/>
      <c r="P450" s="297"/>
      <c r="Q450" s="297"/>
    </row>
    <row r="451" spans="2:17" outlineLevel="1">
      <c r="B451" s="93"/>
      <c r="G451" s="297"/>
      <c r="H451" s="297"/>
      <c r="I451" s="297"/>
      <c r="J451" s="297"/>
      <c r="K451" s="297"/>
      <c r="L451" s="297"/>
      <c r="M451" s="297"/>
      <c r="N451" s="297"/>
      <c r="O451" s="297"/>
      <c r="P451" s="297"/>
      <c r="Q451" s="297"/>
    </row>
    <row r="452" spans="2:17" outlineLevel="1">
      <c r="B452" s="93"/>
      <c r="G452" s="297"/>
      <c r="H452" s="297"/>
      <c r="I452" s="297"/>
      <c r="J452" s="297"/>
      <c r="K452" s="297"/>
      <c r="L452" s="297"/>
      <c r="M452" s="297"/>
      <c r="N452" s="297"/>
      <c r="O452" s="297"/>
      <c r="P452" s="297"/>
      <c r="Q452" s="297"/>
    </row>
    <row r="453" spans="2:17" outlineLevel="1">
      <c r="B453" s="93"/>
      <c r="G453" s="297"/>
      <c r="H453" s="297"/>
      <c r="I453" s="297"/>
      <c r="J453" s="297"/>
      <c r="K453" s="297"/>
      <c r="L453" s="297"/>
      <c r="M453" s="297"/>
      <c r="N453" s="297"/>
      <c r="O453" s="297"/>
      <c r="P453" s="297"/>
      <c r="Q453" s="297"/>
    </row>
    <row r="454" spans="2:17" outlineLevel="1">
      <c r="B454" s="93"/>
      <c r="G454" s="297"/>
      <c r="H454" s="297"/>
      <c r="I454" s="297"/>
      <c r="J454" s="297"/>
      <c r="K454" s="297"/>
      <c r="L454" s="297"/>
      <c r="M454" s="297"/>
      <c r="N454" s="297"/>
      <c r="O454" s="297"/>
      <c r="P454" s="297"/>
      <c r="Q454" s="297"/>
    </row>
    <row r="455" spans="2:17" outlineLevel="1">
      <c r="B455" s="93"/>
      <c r="G455" s="297"/>
      <c r="H455" s="297"/>
      <c r="I455" s="297"/>
      <c r="J455" s="297"/>
      <c r="K455" s="297"/>
      <c r="L455" s="297"/>
      <c r="M455" s="297"/>
      <c r="N455" s="297"/>
      <c r="O455" s="297"/>
      <c r="P455" s="297"/>
      <c r="Q455" s="297"/>
    </row>
    <row r="456" spans="2:17" outlineLevel="1">
      <c r="B456" s="93"/>
      <c r="G456" s="297"/>
      <c r="H456" s="297"/>
      <c r="I456" s="297"/>
      <c r="J456" s="297"/>
      <c r="K456" s="297"/>
      <c r="L456" s="297"/>
      <c r="M456" s="297"/>
      <c r="N456" s="297"/>
      <c r="O456" s="297"/>
      <c r="P456" s="297"/>
      <c r="Q456" s="297"/>
    </row>
    <row r="457" spans="2:17" outlineLevel="1">
      <c r="B457" s="93"/>
      <c r="G457" s="297"/>
      <c r="H457" s="297"/>
      <c r="I457" s="297"/>
      <c r="J457" s="297"/>
      <c r="K457" s="297"/>
      <c r="L457" s="297"/>
      <c r="M457" s="297"/>
      <c r="N457" s="297"/>
      <c r="O457" s="297"/>
      <c r="P457" s="297"/>
      <c r="Q457" s="297"/>
    </row>
    <row r="458" spans="2:17" outlineLevel="1">
      <c r="B458" s="93"/>
      <c r="G458" s="297"/>
      <c r="H458" s="297"/>
      <c r="I458" s="297"/>
      <c r="J458" s="297"/>
      <c r="K458" s="297"/>
      <c r="L458" s="297"/>
      <c r="M458" s="297"/>
      <c r="N458" s="297"/>
      <c r="O458" s="297"/>
      <c r="P458" s="297"/>
      <c r="Q458" s="297"/>
    </row>
    <row r="459" spans="2:17" outlineLevel="1">
      <c r="B459" s="93"/>
      <c r="G459" s="297"/>
      <c r="H459" s="297"/>
      <c r="I459" s="297"/>
      <c r="J459" s="297"/>
      <c r="K459" s="297"/>
      <c r="L459" s="297"/>
      <c r="M459" s="297"/>
      <c r="N459" s="297"/>
      <c r="O459" s="297"/>
      <c r="P459" s="297"/>
      <c r="Q459" s="297"/>
    </row>
    <row r="460" spans="2:17" outlineLevel="1">
      <c r="B460" s="93"/>
      <c r="G460" s="297"/>
      <c r="H460" s="297"/>
      <c r="I460" s="297"/>
      <c r="J460" s="297"/>
      <c r="K460" s="297"/>
      <c r="L460" s="297"/>
      <c r="M460" s="297"/>
      <c r="N460" s="297"/>
      <c r="O460" s="297"/>
      <c r="P460" s="297"/>
      <c r="Q460" s="297"/>
    </row>
    <row r="461" spans="2:17" outlineLevel="1">
      <c r="B461" s="93"/>
      <c r="G461" s="297"/>
      <c r="H461" s="297"/>
      <c r="I461" s="297"/>
      <c r="J461" s="297"/>
      <c r="K461" s="297"/>
      <c r="L461" s="297"/>
      <c r="M461" s="297"/>
      <c r="N461" s="297"/>
      <c r="O461" s="297"/>
      <c r="P461" s="297"/>
      <c r="Q461" s="297"/>
    </row>
    <row r="462" spans="2:17" outlineLevel="1">
      <c r="B462" s="93"/>
      <c r="G462" s="297"/>
      <c r="H462" s="297"/>
      <c r="I462" s="297"/>
      <c r="J462" s="297"/>
      <c r="K462" s="297"/>
      <c r="L462" s="297"/>
      <c r="M462" s="297"/>
      <c r="N462" s="297"/>
      <c r="O462" s="297"/>
      <c r="P462" s="297"/>
      <c r="Q462" s="297"/>
    </row>
    <row r="463" spans="2:17" outlineLevel="1">
      <c r="B463" s="93"/>
      <c r="G463" s="297"/>
      <c r="H463" s="297"/>
      <c r="I463" s="297"/>
      <c r="J463" s="297"/>
      <c r="K463" s="297"/>
      <c r="L463" s="297"/>
      <c r="M463" s="297"/>
      <c r="N463" s="297"/>
      <c r="O463" s="297"/>
      <c r="P463" s="297"/>
      <c r="Q463" s="297"/>
    </row>
    <row r="464" spans="2:17" outlineLevel="1">
      <c r="B464" s="93"/>
      <c r="G464" s="297"/>
      <c r="H464" s="297"/>
      <c r="I464" s="297"/>
      <c r="J464" s="297"/>
      <c r="K464" s="297"/>
      <c r="L464" s="297"/>
      <c r="M464" s="297"/>
      <c r="N464" s="297"/>
      <c r="O464" s="297"/>
      <c r="P464" s="297"/>
      <c r="Q464" s="297"/>
    </row>
    <row r="465" spans="2:17" outlineLevel="1">
      <c r="B465" s="93"/>
      <c r="G465" s="297"/>
      <c r="H465" s="297"/>
      <c r="I465" s="297"/>
      <c r="J465" s="297"/>
      <c r="K465" s="297"/>
      <c r="L465" s="297"/>
      <c r="M465" s="297"/>
      <c r="N465" s="297"/>
      <c r="O465" s="297"/>
      <c r="P465" s="297"/>
      <c r="Q465" s="297"/>
    </row>
    <row r="466" spans="2:17" outlineLevel="1">
      <c r="B466" s="93"/>
      <c r="G466" s="297"/>
      <c r="H466" s="297"/>
      <c r="I466" s="297"/>
      <c r="J466" s="297"/>
      <c r="K466" s="297"/>
      <c r="L466" s="297"/>
      <c r="M466" s="297"/>
      <c r="N466" s="297"/>
      <c r="O466" s="297"/>
      <c r="P466" s="297"/>
      <c r="Q466" s="297"/>
    </row>
    <row r="467" spans="2:17" outlineLevel="1">
      <c r="B467" s="93"/>
      <c r="G467" s="297"/>
      <c r="H467" s="297"/>
      <c r="I467" s="297"/>
      <c r="J467" s="297"/>
      <c r="K467" s="297"/>
      <c r="L467" s="297"/>
      <c r="M467" s="297"/>
      <c r="N467" s="297"/>
      <c r="O467" s="297"/>
      <c r="P467" s="297"/>
      <c r="Q467" s="297"/>
    </row>
    <row r="468" spans="2:17" outlineLevel="1">
      <c r="B468" s="93"/>
      <c r="G468" s="297"/>
      <c r="H468" s="297"/>
      <c r="I468" s="297"/>
      <c r="J468" s="297"/>
      <c r="K468" s="297"/>
      <c r="L468" s="297"/>
      <c r="M468" s="297"/>
      <c r="N468" s="297"/>
      <c r="O468" s="297"/>
      <c r="P468" s="297"/>
      <c r="Q468" s="297"/>
    </row>
    <row r="469" spans="2:17" outlineLevel="1">
      <c r="B469" s="93"/>
      <c r="G469" s="297"/>
      <c r="H469" s="297"/>
      <c r="I469" s="297"/>
      <c r="J469" s="297"/>
      <c r="K469" s="297"/>
      <c r="L469" s="297"/>
      <c r="M469" s="297"/>
      <c r="N469" s="297"/>
      <c r="O469" s="297"/>
      <c r="P469" s="297"/>
      <c r="Q469" s="297"/>
    </row>
    <row r="470" spans="2:17" outlineLevel="1">
      <c r="B470" s="93"/>
      <c r="G470" s="297"/>
      <c r="H470" s="297"/>
      <c r="I470" s="297"/>
      <c r="J470" s="297"/>
      <c r="K470" s="297"/>
      <c r="L470" s="297"/>
      <c r="M470" s="297"/>
      <c r="N470" s="297"/>
      <c r="O470" s="297"/>
      <c r="P470" s="297"/>
      <c r="Q470" s="297"/>
    </row>
    <row r="471" spans="2:17" outlineLevel="1">
      <c r="B471" s="93"/>
      <c r="G471" s="297"/>
      <c r="H471" s="297"/>
      <c r="I471" s="297"/>
      <c r="J471" s="297"/>
      <c r="K471" s="297"/>
      <c r="L471" s="297"/>
      <c r="M471" s="297"/>
      <c r="N471" s="297"/>
      <c r="O471" s="297"/>
      <c r="P471" s="297"/>
      <c r="Q471" s="297"/>
    </row>
    <row r="472" spans="2:17" outlineLevel="1">
      <c r="B472" s="93"/>
      <c r="G472" s="297"/>
      <c r="H472" s="297"/>
      <c r="I472" s="297"/>
      <c r="J472" s="297"/>
      <c r="K472" s="297"/>
      <c r="L472" s="297"/>
      <c r="M472" s="297"/>
      <c r="N472" s="297"/>
      <c r="O472" s="297"/>
      <c r="P472" s="297"/>
      <c r="Q472" s="297"/>
    </row>
    <row r="473" spans="2:17" outlineLevel="1">
      <c r="B473" s="93"/>
      <c r="G473" s="297"/>
      <c r="H473" s="297"/>
      <c r="I473" s="297"/>
      <c r="J473" s="297"/>
      <c r="K473" s="297"/>
      <c r="L473" s="297"/>
      <c r="M473" s="297"/>
      <c r="N473" s="297"/>
      <c r="O473" s="297"/>
      <c r="P473" s="297"/>
      <c r="Q473" s="297"/>
    </row>
    <row r="474" spans="2:17" outlineLevel="1">
      <c r="B474" s="93"/>
      <c r="G474" s="297"/>
      <c r="H474" s="297"/>
      <c r="I474" s="297"/>
      <c r="J474" s="297"/>
      <c r="K474" s="297"/>
      <c r="L474" s="297"/>
      <c r="M474" s="297"/>
      <c r="N474" s="297"/>
      <c r="O474" s="297"/>
      <c r="P474" s="297"/>
      <c r="Q474" s="297"/>
    </row>
    <row r="475" spans="2:17" outlineLevel="1">
      <c r="B475" s="93"/>
      <c r="G475" s="297"/>
      <c r="H475" s="297"/>
      <c r="I475" s="297"/>
      <c r="J475" s="297"/>
      <c r="K475" s="297"/>
      <c r="L475" s="297"/>
      <c r="M475" s="297"/>
      <c r="N475" s="297"/>
      <c r="O475" s="297"/>
      <c r="P475" s="297"/>
      <c r="Q475" s="297"/>
    </row>
    <row r="476" spans="2:17" outlineLevel="1">
      <c r="B476" s="93"/>
      <c r="G476" s="297"/>
      <c r="H476" s="297"/>
      <c r="I476" s="297"/>
      <c r="J476" s="297"/>
      <c r="K476" s="297"/>
      <c r="L476" s="297"/>
      <c r="M476" s="297"/>
      <c r="N476" s="297"/>
      <c r="O476" s="297"/>
      <c r="P476" s="297"/>
      <c r="Q476" s="297"/>
    </row>
    <row r="477" spans="2:17" outlineLevel="1">
      <c r="B477" s="93"/>
      <c r="G477" s="297"/>
      <c r="H477" s="297"/>
      <c r="I477" s="297"/>
      <c r="J477" s="297"/>
      <c r="K477" s="297"/>
      <c r="L477" s="297"/>
      <c r="M477" s="297"/>
      <c r="N477" s="297"/>
      <c r="O477" s="297"/>
      <c r="P477" s="297"/>
      <c r="Q477" s="297"/>
    </row>
    <row r="478" spans="2:17" outlineLevel="1">
      <c r="B478" s="93"/>
      <c r="G478" s="297"/>
      <c r="H478" s="297"/>
      <c r="I478" s="297"/>
      <c r="J478" s="297"/>
      <c r="K478" s="297"/>
      <c r="L478" s="297"/>
      <c r="M478" s="297"/>
      <c r="N478" s="297"/>
      <c r="O478" s="297"/>
      <c r="P478" s="297"/>
      <c r="Q478" s="297"/>
    </row>
    <row r="479" spans="2:17" outlineLevel="1">
      <c r="B479" s="93"/>
      <c r="G479" s="297"/>
      <c r="H479" s="297"/>
      <c r="I479" s="297"/>
      <c r="J479" s="297"/>
      <c r="K479" s="297"/>
      <c r="L479" s="297"/>
      <c r="M479" s="297"/>
      <c r="N479" s="297"/>
      <c r="O479" s="297"/>
      <c r="P479" s="297"/>
      <c r="Q479" s="297"/>
    </row>
    <row r="480" spans="2:17" outlineLevel="1">
      <c r="B480" s="93"/>
      <c r="G480" s="297"/>
      <c r="H480" s="297"/>
      <c r="I480" s="297"/>
      <c r="J480" s="297"/>
      <c r="K480" s="297"/>
      <c r="L480" s="297"/>
      <c r="M480" s="297"/>
      <c r="N480" s="297"/>
      <c r="O480" s="297"/>
      <c r="P480" s="297"/>
      <c r="Q480" s="297"/>
    </row>
    <row r="481" spans="2:17" outlineLevel="1">
      <c r="B481" s="93"/>
      <c r="G481" s="297"/>
      <c r="H481" s="297"/>
      <c r="I481" s="297"/>
      <c r="J481" s="297"/>
      <c r="K481" s="297"/>
      <c r="L481" s="297"/>
      <c r="M481" s="297"/>
      <c r="N481" s="297"/>
      <c r="O481" s="297"/>
      <c r="P481" s="297"/>
      <c r="Q481" s="297"/>
    </row>
    <row r="482" spans="2:17" outlineLevel="1">
      <c r="B482" s="93"/>
      <c r="G482" s="297"/>
      <c r="H482" s="297"/>
      <c r="I482" s="297"/>
      <c r="J482" s="297"/>
      <c r="K482" s="297"/>
      <c r="L482" s="297"/>
      <c r="M482" s="297"/>
      <c r="N482" s="297"/>
      <c r="O482" s="297"/>
      <c r="P482" s="297"/>
      <c r="Q482" s="297"/>
    </row>
    <row r="483" spans="2:17" outlineLevel="1">
      <c r="B483" s="93"/>
      <c r="G483" s="297"/>
      <c r="H483" s="297"/>
      <c r="I483" s="297"/>
      <c r="J483" s="297"/>
      <c r="K483" s="297"/>
      <c r="L483" s="297"/>
      <c r="M483" s="297"/>
      <c r="N483" s="297"/>
      <c r="O483" s="297"/>
      <c r="P483" s="297"/>
      <c r="Q483" s="297"/>
    </row>
    <row r="484" spans="2:17" outlineLevel="1">
      <c r="B484" s="93"/>
      <c r="G484" s="297"/>
      <c r="H484" s="297"/>
      <c r="I484" s="297"/>
      <c r="J484" s="297"/>
      <c r="K484" s="297"/>
      <c r="L484" s="297"/>
      <c r="M484" s="297"/>
      <c r="N484" s="297"/>
      <c r="O484" s="297"/>
      <c r="P484" s="297"/>
      <c r="Q484" s="297"/>
    </row>
    <row r="485" spans="2:17" outlineLevel="1">
      <c r="B485" s="93"/>
      <c r="G485" s="297"/>
      <c r="H485" s="297"/>
      <c r="I485" s="297"/>
      <c r="J485" s="297"/>
      <c r="K485" s="297"/>
      <c r="L485" s="297"/>
      <c r="M485" s="297"/>
      <c r="N485" s="297"/>
      <c r="O485" s="297"/>
      <c r="P485" s="297"/>
      <c r="Q485" s="297"/>
    </row>
    <row r="486" spans="2:17" outlineLevel="1">
      <c r="B486" s="93"/>
      <c r="G486" s="297"/>
      <c r="H486" s="297"/>
      <c r="I486" s="297"/>
      <c r="J486" s="297"/>
      <c r="K486" s="297"/>
      <c r="L486" s="297"/>
      <c r="M486" s="297"/>
      <c r="N486" s="297"/>
      <c r="O486" s="297"/>
      <c r="P486" s="297"/>
      <c r="Q486" s="297"/>
    </row>
    <row r="487" spans="2:17" outlineLevel="1">
      <c r="B487" s="93"/>
      <c r="G487" s="297"/>
      <c r="H487" s="297"/>
      <c r="I487" s="297"/>
      <c r="J487" s="297"/>
      <c r="K487" s="297"/>
      <c r="L487" s="297"/>
      <c r="M487" s="297"/>
      <c r="N487" s="297"/>
      <c r="O487" s="297"/>
      <c r="P487" s="297"/>
      <c r="Q487" s="297"/>
    </row>
    <row r="488" spans="2:17" outlineLevel="1">
      <c r="B488" s="93"/>
      <c r="G488" s="297"/>
      <c r="H488" s="297"/>
      <c r="I488" s="297"/>
      <c r="J488" s="297"/>
      <c r="K488" s="297"/>
      <c r="L488" s="297"/>
      <c r="M488" s="297"/>
      <c r="N488" s="297"/>
      <c r="O488" s="297"/>
      <c r="P488" s="297"/>
      <c r="Q488" s="297"/>
    </row>
    <row r="489" spans="2:17" outlineLevel="1">
      <c r="B489" s="93"/>
      <c r="G489" s="297"/>
      <c r="H489" s="297"/>
      <c r="I489" s="297"/>
      <c r="J489" s="297"/>
      <c r="K489" s="297"/>
      <c r="L489" s="297"/>
      <c r="M489" s="297"/>
      <c r="N489" s="297"/>
      <c r="O489" s="297"/>
      <c r="P489" s="297"/>
      <c r="Q489" s="297"/>
    </row>
    <row r="490" spans="2:17" outlineLevel="1">
      <c r="B490" s="93"/>
      <c r="G490" s="297"/>
      <c r="H490" s="297"/>
      <c r="I490" s="297"/>
      <c r="J490" s="297"/>
      <c r="K490" s="297"/>
      <c r="L490" s="297"/>
      <c r="M490" s="297"/>
      <c r="N490" s="297"/>
      <c r="O490" s="297"/>
      <c r="P490" s="297"/>
      <c r="Q490" s="297"/>
    </row>
    <row r="491" spans="2:17" outlineLevel="1">
      <c r="B491" s="93"/>
      <c r="G491" s="297"/>
      <c r="H491" s="297"/>
      <c r="I491" s="297"/>
      <c r="J491" s="297"/>
      <c r="K491" s="297"/>
      <c r="L491" s="297"/>
      <c r="M491" s="297"/>
      <c r="N491" s="297"/>
      <c r="O491" s="297"/>
      <c r="P491" s="297"/>
      <c r="Q491" s="297"/>
    </row>
    <row r="492" spans="2:17" outlineLevel="1">
      <c r="B492" s="93"/>
      <c r="G492" s="297"/>
      <c r="H492" s="297"/>
      <c r="I492" s="297"/>
      <c r="J492" s="297"/>
      <c r="K492" s="297"/>
      <c r="L492" s="297"/>
      <c r="M492" s="297"/>
      <c r="N492" s="297"/>
      <c r="O492" s="297"/>
      <c r="P492" s="297"/>
      <c r="Q492" s="297"/>
    </row>
    <row r="493" spans="2:17" outlineLevel="1">
      <c r="B493" s="93"/>
      <c r="G493" s="297"/>
      <c r="H493" s="297"/>
      <c r="I493" s="297"/>
      <c r="J493" s="297"/>
      <c r="K493" s="297"/>
      <c r="L493" s="297"/>
      <c r="M493" s="297"/>
      <c r="N493" s="297"/>
      <c r="O493" s="297"/>
      <c r="P493" s="297"/>
      <c r="Q493" s="297"/>
    </row>
    <row r="494" spans="2:17" outlineLevel="1">
      <c r="B494" s="93"/>
      <c r="G494" s="297"/>
      <c r="H494" s="297"/>
      <c r="I494" s="297"/>
      <c r="J494" s="297"/>
      <c r="K494" s="297"/>
      <c r="L494" s="297"/>
      <c r="M494" s="297"/>
      <c r="N494" s="297"/>
      <c r="O494" s="297"/>
      <c r="P494" s="297"/>
      <c r="Q494" s="297"/>
    </row>
    <row r="495" spans="2:17" outlineLevel="1">
      <c r="B495" s="93"/>
      <c r="G495" s="297"/>
      <c r="H495" s="297"/>
      <c r="I495" s="297"/>
      <c r="J495" s="297"/>
      <c r="K495" s="297"/>
      <c r="L495" s="297"/>
      <c r="M495" s="297"/>
      <c r="N495" s="297"/>
      <c r="O495" s="297"/>
      <c r="P495" s="297"/>
      <c r="Q495" s="297"/>
    </row>
    <row r="496" spans="2:17" outlineLevel="1">
      <c r="B496" s="93"/>
      <c r="G496" s="297"/>
      <c r="H496" s="297"/>
      <c r="I496" s="297"/>
      <c r="J496" s="297"/>
      <c r="K496" s="297"/>
      <c r="L496" s="297"/>
      <c r="M496" s="297"/>
      <c r="N496" s="297"/>
      <c r="O496" s="297"/>
      <c r="P496" s="297"/>
      <c r="Q496" s="297"/>
    </row>
    <row r="497" spans="2:17" outlineLevel="1">
      <c r="B497" s="93"/>
      <c r="G497" s="297"/>
      <c r="H497" s="297"/>
      <c r="I497" s="297"/>
      <c r="J497" s="297"/>
      <c r="K497" s="297"/>
      <c r="L497" s="297"/>
      <c r="M497" s="297"/>
      <c r="N497" s="297"/>
      <c r="O497" s="297"/>
      <c r="P497" s="297"/>
      <c r="Q497" s="297"/>
    </row>
    <row r="498" spans="2:17" outlineLevel="1">
      <c r="B498" s="93"/>
      <c r="G498" s="297"/>
      <c r="H498" s="297"/>
      <c r="I498" s="297"/>
      <c r="J498" s="297"/>
      <c r="K498" s="297"/>
      <c r="L498" s="297"/>
      <c r="M498" s="297"/>
      <c r="N498" s="297"/>
      <c r="O498" s="297"/>
      <c r="P498" s="297"/>
      <c r="Q498" s="297"/>
    </row>
    <row r="499" spans="2:17" outlineLevel="1">
      <c r="B499" s="93"/>
      <c r="G499" s="297"/>
      <c r="H499" s="297"/>
      <c r="I499" s="297"/>
      <c r="J499" s="297"/>
      <c r="K499" s="297"/>
      <c r="L499" s="297"/>
      <c r="M499" s="297"/>
      <c r="N499" s="297"/>
      <c r="O499" s="297"/>
      <c r="P499" s="297"/>
      <c r="Q499" s="297"/>
    </row>
    <row r="500" spans="2:17" outlineLevel="1">
      <c r="B500" s="93"/>
      <c r="G500" s="297"/>
      <c r="H500" s="297"/>
      <c r="I500" s="297"/>
      <c r="J500" s="297"/>
      <c r="K500" s="297"/>
      <c r="L500" s="297"/>
      <c r="M500" s="297"/>
      <c r="N500" s="297"/>
      <c r="O500" s="297"/>
      <c r="P500" s="297"/>
      <c r="Q500" s="297"/>
    </row>
    <row r="501" spans="2:17" outlineLevel="1">
      <c r="B501" s="93"/>
      <c r="G501" s="297"/>
      <c r="H501" s="297"/>
      <c r="I501" s="297"/>
      <c r="J501" s="297"/>
      <c r="K501" s="297"/>
      <c r="L501" s="297"/>
      <c r="M501" s="297"/>
      <c r="N501" s="297"/>
      <c r="O501" s="297"/>
      <c r="P501" s="297"/>
      <c r="Q501" s="297"/>
    </row>
    <row r="502" spans="2:17" outlineLevel="1">
      <c r="B502" s="93"/>
      <c r="G502" s="297"/>
      <c r="H502" s="297"/>
      <c r="I502" s="297"/>
      <c r="J502" s="297"/>
      <c r="K502" s="297"/>
      <c r="L502" s="297"/>
      <c r="M502" s="297"/>
      <c r="N502" s="297"/>
      <c r="O502" s="297"/>
      <c r="P502" s="297"/>
      <c r="Q502" s="297"/>
    </row>
    <row r="503" spans="2:17" outlineLevel="1">
      <c r="B503" s="93"/>
      <c r="G503" s="297"/>
      <c r="H503" s="297"/>
      <c r="I503" s="297"/>
      <c r="J503" s="297"/>
      <c r="K503" s="297"/>
      <c r="L503" s="297"/>
      <c r="M503" s="297"/>
      <c r="N503" s="297"/>
      <c r="O503" s="297"/>
      <c r="P503" s="297"/>
      <c r="Q503" s="297"/>
    </row>
    <row r="504" spans="2:17" outlineLevel="1">
      <c r="B504" s="93"/>
      <c r="G504" s="297"/>
      <c r="H504" s="297"/>
      <c r="I504" s="297"/>
      <c r="J504" s="297"/>
      <c r="K504" s="297"/>
      <c r="L504" s="297"/>
      <c r="M504" s="297"/>
      <c r="N504" s="297"/>
      <c r="O504" s="297"/>
      <c r="P504" s="297"/>
      <c r="Q504" s="297"/>
    </row>
    <row r="505" spans="2:17" outlineLevel="1">
      <c r="B505" s="93"/>
      <c r="G505" s="297"/>
      <c r="H505" s="297"/>
      <c r="I505" s="297"/>
      <c r="J505" s="297"/>
      <c r="K505" s="297"/>
      <c r="L505" s="297"/>
      <c r="M505" s="297"/>
      <c r="N505" s="297"/>
      <c r="O505" s="297"/>
      <c r="P505" s="297"/>
      <c r="Q505" s="297"/>
    </row>
    <row r="506" spans="2:17" outlineLevel="1">
      <c r="B506" s="93"/>
      <c r="G506" s="297"/>
      <c r="H506" s="297"/>
      <c r="I506" s="297"/>
      <c r="J506" s="297"/>
      <c r="K506" s="297"/>
      <c r="L506" s="297"/>
      <c r="M506" s="297"/>
      <c r="N506" s="297"/>
      <c r="O506" s="297"/>
      <c r="P506" s="297"/>
      <c r="Q506" s="297"/>
    </row>
    <row r="507" spans="2:17" outlineLevel="1">
      <c r="B507" s="93"/>
      <c r="G507" s="297"/>
      <c r="H507" s="297"/>
      <c r="I507" s="297"/>
      <c r="J507" s="297"/>
      <c r="K507" s="297"/>
      <c r="L507" s="297"/>
      <c r="M507" s="297"/>
      <c r="N507" s="297"/>
      <c r="O507" s="297"/>
      <c r="P507" s="297"/>
      <c r="Q507" s="297"/>
    </row>
    <row r="508" spans="2:17" outlineLevel="1">
      <c r="B508" s="93"/>
      <c r="G508" s="297"/>
      <c r="H508" s="297"/>
      <c r="I508" s="297"/>
      <c r="J508" s="297"/>
      <c r="K508" s="297"/>
      <c r="L508" s="297"/>
      <c r="M508" s="297"/>
      <c r="N508" s="297"/>
      <c r="O508" s="297"/>
      <c r="P508" s="297"/>
      <c r="Q508" s="297"/>
    </row>
    <row r="509" spans="2:17" outlineLevel="1">
      <c r="B509" s="93"/>
      <c r="G509" s="297"/>
      <c r="H509" s="297"/>
      <c r="I509" s="297"/>
      <c r="J509" s="297"/>
      <c r="K509" s="297"/>
      <c r="L509" s="297"/>
      <c r="M509" s="297"/>
      <c r="N509" s="297"/>
      <c r="O509" s="297"/>
      <c r="P509" s="297"/>
      <c r="Q509" s="297"/>
    </row>
    <row r="510" spans="2:17" outlineLevel="1">
      <c r="B510" s="93"/>
      <c r="G510" s="297"/>
      <c r="H510" s="297"/>
      <c r="I510" s="297"/>
      <c r="J510" s="297"/>
      <c r="K510" s="297"/>
      <c r="L510" s="297"/>
      <c r="M510" s="297"/>
      <c r="N510" s="297"/>
      <c r="O510" s="297"/>
      <c r="P510" s="297"/>
      <c r="Q510" s="297"/>
    </row>
    <row r="511" spans="2:17" outlineLevel="1">
      <c r="B511" s="93"/>
      <c r="G511" s="297"/>
      <c r="H511" s="297"/>
      <c r="I511" s="297"/>
      <c r="J511" s="297"/>
      <c r="K511" s="297"/>
      <c r="L511" s="297"/>
      <c r="M511" s="297"/>
      <c r="N511" s="297"/>
      <c r="O511" s="297"/>
      <c r="P511" s="297"/>
      <c r="Q511" s="297"/>
    </row>
    <row r="512" spans="2:17" outlineLevel="1">
      <c r="B512" s="93"/>
      <c r="G512" s="297"/>
      <c r="H512" s="297"/>
      <c r="I512" s="297"/>
      <c r="J512" s="297"/>
      <c r="K512" s="297"/>
      <c r="L512" s="297"/>
      <c r="M512" s="297"/>
      <c r="N512" s="297"/>
      <c r="O512" s="297"/>
      <c r="P512" s="297"/>
      <c r="Q512" s="297"/>
    </row>
    <row r="513" spans="2:17" outlineLevel="1">
      <c r="B513" s="93"/>
      <c r="G513" s="297"/>
      <c r="H513" s="297"/>
      <c r="I513" s="297"/>
      <c r="J513" s="297"/>
      <c r="K513" s="297"/>
      <c r="L513" s="297"/>
      <c r="M513" s="297"/>
      <c r="N513" s="297"/>
      <c r="O513" s="297"/>
      <c r="P513" s="297"/>
      <c r="Q513" s="297"/>
    </row>
    <row r="514" spans="2:17" outlineLevel="1">
      <c r="B514" s="93"/>
      <c r="G514" s="297"/>
      <c r="H514" s="297"/>
      <c r="I514" s="297"/>
      <c r="J514" s="297"/>
      <c r="K514" s="297"/>
      <c r="L514" s="297"/>
      <c r="M514" s="297"/>
      <c r="N514" s="297"/>
      <c r="O514" s="297"/>
      <c r="P514" s="297"/>
      <c r="Q514" s="297"/>
    </row>
    <row r="515" spans="2:17" outlineLevel="1">
      <c r="B515" s="93"/>
      <c r="G515" s="297"/>
      <c r="H515" s="297"/>
      <c r="I515" s="297"/>
      <c r="J515" s="297"/>
      <c r="K515" s="297"/>
      <c r="L515" s="297"/>
      <c r="M515" s="297"/>
      <c r="N515" s="297"/>
      <c r="O515" s="297"/>
      <c r="P515" s="297"/>
      <c r="Q515" s="297"/>
    </row>
    <row r="516" spans="2:17" outlineLevel="1">
      <c r="B516" s="93"/>
      <c r="G516" s="297"/>
      <c r="H516" s="297"/>
      <c r="I516" s="297"/>
      <c r="J516" s="297"/>
      <c r="K516" s="297"/>
      <c r="L516" s="297"/>
      <c r="M516" s="297"/>
      <c r="N516" s="297"/>
      <c r="O516" s="297"/>
      <c r="P516" s="297"/>
      <c r="Q516" s="297"/>
    </row>
    <row r="517" spans="2:17" outlineLevel="1">
      <c r="B517" s="93"/>
      <c r="G517" s="297"/>
      <c r="H517" s="297"/>
      <c r="I517" s="297"/>
      <c r="J517" s="297"/>
      <c r="K517" s="297"/>
      <c r="L517" s="297"/>
      <c r="M517" s="297"/>
      <c r="N517" s="297"/>
      <c r="O517" s="297"/>
      <c r="P517" s="297"/>
      <c r="Q517" s="297"/>
    </row>
    <row r="518" spans="2:17" outlineLevel="1">
      <c r="B518" s="93"/>
      <c r="G518" s="297"/>
      <c r="H518" s="297"/>
      <c r="I518" s="297"/>
      <c r="J518" s="297"/>
      <c r="K518" s="297"/>
      <c r="L518" s="297"/>
      <c r="M518" s="297"/>
      <c r="N518" s="297"/>
      <c r="O518" s="297"/>
      <c r="P518" s="297"/>
      <c r="Q518" s="297"/>
    </row>
    <row r="519" spans="2:17" outlineLevel="1">
      <c r="B519" s="93"/>
      <c r="G519" s="297"/>
      <c r="H519" s="297"/>
      <c r="I519" s="297"/>
      <c r="J519" s="297"/>
      <c r="K519" s="297"/>
      <c r="L519" s="297"/>
      <c r="M519" s="297"/>
      <c r="N519" s="297"/>
      <c r="O519" s="297"/>
      <c r="P519" s="297"/>
      <c r="Q519" s="297"/>
    </row>
    <row r="520" spans="2:17" outlineLevel="1">
      <c r="B520" s="93"/>
      <c r="G520" s="297"/>
      <c r="H520" s="297"/>
      <c r="I520" s="297"/>
      <c r="J520" s="297"/>
      <c r="K520" s="297"/>
      <c r="L520" s="297"/>
      <c r="M520" s="297"/>
      <c r="N520" s="297"/>
      <c r="O520" s="297"/>
      <c r="P520" s="297"/>
      <c r="Q520" s="297"/>
    </row>
    <row r="521" spans="2:17" outlineLevel="1">
      <c r="B521" s="93"/>
      <c r="G521" s="297"/>
      <c r="H521" s="297"/>
      <c r="I521" s="297"/>
      <c r="J521" s="297"/>
      <c r="K521" s="297"/>
      <c r="L521" s="297"/>
      <c r="M521" s="297"/>
      <c r="N521" s="297"/>
      <c r="O521" s="297"/>
      <c r="P521" s="297"/>
      <c r="Q521" s="297"/>
    </row>
    <row r="522" spans="2:17" outlineLevel="1">
      <c r="B522" s="93"/>
      <c r="G522" s="297"/>
      <c r="H522" s="297"/>
      <c r="I522" s="297"/>
      <c r="J522" s="297"/>
      <c r="K522" s="297"/>
      <c r="L522" s="297"/>
      <c r="M522" s="297"/>
      <c r="N522" s="297"/>
      <c r="O522" s="297"/>
      <c r="P522" s="297"/>
      <c r="Q522" s="297"/>
    </row>
    <row r="523" spans="2:17" outlineLevel="1">
      <c r="B523" s="93"/>
      <c r="G523" s="297"/>
      <c r="H523" s="297"/>
      <c r="I523" s="297"/>
      <c r="J523" s="297"/>
      <c r="K523" s="297"/>
      <c r="L523" s="297"/>
      <c r="M523" s="297"/>
      <c r="N523" s="297"/>
      <c r="O523" s="297"/>
      <c r="P523" s="297"/>
      <c r="Q523" s="297"/>
    </row>
    <row r="524" spans="2:17" outlineLevel="1">
      <c r="B524" s="93"/>
      <c r="G524" s="297"/>
      <c r="H524" s="297"/>
      <c r="I524" s="297"/>
      <c r="J524" s="297"/>
      <c r="K524" s="297"/>
      <c r="L524" s="297"/>
      <c r="M524" s="297"/>
      <c r="N524" s="297"/>
      <c r="O524" s="297"/>
      <c r="P524" s="297"/>
      <c r="Q524" s="297"/>
    </row>
    <row r="525" spans="2:17" outlineLevel="1">
      <c r="B525" s="93"/>
      <c r="G525" s="297"/>
      <c r="H525" s="297"/>
      <c r="I525" s="297"/>
      <c r="J525" s="297"/>
      <c r="K525" s="297"/>
      <c r="L525" s="297"/>
      <c r="M525" s="297"/>
      <c r="N525" s="297"/>
      <c r="O525" s="297"/>
      <c r="P525" s="297"/>
      <c r="Q525" s="297"/>
    </row>
    <row r="526" spans="2:17" outlineLevel="1">
      <c r="B526" s="93"/>
      <c r="G526" s="297"/>
      <c r="H526" s="297"/>
      <c r="I526" s="297"/>
      <c r="J526" s="297"/>
      <c r="K526" s="297"/>
      <c r="L526" s="297"/>
      <c r="M526" s="297"/>
      <c r="N526" s="297"/>
      <c r="O526" s="297"/>
      <c r="P526" s="297"/>
      <c r="Q526" s="297"/>
    </row>
    <row r="527" spans="2:17" outlineLevel="1">
      <c r="B527" s="93"/>
      <c r="G527" s="297"/>
      <c r="H527" s="297"/>
      <c r="I527" s="297"/>
      <c r="J527" s="297"/>
      <c r="K527" s="297"/>
      <c r="L527" s="297"/>
      <c r="M527" s="297"/>
      <c r="N527" s="297"/>
      <c r="O527" s="297"/>
      <c r="P527" s="297"/>
      <c r="Q527" s="297"/>
    </row>
    <row r="528" spans="2:17" outlineLevel="1">
      <c r="B528" s="93"/>
      <c r="G528" s="297"/>
      <c r="H528" s="297"/>
      <c r="I528" s="297"/>
      <c r="J528" s="297"/>
      <c r="K528" s="297"/>
      <c r="L528" s="297"/>
      <c r="M528" s="297"/>
      <c r="N528" s="297"/>
      <c r="O528" s="297"/>
      <c r="P528" s="297"/>
      <c r="Q528" s="297"/>
    </row>
    <row r="529" spans="2:17" outlineLevel="1">
      <c r="B529" s="93"/>
      <c r="G529" s="297"/>
      <c r="H529" s="297"/>
      <c r="I529" s="297"/>
      <c r="J529" s="297"/>
      <c r="K529" s="297"/>
      <c r="L529" s="297"/>
      <c r="M529" s="297"/>
      <c r="N529" s="297"/>
      <c r="O529" s="297"/>
      <c r="P529" s="297"/>
      <c r="Q529" s="297"/>
    </row>
    <row r="530" spans="2:17" outlineLevel="1">
      <c r="B530" s="93"/>
      <c r="G530" s="297"/>
      <c r="H530" s="297"/>
      <c r="I530" s="297"/>
      <c r="J530" s="297"/>
      <c r="K530" s="297"/>
      <c r="L530" s="297"/>
      <c r="M530" s="297"/>
      <c r="N530" s="297"/>
      <c r="O530" s="297"/>
      <c r="P530" s="297"/>
      <c r="Q530" s="297"/>
    </row>
    <row r="531" spans="2:17" outlineLevel="1">
      <c r="B531" s="93"/>
      <c r="G531" s="297"/>
      <c r="H531" s="297"/>
      <c r="I531" s="297"/>
      <c r="J531" s="297"/>
      <c r="K531" s="297"/>
      <c r="L531" s="297"/>
      <c r="M531" s="297"/>
      <c r="N531" s="297"/>
      <c r="O531" s="297"/>
      <c r="P531" s="297"/>
      <c r="Q531" s="297"/>
    </row>
    <row r="532" spans="2:17" outlineLevel="1">
      <c r="B532" s="93"/>
      <c r="G532" s="297"/>
      <c r="H532" s="297"/>
      <c r="I532" s="297"/>
      <c r="J532" s="297"/>
      <c r="K532" s="297"/>
      <c r="L532" s="297"/>
      <c r="M532" s="297"/>
      <c r="N532" s="297"/>
      <c r="O532" s="297"/>
      <c r="P532" s="297"/>
      <c r="Q532" s="297"/>
    </row>
    <row r="533" spans="2:17" outlineLevel="1">
      <c r="B533" s="93"/>
      <c r="G533" s="297"/>
      <c r="H533" s="297"/>
      <c r="I533" s="297"/>
      <c r="J533" s="297"/>
      <c r="K533" s="297"/>
      <c r="L533" s="297"/>
      <c r="M533" s="297"/>
      <c r="N533" s="297"/>
      <c r="O533" s="297"/>
      <c r="P533" s="297"/>
      <c r="Q533" s="297"/>
    </row>
    <row r="534" spans="2:17" outlineLevel="1">
      <c r="B534" s="93"/>
      <c r="G534" s="297"/>
      <c r="H534" s="297"/>
      <c r="I534" s="297"/>
      <c r="J534" s="297"/>
      <c r="K534" s="297"/>
      <c r="L534" s="297"/>
      <c r="M534" s="297"/>
      <c r="N534" s="297"/>
      <c r="O534" s="297"/>
      <c r="P534" s="297"/>
      <c r="Q534" s="297"/>
    </row>
    <row r="535" spans="2:17" outlineLevel="1">
      <c r="B535" s="93"/>
      <c r="G535" s="297"/>
      <c r="H535" s="297"/>
      <c r="I535" s="297"/>
      <c r="J535" s="297"/>
      <c r="K535" s="297"/>
      <c r="L535" s="297"/>
      <c r="M535" s="297"/>
      <c r="N535" s="297"/>
      <c r="O535" s="297"/>
      <c r="P535" s="297"/>
      <c r="Q535" s="297"/>
    </row>
    <row r="536" spans="2:17" outlineLevel="1">
      <c r="B536" s="93"/>
      <c r="G536" s="297"/>
      <c r="H536" s="297"/>
      <c r="I536" s="297"/>
      <c r="J536" s="297"/>
      <c r="K536" s="297"/>
      <c r="L536" s="297"/>
      <c r="M536" s="297"/>
      <c r="N536" s="297"/>
      <c r="O536" s="297"/>
      <c r="P536" s="297"/>
      <c r="Q536" s="297"/>
    </row>
    <row r="537" spans="2:17" outlineLevel="1">
      <c r="B537" s="93"/>
      <c r="G537" s="297"/>
      <c r="H537" s="297"/>
      <c r="I537" s="297"/>
      <c r="J537" s="297"/>
      <c r="K537" s="297"/>
      <c r="L537" s="297"/>
      <c r="M537" s="297"/>
      <c r="N537" s="297"/>
      <c r="O537" s="297"/>
      <c r="P537" s="297"/>
      <c r="Q537" s="297"/>
    </row>
    <row r="538" spans="2:17" outlineLevel="1">
      <c r="B538" s="93"/>
      <c r="G538" s="297"/>
      <c r="H538" s="297"/>
      <c r="I538" s="297"/>
      <c r="J538" s="297"/>
      <c r="K538" s="297"/>
      <c r="L538" s="297"/>
      <c r="M538" s="297"/>
      <c r="N538" s="297"/>
      <c r="O538" s="297"/>
      <c r="P538" s="297"/>
      <c r="Q538" s="297"/>
    </row>
    <row r="539" spans="2:17" outlineLevel="1">
      <c r="B539" s="93"/>
      <c r="G539" s="297"/>
      <c r="H539" s="297"/>
      <c r="I539" s="297"/>
      <c r="J539" s="297"/>
      <c r="K539" s="297"/>
      <c r="L539" s="297"/>
      <c r="M539" s="297"/>
      <c r="N539" s="297"/>
      <c r="O539" s="297"/>
      <c r="P539" s="297"/>
      <c r="Q539" s="297"/>
    </row>
    <row r="540" spans="2:17" outlineLevel="1">
      <c r="B540" s="93"/>
      <c r="G540" s="297"/>
      <c r="H540" s="297"/>
      <c r="I540" s="297"/>
      <c r="J540" s="297"/>
      <c r="K540" s="297"/>
      <c r="L540" s="297"/>
      <c r="M540" s="297"/>
      <c r="N540" s="297"/>
      <c r="O540" s="297"/>
      <c r="P540" s="297"/>
      <c r="Q540" s="297"/>
    </row>
    <row r="541" spans="2:17" outlineLevel="1">
      <c r="B541" s="93"/>
      <c r="G541" s="297"/>
      <c r="H541" s="297"/>
      <c r="I541" s="297"/>
      <c r="J541" s="297"/>
      <c r="K541" s="297"/>
      <c r="L541" s="297"/>
      <c r="M541" s="297"/>
      <c r="N541" s="297"/>
      <c r="O541" s="297"/>
      <c r="P541" s="297"/>
      <c r="Q541" s="297"/>
    </row>
    <row r="542" spans="2:17" outlineLevel="1">
      <c r="B542" s="93"/>
      <c r="G542" s="297"/>
      <c r="H542" s="297"/>
      <c r="I542" s="297"/>
      <c r="J542" s="297"/>
      <c r="K542" s="297"/>
      <c r="L542" s="297"/>
      <c r="M542" s="297"/>
      <c r="N542" s="297"/>
      <c r="O542" s="297"/>
      <c r="P542" s="297"/>
      <c r="Q542" s="297"/>
    </row>
    <row r="543" spans="2:17" outlineLevel="1">
      <c r="B543" s="93"/>
      <c r="G543" s="297"/>
      <c r="H543" s="297"/>
      <c r="I543" s="297"/>
      <c r="J543" s="297"/>
      <c r="K543" s="297"/>
      <c r="L543" s="297"/>
      <c r="M543" s="297"/>
      <c r="N543" s="297"/>
      <c r="O543" s="297"/>
      <c r="P543" s="297"/>
      <c r="Q543" s="297"/>
    </row>
    <row r="544" spans="2:17" outlineLevel="1">
      <c r="B544" s="93"/>
      <c r="G544" s="297"/>
      <c r="H544" s="297"/>
      <c r="I544" s="297"/>
      <c r="J544" s="297"/>
      <c r="K544" s="297"/>
      <c r="L544" s="297"/>
      <c r="M544" s="297"/>
      <c r="N544" s="297"/>
      <c r="O544" s="297"/>
      <c r="P544" s="297"/>
      <c r="Q544" s="297"/>
    </row>
    <row r="545" spans="2:17" outlineLevel="1">
      <c r="B545" s="93"/>
      <c r="G545" s="297"/>
      <c r="H545" s="297"/>
      <c r="I545" s="297"/>
      <c r="J545" s="297"/>
      <c r="K545" s="297"/>
      <c r="L545" s="297"/>
      <c r="M545" s="297"/>
      <c r="N545" s="297"/>
      <c r="O545" s="297"/>
      <c r="P545" s="297"/>
      <c r="Q545" s="297"/>
    </row>
    <row r="546" spans="2:17" outlineLevel="1">
      <c r="B546" s="93"/>
      <c r="G546" s="297"/>
      <c r="H546" s="297"/>
      <c r="I546" s="297"/>
      <c r="J546" s="297"/>
      <c r="K546" s="297"/>
      <c r="L546" s="297"/>
      <c r="M546" s="297"/>
      <c r="N546" s="297"/>
      <c r="O546" s="297"/>
      <c r="P546" s="297"/>
      <c r="Q546" s="297"/>
    </row>
    <row r="547" spans="2:17" outlineLevel="1">
      <c r="B547" s="93"/>
      <c r="G547" s="297"/>
      <c r="H547" s="297"/>
      <c r="I547" s="297"/>
      <c r="J547" s="297"/>
      <c r="K547" s="297"/>
      <c r="L547" s="297"/>
      <c r="M547" s="297"/>
      <c r="N547" s="297"/>
      <c r="O547" s="297"/>
      <c r="P547" s="297"/>
      <c r="Q547" s="297"/>
    </row>
    <row r="548" spans="2:17" outlineLevel="1">
      <c r="B548" s="93"/>
      <c r="G548" s="297"/>
      <c r="H548" s="297"/>
      <c r="I548" s="297"/>
      <c r="J548" s="297"/>
      <c r="K548" s="297"/>
      <c r="L548" s="297"/>
      <c r="M548" s="297"/>
      <c r="N548" s="297"/>
      <c r="O548" s="297"/>
      <c r="P548" s="297"/>
      <c r="Q548" s="297"/>
    </row>
    <row r="549" spans="2:17" outlineLevel="1">
      <c r="B549" s="93"/>
      <c r="G549" s="297"/>
      <c r="H549" s="297"/>
      <c r="I549" s="297"/>
      <c r="J549" s="297"/>
      <c r="K549" s="297"/>
      <c r="L549" s="297"/>
      <c r="M549" s="297"/>
      <c r="N549" s="297"/>
      <c r="O549" s="297"/>
      <c r="P549" s="297"/>
      <c r="Q549" s="297"/>
    </row>
    <row r="550" spans="2:17" outlineLevel="1">
      <c r="B550" s="93"/>
      <c r="G550" s="297"/>
      <c r="H550" s="297"/>
      <c r="I550" s="297"/>
      <c r="J550" s="297"/>
      <c r="K550" s="297"/>
      <c r="L550" s="297"/>
      <c r="M550" s="297"/>
      <c r="N550" s="297"/>
      <c r="O550" s="297"/>
      <c r="P550" s="297"/>
      <c r="Q550" s="297"/>
    </row>
    <row r="551" spans="2:17" outlineLevel="1">
      <c r="B551" s="93"/>
      <c r="G551" s="297"/>
      <c r="H551" s="297"/>
      <c r="I551" s="297"/>
      <c r="J551" s="297"/>
      <c r="K551" s="297"/>
      <c r="L551" s="297"/>
      <c r="M551" s="297"/>
      <c r="N551" s="297"/>
      <c r="O551" s="297"/>
      <c r="P551" s="297"/>
      <c r="Q551" s="297"/>
    </row>
    <row r="552" spans="2:17" outlineLevel="1">
      <c r="B552" s="93"/>
      <c r="G552" s="297"/>
      <c r="H552" s="297"/>
      <c r="I552" s="297"/>
      <c r="J552" s="297"/>
      <c r="K552" s="297"/>
      <c r="L552" s="297"/>
      <c r="M552" s="297"/>
      <c r="N552" s="297"/>
      <c r="O552" s="297"/>
      <c r="P552" s="297"/>
      <c r="Q552" s="297"/>
    </row>
    <row r="553" spans="2:17" outlineLevel="1">
      <c r="B553" s="93"/>
      <c r="G553" s="297"/>
      <c r="H553" s="297"/>
      <c r="I553" s="297"/>
      <c r="J553" s="297"/>
      <c r="K553" s="297"/>
      <c r="L553" s="297"/>
      <c r="M553" s="297"/>
      <c r="N553" s="297"/>
      <c r="O553" s="297"/>
      <c r="P553" s="297"/>
      <c r="Q553" s="297"/>
    </row>
    <row r="554" spans="2:17" outlineLevel="1">
      <c r="B554" s="93"/>
      <c r="G554" s="297"/>
      <c r="H554" s="297"/>
      <c r="I554" s="297"/>
      <c r="J554" s="297"/>
      <c r="K554" s="297"/>
      <c r="L554" s="297"/>
      <c r="M554" s="297"/>
      <c r="N554" s="297"/>
      <c r="O554" s="297"/>
      <c r="P554" s="297"/>
      <c r="Q554" s="297"/>
    </row>
    <row r="555" spans="2:17" outlineLevel="1">
      <c r="B555" s="93"/>
      <c r="G555" s="297"/>
      <c r="H555" s="297"/>
      <c r="I555" s="297"/>
      <c r="J555" s="297"/>
      <c r="K555" s="297"/>
      <c r="L555" s="297"/>
      <c r="M555" s="297"/>
      <c r="N555" s="297"/>
      <c r="O555" s="297"/>
      <c r="P555" s="297"/>
      <c r="Q555" s="297"/>
    </row>
    <row r="556" spans="2:17" outlineLevel="1">
      <c r="B556" s="93"/>
      <c r="G556" s="297"/>
      <c r="H556" s="297"/>
      <c r="I556" s="297"/>
      <c r="J556" s="297"/>
      <c r="K556" s="297"/>
      <c r="L556" s="297"/>
      <c r="M556" s="297"/>
      <c r="N556" s="297"/>
      <c r="O556" s="297"/>
      <c r="P556" s="297"/>
      <c r="Q556" s="297"/>
    </row>
    <row r="557" spans="2:17" outlineLevel="1">
      <c r="B557" s="93"/>
      <c r="G557" s="297"/>
      <c r="H557" s="297"/>
      <c r="I557" s="297"/>
      <c r="J557" s="297"/>
      <c r="K557" s="297"/>
      <c r="L557" s="297"/>
      <c r="M557" s="297"/>
      <c r="N557" s="297"/>
      <c r="O557" s="297"/>
      <c r="P557" s="297"/>
      <c r="Q557" s="297"/>
    </row>
    <row r="558" spans="2:17" outlineLevel="1">
      <c r="B558" s="93"/>
      <c r="G558" s="297"/>
      <c r="H558" s="297"/>
      <c r="I558" s="297"/>
      <c r="J558" s="297"/>
      <c r="K558" s="297"/>
      <c r="L558" s="297"/>
      <c r="M558" s="297"/>
      <c r="N558" s="297"/>
      <c r="O558" s="297"/>
      <c r="P558" s="297"/>
      <c r="Q558" s="297"/>
    </row>
    <row r="559" spans="2:17" outlineLevel="1">
      <c r="B559" s="93"/>
      <c r="G559" s="297"/>
      <c r="H559" s="297"/>
      <c r="I559" s="297"/>
      <c r="J559" s="297"/>
      <c r="K559" s="297"/>
      <c r="L559" s="297"/>
      <c r="M559" s="297"/>
      <c r="N559" s="297"/>
      <c r="O559" s="297"/>
      <c r="P559" s="297"/>
      <c r="Q559" s="297"/>
    </row>
    <row r="560" spans="2:17" outlineLevel="1">
      <c r="B560" s="93"/>
      <c r="G560" s="297"/>
      <c r="H560" s="297"/>
      <c r="I560" s="297"/>
      <c r="J560" s="297"/>
      <c r="K560" s="297"/>
      <c r="L560" s="297"/>
      <c r="M560" s="297"/>
      <c r="N560" s="297"/>
      <c r="O560" s="297"/>
      <c r="P560" s="297"/>
      <c r="Q560" s="297"/>
    </row>
    <row r="561" spans="2:17" outlineLevel="1">
      <c r="B561" s="93"/>
      <c r="G561" s="297"/>
      <c r="H561" s="297"/>
      <c r="I561" s="297"/>
      <c r="J561" s="297"/>
      <c r="K561" s="297"/>
      <c r="L561" s="297"/>
      <c r="M561" s="297"/>
      <c r="N561" s="297"/>
      <c r="O561" s="297"/>
      <c r="P561" s="297"/>
      <c r="Q561" s="297"/>
    </row>
    <row r="562" spans="2:17" outlineLevel="1">
      <c r="B562" s="93"/>
      <c r="G562" s="297"/>
      <c r="H562" s="297"/>
      <c r="I562" s="297"/>
      <c r="J562" s="297"/>
      <c r="K562" s="297"/>
      <c r="L562" s="297"/>
      <c r="M562" s="297"/>
      <c r="N562" s="297"/>
      <c r="O562" s="297"/>
      <c r="P562" s="297"/>
      <c r="Q562" s="297"/>
    </row>
    <row r="563" spans="2:17" outlineLevel="1">
      <c r="B563" s="93"/>
      <c r="G563" s="297"/>
      <c r="H563" s="297"/>
      <c r="I563" s="297"/>
      <c r="J563" s="297"/>
      <c r="K563" s="297"/>
      <c r="L563" s="297"/>
      <c r="M563" s="297"/>
      <c r="N563" s="297"/>
      <c r="O563" s="297"/>
      <c r="P563" s="297"/>
      <c r="Q563" s="297"/>
    </row>
    <row r="564" spans="2:17" outlineLevel="1">
      <c r="B564" s="93"/>
      <c r="G564" s="297"/>
      <c r="H564" s="297"/>
      <c r="I564" s="297"/>
      <c r="J564" s="297"/>
      <c r="K564" s="297"/>
      <c r="L564" s="297"/>
      <c r="M564" s="297"/>
      <c r="N564" s="297"/>
      <c r="O564" s="297"/>
      <c r="P564" s="297"/>
      <c r="Q564" s="297"/>
    </row>
    <row r="565" spans="2:17" outlineLevel="1">
      <c r="B565" s="93"/>
      <c r="G565" s="297"/>
      <c r="H565" s="297"/>
      <c r="I565" s="297"/>
      <c r="J565" s="297"/>
      <c r="K565" s="297"/>
      <c r="L565" s="297"/>
      <c r="M565" s="297"/>
      <c r="N565" s="297"/>
      <c r="O565" s="297"/>
      <c r="P565" s="297"/>
      <c r="Q565" s="297"/>
    </row>
    <row r="566" spans="2:17" outlineLevel="1">
      <c r="B566" s="93"/>
      <c r="G566" s="297"/>
      <c r="H566" s="297"/>
      <c r="I566" s="297"/>
      <c r="J566" s="297"/>
      <c r="K566" s="297"/>
      <c r="L566" s="297"/>
      <c r="M566" s="297"/>
      <c r="N566" s="297"/>
      <c r="O566" s="297"/>
      <c r="P566" s="297"/>
      <c r="Q566" s="297"/>
    </row>
    <row r="567" spans="2:17" outlineLevel="1">
      <c r="B567" s="93"/>
      <c r="G567" s="297"/>
      <c r="H567" s="297"/>
      <c r="I567" s="297"/>
      <c r="J567" s="297"/>
      <c r="K567" s="297"/>
      <c r="L567" s="297"/>
      <c r="M567" s="297"/>
      <c r="N567" s="297"/>
      <c r="O567" s="297"/>
      <c r="P567" s="297"/>
      <c r="Q567" s="297"/>
    </row>
    <row r="568" spans="2:17" outlineLevel="1">
      <c r="B568" s="93"/>
      <c r="G568" s="297"/>
      <c r="H568" s="297"/>
      <c r="I568" s="297"/>
      <c r="J568" s="297"/>
      <c r="K568" s="297"/>
      <c r="L568" s="297"/>
      <c r="M568" s="297"/>
      <c r="N568" s="297"/>
      <c r="O568" s="297"/>
      <c r="P568" s="297"/>
      <c r="Q568" s="297"/>
    </row>
    <row r="569" spans="2:17" outlineLevel="1">
      <c r="B569" s="93"/>
      <c r="G569" s="297"/>
      <c r="H569" s="297"/>
      <c r="I569" s="297"/>
      <c r="J569" s="297"/>
      <c r="K569" s="297"/>
      <c r="L569" s="297"/>
      <c r="M569" s="297"/>
      <c r="N569" s="297"/>
      <c r="O569" s="297"/>
      <c r="P569" s="297"/>
      <c r="Q569" s="297"/>
    </row>
    <row r="570" spans="2:17" outlineLevel="1">
      <c r="B570" s="93"/>
      <c r="G570" s="297"/>
      <c r="H570" s="297"/>
      <c r="I570" s="297"/>
      <c r="J570" s="297"/>
      <c r="K570" s="297"/>
      <c r="L570" s="297"/>
      <c r="M570" s="297"/>
      <c r="N570" s="297"/>
      <c r="O570" s="297"/>
      <c r="P570" s="297"/>
      <c r="Q570" s="297"/>
    </row>
    <row r="571" spans="2:17" outlineLevel="1">
      <c r="B571" s="93"/>
      <c r="G571" s="297"/>
      <c r="H571" s="297"/>
      <c r="I571" s="297"/>
      <c r="J571" s="297"/>
      <c r="K571" s="297"/>
      <c r="L571" s="297"/>
      <c r="M571" s="297"/>
      <c r="N571" s="297"/>
      <c r="O571" s="297"/>
      <c r="P571" s="297"/>
      <c r="Q571" s="297"/>
    </row>
    <row r="572" spans="2:17" outlineLevel="1">
      <c r="B572" s="93"/>
      <c r="G572" s="297"/>
      <c r="H572" s="297"/>
      <c r="I572" s="297"/>
      <c r="J572" s="297"/>
      <c r="K572" s="297"/>
      <c r="L572" s="297"/>
      <c r="M572" s="297"/>
      <c r="N572" s="297"/>
      <c r="O572" s="297"/>
      <c r="P572" s="297"/>
      <c r="Q572" s="297"/>
    </row>
    <row r="573" spans="2:17" outlineLevel="1">
      <c r="B573" s="93"/>
      <c r="G573" s="297"/>
      <c r="H573" s="297"/>
      <c r="I573" s="297"/>
      <c r="J573" s="297"/>
      <c r="K573" s="297"/>
      <c r="L573" s="297"/>
      <c r="M573" s="297"/>
      <c r="N573" s="297"/>
      <c r="O573" s="297"/>
      <c r="P573" s="297"/>
      <c r="Q573" s="297"/>
    </row>
    <row r="574" spans="2:17" outlineLevel="1">
      <c r="B574" s="93"/>
      <c r="G574" s="297"/>
      <c r="H574" s="297"/>
      <c r="I574" s="297"/>
      <c r="J574" s="297"/>
      <c r="K574" s="297"/>
      <c r="L574" s="297"/>
      <c r="M574" s="297"/>
      <c r="N574" s="297"/>
      <c r="O574" s="297"/>
      <c r="P574" s="297"/>
      <c r="Q574" s="297"/>
    </row>
    <row r="575" spans="2:17" outlineLevel="1">
      <c r="B575" s="93"/>
      <c r="G575" s="297"/>
      <c r="H575" s="297"/>
      <c r="I575" s="297"/>
      <c r="J575" s="297"/>
      <c r="K575" s="297"/>
      <c r="L575" s="297"/>
      <c r="M575" s="297"/>
      <c r="N575" s="297"/>
      <c r="O575" s="297"/>
      <c r="P575" s="297"/>
      <c r="Q575" s="297"/>
    </row>
    <row r="576" spans="2:17" outlineLevel="1">
      <c r="B576" s="93"/>
      <c r="G576" s="297"/>
      <c r="H576" s="297"/>
      <c r="I576" s="297"/>
      <c r="J576" s="297"/>
      <c r="K576" s="297"/>
      <c r="L576" s="297"/>
      <c r="M576" s="297"/>
      <c r="N576" s="297"/>
      <c r="O576" s="297"/>
      <c r="P576" s="297"/>
      <c r="Q576" s="297"/>
    </row>
    <row r="577" spans="2:17" outlineLevel="1">
      <c r="B577" s="93"/>
      <c r="G577" s="297"/>
      <c r="H577" s="297"/>
      <c r="I577" s="297"/>
      <c r="J577" s="297"/>
      <c r="K577" s="297"/>
      <c r="L577" s="297"/>
      <c r="M577" s="297"/>
      <c r="N577" s="297"/>
      <c r="O577" s="297"/>
      <c r="P577" s="297"/>
      <c r="Q577" s="297"/>
    </row>
    <row r="578" spans="2:17" outlineLevel="1">
      <c r="B578" s="93"/>
      <c r="G578" s="297"/>
      <c r="H578" s="297"/>
      <c r="I578" s="297"/>
      <c r="J578" s="297"/>
      <c r="K578" s="297"/>
      <c r="L578" s="297"/>
      <c r="M578" s="297"/>
      <c r="N578" s="297"/>
      <c r="O578" s="297"/>
      <c r="P578" s="297"/>
      <c r="Q578" s="297"/>
    </row>
    <row r="579" spans="2:17" outlineLevel="1">
      <c r="B579" s="93"/>
      <c r="G579" s="297"/>
      <c r="H579" s="297"/>
      <c r="I579" s="297"/>
      <c r="J579" s="297"/>
      <c r="K579" s="297"/>
      <c r="L579" s="297"/>
      <c r="M579" s="297"/>
      <c r="N579" s="297"/>
      <c r="O579" s="297"/>
      <c r="P579" s="297"/>
      <c r="Q579" s="297"/>
    </row>
    <row r="580" spans="2:17" outlineLevel="1">
      <c r="B580" s="93"/>
      <c r="G580" s="297"/>
      <c r="H580" s="297"/>
      <c r="I580" s="297"/>
      <c r="J580" s="297"/>
      <c r="K580" s="297"/>
      <c r="L580" s="297"/>
      <c r="M580" s="297"/>
      <c r="N580" s="297"/>
      <c r="O580" s="297"/>
      <c r="P580" s="297"/>
      <c r="Q580" s="297"/>
    </row>
    <row r="581" spans="2:17" outlineLevel="1">
      <c r="B581" s="93"/>
      <c r="G581" s="297"/>
      <c r="H581" s="297"/>
      <c r="I581" s="297"/>
      <c r="J581" s="297"/>
      <c r="K581" s="297"/>
      <c r="L581" s="297"/>
      <c r="M581" s="297"/>
      <c r="N581" s="297"/>
      <c r="O581" s="297"/>
      <c r="P581" s="297"/>
      <c r="Q581" s="297"/>
    </row>
    <row r="582" spans="2:17" outlineLevel="1">
      <c r="B582" s="93"/>
      <c r="G582" s="297"/>
      <c r="H582" s="297"/>
      <c r="I582" s="297"/>
      <c r="J582" s="297"/>
      <c r="K582" s="297"/>
      <c r="L582" s="297"/>
      <c r="M582" s="297"/>
      <c r="N582" s="297"/>
      <c r="O582" s="297"/>
      <c r="P582" s="297"/>
      <c r="Q582" s="297"/>
    </row>
    <row r="583" spans="2:17" outlineLevel="1">
      <c r="B583" s="93"/>
      <c r="G583" s="297"/>
      <c r="H583" s="297"/>
      <c r="I583" s="297"/>
      <c r="J583" s="297"/>
      <c r="K583" s="297"/>
      <c r="L583" s="297"/>
      <c r="M583" s="297"/>
      <c r="N583" s="297"/>
      <c r="O583" s="297"/>
      <c r="P583" s="297"/>
      <c r="Q583" s="297"/>
    </row>
    <row r="584" spans="2:17" outlineLevel="1">
      <c r="B584" s="93"/>
      <c r="G584" s="297"/>
      <c r="H584" s="297"/>
      <c r="I584" s="297"/>
      <c r="J584" s="297"/>
      <c r="K584" s="297"/>
      <c r="L584" s="297"/>
      <c r="M584" s="297"/>
      <c r="N584" s="297"/>
      <c r="O584" s="297"/>
      <c r="P584" s="297"/>
      <c r="Q584" s="297"/>
    </row>
    <row r="585" spans="2:17" outlineLevel="1">
      <c r="B585" s="93"/>
      <c r="G585" s="297"/>
      <c r="H585" s="297"/>
      <c r="I585" s="297"/>
      <c r="J585" s="297"/>
      <c r="K585" s="297"/>
      <c r="L585" s="297"/>
      <c r="M585" s="297"/>
      <c r="N585" s="297"/>
      <c r="O585" s="297"/>
      <c r="P585" s="297"/>
      <c r="Q585" s="297"/>
    </row>
    <row r="586" spans="2:17" outlineLevel="1">
      <c r="B586" s="93"/>
      <c r="G586" s="297"/>
      <c r="H586" s="297"/>
      <c r="I586" s="297"/>
      <c r="J586" s="297"/>
      <c r="K586" s="297"/>
      <c r="L586" s="297"/>
      <c r="M586" s="297"/>
      <c r="N586" s="297"/>
      <c r="O586" s="297"/>
      <c r="P586" s="297"/>
      <c r="Q586" s="297"/>
    </row>
    <row r="587" spans="2:17" outlineLevel="1">
      <c r="B587" s="93"/>
      <c r="G587" s="297"/>
      <c r="H587" s="297"/>
      <c r="I587" s="297"/>
      <c r="J587" s="297"/>
      <c r="K587" s="297"/>
      <c r="L587" s="297"/>
      <c r="M587" s="297"/>
      <c r="N587" s="297"/>
      <c r="O587" s="297"/>
      <c r="P587" s="297"/>
      <c r="Q587" s="297"/>
    </row>
    <row r="588" spans="2:17" outlineLevel="1">
      <c r="B588" s="93"/>
      <c r="G588" s="297"/>
      <c r="H588" s="297"/>
      <c r="I588" s="297"/>
      <c r="J588" s="297"/>
      <c r="K588" s="297"/>
      <c r="L588" s="297"/>
      <c r="M588" s="297"/>
      <c r="N588" s="297"/>
      <c r="O588" s="297"/>
      <c r="P588" s="297"/>
      <c r="Q588" s="297"/>
    </row>
    <row r="589" spans="2:17" outlineLevel="1">
      <c r="B589" s="93"/>
      <c r="G589" s="297"/>
      <c r="H589" s="297"/>
      <c r="I589" s="297"/>
      <c r="J589" s="297"/>
      <c r="K589" s="297"/>
      <c r="L589" s="297"/>
      <c r="M589" s="297"/>
      <c r="N589" s="297"/>
      <c r="O589" s="297"/>
      <c r="P589" s="297"/>
      <c r="Q589" s="297"/>
    </row>
    <row r="590" spans="2:17" outlineLevel="1">
      <c r="B590" s="93"/>
      <c r="G590" s="297"/>
      <c r="H590" s="297"/>
      <c r="I590" s="297"/>
      <c r="J590" s="297"/>
      <c r="K590" s="297"/>
      <c r="L590" s="297"/>
      <c r="M590" s="297"/>
      <c r="N590" s="297"/>
      <c r="O590" s="297"/>
      <c r="P590" s="297"/>
      <c r="Q590" s="297"/>
    </row>
    <row r="591" spans="2:17" outlineLevel="1">
      <c r="B591" s="93"/>
      <c r="G591" s="297"/>
      <c r="H591" s="297"/>
      <c r="I591" s="297"/>
      <c r="J591" s="297"/>
      <c r="K591" s="297"/>
      <c r="L591" s="297"/>
      <c r="M591" s="297"/>
      <c r="N591" s="297"/>
      <c r="O591" s="297"/>
      <c r="P591" s="297"/>
      <c r="Q591" s="297"/>
    </row>
    <row r="592" spans="2:17" outlineLevel="1">
      <c r="B592" s="93"/>
      <c r="G592" s="297"/>
      <c r="H592" s="297"/>
      <c r="I592" s="297"/>
      <c r="J592" s="297"/>
      <c r="K592" s="297"/>
      <c r="L592" s="297"/>
      <c r="M592" s="297"/>
      <c r="N592" s="297"/>
      <c r="O592" s="297"/>
      <c r="P592" s="297"/>
      <c r="Q592" s="297"/>
    </row>
    <row r="593" spans="2:17" outlineLevel="1">
      <c r="B593" s="93"/>
      <c r="G593" s="297"/>
      <c r="H593" s="297"/>
      <c r="I593" s="297"/>
      <c r="J593" s="297"/>
      <c r="K593" s="297"/>
      <c r="L593" s="297"/>
      <c r="M593" s="297"/>
      <c r="N593" s="297"/>
      <c r="O593" s="297"/>
      <c r="P593" s="297"/>
      <c r="Q593" s="297"/>
    </row>
    <row r="594" spans="2:17" outlineLevel="1">
      <c r="B594" s="93"/>
      <c r="G594" s="297"/>
      <c r="H594" s="297"/>
      <c r="I594" s="297"/>
      <c r="J594" s="297"/>
      <c r="K594" s="297"/>
      <c r="L594" s="297"/>
      <c r="M594" s="297"/>
      <c r="N594" s="297"/>
      <c r="O594" s="297"/>
      <c r="P594" s="297"/>
      <c r="Q594" s="297"/>
    </row>
    <row r="595" spans="2:17" outlineLevel="1">
      <c r="B595" s="93"/>
      <c r="G595" s="297"/>
      <c r="H595" s="297"/>
      <c r="I595" s="297"/>
      <c r="J595" s="297"/>
      <c r="K595" s="297"/>
      <c r="L595" s="297"/>
      <c r="M595" s="297"/>
      <c r="N595" s="297"/>
      <c r="O595" s="297"/>
      <c r="P595" s="297"/>
      <c r="Q595" s="297"/>
    </row>
    <row r="596" spans="2:17" outlineLevel="1">
      <c r="B596" s="93"/>
      <c r="G596" s="297"/>
      <c r="H596" s="297"/>
      <c r="I596" s="297"/>
      <c r="J596" s="297"/>
      <c r="K596" s="297"/>
      <c r="L596" s="297"/>
      <c r="M596" s="297"/>
      <c r="N596" s="297"/>
      <c r="O596" s="297"/>
      <c r="P596" s="297"/>
      <c r="Q596" s="297"/>
    </row>
    <row r="597" spans="2:17" outlineLevel="1">
      <c r="B597" s="93"/>
      <c r="G597" s="297"/>
      <c r="H597" s="297"/>
      <c r="I597" s="297"/>
      <c r="J597" s="297"/>
      <c r="K597" s="297"/>
      <c r="L597" s="297"/>
      <c r="M597" s="297"/>
      <c r="N597" s="297"/>
      <c r="O597" s="297"/>
      <c r="P597" s="297"/>
      <c r="Q597" s="297"/>
    </row>
    <row r="598" spans="2:17" outlineLevel="1">
      <c r="B598" s="93"/>
      <c r="G598" s="297"/>
      <c r="H598" s="297"/>
      <c r="I598" s="297"/>
      <c r="J598" s="297"/>
      <c r="K598" s="297"/>
      <c r="L598" s="297"/>
      <c r="M598" s="297"/>
      <c r="N598" s="297"/>
      <c r="O598" s="297"/>
      <c r="P598" s="297"/>
      <c r="Q598" s="297"/>
    </row>
    <row r="599" spans="2:17" outlineLevel="1">
      <c r="B599" s="93"/>
      <c r="G599" s="297"/>
      <c r="H599" s="297"/>
      <c r="I599" s="297"/>
      <c r="J599" s="297"/>
      <c r="K599" s="297"/>
      <c r="L599" s="297"/>
      <c r="M599" s="297"/>
      <c r="N599" s="297"/>
      <c r="O599" s="297"/>
      <c r="P599" s="297"/>
      <c r="Q599" s="297"/>
    </row>
    <row r="600" spans="2:17" outlineLevel="1">
      <c r="B600" s="93"/>
      <c r="G600" s="297"/>
      <c r="H600" s="297"/>
      <c r="I600" s="297"/>
      <c r="J600" s="297"/>
      <c r="K600" s="297"/>
      <c r="L600" s="297"/>
      <c r="M600" s="297"/>
      <c r="N600" s="297"/>
      <c r="O600" s="297"/>
      <c r="P600" s="297"/>
      <c r="Q600" s="297"/>
    </row>
    <row r="601" spans="2:17" outlineLevel="1">
      <c r="B601" s="93"/>
      <c r="G601" s="297"/>
      <c r="H601" s="297"/>
      <c r="I601" s="297"/>
      <c r="J601" s="297"/>
      <c r="K601" s="297"/>
      <c r="L601" s="297"/>
      <c r="M601" s="297"/>
      <c r="N601" s="297"/>
      <c r="O601" s="297"/>
      <c r="P601" s="297"/>
      <c r="Q601" s="297"/>
    </row>
    <row r="602" spans="2:17" outlineLevel="1">
      <c r="B602" s="93"/>
      <c r="G602" s="297"/>
      <c r="H602" s="297"/>
      <c r="I602" s="297"/>
      <c r="J602" s="297"/>
      <c r="K602" s="297"/>
      <c r="L602" s="297"/>
      <c r="M602" s="297"/>
      <c r="N602" s="297"/>
      <c r="O602" s="297"/>
      <c r="P602" s="297"/>
      <c r="Q602" s="297"/>
    </row>
    <row r="603" spans="2:17" outlineLevel="1">
      <c r="B603" s="93"/>
      <c r="G603" s="297"/>
      <c r="H603" s="297"/>
      <c r="I603" s="297"/>
      <c r="J603" s="297"/>
      <c r="K603" s="297"/>
      <c r="L603" s="297"/>
      <c r="M603" s="297"/>
      <c r="N603" s="297"/>
      <c r="O603" s="297"/>
      <c r="P603" s="297"/>
      <c r="Q603" s="297"/>
    </row>
    <row r="604" spans="2:17" outlineLevel="1">
      <c r="B604" s="93"/>
      <c r="G604" s="297"/>
      <c r="H604" s="297"/>
      <c r="I604" s="297"/>
      <c r="J604" s="297"/>
      <c r="K604" s="297"/>
      <c r="L604" s="297"/>
      <c r="M604" s="297"/>
      <c r="N604" s="297"/>
      <c r="O604" s="297"/>
      <c r="P604" s="297"/>
      <c r="Q604" s="297"/>
    </row>
    <row r="605" spans="2:17" outlineLevel="1">
      <c r="B605" s="93"/>
      <c r="G605" s="297"/>
      <c r="H605" s="297"/>
      <c r="I605" s="297"/>
      <c r="J605" s="297"/>
      <c r="K605" s="297"/>
      <c r="L605" s="297"/>
      <c r="M605" s="297"/>
      <c r="N605" s="297"/>
      <c r="O605" s="297"/>
      <c r="P605" s="297"/>
      <c r="Q605" s="297"/>
    </row>
    <row r="606" spans="2:17" outlineLevel="1">
      <c r="B606" s="93"/>
      <c r="G606" s="297"/>
      <c r="H606" s="297"/>
      <c r="I606" s="297"/>
      <c r="J606" s="297"/>
      <c r="K606" s="297"/>
      <c r="L606" s="297"/>
      <c r="M606" s="297"/>
      <c r="N606" s="297"/>
      <c r="O606" s="297"/>
      <c r="P606" s="297"/>
      <c r="Q606" s="297"/>
    </row>
    <row r="607" spans="2:17" outlineLevel="1">
      <c r="B607" s="93"/>
      <c r="G607" s="297"/>
      <c r="H607" s="297"/>
      <c r="I607" s="297"/>
      <c r="J607" s="297"/>
      <c r="K607" s="297"/>
      <c r="L607" s="297"/>
      <c r="M607" s="297"/>
      <c r="N607" s="297"/>
      <c r="O607" s="297"/>
      <c r="P607" s="297"/>
      <c r="Q607" s="297"/>
    </row>
    <row r="608" spans="2:17" outlineLevel="1">
      <c r="B608" s="93"/>
      <c r="G608" s="297"/>
      <c r="H608" s="297"/>
      <c r="I608" s="297"/>
      <c r="J608" s="297"/>
      <c r="K608" s="297"/>
      <c r="L608" s="297"/>
      <c r="M608" s="297"/>
      <c r="N608" s="297"/>
      <c r="O608" s="297"/>
      <c r="P608" s="297"/>
      <c r="Q608" s="297"/>
    </row>
    <row r="609" spans="2:17" outlineLevel="1">
      <c r="B609" s="93"/>
      <c r="G609" s="297"/>
      <c r="H609" s="297"/>
      <c r="I609" s="297"/>
      <c r="J609" s="297"/>
      <c r="K609" s="297"/>
      <c r="L609" s="297"/>
      <c r="M609" s="297"/>
      <c r="N609" s="297"/>
      <c r="O609" s="297"/>
      <c r="P609" s="297"/>
      <c r="Q609" s="297"/>
    </row>
    <row r="610" spans="2:17" outlineLevel="1">
      <c r="B610" s="93"/>
      <c r="G610" s="297"/>
      <c r="H610" s="297"/>
      <c r="I610" s="297"/>
      <c r="J610" s="297"/>
      <c r="K610" s="297"/>
      <c r="L610" s="297"/>
      <c r="M610" s="297"/>
      <c r="N610" s="297"/>
      <c r="O610" s="297"/>
      <c r="P610" s="297"/>
      <c r="Q610" s="297"/>
    </row>
    <row r="611" spans="2:17" outlineLevel="1">
      <c r="B611" s="93"/>
      <c r="G611" s="297"/>
      <c r="H611" s="297"/>
      <c r="I611" s="297"/>
      <c r="J611" s="297"/>
      <c r="K611" s="297"/>
      <c r="L611" s="297"/>
      <c r="M611" s="297"/>
      <c r="N611" s="297"/>
      <c r="O611" s="297"/>
      <c r="P611" s="297"/>
      <c r="Q611" s="297"/>
    </row>
    <row r="612" spans="2:17" outlineLevel="1">
      <c r="B612" s="93"/>
      <c r="G612" s="297"/>
      <c r="H612" s="297"/>
      <c r="I612" s="297"/>
      <c r="J612" s="297"/>
      <c r="K612" s="297"/>
      <c r="L612" s="297"/>
      <c r="M612" s="297"/>
      <c r="N612" s="297"/>
      <c r="O612" s="297"/>
      <c r="P612" s="297"/>
      <c r="Q612" s="297"/>
    </row>
    <row r="613" spans="2:17" outlineLevel="1">
      <c r="B613" s="93"/>
      <c r="G613" s="297"/>
      <c r="H613" s="297"/>
      <c r="I613" s="297"/>
      <c r="J613" s="297"/>
      <c r="K613" s="297"/>
      <c r="L613" s="297"/>
      <c r="M613" s="297"/>
      <c r="N613" s="297"/>
      <c r="O613" s="297"/>
      <c r="P613" s="297"/>
      <c r="Q613" s="297"/>
    </row>
    <row r="614" spans="2:17" outlineLevel="1">
      <c r="B614" s="93"/>
      <c r="G614" s="297"/>
      <c r="H614" s="297"/>
      <c r="I614" s="297"/>
      <c r="J614" s="297"/>
      <c r="K614" s="297"/>
      <c r="L614" s="297"/>
      <c r="M614" s="297"/>
      <c r="N614" s="297"/>
      <c r="O614" s="297"/>
      <c r="P614" s="297"/>
      <c r="Q614" s="297"/>
    </row>
    <row r="615" spans="2:17" outlineLevel="1">
      <c r="B615" s="93"/>
      <c r="G615" s="297"/>
      <c r="H615" s="297"/>
      <c r="I615" s="297"/>
      <c r="J615" s="297"/>
      <c r="K615" s="297"/>
      <c r="L615" s="297"/>
      <c r="M615" s="297"/>
      <c r="N615" s="297"/>
      <c r="O615" s="297"/>
      <c r="P615" s="297"/>
      <c r="Q615" s="297"/>
    </row>
    <row r="616" spans="2:17" outlineLevel="1">
      <c r="B616" s="93"/>
      <c r="G616" s="297"/>
      <c r="H616" s="297"/>
      <c r="I616" s="297"/>
      <c r="J616" s="297"/>
      <c r="K616" s="297"/>
      <c r="L616" s="297"/>
      <c r="M616" s="297"/>
      <c r="N616" s="297"/>
      <c r="O616" s="297"/>
      <c r="P616" s="297"/>
      <c r="Q616" s="297"/>
    </row>
    <row r="617" spans="2:17" outlineLevel="1">
      <c r="B617" s="93"/>
      <c r="G617" s="297"/>
      <c r="H617" s="297"/>
      <c r="I617" s="297"/>
      <c r="J617" s="297"/>
      <c r="K617" s="297"/>
      <c r="L617" s="297"/>
      <c r="M617" s="297"/>
      <c r="N617" s="297"/>
      <c r="O617" s="297"/>
      <c r="P617" s="297"/>
      <c r="Q617" s="297"/>
    </row>
    <row r="618" spans="2:17" outlineLevel="1">
      <c r="B618" s="93"/>
      <c r="G618" s="297"/>
      <c r="H618" s="297"/>
      <c r="I618" s="297"/>
      <c r="J618" s="297"/>
      <c r="K618" s="297"/>
      <c r="L618" s="297"/>
      <c r="M618" s="297"/>
      <c r="N618" s="297"/>
      <c r="O618" s="297"/>
      <c r="P618" s="297"/>
      <c r="Q618" s="297"/>
    </row>
    <row r="619" spans="2:17" outlineLevel="1">
      <c r="B619" s="93"/>
      <c r="G619" s="297"/>
      <c r="H619" s="297"/>
      <c r="I619" s="297"/>
      <c r="J619" s="297"/>
      <c r="K619" s="297"/>
      <c r="L619" s="297"/>
      <c r="M619" s="297"/>
      <c r="N619" s="297"/>
      <c r="O619" s="297"/>
      <c r="P619" s="297"/>
      <c r="Q619" s="297"/>
    </row>
    <row r="620" spans="2:17" outlineLevel="1">
      <c r="B620" s="93"/>
      <c r="G620" s="297"/>
      <c r="H620" s="297"/>
      <c r="I620" s="297"/>
      <c r="J620" s="297"/>
      <c r="K620" s="297"/>
      <c r="L620" s="297"/>
      <c r="M620" s="297"/>
      <c r="N620" s="297"/>
      <c r="O620" s="297"/>
      <c r="P620" s="297"/>
      <c r="Q620" s="297"/>
    </row>
    <row r="621" spans="2:17" outlineLevel="1">
      <c r="B621" s="93"/>
      <c r="G621" s="297"/>
      <c r="H621" s="297"/>
      <c r="I621" s="297"/>
      <c r="J621" s="297"/>
      <c r="K621" s="297"/>
      <c r="L621" s="297"/>
      <c r="M621" s="297"/>
      <c r="N621" s="297"/>
      <c r="O621" s="297"/>
      <c r="P621" s="297"/>
      <c r="Q621" s="297"/>
    </row>
    <row r="622" spans="2:17" outlineLevel="1">
      <c r="B622" s="93"/>
      <c r="G622" s="297"/>
      <c r="H622" s="297"/>
      <c r="I622" s="297"/>
      <c r="J622" s="297"/>
      <c r="K622" s="297"/>
      <c r="L622" s="297"/>
      <c r="M622" s="297"/>
      <c r="N622" s="297"/>
      <c r="O622" s="297"/>
      <c r="P622" s="297"/>
      <c r="Q622" s="297"/>
    </row>
    <row r="623" spans="2:17" outlineLevel="1">
      <c r="B623" s="93"/>
      <c r="G623" s="297"/>
      <c r="H623" s="297"/>
      <c r="I623" s="297"/>
      <c r="J623" s="297"/>
      <c r="K623" s="297"/>
      <c r="L623" s="297"/>
      <c r="M623" s="297"/>
      <c r="N623" s="297"/>
      <c r="O623" s="297"/>
      <c r="P623" s="297"/>
      <c r="Q623" s="297"/>
    </row>
    <row r="624" spans="2:17" outlineLevel="1">
      <c r="B624" s="93"/>
      <c r="G624" s="297"/>
      <c r="H624" s="297"/>
      <c r="I624" s="297"/>
      <c r="J624" s="297"/>
      <c r="K624" s="297"/>
      <c r="L624" s="297"/>
      <c r="M624" s="297"/>
      <c r="N624" s="297"/>
      <c r="O624" s="297"/>
      <c r="P624" s="297"/>
      <c r="Q624" s="297"/>
    </row>
    <row r="625" spans="2:17" outlineLevel="1">
      <c r="B625" s="93"/>
      <c r="G625" s="297"/>
      <c r="H625" s="297"/>
      <c r="I625" s="297"/>
      <c r="J625" s="297"/>
      <c r="K625" s="297"/>
      <c r="L625" s="297"/>
      <c r="M625" s="297"/>
      <c r="N625" s="297"/>
      <c r="O625" s="297"/>
      <c r="P625" s="297"/>
      <c r="Q625" s="297"/>
    </row>
    <row r="626" spans="2:17" outlineLevel="1">
      <c r="B626" s="93"/>
      <c r="G626" s="297"/>
      <c r="H626" s="297"/>
      <c r="I626" s="297"/>
      <c r="J626" s="297"/>
      <c r="K626" s="297"/>
      <c r="L626" s="297"/>
      <c r="M626" s="297"/>
      <c r="N626" s="297"/>
      <c r="O626" s="297"/>
      <c r="P626" s="297"/>
      <c r="Q626" s="297"/>
    </row>
    <row r="627" spans="2:17" outlineLevel="1">
      <c r="B627" s="93"/>
      <c r="G627" s="297"/>
      <c r="H627" s="297"/>
      <c r="I627" s="297"/>
      <c r="J627" s="297"/>
      <c r="K627" s="297"/>
      <c r="L627" s="297"/>
      <c r="M627" s="297"/>
      <c r="N627" s="297"/>
      <c r="O627" s="297"/>
      <c r="P627" s="297"/>
      <c r="Q627" s="297"/>
    </row>
    <row r="628" spans="2:17" outlineLevel="1">
      <c r="B628" s="93"/>
      <c r="G628" s="297"/>
      <c r="H628" s="297"/>
      <c r="I628" s="297"/>
      <c r="J628" s="297"/>
      <c r="K628" s="297"/>
      <c r="L628" s="297"/>
      <c r="M628" s="297"/>
      <c r="N628" s="297"/>
      <c r="O628" s="297"/>
      <c r="P628" s="297"/>
      <c r="Q628" s="297"/>
    </row>
    <row r="629" spans="2:17" outlineLevel="1">
      <c r="B629" s="93"/>
      <c r="G629" s="297"/>
      <c r="H629" s="297"/>
      <c r="I629" s="297"/>
      <c r="J629" s="297"/>
      <c r="K629" s="297"/>
      <c r="L629" s="297"/>
      <c r="M629" s="297"/>
      <c r="N629" s="297"/>
      <c r="O629" s="297"/>
      <c r="P629" s="297"/>
      <c r="Q629" s="297"/>
    </row>
    <row r="630" spans="2:17" outlineLevel="1">
      <c r="B630" s="93"/>
      <c r="G630" s="297"/>
      <c r="H630" s="297"/>
      <c r="I630" s="297"/>
      <c r="J630" s="297"/>
      <c r="K630" s="297"/>
      <c r="L630" s="297"/>
      <c r="M630" s="297"/>
      <c r="N630" s="297"/>
      <c r="O630" s="297"/>
      <c r="P630" s="297"/>
      <c r="Q630" s="297"/>
    </row>
    <row r="631" spans="2:17" outlineLevel="1">
      <c r="B631" s="93"/>
      <c r="G631" s="297"/>
      <c r="H631" s="297"/>
      <c r="I631" s="297"/>
      <c r="J631" s="297"/>
      <c r="K631" s="297"/>
      <c r="L631" s="297"/>
      <c r="M631" s="297"/>
      <c r="N631" s="297"/>
      <c r="O631" s="297"/>
      <c r="P631" s="297"/>
      <c r="Q631" s="297"/>
    </row>
    <row r="632" spans="2:17" outlineLevel="1">
      <c r="B632" s="93"/>
      <c r="G632" s="297"/>
      <c r="H632" s="297"/>
      <c r="I632" s="297"/>
      <c r="J632" s="297"/>
      <c r="K632" s="297"/>
      <c r="L632" s="297"/>
      <c r="M632" s="297"/>
      <c r="N632" s="297"/>
      <c r="O632" s="297"/>
      <c r="P632" s="297"/>
      <c r="Q632" s="297"/>
    </row>
    <row r="633" spans="2:17" outlineLevel="1">
      <c r="B633" s="93"/>
      <c r="G633" s="297"/>
      <c r="H633" s="297"/>
      <c r="I633" s="297"/>
      <c r="J633" s="297"/>
      <c r="K633" s="297"/>
      <c r="L633" s="297"/>
      <c r="M633" s="297"/>
      <c r="N633" s="297"/>
      <c r="O633" s="297"/>
      <c r="P633" s="297"/>
      <c r="Q633" s="297"/>
    </row>
    <row r="634" spans="2:17" outlineLevel="1">
      <c r="B634" s="93"/>
      <c r="G634" s="297"/>
      <c r="H634" s="297"/>
      <c r="I634" s="297"/>
      <c r="J634" s="297"/>
      <c r="K634" s="297"/>
      <c r="L634" s="297"/>
      <c r="M634" s="297"/>
      <c r="N634" s="297"/>
      <c r="O634" s="297"/>
      <c r="P634" s="297"/>
      <c r="Q634" s="297"/>
    </row>
    <row r="635" spans="2:17" outlineLevel="1">
      <c r="B635" s="93"/>
      <c r="G635" s="297"/>
      <c r="H635" s="297"/>
      <c r="I635" s="297"/>
      <c r="J635" s="297"/>
      <c r="K635" s="297"/>
      <c r="L635" s="297"/>
      <c r="M635" s="297"/>
      <c r="N635" s="297"/>
      <c r="O635" s="297"/>
      <c r="P635" s="297"/>
      <c r="Q635" s="297"/>
    </row>
    <row r="636" spans="2:17" outlineLevel="1">
      <c r="B636" s="93"/>
      <c r="G636" s="297"/>
      <c r="H636" s="297"/>
      <c r="I636" s="297"/>
      <c r="J636" s="297"/>
      <c r="K636" s="297"/>
      <c r="L636" s="297"/>
      <c r="M636" s="297"/>
      <c r="N636" s="297"/>
      <c r="O636" s="297"/>
      <c r="P636" s="297"/>
      <c r="Q636" s="297"/>
    </row>
    <row r="637" spans="2:17" outlineLevel="1">
      <c r="B637" s="93"/>
      <c r="G637" s="297"/>
      <c r="H637" s="297"/>
      <c r="I637" s="297"/>
      <c r="J637" s="297"/>
      <c r="K637" s="297"/>
      <c r="L637" s="297"/>
      <c r="M637" s="297"/>
      <c r="N637" s="297"/>
      <c r="O637" s="297"/>
      <c r="P637" s="297"/>
      <c r="Q637" s="297"/>
    </row>
    <row r="638" spans="2:17" outlineLevel="1">
      <c r="B638" s="93"/>
      <c r="G638" s="297"/>
      <c r="H638" s="297"/>
      <c r="I638" s="297"/>
      <c r="J638" s="297"/>
      <c r="K638" s="297"/>
      <c r="L638" s="297"/>
      <c r="M638" s="297"/>
      <c r="N638" s="297"/>
      <c r="O638" s="297"/>
      <c r="P638" s="297"/>
      <c r="Q638" s="297"/>
    </row>
    <row r="639" spans="2:17" outlineLevel="1">
      <c r="B639" s="93"/>
      <c r="G639" s="297"/>
      <c r="H639" s="297"/>
      <c r="I639" s="297"/>
      <c r="J639" s="297"/>
      <c r="K639" s="297"/>
      <c r="L639" s="297"/>
      <c r="M639" s="297"/>
      <c r="N639" s="297"/>
      <c r="O639" s="297"/>
      <c r="P639" s="297"/>
      <c r="Q639" s="297"/>
    </row>
    <row r="640" spans="2:17" outlineLevel="1">
      <c r="B640" s="93"/>
      <c r="G640" s="297"/>
      <c r="H640" s="297"/>
      <c r="I640" s="297"/>
      <c r="J640" s="297"/>
      <c r="K640" s="297"/>
      <c r="L640" s="297"/>
      <c r="M640" s="297"/>
      <c r="N640" s="297"/>
      <c r="O640" s="297"/>
      <c r="P640" s="297"/>
      <c r="Q640" s="297"/>
    </row>
    <row r="641" spans="2:17" outlineLevel="1">
      <c r="B641" s="93"/>
      <c r="G641" s="297"/>
      <c r="H641" s="297"/>
      <c r="I641" s="297"/>
      <c r="J641" s="297"/>
      <c r="K641" s="297"/>
      <c r="L641" s="297"/>
      <c r="M641" s="297"/>
      <c r="N641" s="297"/>
      <c r="O641" s="297"/>
      <c r="P641" s="297"/>
      <c r="Q641" s="297"/>
    </row>
    <row r="642" spans="2:17" outlineLevel="1">
      <c r="B642" s="93"/>
      <c r="G642" s="297"/>
      <c r="H642" s="297"/>
      <c r="I642" s="297"/>
      <c r="J642" s="297"/>
      <c r="K642" s="297"/>
      <c r="L642" s="297"/>
      <c r="M642" s="297"/>
      <c r="N642" s="297"/>
      <c r="O642" s="297"/>
      <c r="P642" s="297"/>
      <c r="Q642" s="297"/>
    </row>
    <row r="643" spans="2:17" outlineLevel="1">
      <c r="B643" s="93"/>
      <c r="G643" s="297"/>
      <c r="H643" s="297"/>
      <c r="I643" s="297"/>
      <c r="J643" s="297"/>
      <c r="K643" s="297"/>
      <c r="L643" s="297"/>
      <c r="M643" s="297"/>
      <c r="N643" s="297"/>
      <c r="O643" s="297"/>
      <c r="P643" s="297"/>
      <c r="Q643" s="297"/>
    </row>
    <row r="644" spans="2:17" outlineLevel="1">
      <c r="B644" s="93"/>
      <c r="G644" s="297"/>
      <c r="H644" s="297"/>
      <c r="I644" s="297"/>
      <c r="J644" s="297"/>
      <c r="K644" s="297"/>
      <c r="L644" s="297"/>
      <c r="M644" s="297"/>
      <c r="N644" s="297"/>
      <c r="O644" s="297"/>
      <c r="P644" s="297"/>
      <c r="Q644" s="297"/>
    </row>
    <row r="645" spans="2:17" outlineLevel="1">
      <c r="B645" s="93"/>
      <c r="G645" s="297"/>
      <c r="H645" s="297"/>
      <c r="I645" s="297"/>
      <c r="J645" s="297"/>
      <c r="K645" s="297"/>
      <c r="L645" s="297"/>
      <c r="M645" s="297"/>
      <c r="N645" s="297"/>
      <c r="O645" s="297"/>
      <c r="P645" s="297"/>
      <c r="Q645" s="297"/>
    </row>
    <row r="646" spans="2:17" outlineLevel="1">
      <c r="B646" s="93"/>
      <c r="G646" s="297"/>
      <c r="H646" s="297"/>
      <c r="I646" s="297"/>
      <c r="J646" s="297"/>
      <c r="K646" s="297"/>
      <c r="L646" s="297"/>
      <c r="M646" s="297"/>
      <c r="N646" s="297"/>
      <c r="O646" s="297"/>
      <c r="P646" s="297"/>
      <c r="Q646" s="297"/>
    </row>
    <row r="647" spans="2:17" outlineLevel="1">
      <c r="B647" s="93"/>
      <c r="G647" s="297"/>
      <c r="H647" s="297"/>
      <c r="I647" s="297"/>
      <c r="J647" s="297"/>
      <c r="K647" s="297"/>
      <c r="L647" s="297"/>
      <c r="M647" s="297"/>
      <c r="N647" s="297"/>
      <c r="O647" s="297"/>
      <c r="P647" s="297"/>
      <c r="Q647" s="297"/>
    </row>
    <row r="648" spans="2:17" outlineLevel="1">
      <c r="B648" s="93"/>
      <c r="G648" s="297"/>
      <c r="H648" s="297"/>
      <c r="I648" s="297"/>
      <c r="J648" s="297"/>
      <c r="K648" s="297"/>
      <c r="L648" s="297"/>
      <c r="M648" s="297"/>
      <c r="N648" s="297"/>
      <c r="O648" s="297"/>
      <c r="P648" s="297"/>
      <c r="Q648" s="297"/>
    </row>
    <row r="649" spans="2:17" outlineLevel="1">
      <c r="B649" s="93"/>
      <c r="G649" s="297"/>
      <c r="H649" s="297"/>
      <c r="I649" s="297"/>
      <c r="J649" s="297"/>
      <c r="K649" s="297"/>
      <c r="L649" s="297"/>
      <c r="M649" s="297"/>
      <c r="N649" s="297"/>
      <c r="O649" s="297"/>
      <c r="P649" s="297"/>
      <c r="Q649" s="297"/>
    </row>
    <row r="650" spans="2:17" outlineLevel="1">
      <c r="B650" s="93"/>
      <c r="G650" s="297"/>
      <c r="H650" s="297"/>
      <c r="I650" s="297"/>
      <c r="J650" s="297"/>
      <c r="K650" s="297"/>
      <c r="L650" s="297"/>
      <c r="M650" s="297"/>
      <c r="N650" s="297"/>
      <c r="O650" s="297"/>
      <c r="P650" s="297"/>
      <c r="Q650" s="297"/>
    </row>
    <row r="651" spans="2:17" outlineLevel="1">
      <c r="B651" s="93"/>
      <c r="G651" s="297"/>
      <c r="H651" s="297"/>
      <c r="I651" s="297"/>
      <c r="J651" s="297"/>
      <c r="K651" s="297"/>
      <c r="L651" s="297"/>
      <c r="M651" s="297"/>
      <c r="N651" s="297"/>
      <c r="O651" s="297"/>
      <c r="P651" s="297"/>
      <c r="Q651" s="297"/>
    </row>
    <row r="652" spans="2:17" outlineLevel="1">
      <c r="B652" s="93"/>
      <c r="G652" s="297"/>
      <c r="H652" s="297"/>
      <c r="I652" s="297"/>
      <c r="J652" s="297"/>
      <c r="K652" s="297"/>
      <c r="L652" s="297"/>
      <c r="M652" s="297"/>
      <c r="N652" s="297"/>
      <c r="O652" s="297"/>
      <c r="P652" s="297"/>
      <c r="Q652" s="297"/>
    </row>
    <row r="653" spans="2:17" outlineLevel="1">
      <c r="B653" s="93"/>
      <c r="G653" s="297"/>
      <c r="H653" s="297"/>
      <c r="I653" s="297"/>
      <c r="J653" s="297"/>
      <c r="K653" s="297"/>
      <c r="L653" s="297"/>
      <c r="M653" s="297"/>
      <c r="N653" s="297"/>
      <c r="O653" s="297"/>
      <c r="P653" s="297"/>
      <c r="Q653" s="297"/>
    </row>
    <row r="654" spans="2:17" outlineLevel="1">
      <c r="B654" s="93"/>
      <c r="G654" s="297"/>
      <c r="H654" s="297"/>
      <c r="I654" s="297"/>
      <c r="J654" s="297"/>
      <c r="K654" s="297"/>
      <c r="L654" s="297"/>
      <c r="M654" s="297"/>
      <c r="N654" s="297"/>
      <c r="O654" s="297"/>
      <c r="P654" s="297"/>
      <c r="Q654" s="297"/>
    </row>
    <row r="655" spans="2:17" outlineLevel="1">
      <c r="B655" s="93"/>
      <c r="G655" s="297"/>
      <c r="H655" s="297"/>
      <c r="I655" s="297"/>
      <c r="J655" s="297"/>
      <c r="K655" s="297"/>
      <c r="L655" s="297"/>
      <c r="M655" s="297"/>
      <c r="N655" s="297"/>
      <c r="O655" s="297"/>
      <c r="P655" s="297"/>
      <c r="Q655" s="297"/>
    </row>
    <row r="656" spans="2:17" outlineLevel="1">
      <c r="B656" s="93"/>
      <c r="G656" s="297"/>
      <c r="H656" s="297"/>
      <c r="I656" s="297"/>
      <c r="J656" s="297"/>
      <c r="K656" s="297"/>
      <c r="L656" s="297"/>
      <c r="M656" s="297"/>
      <c r="N656" s="297"/>
      <c r="O656" s="297"/>
      <c r="P656" s="297"/>
      <c r="Q656" s="297"/>
    </row>
    <row r="657" spans="2:17" outlineLevel="1">
      <c r="B657" s="93"/>
      <c r="G657" s="297"/>
      <c r="H657" s="297"/>
      <c r="I657" s="297"/>
      <c r="J657" s="297"/>
      <c r="K657" s="297"/>
      <c r="L657" s="297"/>
      <c r="M657" s="297"/>
      <c r="N657" s="297"/>
      <c r="O657" s="297"/>
      <c r="P657" s="297"/>
      <c r="Q657" s="297"/>
    </row>
    <row r="658" spans="2:17" outlineLevel="1">
      <c r="B658" s="93"/>
      <c r="G658" s="297"/>
      <c r="H658" s="297"/>
      <c r="I658" s="297"/>
      <c r="J658" s="297"/>
      <c r="K658" s="297"/>
      <c r="L658" s="297"/>
      <c r="M658" s="297"/>
      <c r="N658" s="297"/>
      <c r="O658" s="297"/>
      <c r="P658" s="297"/>
      <c r="Q658" s="297"/>
    </row>
    <row r="659" spans="2:17" outlineLevel="1">
      <c r="B659" s="93"/>
      <c r="G659" s="297"/>
      <c r="H659" s="297"/>
      <c r="I659" s="297"/>
      <c r="J659" s="297"/>
      <c r="K659" s="297"/>
      <c r="L659" s="297"/>
      <c r="M659" s="297"/>
      <c r="N659" s="297"/>
      <c r="O659" s="297"/>
      <c r="P659" s="297"/>
      <c r="Q659" s="297"/>
    </row>
    <row r="660" spans="2:17" outlineLevel="1">
      <c r="B660" s="93"/>
      <c r="G660" s="297"/>
      <c r="H660" s="297"/>
      <c r="I660" s="297"/>
      <c r="J660" s="297"/>
      <c r="K660" s="297"/>
      <c r="L660" s="297"/>
      <c r="M660" s="297"/>
      <c r="N660" s="297"/>
      <c r="O660" s="297"/>
      <c r="P660" s="297"/>
      <c r="Q660" s="297"/>
    </row>
    <row r="661" spans="2:17" outlineLevel="1">
      <c r="B661" s="93"/>
      <c r="G661" s="297"/>
      <c r="H661" s="297"/>
      <c r="I661" s="297"/>
      <c r="J661" s="297"/>
      <c r="K661" s="297"/>
      <c r="L661" s="297"/>
      <c r="M661" s="297"/>
      <c r="N661" s="297"/>
      <c r="O661" s="297"/>
      <c r="P661" s="297"/>
      <c r="Q661" s="297"/>
    </row>
    <row r="662" spans="2:17" outlineLevel="1">
      <c r="B662" s="93"/>
      <c r="G662" s="297"/>
      <c r="H662" s="297"/>
      <c r="I662" s="297"/>
      <c r="J662" s="297"/>
      <c r="K662" s="297"/>
      <c r="L662" s="297"/>
      <c r="M662" s="297"/>
      <c r="N662" s="297"/>
      <c r="O662" s="297"/>
      <c r="P662" s="297"/>
      <c r="Q662" s="297"/>
    </row>
    <row r="663" spans="2:17" outlineLevel="1">
      <c r="B663" s="93"/>
      <c r="G663" s="297"/>
      <c r="H663" s="297"/>
      <c r="I663" s="297"/>
      <c r="J663" s="297"/>
      <c r="K663" s="297"/>
      <c r="L663" s="297"/>
      <c r="M663" s="297"/>
      <c r="N663" s="297"/>
      <c r="O663" s="297"/>
      <c r="P663" s="297"/>
      <c r="Q663" s="297"/>
    </row>
    <row r="664" spans="2:17" outlineLevel="1">
      <c r="B664" s="93"/>
      <c r="G664" s="297"/>
      <c r="H664" s="297"/>
      <c r="I664" s="297"/>
      <c r="J664" s="297"/>
      <c r="K664" s="297"/>
      <c r="L664" s="297"/>
      <c r="M664" s="297"/>
      <c r="N664" s="297"/>
      <c r="O664" s="297"/>
      <c r="P664" s="297"/>
      <c r="Q664" s="297"/>
    </row>
    <row r="665" spans="2:17" outlineLevel="1">
      <c r="B665" s="93"/>
      <c r="G665" s="297"/>
      <c r="H665" s="297"/>
      <c r="I665" s="297"/>
      <c r="J665" s="297"/>
      <c r="K665" s="297"/>
      <c r="L665" s="297"/>
      <c r="M665" s="297"/>
      <c r="N665" s="297"/>
      <c r="O665" s="297"/>
      <c r="P665" s="297"/>
      <c r="Q665" s="297"/>
    </row>
    <row r="666" spans="2:17" outlineLevel="1">
      <c r="B666" s="93"/>
      <c r="G666" s="297"/>
      <c r="H666" s="297"/>
      <c r="I666" s="297"/>
      <c r="J666" s="297"/>
      <c r="K666" s="297"/>
      <c r="L666" s="297"/>
      <c r="M666" s="297"/>
      <c r="N666" s="297"/>
      <c r="O666" s="297"/>
      <c r="P666" s="297"/>
      <c r="Q666" s="297"/>
    </row>
    <row r="667" spans="2:17" outlineLevel="1">
      <c r="B667" s="93"/>
      <c r="G667" s="297"/>
      <c r="H667" s="297"/>
      <c r="I667" s="297"/>
      <c r="J667" s="297"/>
      <c r="K667" s="297"/>
      <c r="L667" s="297"/>
      <c r="M667" s="297"/>
      <c r="N667" s="297"/>
      <c r="O667" s="297"/>
      <c r="P667" s="297"/>
      <c r="Q667" s="297"/>
    </row>
    <row r="668" spans="2:17" outlineLevel="1">
      <c r="B668" s="93"/>
      <c r="G668" s="297"/>
      <c r="H668" s="297"/>
      <c r="I668" s="297"/>
      <c r="J668" s="297"/>
      <c r="K668" s="297"/>
      <c r="L668" s="297"/>
      <c r="M668" s="297"/>
      <c r="N668" s="297"/>
      <c r="O668" s="297"/>
      <c r="P668" s="297"/>
      <c r="Q668" s="297"/>
    </row>
    <row r="669" spans="2:17" outlineLevel="1">
      <c r="B669" s="93"/>
      <c r="G669" s="297"/>
      <c r="H669" s="297"/>
      <c r="I669" s="297"/>
      <c r="J669" s="297"/>
      <c r="K669" s="297"/>
      <c r="L669" s="297"/>
      <c r="M669" s="297"/>
      <c r="N669" s="297"/>
      <c r="O669" s="297"/>
      <c r="P669" s="297"/>
      <c r="Q669" s="297"/>
    </row>
    <row r="670" spans="2:17" outlineLevel="1">
      <c r="B670" s="93"/>
      <c r="G670" s="297"/>
      <c r="H670" s="297"/>
      <c r="I670" s="297"/>
      <c r="J670" s="297"/>
      <c r="K670" s="297"/>
      <c r="L670" s="297"/>
      <c r="M670" s="297"/>
      <c r="N670" s="297"/>
      <c r="O670" s="297"/>
      <c r="P670" s="297"/>
      <c r="Q670" s="297"/>
    </row>
    <row r="671" spans="2:17" outlineLevel="1">
      <c r="B671" s="93"/>
      <c r="G671" s="297"/>
      <c r="H671" s="297"/>
      <c r="I671" s="297"/>
      <c r="J671" s="297"/>
      <c r="K671" s="297"/>
      <c r="L671" s="297"/>
      <c r="M671" s="297"/>
      <c r="N671" s="297"/>
      <c r="O671" s="297"/>
      <c r="P671" s="297"/>
      <c r="Q671" s="297"/>
    </row>
    <row r="672" spans="2:17" outlineLevel="1">
      <c r="B672" s="93"/>
      <c r="G672" s="297"/>
      <c r="H672" s="297"/>
      <c r="I672" s="297"/>
      <c r="J672" s="297"/>
      <c r="K672" s="297"/>
      <c r="L672" s="297"/>
      <c r="M672" s="297"/>
      <c r="N672" s="297"/>
      <c r="O672" s="297"/>
      <c r="P672" s="297"/>
      <c r="Q672" s="297"/>
    </row>
    <row r="673" spans="2:17" outlineLevel="1">
      <c r="B673" s="93"/>
      <c r="G673" s="297"/>
      <c r="H673" s="297"/>
      <c r="I673" s="297"/>
      <c r="J673" s="297"/>
      <c r="K673" s="297"/>
      <c r="L673" s="297"/>
      <c r="M673" s="297"/>
      <c r="N673" s="297"/>
      <c r="O673" s="297"/>
      <c r="P673" s="297"/>
      <c r="Q673" s="297"/>
    </row>
    <row r="674" spans="2:17" outlineLevel="1">
      <c r="B674" s="93"/>
      <c r="G674" s="297"/>
      <c r="H674" s="297"/>
      <c r="I674" s="297"/>
      <c r="J674" s="297"/>
      <c r="K674" s="297"/>
      <c r="L674" s="297"/>
      <c r="M674" s="297"/>
      <c r="N674" s="297"/>
      <c r="O674" s="297"/>
      <c r="P674" s="297"/>
      <c r="Q674" s="297"/>
    </row>
    <row r="675" spans="2:17" outlineLevel="1">
      <c r="B675" s="93"/>
      <c r="G675" s="297"/>
      <c r="H675" s="297"/>
      <c r="I675" s="297"/>
      <c r="J675" s="297"/>
      <c r="K675" s="297"/>
      <c r="L675" s="297"/>
      <c r="M675" s="297"/>
      <c r="N675" s="297"/>
      <c r="O675" s="297"/>
      <c r="P675" s="297"/>
      <c r="Q675" s="297"/>
    </row>
    <row r="676" spans="2:17" outlineLevel="1">
      <c r="B676" s="93"/>
      <c r="G676" s="297"/>
      <c r="H676" s="297"/>
      <c r="I676" s="297"/>
      <c r="J676" s="297"/>
      <c r="K676" s="297"/>
      <c r="L676" s="297"/>
      <c r="M676" s="297"/>
      <c r="N676" s="297"/>
      <c r="O676" s="297"/>
      <c r="P676" s="297"/>
      <c r="Q676" s="297"/>
    </row>
    <row r="677" spans="2:17" outlineLevel="1">
      <c r="B677" s="93"/>
      <c r="G677" s="297"/>
      <c r="H677" s="297"/>
      <c r="I677" s="297"/>
      <c r="J677" s="297"/>
      <c r="K677" s="297"/>
      <c r="L677" s="297"/>
      <c r="M677" s="297"/>
      <c r="N677" s="297"/>
      <c r="O677" s="297"/>
      <c r="P677" s="297"/>
      <c r="Q677" s="297"/>
    </row>
    <row r="678" spans="2:17" outlineLevel="1">
      <c r="B678" s="93"/>
      <c r="G678" s="297"/>
      <c r="H678" s="297"/>
      <c r="I678" s="297"/>
      <c r="J678" s="297"/>
      <c r="K678" s="297"/>
      <c r="L678" s="297"/>
      <c r="M678" s="297"/>
      <c r="N678" s="297"/>
      <c r="O678" s="297"/>
      <c r="P678" s="297"/>
      <c r="Q678" s="297"/>
    </row>
    <row r="679" spans="2:17" outlineLevel="1">
      <c r="B679" s="93"/>
      <c r="G679" s="297"/>
      <c r="H679" s="297"/>
      <c r="I679" s="297"/>
      <c r="J679" s="297"/>
      <c r="K679" s="297"/>
      <c r="L679" s="297"/>
      <c r="M679" s="297"/>
      <c r="N679" s="297"/>
      <c r="O679" s="297"/>
      <c r="P679" s="297"/>
      <c r="Q679" s="297"/>
    </row>
    <row r="680" spans="2:17" outlineLevel="1">
      <c r="B680" s="93"/>
      <c r="G680" s="297"/>
      <c r="H680" s="297"/>
      <c r="I680" s="297"/>
      <c r="J680" s="297"/>
      <c r="K680" s="297"/>
      <c r="L680" s="297"/>
      <c r="M680" s="297"/>
      <c r="N680" s="297"/>
      <c r="O680" s="297"/>
      <c r="P680" s="297"/>
      <c r="Q680" s="297"/>
    </row>
    <row r="681" spans="2:17" outlineLevel="1">
      <c r="B681" s="93"/>
      <c r="G681" s="297"/>
      <c r="H681" s="297"/>
      <c r="I681" s="297"/>
      <c r="J681" s="297"/>
      <c r="K681" s="297"/>
      <c r="L681" s="297"/>
      <c r="M681" s="297"/>
      <c r="N681" s="297"/>
      <c r="O681" s="297"/>
      <c r="P681" s="297"/>
      <c r="Q681" s="297"/>
    </row>
    <row r="682" spans="2:17" outlineLevel="1">
      <c r="B682" s="93"/>
      <c r="G682" s="297"/>
      <c r="H682" s="297"/>
      <c r="I682" s="297"/>
      <c r="J682" s="297"/>
      <c r="K682" s="297"/>
      <c r="L682" s="297"/>
      <c r="M682" s="297"/>
      <c r="N682" s="297"/>
      <c r="O682" s="297"/>
      <c r="P682" s="297"/>
      <c r="Q682" s="297"/>
    </row>
    <row r="683" spans="2:17" outlineLevel="1">
      <c r="B683" s="93"/>
      <c r="G683" s="297"/>
      <c r="H683" s="297"/>
      <c r="I683" s="297"/>
      <c r="J683" s="297"/>
      <c r="K683" s="297"/>
      <c r="L683" s="297"/>
      <c r="M683" s="297"/>
      <c r="N683" s="297"/>
      <c r="O683" s="297"/>
      <c r="P683" s="297"/>
      <c r="Q683" s="297"/>
    </row>
    <row r="684" spans="2:17" outlineLevel="1">
      <c r="B684" s="93"/>
      <c r="G684" s="297"/>
      <c r="H684" s="297"/>
      <c r="I684" s="297"/>
      <c r="J684" s="297"/>
      <c r="K684" s="297"/>
      <c r="L684" s="297"/>
      <c r="M684" s="297"/>
      <c r="N684" s="297"/>
      <c r="O684" s="297"/>
      <c r="P684" s="297"/>
      <c r="Q684" s="297"/>
    </row>
    <row r="685" spans="2:17" outlineLevel="1">
      <c r="B685" s="93"/>
      <c r="G685" s="297"/>
      <c r="H685" s="297"/>
      <c r="I685" s="297"/>
      <c r="J685" s="297"/>
      <c r="K685" s="297"/>
      <c r="L685" s="297"/>
      <c r="M685" s="297"/>
      <c r="N685" s="297"/>
      <c r="O685" s="297"/>
      <c r="P685" s="297"/>
      <c r="Q685" s="297"/>
    </row>
    <row r="686" spans="2:17" outlineLevel="1">
      <c r="B686" s="93"/>
      <c r="G686" s="297"/>
      <c r="H686" s="297"/>
      <c r="I686" s="297"/>
      <c r="J686" s="297"/>
      <c r="K686" s="297"/>
      <c r="L686" s="297"/>
      <c r="M686" s="297"/>
      <c r="N686" s="297"/>
      <c r="O686" s="297"/>
      <c r="P686" s="297"/>
      <c r="Q686" s="297"/>
    </row>
    <row r="687" spans="2:17" outlineLevel="1">
      <c r="B687" s="93"/>
      <c r="G687" s="297"/>
      <c r="H687" s="297"/>
      <c r="I687" s="297"/>
      <c r="J687" s="297"/>
      <c r="K687" s="297"/>
      <c r="L687" s="297"/>
      <c r="M687" s="297"/>
      <c r="N687" s="297"/>
      <c r="O687" s="297"/>
      <c r="P687" s="297"/>
      <c r="Q687" s="297"/>
    </row>
    <row r="688" spans="2:17" outlineLevel="1">
      <c r="B688" s="93"/>
      <c r="G688" s="297"/>
      <c r="H688" s="297"/>
      <c r="I688" s="297"/>
      <c r="J688" s="297"/>
      <c r="K688" s="297"/>
      <c r="L688" s="297"/>
      <c r="M688" s="297"/>
      <c r="N688" s="297"/>
      <c r="O688" s="297"/>
      <c r="P688" s="297"/>
      <c r="Q688" s="297"/>
    </row>
    <row r="689" spans="2:17" outlineLevel="1">
      <c r="B689" s="93"/>
      <c r="G689" s="297"/>
      <c r="H689" s="297"/>
      <c r="I689" s="297"/>
      <c r="J689" s="297"/>
      <c r="K689" s="297"/>
      <c r="L689" s="297"/>
      <c r="M689" s="297"/>
      <c r="N689" s="297"/>
      <c r="O689" s="297"/>
      <c r="P689" s="297"/>
      <c r="Q689" s="297"/>
    </row>
    <row r="690" spans="2:17" outlineLevel="1">
      <c r="B690" s="93"/>
      <c r="G690" s="297"/>
      <c r="H690" s="297"/>
      <c r="I690" s="297"/>
      <c r="J690" s="297"/>
      <c r="K690" s="297"/>
      <c r="L690" s="297"/>
      <c r="M690" s="297"/>
      <c r="N690" s="297"/>
      <c r="O690" s="297"/>
      <c r="P690" s="297"/>
      <c r="Q690" s="297"/>
    </row>
    <row r="691" spans="2:17" outlineLevel="1">
      <c r="B691" s="93"/>
      <c r="G691" s="297"/>
      <c r="H691" s="297"/>
      <c r="I691" s="297"/>
      <c r="J691" s="297"/>
      <c r="K691" s="297"/>
      <c r="L691" s="297"/>
      <c r="M691" s="297"/>
      <c r="N691" s="297"/>
      <c r="O691" s="297"/>
      <c r="P691" s="297"/>
      <c r="Q691" s="297"/>
    </row>
    <row r="692" spans="2:17" outlineLevel="1">
      <c r="B692" s="93"/>
      <c r="G692" s="297"/>
      <c r="H692" s="297"/>
      <c r="I692" s="297"/>
      <c r="J692" s="297"/>
      <c r="K692" s="297"/>
      <c r="L692" s="297"/>
      <c r="M692" s="297"/>
      <c r="N692" s="297"/>
      <c r="O692" s="297"/>
      <c r="P692" s="297"/>
      <c r="Q692" s="297"/>
    </row>
    <row r="693" spans="2:17" outlineLevel="1">
      <c r="B693" s="93"/>
      <c r="G693" s="297"/>
      <c r="H693" s="297"/>
      <c r="I693" s="297"/>
      <c r="J693" s="297"/>
      <c r="K693" s="297"/>
      <c r="L693" s="297"/>
      <c r="M693" s="297"/>
      <c r="N693" s="297"/>
      <c r="O693" s="297"/>
      <c r="P693" s="297"/>
      <c r="Q693" s="297"/>
    </row>
    <row r="694" spans="2:17" outlineLevel="1">
      <c r="B694" s="93"/>
      <c r="G694" s="297"/>
      <c r="H694" s="297"/>
      <c r="I694" s="297"/>
      <c r="J694" s="297"/>
      <c r="K694" s="297"/>
      <c r="L694" s="297"/>
      <c r="M694" s="297"/>
      <c r="N694" s="297"/>
      <c r="O694" s="297"/>
      <c r="P694" s="297"/>
      <c r="Q694" s="297"/>
    </row>
    <row r="695" spans="2:17" outlineLevel="1">
      <c r="B695" s="93"/>
      <c r="G695" s="297"/>
      <c r="H695" s="297"/>
      <c r="I695" s="297"/>
      <c r="J695" s="297"/>
      <c r="K695" s="297"/>
      <c r="L695" s="297"/>
      <c r="M695" s="297"/>
      <c r="N695" s="297"/>
      <c r="O695" s="297"/>
      <c r="P695" s="297"/>
      <c r="Q695" s="297"/>
    </row>
    <row r="696" spans="2:17" outlineLevel="1">
      <c r="B696" s="93"/>
      <c r="G696" s="297"/>
      <c r="H696" s="297"/>
      <c r="I696" s="297"/>
      <c r="J696" s="297"/>
      <c r="K696" s="297"/>
      <c r="L696" s="297"/>
      <c r="M696" s="297"/>
      <c r="N696" s="297"/>
      <c r="O696" s="297"/>
      <c r="P696" s="297"/>
      <c r="Q696" s="297"/>
    </row>
    <row r="697" spans="2:17" outlineLevel="1">
      <c r="B697" s="93"/>
      <c r="G697" s="297"/>
      <c r="H697" s="297"/>
      <c r="I697" s="297"/>
      <c r="J697" s="297"/>
      <c r="K697" s="297"/>
      <c r="L697" s="297"/>
      <c r="M697" s="297"/>
      <c r="N697" s="297"/>
      <c r="O697" s="297"/>
      <c r="P697" s="297"/>
      <c r="Q697" s="297"/>
    </row>
    <row r="698" spans="2:17" outlineLevel="1">
      <c r="B698" s="93"/>
      <c r="G698" s="297"/>
      <c r="H698" s="297"/>
      <c r="I698" s="297"/>
      <c r="J698" s="297"/>
      <c r="K698" s="297"/>
      <c r="L698" s="297"/>
      <c r="M698" s="297"/>
      <c r="N698" s="297"/>
      <c r="O698" s="297"/>
      <c r="P698" s="297"/>
      <c r="Q698" s="297"/>
    </row>
    <row r="699" spans="2:17" outlineLevel="1">
      <c r="B699" s="93"/>
      <c r="G699" s="297"/>
      <c r="H699" s="297"/>
      <c r="I699" s="297"/>
      <c r="J699" s="297"/>
      <c r="K699" s="297"/>
      <c r="L699" s="297"/>
      <c r="M699" s="297"/>
      <c r="N699" s="297"/>
      <c r="O699" s="297"/>
      <c r="P699" s="297"/>
      <c r="Q699" s="297"/>
    </row>
    <row r="700" spans="2:17" outlineLevel="1">
      <c r="B700" s="93"/>
      <c r="G700" s="297"/>
      <c r="H700" s="297"/>
      <c r="I700" s="297"/>
      <c r="J700" s="297"/>
      <c r="K700" s="297"/>
      <c r="L700" s="297"/>
      <c r="M700" s="297"/>
      <c r="N700" s="297"/>
      <c r="O700" s="297"/>
      <c r="P700" s="297"/>
      <c r="Q700" s="297"/>
    </row>
    <row r="701" spans="2:17" outlineLevel="1">
      <c r="B701" s="93"/>
      <c r="G701" s="297"/>
      <c r="H701" s="297"/>
      <c r="I701" s="297"/>
      <c r="J701" s="297"/>
      <c r="K701" s="297"/>
      <c r="L701" s="297"/>
      <c r="M701" s="297"/>
      <c r="N701" s="297"/>
      <c r="O701" s="297"/>
      <c r="P701" s="297"/>
      <c r="Q701" s="297"/>
    </row>
    <row r="702" spans="2:17" outlineLevel="1">
      <c r="B702" s="93"/>
      <c r="G702" s="297"/>
      <c r="H702" s="297"/>
      <c r="I702" s="297"/>
      <c r="J702" s="297"/>
      <c r="K702" s="297"/>
      <c r="L702" s="297"/>
      <c r="M702" s="297"/>
      <c r="N702" s="297"/>
      <c r="O702" s="297"/>
      <c r="P702" s="297"/>
      <c r="Q702" s="297"/>
    </row>
    <row r="703" spans="2:17" outlineLevel="1">
      <c r="B703" s="93"/>
      <c r="G703" s="297"/>
      <c r="H703" s="297"/>
      <c r="I703" s="297"/>
      <c r="J703" s="297"/>
      <c r="K703" s="297"/>
      <c r="L703" s="297"/>
      <c r="M703" s="297"/>
      <c r="N703" s="297"/>
      <c r="O703" s="297"/>
      <c r="P703" s="297"/>
      <c r="Q703" s="297"/>
    </row>
    <row r="704" spans="2:17" outlineLevel="1">
      <c r="B704" s="93"/>
      <c r="G704" s="297"/>
      <c r="H704" s="297"/>
      <c r="I704" s="297"/>
      <c r="J704" s="297"/>
      <c r="K704" s="297"/>
      <c r="L704" s="297"/>
      <c r="M704" s="297"/>
      <c r="N704" s="297"/>
      <c r="O704" s="297"/>
      <c r="P704" s="297"/>
      <c r="Q704" s="297"/>
    </row>
    <row r="705" spans="2:17" outlineLevel="1">
      <c r="B705" s="93"/>
      <c r="G705" s="297"/>
      <c r="H705" s="297"/>
      <c r="I705" s="297"/>
      <c r="J705" s="297"/>
      <c r="K705" s="297"/>
      <c r="L705" s="297"/>
      <c r="M705" s="297"/>
      <c r="N705" s="297"/>
      <c r="O705" s="297"/>
      <c r="P705" s="297"/>
      <c r="Q705" s="297"/>
    </row>
    <row r="706" spans="2:17" outlineLevel="1">
      <c r="B706" s="93"/>
      <c r="G706" s="297"/>
      <c r="H706" s="297"/>
      <c r="I706" s="297"/>
      <c r="J706" s="297"/>
      <c r="K706" s="297"/>
      <c r="L706" s="297"/>
      <c r="M706" s="297"/>
      <c r="N706" s="297"/>
      <c r="O706" s="297"/>
      <c r="P706" s="297"/>
      <c r="Q706" s="297"/>
    </row>
    <row r="707" spans="2:17" outlineLevel="1">
      <c r="B707" s="93"/>
      <c r="G707" s="297"/>
      <c r="H707" s="297"/>
      <c r="I707" s="297"/>
      <c r="J707" s="297"/>
      <c r="K707" s="297"/>
      <c r="L707" s="297"/>
      <c r="M707" s="297"/>
      <c r="N707" s="297"/>
      <c r="O707" s="297"/>
      <c r="P707" s="297"/>
      <c r="Q707" s="297"/>
    </row>
    <row r="708" spans="2:17" outlineLevel="1">
      <c r="B708" s="93"/>
      <c r="G708" s="297"/>
      <c r="H708" s="297"/>
      <c r="I708" s="297"/>
      <c r="J708" s="297"/>
      <c r="K708" s="297"/>
      <c r="L708" s="297"/>
      <c r="M708" s="297"/>
      <c r="N708" s="297"/>
      <c r="O708" s="297"/>
      <c r="P708" s="297"/>
      <c r="Q708" s="297"/>
    </row>
    <row r="709" spans="2:17" outlineLevel="1">
      <c r="B709" s="93"/>
      <c r="G709" s="297"/>
      <c r="H709" s="297"/>
      <c r="I709" s="297"/>
      <c r="J709" s="297"/>
      <c r="K709" s="297"/>
      <c r="L709" s="297"/>
      <c r="M709" s="297"/>
      <c r="N709" s="297"/>
      <c r="O709" s="297"/>
      <c r="P709" s="297"/>
      <c r="Q709" s="297"/>
    </row>
    <row r="710" spans="2:17" outlineLevel="1">
      <c r="B710" s="93"/>
      <c r="G710" s="297"/>
      <c r="H710" s="297"/>
      <c r="I710" s="297"/>
      <c r="J710" s="297"/>
      <c r="K710" s="297"/>
      <c r="L710" s="297"/>
      <c r="M710" s="297"/>
      <c r="N710" s="297"/>
      <c r="O710" s="297"/>
      <c r="P710" s="297"/>
      <c r="Q710" s="297"/>
    </row>
    <row r="711" spans="2:17" outlineLevel="1">
      <c r="B711" s="93"/>
      <c r="G711" s="297"/>
      <c r="H711" s="297"/>
      <c r="I711" s="297"/>
      <c r="J711" s="297"/>
      <c r="K711" s="297"/>
      <c r="L711" s="297"/>
      <c r="M711" s="297"/>
      <c r="N711" s="297"/>
      <c r="O711" s="297"/>
      <c r="P711" s="297"/>
      <c r="Q711" s="297"/>
    </row>
    <row r="712" spans="2:17" outlineLevel="1">
      <c r="B712" s="93"/>
      <c r="G712" s="297"/>
      <c r="H712" s="297"/>
      <c r="I712" s="297"/>
      <c r="J712" s="297"/>
      <c r="K712" s="297"/>
      <c r="L712" s="297"/>
      <c r="M712" s="297"/>
      <c r="N712" s="297"/>
      <c r="O712" s="297"/>
      <c r="P712" s="297"/>
      <c r="Q712" s="297"/>
    </row>
    <row r="713" spans="2:17" outlineLevel="1">
      <c r="B713" s="93"/>
      <c r="G713" s="297"/>
      <c r="H713" s="297"/>
      <c r="I713" s="297"/>
      <c r="J713" s="297"/>
      <c r="K713" s="297"/>
      <c r="L713" s="297"/>
      <c r="M713" s="297"/>
      <c r="N713" s="297"/>
      <c r="O713" s="297"/>
      <c r="P713" s="297"/>
      <c r="Q713" s="297"/>
    </row>
    <row r="714" spans="2:17" outlineLevel="1">
      <c r="B714" s="93"/>
      <c r="G714" s="297"/>
      <c r="H714" s="297"/>
      <c r="I714" s="297"/>
      <c r="J714" s="297"/>
      <c r="K714" s="297"/>
      <c r="L714" s="297"/>
      <c r="M714" s="297"/>
      <c r="N714" s="297"/>
      <c r="O714" s="297"/>
      <c r="P714" s="297"/>
      <c r="Q714" s="297"/>
    </row>
    <row r="715" spans="2:17" outlineLevel="1"/>
  </sheetData>
  <mergeCells count="9">
    <mergeCell ref="D345:J345"/>
    <mergeCell ref="C3:D3"/>
    <mergeCell ref="B1:D2"/>
    <mergeCell ref="E346:I346"/>
    <mergeCell ref="D356:I356"/>
    <mergeCell ref="P371:Q371"/>
    <mergeCell ref="N371:O371"/>
    <mergeCell ref="L371:M371"/>
    <mergeCell ref="J371:K371"/>
  </mergeCells>
  <conditionalFormatting sqref="E145:L145">
    <cfRule type="expression" dxfId="2" priority="3">
      <formula>D$105&lt;&gt;0</formula>
    </cfRule>
  </conditionalFormatting>
  <conditionalFormatting sqref="L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</xdr:col>
                    <xdr:colOff>9525</xdr:colOff>
                    <xdr:row>2</xdr:row>
                    <xdr:rowOff>9525</xdr:rowOff>
                  </from>
                  <to>
                    <xdr:col>3</xdr:col>
                    <xdr:colOff>628650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D8C9-83DA-47C8-8897-253DE4606D7B}">
  <dimension ref="A1:D314"/>
  <sheetViews>
    <sheetView workbookViewId="0">
      <selection sqref="A1:D314"/>
    </sheetView>
  </sheetViews>
  <sheetFormatPr defaultRowHeight="15"/>
  <sheetData>
    <row r="1" spans="1:4">
      <c r="A1" s="336" t="s">
        <v>177</v>
      </c>
      <c r="B1" s="336" t="s">
        <v>178</v>
      </c>
      <c r="C1" s="336" t="s">
        <v>179</v>
      </c>
      <c r="D1" s="336" t="s">
        <v>178</v>
      </c>
    </row>
    <row r="2" spans="1:4">
      <c r="A2" s="336" t="s">
        <v>180</v>
      </c>
      <c r="B2" s="336" t="s">
        <v>181</v>
      </c>
      <c r="C2" s="336" t="s">
        <v>180</v>
      </c>
      <c r="D2" s="336" t="s">
        <v>181</v>
      </c>
    </row>
    <row r="3" spans="1:4" ht="15.75">
      <c r="A3" s="94">
        <v>176.73450323613798</v>
      </c>
      <c r="B3" s="45"/>
      <c r="C3" s="94">
        <v>30.895937099999998</v>
      </c>
      <c r="D3" s="45"/>
    </row>
    <row r="4" spans="1:4" ht="15.75">
      <c r="A4" s="94">
        <v>176.71048241809569</v>
      </c>
      <c r="B4" s="95">
        <f>A4/A3-1</f>
        <v>-1.3591470597107413E-4</v>
      </c>
      <c r="C4" s="94">
        <v>30.922633824893349</v>
      </c>
      <c r="D4" s="95">
        <f>C4/C3-1</f>
        <v>8.6408529402892675E-4</v>
      </c>
    </row>
    <row r="5" spans="1:4" ht="15.75">
      <c r="A5" s="94">
        <v>178.1450590511777</v>
      </c>
      <c r="B5" s="95">
        <f>A5/A4-1</f>
        <v>8.1182316603483073E-3</v>
      </c>
      <c r="C5" s="94">
        <v>31.173670929831957</v>
      </c>
      <c r="D5" s="95">
        <f>C5/C4-1</f>
        <v>8.1182316603483073E-3</v>
      </c>
    </row>
    <row r="6" spans="1:4" ht="15.75">
      <c r="A6" s="94">
        <v>178.4359778474678</v>
      </c>
      <c r="B6" s="95">
        <f>A6/A5-1</f>
        <v>1.6330444292957935E-3</v>
      </c>
      <c r="C6" s="94">
        <v>31.219488120519351</v>
      </c>
      <c r="D6" s="95">
        <f>C6/C5-1</f>
        <v>1.4697399863661254E-3</v>
      </c>
    </row>
    <row r="7" spans="1:4" ht="15.75">
      <c r="A7" s="94">
        <v>178.59211316474278</v>
      </c>
      <c r="B7" s="95">
        <f>A7/A6-1</f>
        <v>8.750215015969065E-4</v>
      </c>
      <c r="C7" s="94">
        <v>30.372660176519112</v>
      </c>
      <c r="D7" s="95">
        <f>C7/C6-1</f>
        <v>-2.7124978498403118E-2</v>
      </c>
    </row>
    <row r="8" spans="1:4" ht="15.75">
      <c r="A8" s="94">
        <v>180.32294655367986</v>
      </c>
      <c r="B8" s="95">
        <f>A8/A7-1</f>
        <v>9.691544370385774E-3</v>
      </c>
      <c r="C8" s="94">
        <v>30.363291558501306</v>
      </c>
      <c r="D8" s="95">
        <f>C8/C7-1</f>
        <v>-3.0845562961423489E-4</v>
      </c>
    </row>
    <row r="9" spans="1:4" ht="15.75">
      <c r="A9" s="94">
        <v>180.87409087876162</v>
      </c>
      <c r="B9" s="95">
        <f>A9/A8-1</f>
        <v>3.0564292321926256E-3</v>
      </c>
      <c r="C9" s="94">
        <v>29.879192270794771</v>
      </c>
      <c r="D9" s="95">
        <f>C9/C8-1</f>
        <v>-1.5943570767807391E-2</v>
      </c>
    </row>
    <row r="10" spans="1:4" ht="15.75">
      <c r="A10" s="94">
        <v>181.80423033295523</v>
      </c>
      <c r="B10" s="95">
        <f>A10/A9-1</f>
        <v>5.1424692706103503E-3</v>
      </c>
      <c r="C10" s="94">
        <v>29.793811560711632</v>
      </c>
      <c r="D10" s="95">
        <f>C10/C9-1</f>
        <v>-2.8575307293896568E-3</v>
      </c>
    </row>
    <row r="11" spans="1:4" ht="15.75">
      <c r="A11" s="94">
        <v>180.86808567425103</v>
      </c>
      <c r="B11" s="95">
        <f>A11/A10-1</f>
        <v>-5.1491907365948109E-3</v>
      </c>
      <c r="C11" s="94">
        <v>29.193490368804689</v>
      </c>
      <c r="D11" s="95">
        <f>C11/C10-1</f>
        <v>-2.0149190736594824E-2</v>
      </c>
    </row>
    <row r="12" spans="1:4" ht="15.75">
      <c r="A12" s="94">
        <v>182.02975912457464</v>
      </c>
      <c r="B12" s="95">
        <f>A12/A11-1</f>
        <v>6.4227663271441138E-3</v>
      </c>
      <c r="C12" s="94">
        <v>29.380993335717253</v>
      </c>
      <c r="D12" s="95">
        <f>C12/C11-1</f>
        <v>6.4227663271441138E-3</v>
      </c>
    </row>
    <row r="13" spans="1:4" ht="15.75">
      <c r="A13" s="94">
        <v>184.80749983318876</v>
      </c>
      <c r="B13" s="95">
        <f>A13/A12-1</f>
        <v>1.5259816427670714E-2</v>
      </c>
      <c r="C13" s="94">
        <v>30.27005680051867</v>
      </c>
      <c r="D13" s="95">
        <f>C13/C12-1</f>
        <v>3.0259816427670616E-2</v>
      </c>
    </row>
    <row r="14" spans="1:4" ht="15.75">
      <c r="A14" s="94">
        <v>186.04990992193234</v>
      </c>
      <c r="B14" s="95">
        <f>A14/A13-1</f>
        <v>6.7227254838955197E-3</v>
      </c>
      <c r="C14" s="94">
        <v>31.502736013988116</v>
      </c>
      <c r="D14" s="95">
        <f>C14/C13-1</f>
        <v>4.072272548389555E-2</v>
      </c>
    </row>
    <row r="15" spans="1:4" ht="15.75">
      <c r="A15" s="94">
        <v>185.94114899579634</v>
      </c>
      <c r="B15" s="95">
        <f>A15/A14-1</f>
        <v>-5.8457930015465287E-4</v>
      </c>
      <c r="C15" s="94">
        <v>30.822762710322351</v>
      </c>
      <c r="D15" s="95">
        <f>C15/C14-1</f>
        <v>-2.1584579300154672E-2</v>
      </c>
    </row>
    <row r="16" spans="1:4" ht="15.75">
      <c r="A16" s="94">
        <v>185.77233602455462</v>
      </c>
      <c r="B16" s="95">
        <f>A16/A15-1</f>
        <v>-9.0788387698703676E-4</v>
      </c>
      <c r="C16" s="94">
        <v>31.133829610827</v>
      </c>
      <c r="D16" s="95">
        <f>C16/C15-1</f>
        <v>1.0092116123012973E-2</v>
      </c>
    </row>
    <row r="17" spans="1:4" ht="15.75">
      <c r="A17" s="94">
        <v>185.93714552612263</v>
      </c>
      <c r="B17" s="95">
        <f>A17/A16-1</f>
        <v>8.8715847092668554E-4</v>
      </c>
      <c r="C17" s="94">
        <v>31.005781103444498</v>
      </c>
      <c r="D17" s="95">
        <f>C17/C16-1</f>
        <v>-4.1128415290733189E-3</v>
      </c>
    </row>
    <row r="18" spans="1:4" ht="15.75">
      <c r="A18" s="94">
        <v>188.05031026889972</v>
      </c>
      <c r="B18" s="95">
        <f>A18/A17-1</f>
        <v>1.1364941291304387E-2</v>
      </c>
      <c r="C18" s="94">
        <v>31.26514264206585</v>
      </c>
      <c r="D18" s="95">
        <f>C18/C17-1</f>
        <v>8.3649412913044952E-3</v>
      </c>
    </row>
    <row r="19" spans="1:4" ht="15.75">
      <c r="A19" s="94">
        <v>187.18089010475748</v>
      </c>
      <c r="B19" s="95">
        <f>A19/A18-1</f>
        <v>-4.6233380997831031E-3</v>
      </c>
      <c r="C19" s="94">
        <v>31.183123602177766</v>
      </c>
      <c r="D19" s="95">
        <f>C19/C18-1</f>
        <v>-2.6233380997831013E-3</v>
      </c>
    </row>
    <row r="20" spans="1:4" ht="15.75">
      <c r="A20" s="94">
        <v>187.93287515847069</v>
      </c>
      <c r="B20" s="95">
        <f>A20/A19-1</f>
        <v>4.0174242856327869E-3</v>
      </c>
      <c r="C20" s="94">
        <v>31.339582563841219</v>
      </c>
      <c r="D20" s="95">
        <f>C20/C19-1</f>
        <v>5.0174242856326767E-3</v>
      </c>
    </row>
    <row r="21" spans="1:4" ht="15.75">
      <c r="A21" s="94">
        <v>187.62527523854007</v>
      </c>
      <c r="B21" s="95">
        <f>A21/A20-1</f>
        <v>-1.6367541850846878E-3</v>
      </c>
      <c r="C21" s="94">
        <v>31.350966536048723</v>
      </c>
      <c r="D21" s="95">
        <f>C21/C20-1</f>
        <v>3.6324581491520291E-4</v>
      </c>
    </row>
    <row r="22" spans="1:4" ht="15.75">
      <c r="A22" s="94">
        <v>187.7520517782078</v>
      </c>
      <c r="B22" s="95">
        <f>A22/A21-1</f>
        <v>6.7569009296075677E-4</v>
      </c>
      <c r="C22" s="94">
        <v>31.591606839294215</v>
      </c>
      <c r="D22" s="95">
        <f>C22/C21-1</f>
        <v>7.675690092960652E-3</v>
      </c>
    </row>
    <row r="23" spans="1:4" ht="15.75">
      <c r="A23" s="94">
        <v>190.04937612597584</v>
      </c>
      <c r="B23" s="95">
        <f>A23/A22-1</f>
        <v>1.2235948028316956E-2</v>
      </c>
      <c r="C23" s="94">
        <v>34.347530611657909</v>
      </c>
      <c r="D23" s="95">
        <f>C23/C22-1</f>
        <v>8.7235948028316912E-2</v>
      </c>
    </row>
    <row r="24" spans="1:4" ht="15.75">
      <c r="A24" s="94">
        <v>190.81070260892773</v>
      </c>
      <c r="B24" s="95">
        <f>A24/A23-1</f>
        <v>4.0059404480614624E-3</v>
      </c>
      <c r="C24" s="94">
        <v>34.004259345262966</v>
      </c>
      <c r="D24" s="95">
        <f>C24/C23-1</f>
        <v>-9.99405955193855E-3</v>
      </c>
    </row>
    <row r="25" spans="1:4" ht="15.75">
      <c r="A25" s="94">
        <v>193.87869486888636</v>
      </c>
      <c r="B25" s="95">
        <f>A25/A24-1</f>
        <v>1.6078722094779785E-2</v>
      </c>
      <c r="C25" s="94">
        <v>33.666893638337427</v>
      </c>
      <c r="D25" s="95">
        <f>C25/C24-1</f>
        <v>-9.9212779052203492E-3</v>
      </c>
    </row>
    <row r="26" spans="1:4" ht="15.75">
      <c r="A26" s="94">
        <v>193.63381597384398</v>
      </c>
      <c r="B26" s="95">
        <f>A26/A25-1</f>
        <v>-1.2630521120847726E-3</v>
      </c>
      <c r="C26" s="94">
        <v>33.557036809943519</v>
      </c>
      <c r="D26" s="95">
        <f>C26/C25-1</f>
        <v>-3.2630521120847744E-3</v>
      </c>
    </row>
    <row r="27" spans="1:4" ht="15.75">
      <c r="A27" s="94">
        <v>193.77327016747847</v>
      </c>
      <c r="B27" s="95">
        <f>A27/A26-1</f>
        <v>7.2019545208634739E-4</v>
      </c>
      <c r="C27" s="94">
        <v>35.795968864695809</v>
      </c>
      <c r="D27" s="95">
        <f>C27/C26-1</f>
        <v>6.6720195452086406E-2</v>
      </c>
    </row>
    <row r="28" spans="1:4" ht="15.75">
      <c r="A28" s="94">
        <v>194.55928471341829</v>
      </c>
      <c r="B28" s="95">
        <f>A28/A27-1</f>
        <v>4.0563620836890912E-3</v>
      </c>
      <c r="C28" s="94">
        <v>36.728681590570787</v>
      </c>
      <c r="D28" s="95">
        <f>C28/C27-1</f>
        <v>2.6056362083689111E-2</v>
      </c>
    </row>
    <row r="29" spans="1:4" ht="15.75">
      <c r="A29" s="94">
        <v>195.31794221658771</v>
      </c>
      <c r="B29" s="95">
        <f>A29/A28-1</f>
        <v>3.8993641670039825E-3</v>
      </c>
      <c r="C29" s="94">
        <v>36.8575782449768</v>
      </c>
      <c r="D29" s="95">
        <f>C29/C28-1</f>
        <v>3.5094277503036064E-3</v>
      </c>
    </row>
    <row r="30" spans="1:4" ht="15.75">
      <c r="A30" s="94">
        <v>193.75992526856609</v>
      </c>
      <c r="B30" s="95">
        <f>A30/A29-1</f>
        <v>-7.9768245064446575E-3</v>
      </c>
      <c r="C30" s="94">
        <v>38.443308302077881</v>
      </c>
      <c r="D30" s="95">
        <f>C30/C29-1</f>
        <v>4.3023175493555277E-2</v>
      </c>
    </row>
    <row r="31" spans="1:4" ht="15.75">
      <c r="A31" s="94">
        <v>195.59551611396543</v>
      </c>
      <c r="B31" s="95">
        <f>A31/A30-1</f>
        <v>9.4735319641308102E-3</v>
      </c>
      <c r="C31" s="94">
        <v>37.692646271324293</v>
      </c>
      <c r="D31" s="95">
        <f>C31/C30-1</f>
        <v>-1.9526468035869216E-2</v>
      </c>
    </row>
    <row r="32" spans="1:4" ht="15.75">
      <c r="A32" s="94">
        <v>195.62487489157269</v>
      </c>
      <c r="B32" s="95">
        <f>A32/A31-1</f>
        <v>1.5009944087962523E-4</v>
      </c>
      <c r="C32" s="94">
        <v>37.622918623912241</v>
      </c>
      <c r="D32" s="95">
        <f>C32/C31-1</f>
        <v>-1.8499005591203765E-3</v>
      </c>
    </row>
    <row r="33" spans="1:4" ht="15.75">
      <c r="A33" s="94">
        <v>194.55728297858144</v>
      </c>
      <c r="B33" s="95">
        <f>A33/A32-1</f>
        <v>-5.4573423424959522E-3</v>
      </c>
      <c r="C33" s="94">
        <v>37.831449581920715</v>
      </c>
      <c r="D33" s="95">
        <f>C33/C32-1</f>
        <v>5.5426576575039466E-3</v>
      </c>
    </row>
    <row r="34" spans="1:4" ht="15.75">
      <c r="A34" s="94">
        <v>197.49449522919863</v>
      </c>
      <c r="B34" s="95">
        <f>A34/A33-1</f>
        <v>1.5096902082768926E-2</v>
      </c>
      <c r="C34" s="94">
        <v>40.218496851840378</v>
      </c>
      <c r="D34" s="95">
        <f>C34/C33-1</f>
        <v>6.3096902082768969E-2</v>
      </c>
    </row>
    <row r="35" spans="1:4" ht="15.75">
      <c r="A35" s="94">
        <v>196.95602855808369</v>
      </c>
      <c r="B35" s="95">
        <f>A35/A34-1</f>
        <v>-2.7264895180497684E-3</v>
      </c>
      <c r="C35" s="94">
        <v>39.022942126742429</v>
      </c>
      <c r="D35" s="95">
        <f>C35/C34-1</f>
        <v>-2.9726489518049681E-2</v>
      </c>
    </row>
    <row r="36" spans="1:4" ht="15.75">
      <c r="A36" s="94">
        <v>196.7418429305398</v>
      </c>
      <c r="B36" s="95">
        <f>A36/A35-1</f>
        <v>-1.0874794191979564E-3</v>
      </c>
      <c r="C36" s="94">
        <v>36.092807762924103</v>
      </c>
      <c r="D36" s="95">
        <f>C36/C35-1</f>
        <v>-7.5087479419198022E-2</v>
      </c>
    </row>
    <row r="37" spans="1:4" ht="15.75">
      <c r="A37" s="94">
        <v>195.71428571428572</v>
      </c>
      <c r="B37" s="95">
        <f>A37/A36-1</f>
        <v>-5.2228707475148184E-3</v>
      </c>
      <c r="C37" s="94">
        <v>34.460587382546485</v>
      </c>
      <c r="D37" s="95">
        <f>C37/C36-1</f>
        <v>-4.5222870747514854E-2</v>
      </c>
    </row>
    <row r="38" spans="1:4" ht="15.75">
      <c r="A38" s="94">
        <v>197.30299592980583</v>
      </c>
      <c r="B38" s="95">
        <f>A38/A37-1</f>
        <v>8.1174974515625387E-3</v>
      </c>
      <c r="C38" s="94">
        <v>35.326151098306944</v>
      </c>
      <c r="D38" s="95">
        <f>C38/C37-1</f>
        <v>2.5117497451562443E-2</v>
      </c>
    </row>
    <row r="39" spans="1:4" ht="15.75">
      <c r="A39" s="94">
        <v>197.75472075799027</v>
      </c>
      <c r="B39" s="95">
        <f>A39/A38-1</f>
        <v>2.289498068975826E-3</v>
      </c>
      <c r="C39" s="94">
        <v>35.830944066210549</v>
      </c>
      <c r="D39" s="95">
        <f>C39/C38-1</f>
        <v>1.4289498068975837E-2</v>
      </c>
    </row>
    <row r="40" spans="1:4" ht="15.75">
      <c r="A40" s="94">
        <v>197.91552678988455</v>
      </c>
      <c r="B40" s="95">
        <f>A40/A39-1</f>
        <v>8.1315900463918567E-4</v>
      </c>
      <c r="C40" s="94">
        <v>35.824249376956502</v>
      </c>
      <c r="D40" s="95">
        <f>C40/C39-1</f>
        <v>-1.8684099536081522E-4</v>
      </c>
    </row>
    <row r="41" spans="1:4" ht="15.75">
      <c r="A41" s="94">
        <v>199.29005137786083</v>
      </c>
      <c r="B41" s="95">
        <f>A41/A40-1</f>
        <v>6.9450063381613081E-3</v>
      </c>
      <c r="C41" s="94">
        <v>36.037224766562382</v>
      </c>
      <c r="D41" s="95">
        <f>C41/C40-1</f>
        <v>5.9450063381614182E-3</v>
      </c>
    </row>
    <row r="42" spans="1:4" ht="15.75">
      <c r="A42" s="94">
        <v>197.96423567091477</v>
      </c>
      <c r="B42" s="95">
        <f>A42/A41-1</f>
        <v>-6.6526938890304477E-3</v>
      </c>
      <c r="C42" s="94">
        <v>35.761442916813692</v>
      </c>
      <c r="D42" s="95">
        <f>C42/C41-1</f>
        <v>-7.6526938890304486E-3</v>
      </c>
    </row>
    <row r="43" spans="1:4" ht="15.75">
      <c r="A43" s="94">
        <v>199.43751251084271</v>
      </c>
      <c r="B43" s="95">
        <f>A43/A42-1</f>
        <v>7.4421363784973327E-3</v>
      </c>
      <c r="C43" s="94">
        <v>36.170630223759723</v>
      </c>
      <c r="D43" s="95">
        <f>C43/C42-1</f>
        <v>1.1442136378497336E-2</v>
      </c>
    </row>
    <row r="44" spans="1:4" ht="15.75">
      <c r="A44" s="94">
        <v>198.58477347034096</v>
      </c>
      <c r="B44" s="95">
        <f>A44/A43-1</f>
        <v>-4.2757203986656389E-3</v>
      </c>
      <c r="C44" s="94">
        <v>37.426629301006031</v>
      </c>
      <c r="D44" s="95">
        <f>C44/C43-1</f>
        <v>3.4724279601334285E-2</v>
      </c>
    </row>
    <row r="45" spans="1:4" ht="15.75">
      <c r="A45" s="94">
        <v>196.86928671515312</v>
      </c>
      <c r="B45" s="95">
        <f>A45/A44-1</f>
        <v>-8.6385613821698959E-3</v>
      </c>
      <c r="C45" s="94">
        <v>37.103317066461571</v>
      </c>
      <c r="D45" s="95">
        <f>C45/C44-1</f>
        <v>-8.6385613821698959E-3</v>
      </c>
    </row>
    <row r="46" spans="1:4" ht="15.75">
      <c r="A46" s="94">
        <v>194.1896310135451</v>
      </c>
      <c r="B46" s="95">
        <f>A46/A45-1</f>
        <v>-1.3611344594777641E-2</v>
      </c>
      <c r="C46" s="94">
        <v>36.648793635680754</v>
      </c>
      <c r="D46" s="95">
        <f>C46/C45-1</f>
        <v>-1.2250210135300033E-2</v>
      </c>
    </row>
    <row r="47" spans="1:4" ht="15.75">
      <c r="A47" s="94">
        <v>195.88243144058185</v>
      </c>
      <c r="B47" s="95">
        <f>A47/A46-1</f>
        <v>8.7172544599907198E-3</v>
      </c>
      <c r="C47" s="94">
        <v>38.947305351781431</v>
      </c>
      <c r="D47" s="95">
        <f>C47/C46-1</f>
        <v>6.2717254459990768E-2</v>
      </c>
    </row>
    <row r="48" spans="1:4" ht="15.75">
      <c r="A48" s="94">
        <v>198.19977313671851</v>
      </c>
      <c r="B48" s="95">
        <f>A48/A47-1</f>
        <v>1.1830268182267289E-2</v>
      </c>
      <c r="C48" s="94">
        <v>37.733328288943056</v>
      </c>
      <c r="D48" s="95">
        <f>C48/C47-1</f>
        <v>-3.1169731817732749E-2</v>
      </c>
    </row>
    <row r="49" spans="1:4" ht="15.75">
      <c r="A49" s="94">
        <v>199.39547607926872</v>
      </c>
      <c r="B49" s="95">
        <f>A49/A48-1</f>
        <v>6.0328169080465788E-3</v>
      </c>
      <c r="C49" s="94">
        <v>38.90429975706504</v>
      </c>
      <c r="D49" s="95">
        <f>C49/C48-1</f>
        <v>3.103281690804649E-2</v>
      </c>
    </row>
    <row r="50" spans="1:4" ht="15.75">
      <c r="A50" s="94">
        <v>199.08320544471874</v>
      </c>
      <c r="B50" s="95">
        <f>A50/A49-1</f>
        <v>-1.5660868575866349E-3</v>
      </c>
      <c r="C50" s="94">
        <v>39.582553939896123</v>
      </c>
      <c r="D50" s="95">
        <f>C50/C49-1</f>
        <v>1.7433913142413271E-2</v>
      </c>
    </row>
    <row r="51" spans="1:4" ht="15.75">
      <c r="A51" s="94">
        <v>202.83445652899181</v>
      </c>
      <c r="B51" s="95">
        <f>A51/A50-1</f>
        <v>1.8842629522130672E-2</v>
      </c>
      <c r="C51" s="94">
        <v>39.932567799926375</v>
      </c>
      <c r="D51" s="95">
        <f>C51/C50-1</f>
        <v>8.8426295221306628E-3</v>
      </c>
    </row>
    <row r="52" spans="1:4" ht="15.75">
      <c r="A52" s="94">
        <v>202.89117234936944</v>
      </c>
      <c r="B52" s="95">
        <f>A52/A51-1</f>
        <v>2.796163006433261E-4</v>
      </c>
      <c r="C52" s="94">
        <v>41.341373469807202</v>
      </c>
      <c r="D52" s="95">
        <f>C52/C51-1</f>
        <v>3.5279616300643246E-2</v>
      </c>
    </row>
    <row r="53" spans="1:4" ht="15.75">
      <c r="A53" s="94">
        <v>203.9347434443184</v>
      </c>
      <c r="B53" s="95">
        <f>A53/A52-1</f>
        <v>5.1435017249148451E-3</v>
      </c>
      <c r="C53" s="94">
        <v>40.024382077176639</v>
      </c>
      <c r="D53" s="95">
        <f>C53/C52-1</f>
        <v>-3.1856498275085077E-2</v>
      </c>
    </row>
    <row r="54" spans="1:4" ht="15.75">
      <c r="A54" s="94">
        <v>203.86067925535465</v>
      </c>
      <c r="B54" s="95">
        <f>A54/A53-1</f>
        <v>-3.6317592438073198E-4</v>
      </c>
      <c r="C54" s="94">
        <v>40.249992477681054</v>
      </c>
      <c r="D54" s="95">
        <f>C54/C53-1</f>
        <v>5.6368240756192733E-3</v>
      </c>
    </row>
    <row r="55" spans="1:4" ht="15.75">
      <c r="A55" s="94">
        <v>205.39934609995331</v>
      </c>
      <c r="B55" s="95">
        <f>A55/A54-1</f>
        <v>7.5476391534599063E-3</v>
      </c>
      <c r="C55" s="94">
        <v>41.721034678684816</v>
      </c>
      <c r="D55" s="95">
        <f>C55/C54-1</f>
        <v>3.6547639153459821E-2</v>
      </c>
    </row>
    <row r="56" spans="1:4" ht="15.75">
      <c r="A56" s="94">
        <v>205.12110495762994</v>
      </c>
      <c r="B56" s="95">
        <f>A56/A55-1</f>
        <v>-1.3546349957120896E-3</v>
      </c>
      <c r="C56" s="94">
        <v>41.330749627622275</v>
      </c>
      <c r="D56" s="95">
        <f>C56/C55-1</f>
        <v>-9.3546349957120967E-3</v>
      </c>
    </row>
    <row r="57" spans="1:4" ht="15.75">
      <c r="A57" s="94">
        <v>205.19917261626745</v>
      </c>
      <c r="B57" s="95">
        <f>A57/A56-1</f>
        <v>3.8059300944981445E-4</v>
      </c>
      <c r="C57" s="94">
        <v>41.263818322750623</v>
      </c>
      <c r="D57" s="95">
        <f>C57/C56-1</f>
        <v>-1.6194069905501873E-3</v>
      </c>
    </row>
    <row r="58" spans="1:4" ht="15.75">
      <c r="A58" s="94">
        <v>204.39847868152398</v>
      </c>
      <c r="B58" s="95">
        <f>A58/A57-1</f>
        <v>-3.9020329591717973E-3</v>
      </c>
      <c r="C58" s="94">
        <v>41.309124635247727</v>
      </c>
      <c r="D58" s="95">
        <f>C58/C57-1</f>
        <v>1.0979670408282072E-3</v>
      </c>
    </row>
    <row r="59" spans="1:4" ht="15.75">
      <c r="A59" s="94">
        <v>204.70541135650899</v>
      </c>
      <c r="B59" s="95">
        <f>A59/A58-1</f>
        <v>1.5016387448911761E-3</v>
      </c>
      <c r="C59" s="94">
        <v>41.288537768047057</v>
      </c>
      <c r="D59" s="95">
        <f>C59/C58-1</f>
        <v>-4.9836125510882567E-4</v>
      </c>
    </row>
    <row r="60" spans="1:4" ht="15.75">
      <c r="A60" s="94">
        <v>208.35190498431976</v>
      </c>
      <c r="B60" s="95">
        <f>A60/A59-1</f>
        <v>1.7813371926256316E-2</v>
      </c>
      <c r="C60" s="94">
        <v>41.776294620992275</v>
      </c>
      <c r="D60" s="95">
        <f>C60/C59-1</f>
        <v>1.1813371926256311E-2</v>
      </c>
    </row>
    <row r="61" spans="1:4" ht="15.75">
      <c r="A61" s="94">
        <v>208.20377660639221</v>
      </c>
      <c r="B61" s="95">
        <f>A61/A60-1</f>
        <v>-7.1095283692601541E-4</v>
      </c>
      <c r="C61" s="94">
        <v>43.626526903759874</v>
      </c>
      <c r="D61" s="95">
        <f>C61/C60-1</f>
        <v>4.4289047163073914E-2</v>
      </c>
    </row>
    <row r="62" spans="1:4" ht="15.75">
      <c r="A62" s="94">
        <v>207.17688663508375</v>
      </c>
      <c r="B62" s="95">
        <f>A62/A61-1</f>
        <v>-4.9321390228660444E-3</v>
      </c>
      <c r="C62" s="94">
        <v>43.018716065851883</v>
      </c>
      <c r="D62" s="95">
        <f>C62/C61-1</f>
        <v>-1.3932139022866052E-2</v>
      </c>
    </row>
    <row r="63" spans="1:4" ht="15.75">
      <c r="A63" s="94">
        <v>206.536331487289</v>
      </c>
      <c r="B63" s="95">
        <f>A63/A62-1</f>
        <v>-3.091827269916414E-3</v>
      </c>
      <c r="C63" s="94">
        <v>41.638166860492987</v>
      </c>
      <c r="D63" s="95">
        <f>C63/C62-1</f>
        <v>-3.209182726991644E-2</v>
      </c>
    </row>
    <row r="64" spans="1:4" ht="15.75">
      <c r="A64" s="94">
        <v>206.28344565289919</v>
      </c>
      <c r="B64" s="95">
        <f>A64/A63-1</f>
        <v>-1.224413315414119E-3</v>
      </c>
      <c r="C64" s="94">
        <v>42.836329540374351</v>
      </c>
      <c r="D64" s="95">
        <f>C64/C63-1</f>
        <v>2.8775586684585797E-2</v>
      </c>
    </row>
    <row r="65" spans="1:4" ht="15.75">
      <c r="A65" s="94">
        <v>208.16040568492693</v>
      </c>
      <c r="B65" s="95">
        <f>A65/A64-1</f>
        <v>9.0989367861635806E-3</v>
      </c>
      <c r="C65" s="94">
        <v>43.011912947311622</v>
      </c>
      <c r="D65" s="95">
        <f>C65/C64-1</f>
        <v>4.0989367861636872E-3</v>
      </c>
    </row>
    <row r="66" spans="1:4" ht="15.75">
      <c r="A66" s="94">
        <v>207.75138453326218</v>
      </c>
      <c r="B66" s="95">
        <f>A66/A65-1</f>
        <v>-1.9649325255631789E-3</v>
      </c>
      <c r="C66" s="94">
        <v>42.626314049943574</v>
      </c>
      <c r="D66" s="95">
        <f>C66/C65-1</f>
        <v>-8.9649325255631851E-3</v>
      </c>
    </row>
    <row r="67" spans="1:4" ht="15.75">
      <c r="A67" s="94">
        <v>204.71675452058452</v>
      </c>
      <c r="B67" s="95">
        <f>A67/A66-1</f>
        <v>-1.460702666071434E-2</v>
      </c>
      <c r="C67" s="94">
        <v>42.216801914417786</v>
      </c>
      <c r="D67" s="95">
        <f>C67/C66-1</f>
        <v>-9.6070266607142241E-3</v>
      </c>
    </row>
    <row r="68" spans="1:4" ht="15.75">
      <c r="A68" s="94">
        <v>205.54480549809836</v>
      </c>
      <c r="B68" s="95">
        <f>A68/A67-1</f>
        <v>4.0448617869748293E-3</v>
      </c>
      <c r="C68" s="94">
        <v>42.725297458565045</v>
      </c>
      <c r="D68" s="95">
        <f>C68/C67-1</f>
        <v>1.2044861786974836E-2</v>
      </c>
    </row>
    <row r="69" spans="1:4" ht="15.75">
      <c r="A69" s="94">
        <v>203.31487288983786</v>
      </c>
      <c r="B69" s="95">
        <f>A69/A68-1</f>
        <v>-1.0848888167505288E-2</v>
      </c>
      <c r="C69" s="94">
        <v>42.731753756557886</v>
      </c>
      <c r="D69" s="95">
        <f>C69/C68-1</f>
        <v>1.5111183249461035E-4</v>
      </c>
    </row>
    <row r="70" spans="1:4" ht="15.75">
      <c r="A70" s="94">
        <v>199.58764262360711</v>
      </c>
      <c r="B70" s="95">
        <f>A70/A69-1</f>
        <v>-1.8332305026451667E-2</v>
      </c>
      <c r="C70" s="94">
        <v>42.162040981160231</v>
      </c>
      <c r="D70" s="95">
        <f>C70/C69-1</f>
        <v>-1.3332305026451774E-2</v>
      </c>
    </row>
    <row r="71" spans="1:4" ht="15.75">
      <c r="A71" s="94">
        <v>201.27176886635084</v>
      </c>
      <c r="B71" s="95">
        <f>A71/A70-1</f>
        <v>8.4380286304586161E-3</v>
      </c>
      <c r="C71" s="94">
        <v>42.644291613021309</v>
      </c>
      <c r="D71" s="95">
        <f>C71/C70-1</f>
        <v>1.1438028630458508E-2</v>
      </c>
    </row>
    <row r="72" spans="1:4" ht="15.75">
      <c r="A72" s="94">
        <v>203.88002935877762</v>
      </c>
      <c r="B72" s="95">
        <f>A72/A71-1</f>
        <v>1.295889884168866E-2</v>
      </c>
      <c r="C72" s="94">
        <v>43.410136132275028</v>
      </c>
      <c r="D72" s="95">
        <f>C72/C71-1</f>
        <v>1.7958898841688553E-2</v>
      </c>
    </row>
    <row r="73" spans="1:4" ht="15.75">
      <c r="A73" s="94">
        <v>200.92947220924802</v>
      </c>
      <c r="B73" s="95">
        <f>A73/A72-1</f>
        <v>-1.447202631277511E-2</v>
      </c>
      <c r="C73" s="94">
        <v>42.130751457943468</v>
      </c>
      <c r="D73" s="95">
        <f>C73/C72-1</f>
        <v>-2.9472026312775124E-2</v>
      </c>
    </row>
    <row r="74" spans="1:4" ht="15.75">
      <c r="A74" s="94">
        <v>199.39947954894242</v>
      </c>
      <c r="B74" s="95">
        <f>A74/A73-1</f>
        <v>-7.6145756194107017E-3</v>
      </c>
      <c r="C74" s="94">
        <v>40.798805630073716</v>
      </c>
      <c r="D74" s="95">
        <f>C74/C73-1</f>
        <v>-3.1614575619410723E-2</v>
      </c>
    </row>
    <row r="75" spans="1:4" ht="15.75">
      <c r="A75" s="94">
        <v>203.03062654300393</v>
      </c>
      <c r="B75" s="95">
        <f>A75/A74-1</f>
        <v>1.8210413599250463E-2</v>
      </c>
      <c r="C75" s="94">
        <v>39.90981652974984</v>
      </c>
      <c r="D75" s="95">
        <f>C75/C74-1</f>
        <v>-2.1789586400749461E-2</v>
      </c>
    </row>
    <row r="76" spans="1:4" ht="15.75">
      <c r="A76" s="94">
        <v>202.27196903983452</v>
      </c>
      <c r="B76" s="95">
        <f>A76/A75-1</f>
        <v>-3.7366653301871278E-3</v>
      </c>
      <c r="C76" s="94">
        <v>40.239604700345993</v>
      </c>
      <c r="D76" s="95">
        <f>C76/C75-1</f>
        <v>8.2633346698128829E-3</v>
      </c>
    </row>
    <row r="77" spans="1:4" ht="15.75">
      <c r="A77" s="94">
        <v>200.67792086474944</v>
      </c>
      <c r="B77" s="95">
        <f>A77/A76-1</f>
        <v>-7.880717148559313E-3</v>
      </c>
      <c r="C77" s="94">
        <v>40.083446176334114</v>
      </c>
      <c r="D77" s="95">
        <f>C77/C76-1</f>
        <v>-3.8807171485593095E-3</v>
      </c>
    </row>
    <row r="78" spans="1:4" ht="15.75">
      <c r="A78" s="94">
        <v>200.20350970841395</v>
      </c>
      <c r="B78" s="95">
        <f>A78/A77-1</f>
        <v>-2.3640426126162462E-3</v>
      </c>
      <c r="C78" s="94">
        <v>39.868436862983749</v>
      </c>
      <c r="D78" s="95">
        <f>C78/C77-1</f>
        <v>-5.3640426126162488E-3</v>
      </c>
    </row>
    <row r="79" spans="1:4" ht="15.75">
      <c r="A79" s="94">
        <v>198.20177487155533</v>
      </c>
      <c r="B79" s="95">
        <f>A79/A78-1</f>
        <v>-9.9985002249662891E-3</v>
      </c>
      <c r="C79" s="94">
        <v>39.350206977451201</v>
      </c>
      <c r="D79" s="95">
        <f>C79/C78-1</f>
        <v>-1.2998500224966292E-2</v>
      </c>
    </row>
    <row r="80" spans="1:4" ht="15.75">
      <c r="A80" s="94">
        <v>197.61126309468204</v>
      </c>
      <c r="B80" s="95">
        <f>A80/A79-1</f>
        <v>-2.9793465636519523E-3</v>
      </c>
      <c r="C80" s="94">
        <v>39.351019694446293</v>
      </c>
      <c r="D80" s="95">
        <f>C80/C79-1</f>
        <v>2.0653436348050391E-5</v>
      </c>
    </row>
    <row r="81" spans="1:4" ht="15.75">
      <c r="A81" s="94">
        <v>202.15053045973178</v>
      </c>
      <c r="B81" s="95">
        <f>A81/A80-1</f>
        <v>2.2970691518098496E-2</v>
      </c>
      <c r="C81" s="94">
        <v>39.743376572742243</v>
      </c>
      <c r="D81" s="95">
        <f>C81/C80-1</f>
        <v>9.9706915180985956E-3</v>
      </c>
    </row>
    <row r="82" spans="1:4" ht="15.75">
      <c r="A82" s="94">
        <v>203.55041035564156</v>
      </c>
      <c r="B82" s="95">
        <f>A82/A81-1</f>
        <v>6.9249380287361717E-3</v>
      </c>
      <c r="C82" s="94">
        <v>39.621163226833787</v>
      </c>
      <c r="D82" s="95">
        <f>C82/C81-1</f>
        <v>-3.0750619712638372E-3</v>
      </c>
    </row>
    <row r="83" spans="1:4" ht="15.75">
      <c r="A83" s="94">
        <v>204.79081870954826</v>
      </c>
      <c r="B83" s="95">
        <f>A83/A82-1</f>
        <v>6.0938631945741673E-3</v>
      </c>
      <c r="C83" s="94">
        <v>39.862609175148002</v>
      </c>
      <c r="D83" s="95">
        <f>C83/C82-1</f>
        <v>6.0938631945741673E-3</v>
      </c>
    </row>
    <row r="84" spans="1:4" ht="15.75">
      <c r="A84" s="94">
        <v>203.26683125375325</v>
      </c>
      <c r="B84" s="95">
        <f>A84/A83-1</f>
        <v>-7.4416786133193469E-3</v>
      </c>
      <c r="C84" s="94">
        <v>42.436072309588852</v>
      </c>
      <c r="D84" s="95">
        <f>C84/C83-1</f>
        <v>6.4558321386680717E-2</v>
      </c>
    </row>
    <row r="85" spans="1:4" ht="15.75">
      <c r="A85" s="94">
        <v>203.53906719156603</v>
      </c>
      <c r="B85" s="95">
        <f>A85/A84-1</f>
        <v>1.3393032996757981E-3</v>
      </c>
      <c r="C85" s="94">
        <v>41.813929924304944</v>
      </c>
      <c r="D85" s="95">
        <f>C85/C84-1</f>
        <v>-1.4660696700324216E-2</v>
      </c>
    </row>
    <row r="86" spans="1:4" ht="15.75">
      <c r="A86" s="94">
        <v>204.16694468539401</v>
      </c>
      <c r="B86" s="95">
        <f>A86/A85-1</f>
        <v>3.0848008811843464E-3</v>
      </c>
      <c r="C86" s="94">
        <v>41.441150413089559</v>
      </c>
      <c r="D86" s="95">
        <f>C86/C85-1</f>
        <v>-8.9151991188156643E-3</v>
      </c>
    </row>
    <row r="87" spans="1:4" ht="15.75">
      <c r="A87" s="94">
        <v>201.79488890371655</v>
      </c>
      <c r="B87" s="95">
        <f>A87/A86-1</f>
        <v>-1.1618216579244112E-2</v>
      </c>
      <c r="C87" s="94">
        <v>41.084001603536521</v>
      </c>
      <c r="D87" s="95">
        <f>C87/C86-1</f>
        <v>-8.618216579244109E-3</v>
      </c>
    </row>
    <row r="88" spans="1:4" ht="15.75">
      <c r="A88" s="94">
        <v>197.2602922532862</v>
      </c>
      <c r="B88" s="95">
        <f>A88/A87-1</f>
        <v>-2.2471315676354742E-2</v>
      </c>
      <c r="C88" s="94">
        <v>40.037538029444981</v>
      </c>
      <c r="D88" s="95">
        <f>C88/C87-1</f>
        <v>-2.5471315676354633E-2</v>
      </c>
    </row>
    <row r="89" spans="1:4" ht="15.75">
      <c r="A89" s="94">
        <v>197.35504103556417</v>
      </c>
      <c r="B89" s="95">
        <f>A89/A88-1</f>
        <v>4.8032364342387446E-4</v>
      </c>
      <c r="C89" s="94">
        <v>40.176881619673338</v>
      </c>
      <c r="D89" s="95">
        <f>C89/C88-1</f>
        <v>3.4803236434237661E-3</v>
      </c>
    </row>
    <row r="90" spans="1:4" ht="15.75">
      <c r="A90" s="94">
        <v>196.58837659304731</v>
      </c>
      <c r="B90" s="95">
        <f>A90/A89-1</f>
        <v>-3.8846965271016609E-3</v>
      </c>
      <c r="C90" s="94">
        <v>37.047717387319793</v>
      </c>
      <c r="D90" s="95">
        <f>C90/C89-1</f>
        <v>-7.7884696527101616E-2</v>
      </c>
    </row>
    <row r="91" spans="1:4" ht="15.75">
      <c r="A91" s="94">
        <v>195.81704143591114</v>
      </c>
      <c r="B91" s="95">
        <f>A91/A90-1</f>
        <v>-3.9236051006865669E-3</v>
      </c>
      <c r="C91" s="94">
        <v>37.60626340476918</v>
      </c>
      <c r="D91" s="95">
        <f>C91/C90-1</f>
        <v>1.5076394899313339E-2</v>
      </c>
    </row>
    <row r="92" spans="1:4" ht="15.75">
      <c r="A92" s="94">
        <v>195.74564622672983</v>
      </c>
      <c r="B92" s="95">
        <f>A92/A91-1</f>
        <v>-3.6460161310669648E-4</v>
      </c>
      <c r="C92" s="94">
        <v>37.931008471111802</v>
      </c>
      <c r="D92" s="95">
        <f>C92/C91-1</f>
        <v>8.6353983868932005E-3</v>
      </c>
    </row>
    <row r="93" spans="1:4" ht="15.75">
      <c r="A93" s="94">
        <v>195.757656635751</v>
      </c>
      <c r="B93" s="95">
        <f>A93/A92-1</f>
        <v>6.1357221745161894E-5</v>
      </c>
      <c r="C93" s="94">
        <v>38.767817998774042</v>
      </c>
      <c r="D93" s="95">
        <f>C93/C92-1</f>
        <v>2.2061357221745181E-2</v>
      </c>
    </row>
    <row r="94" spans="1:4" ht="15.75">
      <c r="A94" s="94">
        <v>193.67318342563556</v>
      </c>
      <c r="B94" s="95">
        <f>A94/A93-1</f>
        <v>-1.0648233361283288E-2</v>
      </c>
      <c r="C94" s="94">
        <v>38.396290103111205</v>
      </c>
      <c r="D94" s="95">
        <f>C94/C93-1</f>
        <v>-9.5834100251550591E-3</v>
      </c>
    </row>
    <row r="95" spans="1:4" ht="15.75">
      <c r="A95" s="94">
        <v>193.08467338359912</v>
      </c>
      <c r="B95" s="95">
        <f>A95/A94-1</f>
        <v>-3.0386759365805815E-3</v>
      </c>
      <c r="C95" s="94">
        <v>37.47329412815558</v>
      </c>
      <c r="D95" s="95">
        <f>C95/C94-1</f>
        <v>-2.40386759365806E-2</v>
      </c>
    </row>
    <row r="96" spans="1:4" ht="15.75">
      <c r="A96" s="94">
        <v>191.76886635083738</v>
      </c>
      <c r="B96" s="95">
        <f>A96/A95-1</f>
        <v>-6.8146632754617631E-3</v>
      </c>
      <c r="C96" s="94">
        <v>37.517712599875104</v>
      </c>
      <c r="D96" s="95">
        <f>C96/C95-1</f>
        <v>1.185336724538244E-3</v>
      </c>
    </row>
    <row r="97" spans="1:4" ht="15.75">
      <c r="A97" s="94">
        <v>187.74204310402348</v>
      </c>
      <c r="B97" s="95">
        <f>A97/A96-1</f>
        <v>-2.0998315959416036E-2</v>
      </c>
      <c r="C97" s="94">
        <v>36.617350678828736</v>
      </c>
      <c r="D97" s="95">
        <f>C97/C96-1</f>
        <v>-2.3998315959416039E-2</v>
      </c>
    </row>
    <row r="98" spans="1:4" ht="15.75">
      <c r="A98" s="94">
        <v>185.4133582438113</v>
      </c>
      <c r="B98" s="95">
        <f>A98/A97-1</f>
        <v>-1.2403640770660584E-2</v>
      </c>
      <c r="C98" s="94">
        <v>36.822274527254152</v>
      </c>
      <c r="D98" s="95">
        <f>C98/C97-1</f>
        <v>5.5963592293393205E-3</v>
      </c>
    </row>
    <row r="99" spans="1:4" ht="15.75">
      <c r="A99" s="94">
        <v>189.97864816174018</v>
      </c>
      <c r="B99" s="95">
        <f>A99/A98-1</f>
        <v>2.4622227660240581E-2</v>
      </c>
      <c r="C99" s="94">
        <v>37.471165031941304</v>
      </c>
      <c r="D99" s="95">
        <f>C99/C98-1</f>
        <v>1.7622227660240686E-2</v>
      </c>
    </row>
    <row r="100" spans="1:4" ht="15.75">
      <c r="A100" s="94">
        <v>189.43617802095147</v>
      </c>
      <c r="B100" s="95">
        <f>A100/A99-1</f>
        <v>-2.855426891588686E-3</v>
      </c>
      <c r="C100" s="94">
        <v>37.70140934493741</v>
      </c>
      <c r="D100" s="95">
        <f>C100/C99-1</f>
        <v>6.144573108411322E-3</v>
      </c>
    </row>
    <row r="101" spans="1:4" ht="15.75">
      <c r="A101" s="94">
        <v>190.17281644091545</v>
      </c>
      <c r="B101" s="95">
        <f>A101/A100-1</f>
        <v>3.8885836256816741E-3</v>
      </c>
      <c r="C101" s="94">
        <v>37.659507381256567</v>
      </c>
      <c r="D101" s="95">
        <f>C101/C100-1</f>
        <v>-1.1114163743183303E-3</v>
      </c>
    </row>
    <row r="102" spans="1:4" ht="15.75">
      <c r="A102" s="94">
        <v>189.45619536932008</v>
      </c>
      <c r="B102" s="95">
        <f>A102/A101-1</f>
        <v>-3.7682623889520039E-3</v>
      </c>
      <c r="C102" s="94">
        <v>37.743553520292856</v>
      </c>
      <c r="D102" s="95">
        <f>C102/C101-1</f>
        <v>2.2317376110478904E-3</v>
      </c>
    </row>
    <row r="103" spans="1:4" ht="15.75">
      <c r="A103" s="94">
        <v>189.33275505438047</v>
      </c>
      <c r="B103" s="95">
        <f>A103/A102-1</f>
        <v>-6.5155069064370963E-4</v>
      </c>
      <c r="C103" s="94">
        <v>37.001834165043796</v>
      </c>
      <c r="D103" s="95">
        <f>C103/C102-1</f>
        <v>-1.9651550690643727E-2</v>
      </c>
    </row>
    <row r="104" spans="1:4" ht="15.75">
      <c r="A104" s="94">
        <v>191.56535664242341</v>
      </c>
      <c r="B104" s="95">
        <f>A104/A103-1</f>
        <v>1.1791945812026583E-2</v>
      </c>
      <c r="C104" s="94">
        <v>36.476110100172448</v>
      </c>
      <c r="D104" s="95">
        <f>C104/C103-1</f>
        <v>-1.420805418797344E-2</v>
      </c>
    </row>
    <row r="105" spans="1:4" ht="15.75">
      <c r="A105" s="94">
        <v>189.32141189030494</v>
      </c>
      <c r="B105" s="95">
        <f>A105/A104-1</f>
        <v>-1.1713729410412266E-2</v>
      </c>
      <c r="C105" s="94">
        <v>34.553318302407554</v>
      </c>
      <c r="D105" s="95">
        <f>C105/C104-1</f>
        <v>-5.2713729410412191E-2</v>
      </c>
    </row>
    <row r="106" spans="1:4" ht="15.75">
      <c r="A106" s="94">
        <v>188.65283245479415</v>
      </c>
      <c r="B106" s="95">
        <f>A106/A105-1</f>
        <v>-3.5314517720699268E-3</v>
      </c>
      <c r="C106" s="94">
        <v>34.431294925257617</v>
      </c>
      <c r="D106" s="95">
        <f>C106/C105-1</f>
        <v>-3.5314517720700378E-3</v>
      </c>
    </row>
    <row r="107" spans="1:4" ht="15.75">
      <c r="A107" s="94">
        <v>183.32421431907653</v>
      </c>
      <c r="B107" s="95">
        <f>A107/A106-1</f>
        <v>-2.8245630168285407E-2</v>
      </c>
      <c r="C107" s="94">
        <v>35.765658062575888</v>
      </c>
      <c r="D107" s="95">
        <f>C107/C106-1</f>
        <v>3.8754369831714541E-2</v>
      </c>
    </row>
    <row r="108" spans="1:4" ht="15.75">
      <c r="A108" s="94">
        <v>184.16027223593784</v>
      </c>
      <c r="B108" s="95">
        <f>A108/A107-1</f>
        <v>4.5605427519037622E-3</v>
      </c>
      <c r="C108" s="94">
        <v>35.642643610719631</v>
      </c>
      <c r="D108" s="95">
        <f>C108/C107-1</f>
        <v>-3.4394572480962449E-3</v>
      </c>
    </row>
    <row r="109" spans="1:4" ht="15.75">
      <c r="A109" s="94">
        <v>185.3679855875092</v>
      </c>
      <c r="B109" s="95">
        <f>A109/A108-1</f>
        <v>6.5579472538142003E-3</v>
      </c>
      <c r="C109" s="94">
        <v>34.949677453626514</v>
      </c>
      <c r="D109" s="95">
        <f>C109/C108-1</f>
        <v>-1.9442052746185934E-2</v>
      </c>
    </row>
    <row r="110" spans="1:4" ht="15.75">
      <c r="A110" s="94">
        <v>189.8125041702809</v>
      </c>
      <c r="B110" s="95">
        <f>A110/A109-1</f>
        <v>2.3976732382806842E-2</v>
      </c>
      <c r="C110" s="94">
        <v>35.682807484436658</v>
      </c>
      <c r="D110" s="95">
        <f>C110/C109-1</f>
        <v>2.0976732382806951E-2</v>
      </c>
    </row>
    <row r="111" spans="1:4" ht="15.75">
      <c r="A111" s="94">
        <v>188.89837859478214</v>
      </c>
      <c r="B111" s="95">
        <f>A111/A110-1</f>
        <v>-4.8159397058409326E-3</v>
      </c>
      <c r="C111" s="94">
        <v>35.439595620087609</v>
      </c>
      <c r="D111" s="95">
        <f>C111/C110-1</f>
        <v>-6.8159397058409343E-3</v>
      </c>
    </row>
    <row r="112" spans="1:4" ht="15.75">
      <c r="A112" s="94">
        <v>190.72662974577969</v>
      </c>
      <c r="B112" s="95">
        <f>A112/A111-1</f>
        <v>9.6784904380753378E-3</v>
      </c>
      <c r="C112" s="94">
        <v>35.676278620565625</v>
      </c>
      <c r="D112" s="95">
        <f>C112/C111-1</f>
        <v>6.6784904380754462E-3</v>
      </c>
    </row>
    <row r="113" spans="1:4" ht="15.75">
      <c r="A113" s="94">
        <v>187.47781410555814</v>
      </c>
      <c r="B113" s="95">
        <f>A113/A112-1</f>
        <v>-1.7033885853023789E-2</v>
      </c>
      <c r="C113" s="94">
        <v>34.85451529115884</v>
      </c>
      <c r="D113" s="95">
        <f>C113/C112-1</f>
        <v>-2.3033885853023905E-2</v>
      </c>
    </row>
    <row r="114" spans="1:4" ht="15.75">
      <c r="A114" s="94">
        <v>189.7024087542537</v>
      </c>
      <c r="B114" s="95">
        <f>A114/A113-1</f>
        <v>1.1865908823979643E-2</v>
      </c>
      <c r="C114" s="94">
        <v>34.013333241226015</v>
      </c>
      <c r="D114" s="95">
        <f>C114/C113-1</f>
        <v>-2.4134091176020389E-2</v>
      </c>
    </row>
    <row r="115" spans="1:4" ht="15.75">
      <c r="A115" s="94">
        <v>188.0703276172683</v>
      </c>
      <c r="B115" s="95">
        <f>A115/A114-1</f>
        <v>-8.6033759281340938E-3</v>
      </c>
      <c r="C115" s="94">
        <v>33.312543749888135</v>
      </c>
      <c r="D115" s="95">
        <f>C115/C114-1</f>
        <v>-2.0603375928134104E-2</v>
      </c>
    </row>
    <row r="116" spans="1:4" ht="15.75">
      <c r="A116" s="94">
        <v>189.25268566090611</v>
      </c>
      <c r="B116" s="95">
        <f>A116/A115-1</f>
        <v>6.2867867494971197E-3</v>
      </c>
      <c r="C116" s="94">
        <v>34.088285852275071</v>
      </c>
      <c r="D116" s="95">
        <f>C116/C115-1</f>
        <v>2.3286786749497024E-2</v>
      </c>
    </row>
    <row r="117" spans="1:4" ht="15.75">
      <c r="A117" s="94">
        <v>191.68612797758058</v>
      </c>
      <c r="B117" s="95">
        <f>A117/A116-1</f>
        <v>1.2858165305165592E-2</v>
      </c>
      <c r="C117" s="94">
        <v>32.276771800483203</v>
      </c>
      <c r="D117" s="95">
        <f>C117/C116-1</f>
        <v>-5.3141834694834467E-2</v>
      </c>
    </row>
    <row r="118" spans="1:4" ht="15.75">
      <c r="A118" s="94">
        <v>193.18943084006139</v>
      </c>
      <c r="B118" s="95">
        <f>A118/A117-1</f>
        <v>7.8425229741019287E-3</v>
      </c>
      <c r="C118" s="94">
        <v>33.595036594274283</v>
      </c>
      <c r="D118" s="95">
        <f>C118/C117-1</f>
        <v>4.0842522974101847E-2</v>
      </c>
    </row>
    <row r="119" spans="1:4" ht="15.75">
      <c r="A119" s="94">
        <v>195.48675518782946</v>
      </c>
      <c r="B119" s="95">
        <f>A119/A118-1</f>
        <v>1.1891563310572506E-2</v>
      </c>
      <c r="C119" s="94">
        <v>33.826558915884732</v>
      </c>
      <c r="D119" s="95">
        <f>C119/C118-1</f>
        <v>6.8915633105726126E-3</v>
      </c>
    </row>
    <row r="120" spans="1:4" ht="15.75">
      <c r="A120" s="94">
        <v>195.53279508907718</v>
      </c>
      <c r="B120" s="95">
        <f>A120/A119-1</f>
        <v>2.3551417180911471E-4</v>
      </c>
      <c r="C120" s="94">
        <v>34.714016081705964</v>
      </c>
      <c r="D120" s="95">
        <f>C120/C119-1</f>
        <v>2.6235514171809138E-2</v>
      </c>
    </row>
    <row r="121" spans="1:4" ht="15.75">
      <c r="A121" s="94">
        <v>190.77133515713621</v>
      </c>
      <c r="B121" s="95">
        <f>A121/A120-1</f>
        <v>-2.4351208858707563E-2</v>
      </c>
      <c r="C121" s="94">
        <v>33.764545777530692</v>
      </c>
      <c r="D121" s="95">
        <f>C121/C120-1</f>
        <v>-2.7351208858707565E-2</v>
      </c>
    </row>
    <row r="122" spans="1:4" ht="15.75">
      <c r="A122" s="94">
        <v>192.99526256088612</v>
      </c>
      <c r="B122" s="95">
        <f>A122/A121-1</f>
        <v>1.1657555376011208E-2</v>
      </c>
      <c r="C122" s="94">
        <v>34.158157839678118</v>
      </c>
      <c r="D122" s="95">
        <f>C122/C121-1</f>
        <v>1.1657555376011208E-2</v>
      </c>
    </row>
    <row r="123" spans="1:4" ht="15.75">
      <c r="A123" s="94">
        <v>189.24134249683058</v>
      </c>
      <c r="B123" s="95">
        <f>A123/A122-1</f>
        <v>-1.9450840472683861E-2</v>
      </c>
      <c r="C123" s="94">
        <v>33.254645855820037</v>
      </c>
      <c r="D123" s="95">
        <f>C123/C122-1</f>
        <v>-2.6450840472683868E-2</v>
      </c>
    </row>
    <row r="124" spans="1:4" ht="15.75">
      <c r="A124" s="94">
        <v>190.43571094948956</v>
      </c>
      <c r="B124" s="95">
        <f>A124/A123-1</f>
        <v>6.3113505585017382E-3</v>
      </c>
      <c r="C124" s="94">
        <v>33.464527583514943</v>
      </c>
      <c r="D124" s="95">
        <f>C124/C123-1</f>
        <v>6.3113505585017382E-3</v>
      </c>
    </row>
    <row r="125" spans="1:4" ht="15.75">
      <c r="A125" s="94">
        <v>191.85427370387671</v>
      </c>
      <c r="B125" s="95">
        <f>A125/A124-1</f>
        <v>7.4490375114750762E-3</v>
      </c>
      <c r="C125" s="94">
        <v>33.8476642151224</v>
      </c>
      <c r="D125" s="95">
        <f>C125/C124-1</f>
        <v>1.144903751147508E-2</v>
      </c>
    </row>
    <row r="126" spans="1:4" ht="15.75">
      <c r="A126" s="94">
        <v>190.13078000934141</v>
      </c>
      <c r="B126" s="95">
        <f>A126/A125-1</f>
        <v>-8.9833479404033412E-3</v>
      </c>
      <c r="C126" s="94">
        <v>33.44205587786265</v>
      </c>
      <c r="D126" s="95">
        <f>C126/C125-1</f>
        <v>-1.1983347940403344E-2</v>
      </c>
    </row>
    <row r="127" spans="1:4" ht="15.75">
      <c r="A127" s="94">
        <v>195.83972776406219</v>
      </c>
      <c r="B127" s="95">
        <f>A127/A126-1</f>
        <v>3.0026425781455757E-2</v>
      </c>
      <c r="C127" s="94">
        <v>34.379317174902866</v>
      </c>
      <c r="D127" s="95">
        <f>C127/C126-1</f>
        <v>2.8026425781455755E-2</v>
      </c>
    </row>
    <row r="128" spans="1:4" ht="15.75">
      <c r="A128" s="94">
        <v>196.91933008607461</v>
      </c>
      <c r="B128" s="95">
        <f>A128/A127-1</f>
        <v>5.5126829185192516E-3</v>
      </c>
      <c r="C128" s="94">
        <v>34.603218766618205</v>
      </c>
      <c r="D128" s="95">
        <f>C128/C127-1</f>
        <v>6.5126829185191415E-3</v>
      </c>
    </row>
    <row r="129" spans="1:4" ht="15.75">
      <c r="A129" s="94">
        <v>198.57743377593914</v>
      </c>
      <c r="B129" s="95">
        <f>A129/A128-1</f>
        <v>8.4202180107955105E-3</v>
      </c>
      <c r="C129" s="94">
        <v>35.828872319207072</v>
      </c>
      <c r="D129" s="95">
        <f>C129/C128-1</f>
        <v>3.5420218010795423E-2</v>
      </c>
    </row>
    <row r="130" spans="1:4" ht="15.75">
      <c r="A130" s="94">
        <v>198.58010275572161</v>
      </c>
      <c r="B130" s="95">
        <f>A130/A129-1</f>
        <v>1.3440498911387877E-5</v>
      </c>
      <c r="C130" s="94">
        <v>35.829305721334535</v>
      </c>
      <c r="D130" s="95">
        <f>C130/C129-1</f>
        <v>1.2096449020226885E-5</v>
      </c>
    </row>
    <row r="131" spans="1:4" ht="15.75">
      <c r="A131" s="94">
        <v>195.99185961166344</v>
      </c>
      <c r="B131" s="95">
        <f>A131/A130-1</f>
        <v>-1.303374863916773E-2</v>
      </c>
      <c r="C131" s="94">
        <v>35.290656945204098</v>
      </c>
      <c r="D131" s="95">
        <f>C131/C130-1</f>
        <v>-1.5033748639167732E-2</v>
      </c>
    </row>
    <row r="132" spans="1:4" ht="15.75">
      <c r="A132" s="94">
        <v>195.62087142189898</v>
      </c>
      <c r="B132" s="95">
        <f>A132/A131-1</f>
        <v>-1.8928755025822142E-3</v>
      </c>
      <c r="C132" s="94">
        <v>35.964959921051772</v>
      </c>
      <c r="D132" s="95">
        <f>C132/C131-1</f>
        <v>1.9107124497417693E-2</v>
      </c>
    </row>
    <row r="133" spans="1:4" ht="15.75">
      <c r="A133" s="94">
        <v>193.65650230199506</v>
      </c>
      <c r="B133" s="95">
        <f>A133/A132-1</f>
        <v>-1.0041715414237817E-2</v>
      </c>
      <c r="C133" s="94">
        <v>36.682758826271659</v>
      </c>
      <c r="D133" s="95">
        <f>C133/C132-1</f>
        <v>1.9958284585762209E-2</v>
      </c>
    </row>
    <row r="134" spans="1:4" ht="15.75">
      <c r="A134" s="94">
        <v>192.69900580503102</v>
      </c>
      <c r="B134" s="95">
        <f>A134/A133-1</f>
        <v>-4.9443033700510286E-3</v>
      </c>
      <c r="C134" s="94">
        <v>36.721484691141782</v>
      </c>
      <c r="D134" s="95">
        <f>C134/C133-1</f>
        <v>1.0556966299488657E-3</v>
      </c>
    </row>
    <row r="135" spans="1:4" ht="15.75">
      <c r="A135" s="94">
        <v>191.24507906852605</v>
      </c>
      <c r="B135" s="95">
        <f>A135/A134-1</f>
        <v>-7.5450661015658005E-3</v>
      </c>
      <c r="C135" s="94">
        <v>36.554583115872909</v>
      </c>
      <c r="D135" s="95">
        <f>C135/C134-1</f>
        <v>-4.5450661015656868E-3</v>
      </c>
    </row>
    <row r="136" spans="1:4" ht="15.75">
      <c r="A136" s="94">
        <v>194.06619069860545</v>
      </c>
      <c r="B136" s="95">
        <f>A136/A135-1</f>
        <v>1.4751290040088127E-2</v>
      </c>
      <c r="C136" s="94">
        <v>36.801373708782677</v>
      </c>
      <c r="D136" s="95">
        <f>C136/C135-1</f>
        <v>6.7512900400881204E-3</v>
      </c>
    </row>
    <row r="137" spans="1:4" ht="15.75">
      <c r="A137" s="94">
        <v>193.29685727630613</v>
      </c>
      <c r="B137" s="95">
        <f>A137/A136-1</f>
        <v>-3.96428362678658E-3</v>
      </c>
      <c r="C137" s="94">
        <v>36.802688120380829</v>
      </c>
      <c r="D137" s="95">
        <f>C137/C136-1</f>
        <v>3.571637321342358E-5</v>
      </c>
    </row>
    <row r="138" spans="1:4" ht="15.75">
      <c r="A138" s="94">
        <v>194.17094815506772</v>
      </c>
      <c r="B138" s="95">
        <f>A138/A137-1</f>
        <v>4.5220128825589345E-3</v>
      </c>
      <c r="C138" s="94">
        <v>38.183599058146555</v>
      </c>
      <c r="D138" s="95">
        <f>C138/C137-1</f>
        <v>3.7522012882558853E-2</v>
      </c>
    </row>
    <row r="139" spans="1:4" ht="15.75">
      <c r="A139" s="94">
        <v>196.34349769800494</v>
      </c>
      <c r="B139" s="95">
        <f>A139/A138-1</f>
        <v>1.1188849637805642E-2</v>
      </c>
      <c r="C139" s="94">
        <v>38.45809521040583</v>
      </c>
      <c r="D139" s="95">
        <f>C139/C138-1</f>
        <v>7.1888496378056388E-3</v>
      </c>
    </row>
    <row r="140" spans="1:4" ht="15.75">
      <c r="A140" s="94">
        <v>197.89817842129847</v>
      </c>
      <c r="B140" s="95">
        <f>A140/A139-1</f>
        <v>7.9181676068782458E-3</v>
      </c>
      <c r="C140" s="94">
        <v>39.762523329593655</v>
      </c>
      <c r="D140" s="95">
        <f>C140/C139-1</f>
        <v>3.3918167606878269E-2</v>
      </c>
    </row>
    <row r="141" spans="1:4" ht="15.75">
      <c r="A141" s="94">
        <v>195.18916394208316</v>
      </c>
      <c r="B141" s="95">
        <f>A141/A140-1</f>
        <v>-1.3688930847297609E-2</v>
      </c>
      <c r="C141" s="94">
        <v>39.417029514068759</v>
      </c>
      <c r="D141" s="95">
        <f>C141/C140-1</f>
        <v>-8.6889308472976046E-3</v>
      </c>
    </row>
    <row r="142" spans="1:4" ht="15.75">
      <c r="A142" s="94">
        <v>192.84379795823048</v>
      </c>
      <c r="B142" s="95">
        <f>A142/A141-1</f>
        <v>-1.2015861621030299E-2</v>
      </c>
      <c r="C142" s="94">
        <v>36.972548466212203</v>
      </c>
      <c r="D142" s="95">
        <f>C142/C141-1</f>
        <v>-6.2015861621030344E-2</v>
      </c>
    </row>
    <row r="143" spans="1:4" ht="15.75">
      <c r="A143" s="94">
        <v>191.03156068592779</v>
      </c>
      <c r="B143" s="95">
        <f>A143/A142-1</f>
        <v>-9.397436119232716E-3</v>
      </c>
      <c r="C143" s="94">
        <v>36.033540528376342</v>
      </c>
      <c r="D143" s="95">
        <f>C143/C142-1</f>
        <v>-2.539743611923273E-2</v>
      </c>
    </row>
    <row r="144" spans="1:4" ht="15.75">
      <c r="A144" s="94">
        <v>190.44772135851071</v>
      </c>
      <c r="B144" s="95">
        <f>A144/A143-1</f>
        <v>-3.0562453938015599E-3</v>
      </c>
      <c r="C144" s="94">
        <v>37.004419401965414</v>
      </c>
      <c r="D144" s="95">
        <f>C144/C143-1</f>
        <v>2.6943754606198356E-2</v>
      </c>
    </row>
    <row r="145" spans="1:4" ht="15.75">
      <c r="A145" s="94">
        <v>193.05064389137252</v>
      </c>
      <c r="B145" s="95">
        <f>A145/A144-1</f>
        <v>1.3667386064241338E-2</v>
      </c>
      <c r="C145" s="94">
        <v>37.510173088015179</v>
      </c>
      <c r="D145" s="95">
        <f>C145/C144-1</f>
        <v>1.3667386064241338E-2</v>
      </c>
    </row>
    <row r="146" spans="1:4" ht="15.75">
      <c r="A146" s="94">
        <v>197.37706011876961</v>
      </c>
      <c r="B146" s="95">
        <f>A146/A145-1</f>
        <v>2.2410783720729244E-2</v>
      </c>
      <c r="C146" s="94">
        <v>38.538356329857876</v>
      </c>
      <c r="D146" s="95">
        <f>C146/C145-1</f>
        <v>2.7410783720729137E-2</v>
      </c>
    </row>
    <row r="147" spans="1:4" ht="15.75">
      <c r="A147" s="94">
        <v>196.55968506038568</v>
      </c>
      <c r="B147" s="95">
        <f>A147/A146-1</f>
        <v>-4.1411856975277495E-3</v>
      </c>
      <c r="C147" s="94">
        <v>38.494376908808015</v>
      </c>
      <c r="D147" s="95">
        <f>C147/C146-1</f>
        <v>-1.1411856975277468E-3</v>
      </c>
    </row>
    <row r="148" spans="1:4" ht="15.75">
      <c r="A148" s="94">
        <v>196.13798625475411</v>
      </c>
      <c r="B148" s="95">
        <f>A148/A147-1</f>
        <v>-2.1453982565244889E-3</v>
      </c>
      <c r="C148" s="94">
        <v>38.411791139701862</v>
      </c>
      <c r="D148" s="95">
        <f>C148/C147-1</f>
        <v>-2.1453982565244889E-3</v>
      </c>
    </row>
    <row r="149" spans="1:4" ht="15.75">
      <c r="A149" s="94">
        <v>194.8495362647628</v>
      </c>
      <c r="B149" s="95">
        <f>A149/A148-1</f>
        <v>-6.5690997169605136E-3</v>
      </c>
      <c r="C149" s="94">
        <v>37.852165924280484</v>
      </c>
      <c r="D149" s="95">
        <f>C149/C148-1</f>
        <v>-1.4569099716960521E-2</v>
      </c>
    </row>
    <row r="150" spans="1:4" ht="15.75">
      <c r="A150" s="94">
        <v>194.15293254153599</v>
      </c>
      <c r="B150" s="95">
        <f>A150/A149-1</f>
        <v>-3.5750853534507465E-3</v>
      </c>
      <c r="C150" s="94">
        <v>37.678989034363923</v>
      </c>
      <c r="D150" s="95">
        <f>C150/C149-1</f>
        <v>-4.5750853534507474E-3</v>
      </c>
    </row>
    <row r="151" spans="1:4" ht="15.75">
      <c r="A151" s="94">
        <v>198.03162741042237</v>
      </c>
      <c r="B151" s="95">
        <f>A151/A150-1</f>
        <v>1.997752399674213E-2</v>
      </c>
      <c r="C151" s="94">
        <v>41.06925117437639</v>
      </c>
      <c r="D151" s="95">
        <f>C151/C150-1</f>
        <v>8.9977523996742192E-2</v>
      </c>
    </row>
    <row r="152" spans="1:4" ht="15.75">
      <c r="A152" s="94">
        <v>199.50023353573096</v>
      </c>
      <c r="B152" s="95">
        <f>A152/A151-1</f>
        <v>7.4160180599076586E-3</v>
      </c>
      <c r="C152" s="94">
        <v>41.343364451950848</v>
      </c>
      <c r="D152" s="95">
        <f>C152/C151-1</f>
        <v>6.6744162539169594E-3</v>
      </c>
    </row>
    <row r="153" spans="1:4" ht="15.75">
      <c r="A153" s="94">
        <v>201.23173416961367</v>
      </c>
      <c r="B153" s="95">
        <f>A153/A152-1</f>
        <v>8.6791910124386362E-3</v>
      </c>
      <c r="C153" s="94">
        <v>41.702191409126193</v>
      </c>
      <c r="D153" s="95">
        <f>C153/C152-1</f>
        <v>8.6791910124386362E-3</v>
      </c>
    </row>
    <row r="154" spans="1:4" ht="15.75">
      <c r="A154" s="94">
        <v>200.92413424968305</v>
      </c>
      <c r="B154" s="95">
        <f>A154/A153-1</f>
        <v>-1.5285855444219232E-3</v>
      </c>
      <c r="C154" s="94">
        <v>41.596743850758358</v>
      </c>
      <c r="D154" s="95">
        <f>C154/C153-1</f>
        <v>-2.5285855444220351E-3</v>
      </c>
    </row>
    <row r="155" spans="1:4" ht="15.75">
      <c r="A155" s="94">
        <v>201.41722826449589</v>
      </c>
      <c r="B155" s="95">
        <f>A155/A154-1</f>
        <v>2.4541303445413387E-3</v>
      </c>
      <c r="C155" s="94">
        <v>41.490843962822822</v>
      </c>
      <c r="D155" s="95">
        <f>C155/C154-1</f>
        <v>-2.5458696554587767E-3</v>
      </c>
    </row>
    <row r="156" spans="1:4" ht="15.75">
      <c r="A156" s="94">
        <v>201.56535664242344</v>
      </c>
      <c r="B156" s="95">
        <f>A156/A155-1</f>
        <v>7.3543052500468775E-4</v>
      </c>
      <c r="C156" s="94">
        <v>41.521357595981286</v>
      </c>
      <c r="D156" s="95">
        <f>C156/C155-1</f>
        <v>7.3543052500468775E-4</v>
      </c>
    </row>
    <row r="157" spans="1:4" ht="15.75">
      <c r="A157" s="94">
        <v>201.67611930339626</v>
      </c>
      <c r="B157" s="95">
        <f>A157/A156-1</f>
        <v>5.4951239051126421E-4</v>
      </c>
      <c r="C157" s="94">
        <v>41.627216811643088</v>
      </c>
      <c r="D157" s="95">
        <f>C157/C156-1</f>
        <v>2.549512390511266E-3</v>
      </c>
    </row>
    <row r="158" spans="1:4" ht="15.75">
      <c r="A158" s="94">
        <v>201.30646560352307</v>
      </c>
      <c r="B158" s="95">
        <f>A158/A157-1</f>
        <v>-1.8329076399824507E-3</v>
      </c>
      <c r="C158" s="94">
        <v>41.13464579980139</v>
      </c>
      <c r="D158" s="95">
        <f>C158/C157-1</f>
        <v>-1.183290763998246E-2</v>
      </c>
    </row>
    <row r="159" spans="1:4" ht="15.75">
      <c r="A159" s="94">
        <v>202.23727230266229</v>
      </c>
      <c r="B159" s="95">
        <f>A159/A158-1</f>
        <v>4.623829127140322E-3</v>
      </c>
      <c r="C159" s="94">
        <v>41.530518602184117</v>
      </c>
      <c r="D159" s="95">
        <f>C159/C158-1</f>
        <v>9.6238291271402154E-3</v>
      </c>
    </row>
    <row r="160" spans="1:4" ht="15.75">
      <c r="A160" s="94">
        <v>204.33642490158135</v>
      </c>
      <c r="B160" s="95">
        <f>A160/A159-1</f>
        <v>1.0379652449908017E-2</v>
      </c>
      <c r="C160" s="94">
        <v>42.003121469941419</v>
      </c>
      <c r="D160" s="95">
        <f>C160/C159-1</f>
        <v>1.1379652449908129E-2</v>
      </c>
    </row>
    <row r="161" spans="1:4" ht="15.75">
      <c r="A161" s="94">
        <v>205.28391272436113</v>
      </c>
      <c r="B161" s="95">
        <f>A161/A160-1</f>
        <v>4.6369012437998958E-3</v>
      </c>
      <c r="C161" s="94">
        <v>41.315820245260099</v>
      </c>
      <c r="D161" s="95">
        <f>C161/C160-1</f>
        <v>-1.6363098756200123E-2</v>
      </c>
    </row>
    <row r="162" spans="1:4" ht="15.75">
      <c r="A162" s="94">
        <v>205.25855741642758</v>
      </c>
      <c r="B162" s="95">
        <f>A162/A161-1</f>
        <v>-1.2351337032234788E-4</v>
      </c>
      <c r="C162" s="94">
        <v>41.31122749467459</v>
      </c>
      <c r="D162" s="95">
        <f>C162/C161-1</f>
        <v>-1.1116203329009089E-4</v>
      </c>
    </row>
    <row r="163" spans="1:4" ht="15.75">
      <c r="A163" s="94">
        <v>204.66137319009809</v>
      </c>
      <c r="B163" s="95">
        <f>A163/A162-1</f>
        <v>-2.9094242590720354E-3</v>
      </c>
      <c r="C163" s="94">
        <v>41.562836654681611</v>
      </c>
      <c r="D163" s="95">
        <f>C163/C162-1</f>
        <v>6.0905757409279726E-3</v>
      </c>
    </row>
    <row r="164" spans="1:4" ht="15.75">
      <c r="A164" s="94">
        <v>205.08907720024021</v>
      </c>
      <c r="B164" s="95">
        <f>A164/A163-1</f>
        <v>2.0898130579083407E-3</v>
      </c>
      <c r="C164" s="94">
        <v>43.021268823050768</v>
      </c>
      <c r="D164" s="95">
        <f>C164/C163-1</f>
        <v>3.5089813057908259E-2</v>
      </c>
    </row>
    <row r="165" spans="1:4" ht="15.75">
      <c r="A165" s="94">
        <v>203.73657169546942</v>
      </c>
      <c r="B165" s="95">
        <f>A165/A164-1</f>
        <v>-6.5947222701200348E-3</v>
      </c>
      <c r="C165" s="94">
        <v>41.705045051701354</v>
      </c>
      <c r="D165" s="95">
        <f>C165/C164-1</f>
        <v>-3.0594722270120056E-2</v>
      </c>
    </row>
    <row r="166" spans="1:4" ht="15.75">
      <c r="A166" s="94">
        <v>204.83018616133981</v>
      </c>
      <c r="B166" s="95">
        <f>A166/A165-1</f>
        <v>5.3677867295471859E-3</v>
      </c>
      <c r="C166" s="94">
        <v>41.136512983102719</v>
      </c>
      <c r="D166" s="95">
        <f>C166/C165-1</f>
        <v>-1.3632213270452831E-2</v>
      </c>
    </row>
    <row r="167" spans="1:4" ht="15.75">
      <c r="A167" s="94">
        <v>205.05704944285048</v>
      </c>
      <c r="B167" s="95">
        <f>A167/A166-1</f>
        <v>1.107567618632066E-3</v>
      </c>
      <c r="C167" s="94">
        <v>41.058664913876932</v>
      </c>
      <c r="D167" s="95">
        <f>C167/C166-1</f>
        <v>-1.8924323813679367E-3</v>
      </c>
    </row>
    <row r="168" spans="1:4" ht="15.75">
      <c r="A168" s="94">
        <v>205.32061119637018</v>
      </c>
      <c r="B168" s="95">
        <f>A168/A167-1</f>
        <v>1.2853094016314071E-3</v>
      </c>
      <c r="C168" s="94">
        <v>40.824027347512036</v>
      </c>
      <c r="D168" s="95">
        <f>C168/C167-1</f>
        <v>-5.7146905983684881E-3</v>
      </c>
    </row>
    <row r="169" spans="1:4" ht="15.75">
      <c r="A169" s="94">
        <v>205.59084539934611</v>
      </c>
      <c r="B169" s="95">
        <f>A169/A168-1</f>
        <v>1.316157210916602E-3</v>
      </c>
      <c r="C169" s="94">
        <v>40.91858221283163</v>
      </c>
      <c r="D169" s="95">
        <f>C169/C168-1</f>
        <v>2.3161572109164918E-3</v>
      </c>
    </row>
    <row r="170" spans="1:4" ht="15.75">
      <c r="A170" s="94">
        <v>203.42363381597386</v>
      </c>
      <c r="B170" s="95">
        <f>A170/A169-1</f>
        <v>-1.0541381738873534E-2</v>
      </c>
      <c r="C170" s="94">
        <v>40.282650906448531</v>
      </c>
      <c r="D170" s="95">
        <f>C170/C169-1</f>
        <v>-1.554138173887365E-2</v>
      </c>
    </row>
    <row r="171" spans="1:4" ht="15.75">
      <c r="A171" s="94">
        <v>204.64135584172951</v>
      </c>
      <c r="B171" s="95">
        <f>A171/A170-1</f>
        <v>5.9861383995196693E-3</v>
      </c>
      <c r="C171" s="94">
        <v>39.677852760838647</v>
      </c>
      <c r="D171" s="95">
        <f>C171/C170-1</f>
        <v>-1.5013861600480349E-2</v>
      </c>
    </row>
    <row r="172" spans="1:4" ht="15.75">
      <c r="A172" s="94">
        <v>205.18182424768131</v>
      </c>
      <c r="B172" s="95">
        <f>A172/A171-1</f>
        <v>2.6410517254868981E-3</v>
      </c>
      <c r="C172" s="94">
        <v>41.68718095485653</v>
      </c>
      <c r="D172" s="95">
        <f>C172/C171-1</f>
        <v>5.0641051725486941E-2</v>
      </c>
    </row>
    <row r="173" spans="1:4" ht="15.75">
      <c r="A173" s="94">
        <v>204.79548942416761</v>
      </c>
      <c r="B173" s="95">
        <f>A173/A172-1</f>
        <v>-1.8828900899493517E-3</v>
      </c>
      <c r="C173" s="94">
        <v>41.817124479732989</v>
      </c>
      <c r="D173" s="95">
        <f>C173/C172-1</f>
        <v>3.1171099100506527E-3</v>
      </c>
    </row>
    <row r="174" spans="1:4" ht="15.75">
      <c r="A174" s="94">
        <v>209.23533729232</v>
      </c>
      <c r="B174" s="95">
        <f>A174/A173-1</f>
        <v>2.1679422142724336E-2</v>
      </c>
      <c r="C174" s="94">
        <v>43.560038063718636</v>
      </c>
      <c r="D174" s="95">
        <f>C174/C173-1</f>
        <v>4.1679422142724354E-2</v>
      </c>
    </row>
    <row r="175" spans="1:4" ht="15.75">
      <c r="A175" s="94">
        <v>209.27603923400281</v>
      </c>
      <c r="B175" s="95">
        <f>A175/A174-1</f>
        <v>1.9452709188394479E-4</v>
      </c>
      <c r="C175" s="94">
        <v>43.567664310492837</v>
      </c>
      <c r="D175" s="95">
        <f>C175/C174-1</f>
        <v>1.7507438269559472E-4</v>
      </c>
    </row>
    <row r="176" spans="1:4" ht="15.75">
      <c r="A176" s="94">
        <v>207.1141656101955</v>
      </c>
      <c r="B176" s="95">
        <f>A176/A175-1</f>
        <v>-1.0330249137551761E-2</v>
      </c>
      <c r="C176" s="94">
        <v>42.812625833650777</v>
      </c>
      <c r="D176" s="95">
        <f>C176/C175-1</f>
        <v>-1.7330249137551657E-2</v>
      </c>
    </row>
    <row r="177" spans="1:4" ht="15.75">
      <c r="A177" s="94">
        <v>207.14819510242211</v>
      </c>
      <c r="B177" s="95">
        <f>A177/A176-1</f>
        <v>1.6430306505754722E-4</v>
      </c>
      <c r="C177" s="94">
        <v>44.275289357642535</v>
      </c>
      <c r="D177" s="95">
        <f>C177/C176-1</f>
        <v>3.4164303065057577E-2</v>
      </c>
    </row>
    <row r="178" spans="1:4" ht="15.75">
      <c r="A178" s="94">
        <v>207.80076065923799</v>
      </c>
      <c r="B178" s="95">
        <f>A178/A177-1</f>
        <v>3.1502353013177498E-3</v>
      </c>
      <c r="C178" s="94">
        <v>44.59186809458361</v>
      </c>
      <c r="D178" s="95">
        <f>C178/C177-1</f>
        <v>7.1502353013177533E-3</v>
      </c>
    </row>
    <row r="179" spans="1:4" ht="15.75">
      <c r="A179" s="94">
        <v>210.57116167345032</v>
      </c>
      <c r="B179" s="95">
        <f>A179/A178-1</f>
        <v>1.3332006126557827E-2</v>
      </c>
      <c r="C179" s="94">
        <v>45.275550889404421</v>
      </c>
      <c r="D179" s="95">
        <f>C179/C178-1</f>
        <v>1.5332006126557829E-2</v>
      </c>
    </row>
    <row r="180" spans="1:4" ht="15.75">
      <c r="A180" s="94">
        <v>212.44745446053244</v>
      </c>
      <c r="B180" s="95">
        <f>A180/A179-1</f>
        <v>8.9104926437735266E-3</v>
      </c>
      <c r="C180" s="94">
        <v>45.588427250768447</v>
      </c>
      <c r="D180" s="95">
        <f>C180/C179-1</f>
        <v>6.9104926437735248E-3</v>
      </c>
    </row>
    <row r="181" spans="1:4" ht="15.75">
      <c r="A181" s="94">
        <v>212.09514912924536</v>
      </c>
      <c r="B181" s="95">
        <f>A181/A180-1</f>
        <v>-1.6583174987042648E-3</v>
      </c>
      <c r="C181" s="94">
        <v>45.51282716412009</v>
      </c>
      <c r="D181" s="95">
        <f>C181/C180-1</f>
        <v>-1.6583174987042648E-3</v>
      </c>
    </row>
    <row r="182" spans="1:4" ht="15.75">
      <c r="A182" s="94">
        <v>212.03709881897646</v>
      </c>
      <c r="B182" s="95">
        <f>A182/A181-1</f>
        <v>-2.7369937741250627E-4</v>
      </c>
      <c r="C182" s="94">
        <v>45.409344677332747</v>
      </c>
      <c r="D182" s="95">
        <f>C182/C181-1</f>
        <v>-2.273699377412508E-3</v>
      </c>
    </row>
    <row r="183" spans="1:4" ht="15.75">
      <c r="A183" s="94">
        <v>212.35871088276505</v>
      </c>
      <c r="B183" s="95">
        <f>A183/A182-1</f>
        <v>1.5167726099816203E-3</v>
      </c>
      <c r="C183" s="94">
        <v>45.705267050963201</v>
      </c>
      <c r="D183" s="95">
        <f>C183/C182-1</f>
        <v>6.5167726099815138E-3</v>
      </c>
    </row>
    <row r="184" spans="1:4" ht="15.75">
      <c r="A184" s="94">
        <v>211.91432574898246</v>
      </c>
      <c r="B184" s="95">
        <f>A184/A183-1</f>
        <v>-2.0926155180321926E-3</v>
      </c>
      <c r="C184" s="94">
        <v>44.101349687194762</v>
      </c>
      <c r="D184" s="95">
        <f>C184/C183-1</f>
        <v>-3.5092615518032222E-2</v>
      </c>
    </row>
    <row r="185" spans="1:4" ht="15.75">
      <c r="A185" s="94">
        <v>212.18122372723028</v>
      </c>
      <c r="B185" s="95">
        <f>A185/A184-1</f>
        <v>1.2594617060668334E-3</v>
      </c>
      <c r="C185" s="94">
        <v>44.112792298624456</v>
      </c>
      <c r="D185" s="95">
        <f>C185/C184-1</f>
        <v>2.5946170606694352E-4</v>
      </c>
    </row>
    <row r="186" spans="1:4" ht="15.75">
      <c r="A186" s="94">
        <v>210.901447921532</v>
      </c>
      <c r="B186" s="95">
        <f>A186/A185-1</f>
        <v>-6.0315224090868869E-3</v>
      </c>
      <c r="C186" s="94">
        <v>44.067288964841026</v>
      </c>
      <c r="D186" s="95">
        <f>C186/C185-1</f>
        <v>-1.0315224090869934E-3</v>
      </c>
    </row>
    <row r="187" spans="1:4" ht="15.75">
      <c r="A187" s="94">
        <v>208.02895843063988</v>
      </c>
      <c r="B187" s="95">
        <f>A187/A186-1</f>
        <v>-1.3620055809009268E-2</v>
      </c>
      <c r="C187" s="94">
        <v>43.202686295999108</v>
      </c>
      <c r="D187" s="95">
        <f>C187/C186-1</f>
        <v>-1.9620055809009274E-2</v>
      </c>
    </row>
    <row r="188" spans="1:4" ht="15.75">
      <c r="A188" s="94">
        <v>206.42556882631612</v>
      </c>
      <c r="B188" s="95">
        <f>A188/A187-1</f>
        <v>-7.7075307996523623E-3</v>
      </c>
      <c r="C188" s="94">
        <v>43.215321751112967</v>
      </c>
      <c r="D188" s="95">
        <f>C188/C187-1</f>
        <v>2.9246920034764479E-4</v>
      </c>
    </row>
    <row r="189" spans="1:4" ht="15.75">
      <c r="A189" s="94">
        <v>209.28804964302395</v>
      </c>
      <c r="B189" s="95">
        <f>A189/A188-1</f>
        <v>1.3866890778032825E-2</v>
      </c>
      <c r="C189" s="94">
        <v>44.246737115284326</v>
      </c>
      <c r="D189" s="95">
        <f>C189/C188-1</f>
        <v>2.3866890778032834E-2</v>
      </c>
    </row>
    <row r="190" spans="1:4" ht="15.75">
      <c r="A190" s="94">
        <v>207.92887168879696</v>
      </c>
      <c r="B190" s="95">
        <f>A190/A189-1</f>
        <v>-6.4942931837020934E-3</v>
      </c>
      <c r="C190" s="94">
        <v>45.286787945494005</v>
      </c>
      <c r="D190" s="95">
        <f>C190/C189-1</f>
        <v>2.3505706816297822E-2</v>
      </c>
    </row>
    <row r="191" spans="1:4" ht="15.75">
      <c r="A191" s="94">
        <v>207.74871555347968</v>
      </c>
      <c r="B191" s="95">
        <f>A191/A190-1</f>
        <v>-8.6643155351173728E-4</v>
      </c>
      <c r="C191" s="94">
        <v>45.247550043460834</v>
      </c>
      <c r="D191" s="95">
        <f>C191/C190-1</f>
        <v>-8.6643155351173728E-4</v>
      </c>
    </row>
    <row r="192" spans="1:4" ht="15.75">
      <c r="A192" s="94">
        <v>208.18309201307801</v>
      </c>
      <c r="B192" s="95">
        <f>A192/A191-1</f>
        <v>2.0908743451966139E-3</v>
      </c>
      <c r="C192" s="94">
        <v>45.342156985029703</v>
      </c>
      <c r="D192" s="95">
        <f>C192/C191-1</f>
        <v>2.0908743451966139E-3</v>
      </c>
    </row>
    <row r="193" spans="1:4" ht="15.75">
      <c r="A193" s="94">
        <v>209.19663708547407</v>
      </c>
      <c r="B193" s="95">
        <f>A193/A192-1</f>
        <v>4.8685273265727247E-3</v>
      </c>
      <c r="C193" s="94">
        <v>47.37659279475826</v>
      </c>
      <c r="D193" s="95">
        <f>C193/C192-1</f>
        <v>4.486852732657276E-2</v>
      </c>
    </row>
    <row r="194" spans="1:4" ht="15.75">
      <c r="A194" s="94">
        <v>210.14612664309067</v>
      </c>
      <c r="B194" s="95">
        <f>A194/A193-1</f>
        <v>4.5387419742730639E-3</v>
      </c>
      <c r="C194" s="94">
        <v>46.265078326820642</v>
      </c>
      <c r="D194" s="95">
        <f>C194/C193-1</f>
        <v>-2.346125802572685E-2</v>
      </c>
    </row>
    <row r="195" spans="1:4" ht="15.75">
      <c r="A195" s="94">
        <v>209.26069260025355</v>
      </c>
      <c r="B195" s="95">
        <f>A195/A194-1</f>
        <v>-4.2134207133921464E-3</v>
      </c>
      <c r="C195" s="94">
        <v>48.892313865427759</v>
      </c>
      <c r="D195" s="95">
        <f>C195/C194-1</f>
        <v>5.6786579286607797E-2</v>
      </c>
    </row>
    <row r="196" spans="1:4" ht="15.75">
      <c r="A196" s="94">
        <v>207.66998064989656</v>
      </c>
      <c r="B196" s="95">
        <f>A196/A195-1</f>
        <v>-7.6015802614000094E-3</v>
      </c>
      <c r="C196" s="94">
        <v>48.227301134221584</v>
      </c>
      <c r="D196" s="95">
        <f>C196/C195-1</f>
        <v>-1.3601580261400015E-2</v>
      </c>
    </row>
    <row r="197" spans="1:4" ht="15.75">
      <c r="A197" s="94">
        <v>204.51191032227931</v>
      </c>
      <c r="B197" s="95">
        <f>A197/A196-1</f>
        <v>-1.5207158577923319E-2</v>
      </c>
      <c r="C197" s="94">
        <v>46.625809497672229</v>
      </c>
      <c r="D197" s="95">
        <f>C197/C196-1</f>
        <v>-3.3207158577923224E-2</v>
      </c>
    </row>
    <row r="198" spans="1:4" ht="15.75">
      <c r="A198" s="94">
        <v>203.62847801427907</v>
      </c>
      <c r="B198" s="95">
        <f>A198/A197-1</f>
        <v>-4.3197108012343888E-3</v>
      </c>
      <c r="C198" s="94">
        <v>48.709064150154781</v>
      </c>
      <c r="D198" s="95">
        <f>C198/C197-1</f>
        <v>4.4680289198765655E-2</v>
      </c>
    </row>
    <row r="199" spans="1:4" ht="15.75">
      <c r="A199" s="94">
        <v>203.4703409621672</v>
      </c>
      <c r="B199" s="95">
        <f>A199/A198-1</f>
        <v>-7.7659595383694491E-4</v>
      </c>
      <c r="C199" s="94">
        <v>45.11547520505929</v>
      </c>
      <c r="D199" s="95">
        <f>C199/C198-1</f>
        <v>-7.3776595953836899E-2</v>
      </c>
    </row>
    <row r="200" spans="1:4" ht="15.75">
      <c r="A200" s="94">
        <v>203.11670114098885</v>
      </c>
      <c r="B200" s="95">
        <f>A200/A199-1</f>
        <v>-1.7380411292675646E-3</v>
      </c>
      <c r="C200" s="94">
        <v>46.931912612198936</v>
      </c>
      <c r="D200" s="95">
        <f>C200/C199-1</f>
        <v>4.0261958870732473E-2</v>
      </c>
    </row>
    <row r="201" spans="1:4" ht="15.75">
      <c r="A201" s="94">
        <v>204.45586174684726</v>
      </c>
      <c r="B201" s="95">
        <f>A201/A200-1</f>
        <v>6.5930600405372797E-3</v>
      </c>
      <c r="C201" s="94">
        <v>49.681796985702761</v>
      </c>
      <c r="D201" s="95">
        <f>C201/C200-1</f>
        <v>5.8593060040537326E-2</v>
      </c>
    </row>
    <row r="202" spans="1:4" ht="15.75">
      <c r="A202" s="94">
        <v>206.92400080069393</v>
      </c>
      <c r="B202" s="95">
        <f>A202/A201-1</f>
        <v>1.2071745132466116E-2</v>
      </c>
      <c r="C202" s="94">
        <v>50.221568377543647</v>
      </c>
      <c r="D202" s="95">
        <f>C202/C201-1</f>
        <v>1.0864570619219416E-2</v>
      </c>
    </row>
    <row r="203" spans="1:4" ht="15.75">
      <c r="A203" s="94">
        <v>207.1208380596517</v>
      </c>
      <c r="B203" s="95">
        <f>A203/A202-1</f>
        <v>9.5125388159966739E-4</v>
      </c>
      <c r="C203" s="94">
        <v>52.730198689902444</v>
      </c>
      <c r="D203" s="95">
        <f>C203/C202-1</f>
        <v>4.99512538815996E-2</v>
      </c>
    </row>
    <row r="204" spans="1:4" ht="15.75">
      <c r="A204" s="94">
        <v>205.03569760459064</v>
      </c>
      <c r="B204" s="95">
        <f>A204/A203-1</f>
        <v>-1.006726544076908E-2</v>
      </c>
      <c r="C204" s="94">
        <v>52.093889385566897</v>
      </c>
      <c r="D204" s="95">
        <f>C204/C203-1</f>
        <v>-1.2067265440769082E-2</v>
      </c>
    </row>
    <row r="205" spans="1:4" ht="15.75">
      <c r="A205" s="94">
        <v>200.54847534529924</v>
      </c>
      <c r="B205" s="95">
        <f>A205/A204-1</f>
        <v>-2.1885078119152523E-2</v>
      </c>
      <c r="C205" s="94">
        <v>51.57893721946008</v>
      </c>
      <c r="D205" s="95">
        <f>C205/C204-1</f>
        <v>-9.8850781191525128E-3</v>
      </c>
    </row>
    <row r="206" spans="1:4" ht="15.75">
      <c r="A206" s="94">
        <v>201.3051311136318</v>
      </c>
      <c r="B206" s="95">
        <f>A206/A205-1</f>
        <v>3.7729320406438838E-3</v>
      </c>
      <c r="C206" s="94">
        <v>51.618804232659365</v>
      </c>
      <c r="D206" s="95">
        <f>C206/C205-1</f>
        <v>7.7293204064399212E-4</v>
      </c>
    </row>
    <row r="207" spans="1:4" ht="15.75">
      <c r="A207" s="94">
        <v>199.53693200774003</v>
      </c>
      <c r="B207" s="95">
        <f>A207/A206-1</f>
        <v>-8.7836762834110349E-3</v>
      </c>
      <c r="C207" s="94">
        <v>53.230153535449297</v>
      </c>
      <c r="D207" s="95">
        <f>C207/C206-1</f>
        <v>3.1216323716589001E-2</v>
      </c>
    </row>
    <row r="208" spans="1:4" ht="15.75">
      <c r="A208" s="94">
        <v>198.95242543537731</v>
      </c>
      <c r="B208" s="95">
        <f>A208/A207-1</f>
        <v>-2.9293152224073582E-3</v>
      </c>
      <c r="C208" s="94">
        <v>56.693876076817375</v>
      </c>
      <c r="D208" s="95">
        <f>C208/C207-1</f>
        <v>6.5070684777592591E-2</v>
      </c>
    </row>
    <row r="209" spans="1:4" ht="15.75">
      <c r="A209" s="94">
        <v>199.24734770134114</v>
      </c>
      <c r="B209" s="95">
        <f>A209/A208-1</f>
        <v>1.482375825871074E-3</v>
      </c>
      <c r="C209" s="94">
        <v>56.777917708188582</v>
      </c>
      <c r="D209" s="95">
        <f>C209/C208-1</f>
        <v>1.482375825871074E-3</v>
      </c>
    </row>
    <row r="210" spans="1:4" ht="15.75">
      <c r="A210" s="94">
        <v>199.36945352638952</v>
      </c>
      <c r="B210" s="95">
        <f>A210/A209-1</f>
        <v>6.1283538504808277E-4</v>
      </c>
      <c r="C210" s="94">
        <v>56.528823636708566</v>
      </c>
      <c r="D210" s="95">
        <f>C210/C209-1</f>
        <v>-4.3871646149519217E-3</v>
      </c>
    </row>
    <row r="211" spans="1:4" ht="15.75">
      <c r="A211" s="94">
        <v>198.65416694468539</v>
      </c>
      <c r="B211" s="95">
        <f>A211/A210-1</f>
        <v>-3.5877441054903425E-3</v>
      </c>
      <c r="C211" s="94">
        <v>54.177917384720736</v>
      </c>
      <c r="D211" s="95">
        <f>C211/C210-1</f>
        <v>-4.1587744105490376E-2</v>
      </c>
    </row>
    <row r="212" spans="1:4" ht="15.75">
      <c r="A212" s="94">
        <v>201.51197704677386</v>
      </c>
      <c r="B212" s="95">
        <f>A212/A211-1</f>
        <v>1.4385855308457929E-2</v>
      </c>
      <c r="C212" s="94">
        <v>52.573484700203203</v>
      </c>
      <c r="D212" s="95">
        <f>C212/C211-1</f>
        <v>-2.961414469154211E-2</v>
      </c>
    </row>
    <row r="213" spans="1:4" ht="15.75">
      <c r="A213" s="94">
        <v>198.98111696803898</v>
      </c>
      <c r="B213" s="95">
        <f>A213/A212-1</f>
        <v>-1.2559353125434547E-2</v>
      </c>
      <c r="C213" s="94">
        <v>54.804737399329902</v>
      </c>
      <c r="D213" s="95">
        <f>C213/C212-1</f>
        <v>4.2440646874565502E-2</v>
      </c>
    </row>
    <row r="214" spans="1:4" ht="15.75">
      <c r="A214" s="94">
        <v>200.15079735770999</v>
      </c>
      <c r="B214" s="95">
        <f>A214/A213-1</f>
        <v>5.8783486970721555E-3</v>
      </c>
      <c r="C214" s="94">
        <v>59.127644586165715</v>
      </c>
      <c r="D214" s="95">
        <f>C214/C213-1</f>
        <v>7.8878348697072109E-2</v>
      </c>
    </row>
    <row r="215" spans="1:4" ht="15.75">
      <c r="A215" s="94">
        <v>200.96950690598518</v>
      </c>
      <c r="B215" s="95">
        <f>A215/A214-1</f>
        <v>4.0904635858731719E-3</v>
      </c>
      <c r="C215" s="94">
        <v>60.670312244159526</v>
      </c>
      <c r="D215" s="95">
        <f>C215/C214-1</f>
        <v>2.6090463585873191E-2</v>
      </c>
    </row>
    <row r="216" spans="1:4" ht="15.75">
      <c r="A216" s="94">
        <v>195.98919063188097</v>
      </c>
      <c r="B216" s="95">
        <f>A216/A215-1</f>
        <v>-2.4781452424193051E-2</v>
      </c>
      <c r="C216" s="94">
        <v>56.982682546930207</v>
      </c>
      <c r="D216" s="95">
        <f>C216/C215-1</f>
        <v>-6.0781452424193083E-2</v>
      </c>
    </row>
    <row r="217" spans="1:4" ht="15.75">
      <c r="A217" s="94">
        <v>193.20611196370186</v>
      </c>
      <c r="B217" s="95">
        <f>A217/A216-1</f>
        <v>-1.4200164096837664E-2</v>
      </c>
      <c r="C217" s="94">
        <v>56.914293977195882</v>
      </c>
      <c r="D217" s="95">
        <f>C217/C216-1</f>
        <v>-1.2001640968376526E-3</v>
      </c>
    </row>
    <row r="218" spans="1:4" ht="15.75">
      <c r="A218" s="94">
        <v>193.82598251818243</v>
      </c>
      <c r="B218" s="95">
        <f>A218/A217-1</f>
        <v>3.2083382258478732E-3</v>
      </c>
      <c r="C218" s="94">
        <v>53.966608113414289</v>
      </c>
      <c r="D218" s="95">
        <f>C218/C217-1</f>
        <v>-5.1791661774152176E-2</v>
      </c>
    </row>
    <row r="219" spans="1:4" ht="15.75">
      <c r="A219" s="94">
        <v>193.784613331554</v>
      </c>
      <c r="B219" s="95">
        <f>A219/A218-1</f>
        <v>-2.1343468038170776E-4</v>
      </c>
      <c r="C219" s="94">
        <v>55.088388538042011</v>
      </c>
      <c r="D219" s="95">
        <f>C219/C218-1</f>
        <v>2.07865653196182E-2</v>
      </c>
    </row>
    <row r="220" spans="1:4" ht="15.75">
      <c r="A220" s="94">
        <v>192.42610262227262</v>
      </c>
      <c r="B220" s="95">
        <f>A220/A219-1</f>
        <v>-7.0104157699922842E-3</v>
      </c>
      <c r="C220" s="94">
        <v>54.371665699063207</v>
      </c>
      <c r="D220" s="95">
        <f>C220/C219-1</f>
        <v>-1.301041576999229E-2</v>
      </c>
    </row>
    <row r="221" spans="1:4" ht="15.75">
      <c r="A221" s="94">
        <v>189.9519583639154</v>
      </c>
      <c r="B221" s="95">
        <f>A221/A220-1</f>
        <v>-1.2857633266178614E-2</v>
      </c>
      <c r="C221" s="94">
        <v>55.303724732405279</v>
      </c>
      <c r="D221" s="95">
        <f>C221/C220-1</f>
        <v>1.7142366733821301E-2</v>
      </c>
    </row>
    <row r="222" spans="1:4" ht="15.75">
      <c r="A222" s="94">
        <v>189.29338760258892</v>
      </c>
      <c r="B222" s="95">
        <f>A222/A221-1</f>
        <v>-3.4670385448976049E-3</v>
      </c>
      <c r="C222" s="94">
        <v>57.047614952715804</v>
      </c>
      <c r="D222" s="95">
        <f>C222/C221-1</f>
        <v>3.1532961455102315E-2</v>
      </c>
    </row>
    <row r="223" spans="1:4" ht="15.75">
      <c r="A223" s="94">
        <v>190.37365716954696</v>
      </c>
      <c r="B223" s="95">
        <f>A223/A222-1</f>
        <v>5.7068531586850213E-3</v>
      </c>
      <c r="C223" s="94">
        <v>56.004034555438977</v>
      </c>
      <c r="D223" s="95">
        <f>C223/C222-1</f>
        <v>-1.8293146841315E-2</v>
      </c>
    </row>
    <row r="224" spans="1:4" ht="15.75">
      <c r="A224" s="94">
        <v>194.57329685727632</v>
      </c>
      <c r="B224" s="95">
        <f>A224/A223-1</f>
        <v>2.2059983246469628E-2</v>
      </c>
      <c r="C224" s="94">
        <v>56.00739385924701</v>
      </c>
      <c r="D224" s="95">
        <f>C224/C223-1</f>
        <v>5.9983246469608176E-5</v>
      </c>
    </row>
    <row r="225" spans="1:4" ht="15.75">
      <c r="A225" s="94">
        <v>194.61399879895907</v>
      </c>
      <c r="B225" s="95">
        <f>A225/A224-1</f>
        <v>2.0918565054994787E-4</v>
      </c>
      <c r="C225" s="94">
        <v>56.355154165522549</v>
      </c>
      <c r="D225" s="95">
        <f>C225/C224-1</f>
        <v>6.2091856505499532E-3</v>
      </c>
    </row>
    <row r="226" spans="1:4" ht="15.75">
      <c r="A226" s="94">
        <v>195.2725695602856</v>
      </c>
      <c r="B226" s="95">
        <f>A226/A225-1</f>
        <v>3.3839845303567095E-3</v>
      </c>
      <c r="C226" s="94">
        <v>56.88399006041768</v>
      </c>
      <c r="D226" s="95">
        <f>C226/C225-1</f>
        <v>9.3839845303567149E-3</v>
      </c>
    </row>
    <row r="227" spans="1:4" ht="15.75">
      <c r="A227" s="94">
        <v>197.9615666911323</v>
      </c>
      <c r="B227" s="95">
        <f>A227/A226-1</f>
        <v>1.3770480600023838E-2</v>
      </c>
      <c r="C227" s="94">
        <v>61.307885305863344</v>
      </c>
      <c r="D227" s="95">
        <f>C227/C226-1</f>
        <v>7.7770480600023895E-2</v>
      </c>
    </row>
    <row r="228" spans="1:4" ht="15.75">
      <c r="A228" s="94">
        <v>198.62414092213254</v>
      </c>
      <c r="B228" s="95">
        <f>A228/A227-1</f>
        <v>3.346984175135459E-3</v>
      </c>
      <c r="C228" s="94">
        <v>63.781473584110024</v>
      </c>
      <c r="D228" s="95">
        <f>C228/C227-1</f>
        <v>4.0346984175135381E-2</v>
      </c>
    </row>
    <row r="229" spans="1:4" ht="15.75">
      <c r="A229" s="94">
        <v>198.02428771602055</v>
      </c>
      <c r="B229" s="95">
        <f>A229/A228-1</f>
        <v>-3.0200417901223853E-3</v>
      </c>
      <c r="C229" s="94">
        <v>63.907758236370974</v>
      </c>
      <c r="D229" s="95">
        <f>C229/C228-1</f>
        <v>1.9799582098776192E-3</v>
      </c>
    </row>
    <row r="230" spans="1:4" ht="15.75">
      <c r="A230" s="94">
        <v>199.62500834056183</v>
      </c>
      <c r="B230" s="95">
        <f>A230/A229-1</f>
        <v>8.0834560396794153E-3</v>
      </c>
      <c r="C230" s="94">
        <v>63.849183966541801</v>
      </c>
      <c r="D230" s="95">
        <f>C230/C229-1</f>
        <v>-9.1654396032059271E-4</v>
      </c>
    </row>
    <row r="231" spans="1:4" ht="15.75">
      <c r="A231" s="94">
        <v>200.97617935544139</v>
      </c>
      <c r="B231" s="95">
        <f>A231/A230-1</f>
        <v>6.7685458155344325E-3</v>
      </c>
      <c r="C231" s="94">
        <v>64.281350093503832</v>
      </c>
      <c r="D231" s="95">
        <f>C231/C230-1</f>
        <v>6.7685458155344325E-3</v>
      </c>
    </row>
    <row r="232" spans="1:4" ht="15.75">
      <c r="A232" s="94">
        <v>200.85674251017548</v>
      </c>
      <c r="B232" s="95">
        <f>A232/A231-1</f>
        <v>-5.9428358947288817E-4</v>
      </c>
      <c r="C232" s="94">
        <v>64.564555492501626</v>
      </c>
      <c r="D232" s="95">
        <f>C232/C231-1</f>
        <v>4.4057164105271163E-3</v>
      </c>
    </row>
    <row r="233" spans="1:4" ht="15.75">
      <c r="A233" s="94">
        <v>200.32027757389736</v>
      </c>
      <c r="B233" s="95">
        <f>A233/A232-1</f>
        <v>-2.6708833847135516E-3</v>
      </c>
      <c r="C233" s="94">
        <v>66.199918647785339</v>
      </c>
      <c r="D233" s="95">
        <f>C233/C232-1</f>
        <v>2.5329116615286473E-2</v>
      </c>
    </row>
    <row r="234" spans="1:4" ht="15.75">
      <c r="A234" s="94">
        <v>199.95262560886101</v>
      </c>
      <c r="B234" s="95">
        <f>A234/A233-1</f>
        <v>-1.8353207647724412E-3</v>
      </c>
      <c r="C234" s="94">
        <v>66.608019911647091</v>
      </c>
      <c r="D234" s="95">
        <f>C234/C233-1</f>
        <v>6.1646792352274549E-3</v>
      </c>
    </row>
    <row r="235" spans="1:4" ht="15.75">
      <c r="A235" s="94">
        <v>198.41862947888168</v>
      </c>
      <c r="B235" s="95">
        <f>A235/A234-1</f>
        <v>-7.6717978836650103E-3</v>
      </c>
      <c r="C235" s="94">
        <v>65.96380060563051</v>
      </c>
      <c r="D235" s="95">
        <f>C235/C234-1</f>
        <v>-9.671797883664901E-3</v>
      </c>
    </row>
    <row r="236" spans="1:4" ht="15.75">
      <c r="A236" s="94">
        <v>199.45752985921132</v>
      </c>
      <c r="B236" s="95">
        <f>A236/A235-1</f>
        <v>5.2359014022935746E-3</v>
      </c>
      <c r="C236" s="94">
        <v>69.541406791398032</v>
      </c>
      <c r="D236" s="95">
        <f>C236/C235-1</f>
        <v>5.4235901402293507E-2</v>
      </c>
    </row>
    <row r="237" spans="1:4" ht="15.75">
      <c r="A237" s="94">
        <v>198.70821378528058</v>
      </c>
      <c r="B237" s="95">
        <f>A237/A236-1</f>
        <v>-3.7567700475367172E-3</v>
      </c>
      <c r="C237" s="94">
        <v>71.018690887085484</v>
      </c>
      <c r="D237" s="95">
        <f>C237/C236-1</f>
        <v>2.1243229952463194E-2</v>
      </c>
    </row>
    <row r="238" spans="1:4" ht="15.75">
      <c r="A238" s="94">
        <v>199.30339627677321</v>
      </c>
      <c r="B238" s="95">
        <f>A238/A237-1</f>
        <v>2.9952586264792025E-3</v>
      </c>
      <c r="C238" s="94">
        <v>69.882055106751665</v>
      </c>
      <c r="D238" s="95">
        <f>C238/C237-1</f>
        <v>-1.6004741373520814E-2</v>
      </c>
    </row>
    <row r="239" spans="1:4" ht="15.75">
      <c r="A239" s="94">
        <v>201.66143991459265</v>
      </c>
      <c r="B239" s="95">
        <f>A239/A238-1</f>
        <v>1.1831427270535988E-2</v>
      </c>
      <c r="C239" s="94">
        <v>70.289567228622275</v>
      </c>
      <c r="D239" s="95">
        <f>C239/C238-1</f>
        <v>5.8314272705359826E-3</v>
      </c>
    </row>
    <row r="240" spans="1:4" ht="15.75">
      <c r="A240" s="94">
        <v>201.09494895576165</v>
      </c>
      <c r="B240" s="95">
        <f>A240/A239-1</f>
        <v>-2.8091188829699743E-3</v>
      </c>
      <c r="C240" s="94">
        <v>67.35082235612829</v>
      </c>
      <c r="D240" s="95">
        <f>C240/C239-1</f>
        <v>-4.1809118882970009E-2</v>
      </c>
    </row>
    <row r="241" spans="1:4" ht="15.75">
      <c r="A241" s="94">
        <v>199.65036364849536</v>
      </c>
      <c r="B241" s="95">
        <f>A241/A240-1</f>
        <v>-7.1835981697585538E-3</v>
      </c>
      <c r="C241" s="94">
        <v>65.654686309508762</v>
      </c>
      <c r="D241" s="95">
        <f>C241/C240-1</f>
        <v>-2.518359816975857E-2</v>
      </c>
    </row>
    <row r="242" spans="1:4" ht="15.75">
      <c r="A242" s="94">
        <v>198.26049242676987</v>
      </c>
      <c r="B242" s="95">
        <f>A242/A241-1</f>
        <v>-6.9615261215977275E-3</v>
      </c>
      <c r="C242" s="94">
        <v>67.29857945766409</v>
      </c>
      <c r="D242" s="95">
        <f>C242/C241-1</f>
        <v>2.503847387840219E-2</v>
      </c>
    </row>
    <row r="243" spans="1:4" ht="15.75">
      <c r="A243" s="94">
        <v>200.88076332821777</v>
      </c>
      <c r="B243" s="95">
        <f>A243/A242-1</f>
        <v>1.3216303810078101E-2</v>
      </c>
      <c r="C243" s="94">
        <v>68.389913668136245</v>
      </c>
      <c r="D243" s="95">
        <f>C243/C242-1</f>
        <v>1.6216303810077992E-2</v>
      </c>
    </row>
    <row r="244" spans="1:4" ht="15.75">
      <c r="A244" s="94">
        <v>203.81197037432443</v>
      </c>
      <c r="B244" s="95">
        <f>A244/A243-1</f>
        <v>1.4591775725769196E-2</v>
      </c>
      <c r="C244" s="94">
        <v>70.208522914304041</v>
      </c>
      <c r="D244" s="95">
        <f>C244/C243-1</f>
        <v>2.6591775725769207E-2</v>
      </c>
    </row>
    <row r="245" spans="1:4" ht="15.75">
      <c r="A245" s="94">
        <v>203.13338226462935</v>
      </c>
      <c r="B245" s="95">
        <f>A245/A244-1</f>
        <v>-3.3294811313033801E-3</v>
      </c>
      <c r="C245" s="94">
        <v>69.834347916175574</v>
      </c>
      <c r="D245" s="95">
        <f>C245/C244-1</f>
        <v>-5.3294811313033819E-3</v>
      </c>
    </row>
    <row r="246" spans="1:4" ht="15.75">
      <c r="A246" s="94">
        <v>203.53573096683792</v>
      </c>
      <c r="B246" s="95">
        <f>A246/A245-1</f>
        <v>1.9807118737600327E-3</v>
      </c>
      <c r="C246" s="94">
        <v>70.391675725786484</v>
      </c>
      <c r="D246" s="95">
        <f>C246/C245-1</f>
        <v>7.980711873760038E-3</v>
      </c>
    </row>
    <row r="247" spans="1:4" ht="15.75">
      <c r="A247" s="94">
        <v>201.57536531660773</v>
      </c>
      <c r="B247" s="95">
        <f>A247/A246-1</f>
        <v>-9.6315553093210271E-3</v>
      </c>
      <c r="C247" s="94">
        <v>71.121527922233511</v>
      </c>
      <c r="D247" s="95">
        <f>C247/C246-1</f>
        <v>1.036844469067888E-2</v>
      </c>
    </row>
    <row r="248" spans="1:4" ht="15.75">
      <c r="A248" s="94">
        <v>201.0142123173417</v>
      </c>
      <c r="B248" s="95">
        <f>A248/A247-1</f>
        <v>-2.7838371935213768E-3</v>
      </c>
      <c r="C248" s="94">
        <v>70.923537167543529</v>
      </c>
      <c r="D248" s="95">
        <f>C248/C247-1</f>
        <v>-2.7838371935213768E-3</v>
      </c>
    </row>
    <row r="249" spans="1:4" ht="15.75">
      <c r="A249" s="94">
        <v>199.51691465937145</v>
      </c>
      <c r="B249" s="95">
        <f>A249/A248-1</f>
        <v>-7.4487153953396446E-3</v>
      </c>
      <c r="C249" s="94">
        <v>70.040630238513984</v>
      </c>
      <c r="D249" s="95">
        <f>C249/C248-1</f>
        <v>-1.2448715395339649E-2</v>
      </c>
    </row>
    <row r="250" spans="1:4" ht="15.75">
      <c r="A250" s="94">
        <v>199.23333555748314</v>
      </c>
      <c r="B250" s="95">
        <f>A250/A249-1</f>
        <v>-1.4213286245552403E-3</v>
      </c>
      <c r="C250" s="94">
        <v>72.252420283745053</v>
      </c>
      <c r="D250" s="95">
        <f>C250/C249-1</f>
        <v>3.1578671375444678E-2</v>
      </c>
    </row>
    <row r="251" spans="1:4" ht="15.75">
      <c r="A251" s="94">
        <v>197.52518849669713</v>
      </c>
      <c r="B251" s="95">
        <f>A251/A250-1</f>
        <v>-8.5736006778502905E-3</v>
      </c>
      <c r="C251" s="94">
        <v>71.632956884224015</v>
      </c>
      <c r="D251" s="95">
        <f>C251/C250-1</f>
        <v>-8.5736006778502905E-3</v>
      </c>
    </row>
    <row r="252" spans="1:4" ht="15.75">
      <c r="A252" s="94">
        <v>201.47527857476481</v>
      </c>
      <c r="B252" s="95">
        <f>A252/A251-1</f>
        <v>1.9997905624749013E-2</v>
      </c>
      <c r="C252" s="94">
        <v>69.698717022057906</v>
      </c>
      <c r="D252" s="95">
        <f>C252/C251-1</f>
        <v>-2.700209437525114E-2</v>
      </c>
    </row>
    <row r="253" spans="1:4" ht="15.75">
      <c r="A253" s="94">
        <v>207.663975445386</v>
      </c>
      <c r="B253" s="95">
        <f>A253/A252-1</f>
        <v>3.0716904398395695E-2</v>
      </c>
      <c r="C253" s="94">
        <v>71.142658679294712</v>
      </c>
      <c r="D253" s="95">
        <f>C253/C252-1</f>
        <v>2.0716904398395686E-2</v>
      </c>
    </row>
    <row r="254" spans="1:4" ht="15.75">
      <c r="A254" s="94">
        <v>206.88396610395677</v>
      </c>
      <c r="B254" s="95">
        <f>A254/A253-1</f>
        <v>-3.7561129211569622E-3</v>
      </c>
      <c r="C254" s="94">
        <v>70.021726915632414</v>
      </c>
      <c r="D254" s="95">
        <f>C254/C253-1</f>
        <v>-1.5756112921156973E-2</v>
      </c>
    </row>
    <row r="255" spans="1:4" ht="15.75">
      <c r="A255" s="94">
        <v>206.95669580302928</v>
      </c>
      <c r="B255" s="95">
        <f>A255/A254-1</f>
        <v>3.5154826370620285E-4</v>
      </c>
      <c r="C255" s="94">
        <v>74.037581366342351</v>
      </c>
      <c r="D255" s="95">
        <f>C255/C254-1</f>
        <v>5.7351548263706142E-2</v>
      </c>
    </row>
    <row r="256" spans="1:4" ht="15.75">
      <c r="A256" s="94">
        <v>206.76653099352771</v>
      </c>
      <c r="B256" s="95">
        <f>A256/A255-1</f>
        <v>-9.1886280249930952E-4</v>
      </c>
      <c r="C256" s="94">
        <v>76.634903916026119</v>
      </c>
      <c r="D256" s="95">
        <f>C256/C255-1</f>
        <v>3.5081137197500611E-2</v>
      </c>
    </row>
    <row r="257" spans="1:4" ht="15.75">
      <c r="A257" s="94">
        <v>206.29945953159404</v>
      </c>
      <c r="B257" s="95">
        <f>A257/A256-1</f>
        <v>-2.2589316544092686E-3</v>
      </c>
      <c r="C257" s="94">
        <v>75.695441866577326</v>
      </c>
      <c r="D257" s="95">
        <f>C257/C256-1</f>
        <v>-1.2258931654409388E-2</v>
      </c>
    </row>
    <row r="258" spans="1:4" ht="15.75">
      <c r="A258" s="94">
        <v>207.23360245546141</v>
      </c>
      <c r="B258" s="95">
        <f>A258/A257-1</f>
        <v>4.5280919590791058E-3</v>
      </c>
      <c r="C258" s="94">
        <v>75.811111462632596</v>
      </c>
      <c r="D258" s="95">
        <f>C258/C257-1</f>
        <v>1.5280919590792141E-3</v>
      </c>
    </row>
    <row r="259" spans="1:4" ht="15.75">
      <c r="A259" s="94">
        <v>208.29785814372457</v>
      </c>
      <c r="B259" s="95">
        <f>A259/A258-1</f>
        <v>5.1355363013190214E-3</v>
      </c>
      <c r="C259" s="94">
        <v>75.442331062965962</v>
      </c>
      <c r="D259" s="95">
        <f>C259/C258-1</f>
        <v>-4.8644636986809875E-3</v>
      </c>
    </row>
    <row r="260" spans="1:4" ht="15.75">
      <c r="A260" s="94">
        <v>208.55608193767932</v>
      </c>
      <c r="B260" s="95">
        <f>A260/A259-1</f>
        <v>1.2396853057250468E-3</v>
      </c>
      <c r="C260" s="94">
        <v>76.365721453906986</v>
      </c>
      <c r="D260" s="95">
        <f>C260/C259-1</f>
        <v>1.2239685305724946E-2</v>
      </c>
    </row>
    <row r="261" spans="1:4" ht="15.75">
      <c r="A261" s="94">
        <v>208.01361179689064</v>
      </c>
      <c r="B261" s="95">
        <f>A261/A260-1</f>
        <v>-2.6010756231543697E-3</v>
      </c>
      <c r="C261" s="94">
        <v>78.916254409729277</v>
      </c>
      <c r="D261" s="95">
        <f>C261/C260-1</f>
        <v>3.3398924376845551E-2</v>
      </c>
    </row>
    <row r="262" spans="1:4" ht="15.75">
      <c r="A262" s="94">
        <v>207.56522319343432</v>
      </c>
      <c r="B262" s="95">
        <f>A262/A261-1</f>
        <v>-2.1555733761026152E-3</v>
      </c>
      <c r="C262" s="94">
        <v>73.06417431528142</v>
      </c>
      <c r="D262" s="95">
        <f>C262/C261-1</f>
        <v>-7.4155573376102568E-2</v>
      </c>
    </row>
    <row r="263" spans="1:4" ht="15.75">
      <c r="A263" s="94">
        <v>208.01628077667311</v>
      </c>
      <c r="B263" s="95">
        <f>A263/A262-1</f>
        <v>2.173088421553393E-3</v>
      </c>
      <c r="C263" s="94">
        <v>75.780195327551155</v>
      </c>
      <c r="D263" s="95">
        <f>C263/C262-1</f>
        <v>3.7173088421553313E-2</v>
      </c>
    </row>
    <row r="264" spans="1:4" ht="15.75">
      <c r="A264" s="94">
        <v>209.24801494628679</v>
      </c>
      <c r="B264" s="95">
        <f>A264/A263-1</f>
        <v>5.9213354118952122E-3</v>
      </c>
      <c r="C264" s="94">
        <v>76.607816258302265</v>
      </c>
      <c r="D264" s="95">
        <f>C264/C263-1</f>
        <v>1.0921335411895106E-2</v>
      </c>
    </row>
    <row r="265" spans="1:4" ht="15.75">
      <c r="A265" s="94">
        <v>209.16194034830187</v>
      </c>
      <c r="B265" s="95">
        <f>A265/A264-1</f>
        <v>-4.1135204081632626E-4</v>
      </c>
      <c r="C265" s="94">
        <v>76.729519109258533</v>
      </c>
      <c r="D265" s="95">
        <f>C265/C264-1</f>
        <v>1.5886479591835645E-3</v>
      </c>
    </row>
    <row r="266" spans="1:4" ht="15.75">
      <c r="A266" s="94">
        <v>209.7270968172416</v>
      </c>
      <c r="B266" s="95">
        <f>A266/A265-1</f>
        <v>2.7020043321390741E-3</v>
      </c>
      <c r="C266" s="94">
        <v>76.783383564076175</v>
      </c>
      <c r="D266" s="95">
        <f>C266/C265-1</f>
        <v>7.0200433213907232E-4</v>
      </c>
    </row>
    <row r="267" spans="1:4" ht="15.75">
      <c r="A267" s="94">
        <v>210.4270367651965</v>
      </c>
      <c r="B267" s="95">
        <f>A267/A266-1</f>
        <v>3.3373844323265622E-3</v>
      </c>
      <c r="C267" s="94">
        <v>77.346772767300592</v>
      </c>
      <c r="D267" s="95">
        <f>C267/C266-1</f>
        <v>7.3373844323265658E-3</v>
      </c>
    </row>
    <row r="268" spans="1:4" ht="15.75">
      <c r="A268" s="94">
        <v>208.87302328684862</v>
      </c>
      <c r="B268" s="95">
        <f>A268/A267-1</f>
        <v>-7.3850466282140426E-3</v>
      </c>
      <c r="C268" s="94">
        <v>77.471684198777908</v>
      </c>
      <c r="D268" s="95">
        <f>C268/C267-1</f>
        <v>1.6149533717859654E-3</v>
      </c>
    </row>
    <row r="269" spans="1:4" ht="15.75">
      <c r="A269" s="94">
        <v>210.16280776673116</v>
      </c>
      <c r="B269" s="95">
        <f>A269/A268-1</f>
        <v>6.1749691730714762E-3</v>
      </c>
      <c r="C269" s="94">
        <v>78.105012828888846</v>
      </c>
      <c r="D269" s="95">
        <f>C269/C268-1</f>
        <v>8.174969173071478E-3</v>
      </c>
    </row>
    <row r="270" spans="1:4" ht="15.75">
      <c r="A270" s="94">
        <v>210.46907319677055</v>
      </c>
      <c r="B270" s="95">
        <f>A270/A269-1</f>
        <v>1.4572770191543238E-3</v>
      </c>
      <c r="C270" s="94">
        <v>81.577349020807347</v>
      </c>
      <c r="D270" s="95">
        <f>C270/C269-1</f>
        <v>4.4457277019154251E-2</v>
      </c>
    </row>
    <row r="271" spans="1:4" ht="15.75">
      <c r="A271" s="94">
        <v>210.42636952025089</v>
      </c>
      <c r="B271" s="95">
        <f>A271/A270-1</f>
        <v>-2.0289763180425524E-4</v>
      </c>
      <c r="C271" s="94">
        <v>78.216125860029052</v>
      </c>
      <c r="D271" s="95">
        <f>C271/C270-1</f>
        <v>-4.1202897631804292E-2</v>
      </c>
    </row>
    <row r="272" spans="1:4" ht="15.75">
      <c r="A272" s="94">
        <v>209.66904650697271</v>
      </c>
      <c r="B272" s="95">
        <f>A272/A271-1</f>
        <v>-3.5989929161672762E-3</v>
      </c>
      <c r="C272" s="94">
        <v>77.308897570248533</v>
      </c>
      <c r="D272" s="95">
        <f>C272/C271-1</f>
        <v>-1.1598992916167172E-2</v>
      </c>
    </row>
    <row r="273" spans="1:4" ht="15.75">
      <c r="A273" s="94">
        <v>209.65703609795156</v>
      </c>
      <c r="B273" s="95">
        <f>A273/A272-1</f>
        <v>-5.7282699669980452E-5</v>
      </c>
      <c r="C273" s="94">
        <v>79.701044932564912</v>
      </c>
      <c r="D273" s="95">
        <f>C273/C272-1</f>
        <v>3.0942717300330047E-2</v>
      </c>
    </row>
    <row r="274" spans="1:4" ht="15.75">
      <c r="A274" s="94">
        <v>212.12384066190697</v>
      </c>
      <c r="B274" s="95">
        <f>A274/A273-1</f>
        <v>1.1765904020520912E-2</v>
      </c>
      <c r="C274" s="94">
        <v>83.428336350216455</v>
      </c>
      <c r="D274" s="95">
        <f>C274/C273-1</f>
        <v>4.6765904020520832E-2</v>
      </c>
    </row>
    <row r="275" spans="1:4" ht="15.75">
      <c r="A275" s="94">
        <v>208.92573563755255</v>
      </c>
      <c r="B275" s="95">
        <f>A275/A274-1</f>
        <v>-1.5076594004592381E-2</v>
      </c>
      <c r="C275" s="94">
        <v>82.253949530935884</v>
      </c>
      <c r="D275" s="95">
        <f>C275/C274-1</f>
        <v>-1.407659400459238E-2</v>
      </c>
    </row>
    <row r="276" spans="1:4" ht="15.75">
      <c r="A276" s="94">
        <v>211.6220724628011</v>
      </c>
      <c r="B276" s="95">
        <f>A276/A275-1</f>
        <v>1.2905718948508005E-2</v>
      </c>
      <c r="C276" s="94">
        <v>80.68336950099696</v>
      </c>
      <c r="D276" s="95">
        <f>C276/C275-1</f>
        <v>-1.9094281051491913E-2</v>
      </c>
    </row>
    <row r="277" spans="1:4" ht="15.75">
      <c r="A277" s="94">
        <v>211.41522652965904</v>
      </c>
      <c r="B277" s="95">
        <f>A277/A276-1</f>
        <v>-9.7743080735790411E-4</v>
      </c>
      <c r="C277" s="94">
        <v>75.360088072440433</v>
      </c>
      <c r="D277" s="95">
        <f>C277/C276-1</f>
        <v>-6.5977430807357962E-2</v>
      </c>
    </row>
    <row r="278" spans="1:4" ht="15.75">
      <c r="A278" s="94">
        <v>211.19169947287651</v>
      </c>
      <c r="B278" s="95">
        <f>A278/A277-1</f>
        <v>-1.0572892996010275E-3</v>
      </c>
      <c r="C278" s="94">
        <v>75.431130833849338</v>
      </c>
      <c r="D278" s="95">
        <f>C278/C277-1</f>
        <v>9.4271070039897431E-4</v>
      </c>
    </row>
    <row r="279" spans="1:4" ht="15.75">
      <c r="A279" s="94">
        <v>213.10936144658703</v>
      </c>
      <c r="B279" s="95">
        <f>A279/A278-1</f>
        <v>9.0801957581518877E-3</v>
      </c>
      <c r="C279" s="94">
        <v>72.797090511390081</v>
      </c>
      <c r="D279" s="95">
        <f>C279/C278-1</f>
        <v>-3.4919804241848151E-2</v>
      </c>
    </row>
    <row r="280" spans="1:4" ht="15.75">
      <c r="A280" s="94">
        <v>212.98458664175618</v>
      </c>
      <c r="B280" s="95">
        <f>A280/A279-1</f>
        <v>-5.8549659190887393E-4</v>
      </c>
      <c r="C280" s="94">
        <v>72.754468062994775</v>
      </c>
      <c r="D280" s="95">
        <f>C280/C279-1</f>
        <v>-5.8549659190898495E-4</v>
      </c>
    </row>
    <row r="281" spans="1:4" ht="15.75">
      <c r="A281" s="94">
        <v>212.61693467671981</v>
      </c>
      <c r="B281" s="95">
        <f>A281/A280-1</f>
        <v>-1.7261904761904923E-3</v>
      </c>
      <c r="C281" s="94">
        <v>72.9198978653761</v>
      </c>
      <c r="D281" s="95">
        <f>C281/C280-1</f>
        <v>2.2738095238095113E-3</v>
      </c>
    </row>
    <row r="282" spans="1:4" ht="15.75">
      <c r="A282" s="94">
        <v>213.31020217521854</v>
      </c>
      <c r="B282" s="95">
        <f>A282/A281-1</f>
        <v>3.2606410188014134E-3</v>
      </c>
      <c r="C282" s="94">
        <v>72.720144088250493</v>
      </c>
      <c r="D282" s="95">
        <f>C282/C281-1</f>
        <v>-2.7393589811987029E-3</v>
      </c>
    </row>
    <row r="283" spans="1:4" ht="15.75">
      <c r="A283" s="94">
        <v>213.4289717755388</v>
      </c>
      <c r="B283" s="95">
        <f>A283/A282-1</f>
        <v>5.5679287305121505E-4</v>
      </c>
      <c r="C283" s="94">
        <v>75.014958612941854</v>
      </c>
      <c r="D283" s="95">
        <f>C283/C282-1</f>
        <v>3.1556792873051132E-2</v>
      </c>
    </row>
    <row r="284" spans="1:4" ht="15.75">
      <c r="A284" s="94">
        <v>212.98658837659306</v>
      </c>
      <c r="B284" s="95">
        <f>A284/A283-1</f>
        <v>-2.0727429611149262E-3</v>
      </c>
      <c r="C284" s="94">
        <v>69.90848461704438</v>
      </c>
      <c r="D284" s="95">
        <f>C284/C283-1</f>
        <v>-6.8072742961115096E-2</v>
      </c>
    </row>
    <row r="285" spans="1:4" ht="15.75">
      <c r="A285" s="94">
        <v>214.42516847934877</v>
      </c>
      <c r="B285" s="95">
        <f>A285/A284-1</f>
        <v>6.754322484437747E-3</v>
      </c>
      <c r="C285" s="94">
        <v>72.897374512759853</v>
      </c>
      <c r="D285" s="95">
        <f>C285/C284-1</f>
        <v>4.2754322484437779E-2</v>
      </c>
    </row>
    <row r="286" spans="1:4" ht="15.75">
      <c r="A286" s="94">
        <v>211.14365783679187</v>
      </c>
      <c r="B286" s="95">
        <f>A286/A285-1</f>
        <v>-1.5303756857595441E-2</v>
      </c>
      <c r="C286" s="94">
        <v>73.458410431452975</v>
      </c>
      <c r="D286" s="95">
        <f>C286/C285-1</f>
        <v>7.6962431424045796E-3</v>
      </c>
    </row>
    <row r="287" spans="1:4" ht="15.75">
      <c r="A287" s="94">
        <v>208.94708747581237</v>
      </c>
      <c r="B287" s="95">
        <f>A287/A286-1</f>
        <v>-1.0403203124753069E-2</v>
      </c>
      <c r="C287" s="94">
        <v>71.739248330904203</v>
      </c>
      <c r="D287" s="95">
        <f>C287/C286-1</f>
        <v>-2.340320312475308E-2</v>
      </c>
    </row>
    <row r="288" spans="1:4" ht="15.75">
      <c r="A288" s="94">
        <v>210.97084139587645</v>
      </c>
      <c r="B288" s="95">
        <f>A288/A287-1</f>
        <v>9.6854851843692913E-3</v>
      </c>
      <c r="C288" s="94">
        <v>72.577556254412769</v>
      </c>
      <c r="D288" s="95">
        <f>C288/C287-1</f>
        <v>1.1685485184369293E-2</v>
      </c>
    </row>
    <row r="289" spans="1:4" ht="15.75">
      <c r="A289" s="94">
        <v>207.93020617868819</v>
      </c>
      <c r="B289" s="95">
        <f>A289/A288-1</f>
        <v>-1.4412585156650448E-2</v>
      </c>
      <c r="C289" s="94">
        <v>67.467182894187346</v>
      </c>
      <c r="D289" s="95">
        <f>C289/C288-1</f>
        <v>-7.0412585156650387E-2</v>
      </c>
    </row>
    <row r="290" spans="1:4" ht="15.75">
      <c r="A290" s="94">
        <v>208.82431440581837</v>
      </c>
      <c r="B290" s="95">
        <f>A290/A289-1</f>
        <v>4.3000401123145515E-3</v>
      </c>
      <c r="C290" s="94">
        <v>67.892228852685591</v>
      </c>
      <c r="D290" s="95">
        <f>C290/C289-1</f>
        <v>6.3000401123145533E-3</v>
      </c>
    </row>
    <row r="291" spans="1:4" ht="15.75">
      <c r="A291" s="94">
        <v>211.00020017348371</v>
      </c>
      <c r="B291" s="95">
        <f>A291/A290-1</f>
        <v>1.0419695493106396E-2</v>
      </c>
      <c r="C291" s="94">
        <v>68.53175297482619</v>
      </c>
      <c r="D291" s="95">
        <f>C291/C290-1</f>
        <v>9.4196954931065058E-3</v>
      </c>
    </row>
    <row r="292" spans="1:4" ht="15.75">
      <c r="A292" s="94">
        <v>210.86208046974045</v>
      </c>
      <c r="B292" s="95">
        <f>A292/A291-1</f>
        <v>-6.5459513133014902E-4</v>
      </c>
      <c r="C292" s="94">
        <v>68.761019434886649</v>
      </c>
      <c r="D292" s="95">
        <f>C292/C291-1</f>
        <v>3.3454048686698545E-3</v>
      </c>
    </row>
    <row r="293" spans="1:4" ht="15.75">
      <c r="A293" s="94">
        <v>211.49929939280707</v>
      </c>
      <c r="B293" s="95">
        <f>A293/A292-1</f>
        <v>3.0219701979943281E-3</v>
      </c>
      <c r="C293" s="94">
        <v>67.318548719965307</v>
      </c>
      <c r="D293" s="95">
        <f>C293/C292-1</f>
        <v>-2.0978029802005693E-2</v>
      </c>
    </row>
    <row r="294" spans="1:4" ht="15.75">
      <c r="A294" s="94">
        <v>212.31934343097353</v>
      </c>
      <c r="B294" s="95">
        <f>A294/A293-1</f>
        <v>3.8772896199690265E-3</v>
      </c>
      <c r="C294" s="94">
        <v>66.098554158309369</v>
      </c>
      <c r="D294" s="95">
        <f>C294/C293-1</f>
        <v>-1.8122710380030993E-2</v>
      </c>
    </row>
    <row r="295" spans="1:4" ht="15.75">
      <c r="A295" s="94">
        <v>215.12844465203176</v>
      </c>
      <c r="B295" s="95">
        <f>A295/A294-1</f>
        <v>1.3230547794961023E-2</v>
      </c>
      <c r="C295" s="94">
        <v>66.444285805012228</v>
      </c>
      <c r="D295" s="95">
        <f>C295/C294-1</f>
        <v>5.2305477949610157E-3</v>
      </c>
    </row>
    <row r="296" spans="1:4" ht="15.75">
      <c r="A296" s="94">
        <v>215.0110095416027</v>
      </c>
      <c r="B296" s="95">
        <f>A296/A295-1</f>
        <v>-5.4588369575681028E-4</v>
      </c>
      <c r="C296" s="94">
        <v>66.673792095935113</v>
      </c>
      <c r="D296" s="95">
        <f>C296/C295-1</f>
        <v>3.4541163042431933E-3</v>
      </c>
    </row>
    <row r="297" spans="1:4" ht="15.75">
      <c r="A297" s="94">
        <v>215.65957162874491</v>
      </c>
      <c r="B297" s="95">
        <f>A297/A296-1</f>
        <v>3.0164133851793284E-3</v>
      </c>
      <c r="C297" s="94">
        <v>66.674886438566162</v>
      </c>
      <c r="D297" s="95">
        <f>C297/C296-1</f>
        <v>1.6413385179436801E-5</v>
      </c>
    </row>
    <row r="298" spans="1:4" ht="15.75">
      <c r="A298" s="94">
        <v>216.4789484219657</v>
      </c>
      <c r="B298" s="95">
        <f>A298/A297-1</f>
        <v>3.7993991503948443E-3</v>
      </c>
      <c r="C298" s="94">
        <v>63.061067532016679</v>
      </c>
      <c r="D298" s="95">
        <f>C298/C297-1</f>
        <v>-5.4200600849605207E-2</v>
      </c>
    </row>
    <row r="299" spans="1:4" ht="15.75">
      <c r="A299" s="94">
        <v>217.04610662574231</v>
      </c>
      <c r="B299" s="95">
        <f>A299/A298-1</f>
        <v>2.6199231283732249E-3</v>
      </c>
      <c r="C299" s="94">
        <v>60.640778912531026</v>
      </c>
      <c r="D299" s="95">
        <f>C299/C298-1</f>
        <v>-3.8380076871626811E-2</v>
      </c>
    </row>
    <row r="300" spans="1:4" ht="15.75">
      <c r="A300" s="94">
        <v>216.3421632081137</v>
      </c>
      <c r="B300" s="95">
        <f>A300/A299-1</f>
        <v>-3.2432897718015496E-3</v>
      </c>
      <c r="C300" s="94">
        <v>61.23243342039283</v>
      </c>
      <c r="D300" s="95">
        <f>C300/C299-1</f>
        <v>9.7567102281983509E-3</v>
      </c>
    </row>
    <row r="301" spans="1:4" ht="15.75">
      <c r="A301" s="94">
        <v>216.52899179288715</v>
      </c>
      <c r="B301" s="95">
        <f>A301/A300-1</f>
        <v>8.6357916553581049E-4</v>
      </c>
      <c r="C301" s="94">
        <v>61.469009774410914</v>
      </c>
      <c r="D301" s="95">
        <f>C301/C300-1</f>
        <v>3.8635791655357021E-3</v>
      </c>
    </row>
    <row r="302" spans="1:4" ht="15.75">
      <c r="A302" s="94">
        <v>217.45045706278773</v>
      </c>
      <c r="B302" s="95">
        <f>A302/A301-1</f>
        <v>4.2556207474608865E-3</v>
      </c>
      <c r="C302" s="94">
        <v>61.238846489537487</v>
      </c>
      <c r="D302" s="95">
        <f>C302/C301-1</f>
        <v>-3.7443792525391206E-3</v>
      </c>
    </row>
    <row r="303" spans="1:4" ht="15.75">
      <c r="A303" s="94">
        <v>216.79255354640691</v>
      </c>
      <c r="B303" s="95">
        <f>A303/A302-1</f>
        <v>-3.0255329203141557E-3</v>
      </c>
      <c r="C303" s="94">
        <v>61.053566343481329</v>
      </c>
      <c r="D303" s="95">
        <f>C303/C302-1</f>
        <v>-3.0255329203141557E-3</v>
      </c>
    </row>
    <row r="304" spans="1:4" ht="15.75">
      <c r="A304" s="94">
        <v>216.02655634883567</v>
      </c>
      <c r="B304" s="95">
        <f>A304/A303-1</f>
        <v>-3.5333187650620212E-3</v>
      </c>
      <c r="C304" s="94">
        <v>60.471523233785057</v>
      </c>
      <c r="D304" s="95">
        <f>C304/C303-1</f>
        <v>-9.5333187650620266E-3</v>
      </c>
    </row>
    <row r="305" spans="1:4" ht="15.75">
      <c r="A305" s="94">
        <v>215.46006539000467</v>
      </c>
      <c r="B305" s="95">
        <f>A305/A304-1</f>
        <v>-2.6223209238971368E-3</v>
      </c>
      <c r="C305" s="94">
        <v>62.792279945694354</v>
      </c>
      <c r="D305" s="95">
        <f>C305/C304-1</f>
        <v>3.8377679076102789E-2</v>
      </c>
    </row>
    <row r="306" spans="1:4" ht="15.75">
      <c r="A306" s="94">
        <v>217.13418295856408</v>
      </c>
      <c r="B306" s="95">
        <f>A306/A305-1</f>
        <v>7.769966863832023E-3</v>
      </c>
      <c r="C306" s="94">
        <v>62.966212480448398</v>
      </c>
      <c r="D306" s="95">
        <f>C306/C305-1</f>
        <v>2.7699668638321295E-3</v>
      </c>
    </row>
    <row r="307" spans="1:4" ht="15.75">
      <c r="A307" s="94">
        <v>215.02635617535196</v>
      </c>
      <c r="B307" s="95">
        <f>A307/A306-1</f>
        <v>-9.7074848118886559E-3</v>
      </c>
      <c r="C307" s="94">
        <v>62.543867566573638</v>
      </c>
      <c r="D307" s="95">
        <f>C307/C306-1</f>
        <v>-6.7074848118886532E-3</v>
      </c>
    </row>
    <row r="308" spans="1:4" ht="15.75">
      <c r="A308" s="94">
        <v>216.52098485353974</v>
      </c>
      <c r="B308" s="95">
        <f>A308/A307-1</f>
        <v>6.9509092037485232E-3</v>
      </c>
      <c r="C308" s="94">
        <v>62.665884973447305</v>
      </c>
      <c r="D308" s="95">
        <f>C308/C307-1</f>
        <v>1.9509092037486297E-3</v>
      </c>
    </row>
    <row r="309" spans="1:4" ht="15.75">
      <c r="A309" s="94">
        <v>215.8737572562888</v>
      </c>
      <c r="B309" s="95">
        <f>A309/A308-1</f>
        <v>-2.9892141756547863E-3</v>
      </c>
      <c r="C309" s="94">
        <v>62.478563221754726</v>
      </c>
      <c r="D309" s="95">
        <f>C309/C308-1</f>
        <v>-2.9892141756547863E-3</v>
      </c>
    </row>
    <row r="310" spans="1:4" ht="15.75">
      <c r="A310" s="94">
        <v>217.02008407286314</v>
      </c>
      <c r="B310" s="95">
        <f>A310/A309-1</f>
        <v>5.3101721633233012E-3</v>
      </c>
      <c r="C310" s="94">
        <v>62.685378022535815</v>
      </c>
      <c r="D310" s="95">
        <f>C310/C309-1</f>
        <v>3.3101721633232994E-3</v>
      </c>
    </row>
    <row r="311" spans="1:4" ht="15.75">
      <c r="A311" s="94">
        <v>217.28965103089345</v>
      </c>
      <c r="B311" s="95">
        <f>A311/A310-1</f>
        <v>1.2421290830382237E-3</v>
      </c>
      <c r="C311" s="94">
        <v>63.139353621794065</v>
      </c>
      <c r="D311" s="95">
        <f>C311/C310-1</f>
        <v>7.242129083038229E-3</v>
      </c>
    </row>
    <row r="312" spans="1:4" ht="15.75">
      <c r="A312" s="94">
        <v>218.02362047107493</v>
      </c>
      <c r="B312" s="95">
        <f>A312/A311-1</f>
        <v>3.3778389200742609E-3</v>
      </c>
      <c r="C312" s="94">
        <v>66.509595868935804</v>
      </c>
      <c r="D312" s="95">
        <f>C312/C311-1</f>
        <v>5.3377838920074305E-2</v>
      </c>
    </row>
    <row r="313" spans="1:4" ht="15.75">
      <c r="A313" s="94">
        <v>216.13198105024355</v>
      </c>
      <c r="B313" s="95">
        <f>A313/A312-1</f>
        <v>-8.6763049652335278E-3</v>
      </c>
      <c r="C313" s="94">
        <v>62.873096922091435</v>
      </c>
      <c r="D313" s="95">
        <f>C313/C312-1</f>
        <v>-5.4676304965233569E-2</v>
      </c>
    </row>
    <row r="314" spans="1:4" ht="15.75">
      <c r="A314" s="94">
        <v>217.1788883699206</v>
      </c>
      <c r="B314" s="95">
        <f>A314/A313-1</f>
        <v>4.8438334511617942E-3</v>
      </c>
      <c r="C314" s="94">
        <v>63.240516829062884</v>
      </c>
      <c r="D314" s="95">
        <f>C314/C313-1</f>
        <v>5.8438334511616841E-3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mohammedu iflam</dc:creator>
  <cp:lastModifiedBy>mohammedu iflam</cp:lastModifiedBy>
  <cp:lastPrinted>2025-03-10T14:43:28Z</cp:lastPrinted>
  <dcterms:created xsi:type="dcterms:W3CDTF">2025-03-01T12:44:33Z</dcterms:created>
  <dcterms:modified xsi:type="dcterms:W3CDTF">2025-03-10T16:14:46Z</dcterms:modified>
</cp:coreProperties>
</file>