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thik\Downloads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0" i="1" l="1"/>
  <c r="E160" i="1"/>
  <c r="F145" i="1"/>
  <c r="E159" i="1"/>
  <c r="Q128" i="1"/>
  <c r="L204" i="1"/>
  <c r="G108" i="1"/>
  <c r="G104" i="1"/>
  <c r="G127" i="1" l="1"/>
  <c r="Y248" i="1" l="1"/>
  <c r="X248" i="1"/>
  <c r="W248" i="1"/>
  <c r="V248" i="1"/>
  <c r="U248" i="1"/>
  <c r="T248" i="1"/>
  <c r="S248" i="1"/>
  <c r="R248" i="1"/>
  <c r="Q248" i="1"/>
  <c r="P248" i="1"/>
  <c r="C248" i="1"/>
  <c r="L248" i="1"/>
  <c r="K248" i="1"/>
  <c r="J248" i="1"/>
  <c r="I248" i="1"/>
  <c r="H248" i="1"/>
  <c r="G248" i="1"/>
  <c r="F248" i="1"/>
  <c r="E248" i="1"/>
  <c r="D248" i="1"/>
  <c r="Y231" i="1"/>
  <c r="X231" i="1"/>
  <c r="W231" i="1"/>
  <c r="V231" i="1"/>
  <c r="U231" i="1"/>
  <c r="T231" i="1"/>
  <c r="S231" i="1"/>
  <c r="R231" i="1"/>
  <c r="Q231" i="1"/>
  <c r="P231" i="1"/>
  <c r="P230" i="1"/>
  <c r="L231" i="1"/>
  <c r="K231" i="1"/>
  <c r="J231" i="1"/>
  <c r="I231" i="1"/>
  <c r="H231" i="1"/>
  <c r="G231" i="1"/>
  <c r="F231" i="1"/>
  <c r="E231" i="1"/>
  <c r="D231" i="1"/>
  <c r="C231" i="1"/>
  <c r="E189" i="1"/>
  <c r="F189" i="1"/>
  <c r="D189" i="1"/>
  <c r="P213" i="1"/>
  <c r="C214" i="1"/>
  <c r="C197" i="1"/>
  <c r="Q230" i="1"/>
  <c r="R230" i="1"/>
  <c r="S230" i="1"/>
  <c r="T230" i="1"/>
  <c r="U230" i="1"/>
  <c r="V230" i="1"/>
  <c r="W230" i="1"/>
  <c r="X230" i="1"/>
  <c r="Y230" i="1"/>
  <c r="D230" i="1"/>
  <c r="E230" i="1"/>
  <c r="F230" i="1"/>
  <c r="G230" i="1"/>
  <c r="H230" i="1"/>
  <c r="I230" i="1"/>
  <c r="J230" i="1"/>
  <c r="K230" i="1"/>
  <c r="L230" i="1"/>
  <c r="D203" i="1" l="1"/>
  <c r="Q220" i="1" s="1"/>
  <c r="E203" i="1"/>
  <c r="R220" i="1" s="1"/>
  <c r="F203" i="1"/>
  <c r="G203" i="1"/>
  <c r="H203" i="1"/>
  <c r="I203" i="1"/>
  <c r="J203" i="1"/>
  <c r="K203" i="1"/>
  <c r="L203" i="1"/>
  <c r="Y220" i="1" s="1"/>
  <c r="C203" i="1"/>
  <c r="P220" i="1" s="1"/>
  <c r="C290" i="1" l="1"/>
  <c r="P254" i="1"/>
  <c r="C254" i="1"/>
  <c r="P237" i="1"/>
  <c r="P290" i="1"/>
  <c r="I220" i="1"/>
  <c r="I237" i="1" s="1"/>
  <c r="V290" i="1"/>
  <c r="V254" i="1"/>
  <c r="I254" i="1"/>
  <c r="V237" i="1"/>
  <c r="I290" i="1"/>
  <c r="E220" i="1"/>
  <c r="E237" i="1" s="1"/>
  <c r="R290" i="1"/>
  <c r="R254" i="1"/>
  <c r="E254" i="1"/>
  <c r="R237" i="1"/>
  <c r="E290" i="1"/>
  <c r="F290" i="1"/>
  <c r="S290" i="1"/>
  <c r="S254" i="1"/>
  <c r="F254" i="1"/>
  <c r="S237" i="1"/>
  <c r="L220" i="1"/>
  <c r="L237" i="1" s="1"/>
  <c r="Y254" i="1"/>
  <c r="L254" i="1"/>
  <c r="Y237" i="1"/>
  <c r="L290" i="1"/>
  <c r="Y290" i="1"/>
  <c r="H220" i="1"/>
  <c r="H237" i="1" s="1"/>
  <c r="U254" i="1"/>
  <c r="H254" i="1"/>
  <c r="U237" i="1"/>
  <c r="H290" i="1"/>
  <c r="U290" i="1"/>
  <c r="D220" i="1"/>
  <c r="D237" i="1" s="1"/>
  <c r="Q254" i="1"/>
  <c r="D254" i="1"/>
  <c r="Q237" i="1"/>
  <c r="D290" i="1"/>
  <c r="Q290" i="1"/>
  <c r="V220" i="1"/>
  <c r="W220" i="1"/>
  <c r="J290" i="1"/>
  <c r="W290" i="1"/>
  <c r="W254" i="1"/>
  <c r="J254" i="1"/>
  <c r="W237" i="1"/>
  <c r="K220" i="1"/>
  <c r="K237" i="1" s="1"/>
  <c r="X237" i="1"/>
  <c r="K290" i="1"/>
  <c r="X290" i="1"/>
  <c r="X254" i="1"/>
  <c r="K254" i="1"/>
  <c r="G220" i="1"/>
  <c r="G237" i="1" s="1"/>
  <c r="T237" i="1"/>
  <c r="G290" i="1"/>
  <c r="T290" i="1"/>
  <c r="T254" i="1"/>
  <c r="G254" i="1"/>
  <c r="C220" i="1"/>
  <c r="C237" i="1" s="1"/>
  <c r="U220" i="1"/>
  <c r="S220" i="1"/>
  <c r="F220" i="1"/>
  <c r="F237" i="1" s="1"/>
  <c r="X220" i="1"/>
  <c r="T220" i="1"/>
  <c r="J220" i="1"/>
  <c r="J237" i="1" s="1"/>
  <c r="B147" i="1" l="1"/>
  <c r="B146" i="1"/>
  <c r="B148" i="1" s="1"/>
  <c r="O136" i="1" l="1"/>
  <c r="B145" i="1" s="1"/>
  <c r="H136" i="1"/>
  <c r="G138" i="1" s="1"/>
  <c r="B144" i="1" s="1"/>
  <c r="D137" i="1"/>
  <c r="B143" i="1" s="1"/>
  <c r="Q125" i="1" l="1"/>
  <c r="Q123" i="1"/>
  <c r="G107" i="1"/>
  <c r="G105" i="1"/>
  <c r="F95" i="1"/>
  <c r="F91" i="1"/>
  <c r="M77" i="1"/>
  <c r="G106" i="1" s="1"/>
  <c r="B39" i="1"/>
  <c r="M76" i="1" s="1"/>
  <c r="E66" i="1"/>
  <c r="F66" i="1" s="1"/>
  <c r="E65" i="1"/>
  <c r="F65" i="1" s="1"/>
  <c r="E64" i="1"/>
  <c r="F64" i="1" s="1"/>
  <c r="E63" i="1"/>
  <c r="F63" i="1" s="1"/>
  <c r="D60" i="1"/>
  <c r="E47" i="1"/>
  <c r="E48" i="1" s="1"/>
  <c r="D47" i="1"/>
  <c r="D48" i="1" s="1"/>
  <c r="E58" i="1" s="1"/>
  <c r="M78" i="1" l="1"/>
  <c r="E84" i="1" s="1"/>
  <c r="E87" i="1" s="1"/>
  <c r="F85" i="1" s="1"/>
  <c r="F86" i="1" s="1"/>
  <c r="F90" i="1"/>
  <c r="D49" i="1"/>
  <c r="E69" i="1" s="1"/>
  <c r="F58" i="1"/>
  <c r="E59" i="1"/>
  <c r="F59" i="1" s="1"/>
  <c r="F48" i="1"/>
  <c r="E49" i="1"/>
  <c r="F47" i="1"/>
  <c r="C39" i="1"/>
  <c r="D159" i="1" l="1"/>
  <c r="B195" i="1"/>
  <c r="E71" i="1"/>
  <c r="D78" i="1" s="1"/>
  <c r="F60" i="1"/>
  <c r="H112" i="1" s="1"/>
  <c r="F87" i="1"/>
  <c r="G85" i="1" s="1"/>
  <c r="G86" i="1" s="1"/>
  <c r="H114" i="1"/>
  <c r="E60" i="1"/>
  <c r="E72" i="1"/>
  <c r="D79" i="1" s="1"/>
  <c r="E70" i="1"/>
  <c r="D77" i="1" s="1"/>
  <c r="D76" i="1"/>
  <c r="F71" i="1"/>
  <c r="E78" i="1" s="1"/>
  <c r="F69" i="1"/>
  <c r="I69" i="1" s="1"/>
  <c r="F72" i="1"/>
  <c r="F70" i="1"/>
  <c r="F49" i="1"/>
  <c r="O212" i="1" l="1"/>
  <c r="O222" i="1" s="1"/>
  <c r="O223" i="1" s="1"/>
  <c r="B212" i="1"/>
  <c r="B222" i="1" s="1"/>
  <c r="B223" i="1" s="1"/>
  <c r="B282" i="1"/>
  <c r="O246" i="1"/>
  <c r="O256" i="1" s="1"/>
  <c r="O257" i="1" s="1"/>
  <c r="B246" i="1"/>
  <c r="B256" i="1" s="1"/>
  <c r="B257" i="1" s="1"/>
  <c r="O229" i="1"/>
  <c r="O239" i="1" s="1"/>
  <c r="O240" i="1" s="1"/>
  <c r="B229" i="1"/>
  <c r="B239" i="1" s="1"/>
  <c r="B240" i="1" s="1"/>
  <c r="H118" i="1"/>
  <c r="C198" i="1"/>
  <c r="B205" i="1"/>
  <c r="B206" i="1" s="1"/>
  <c r="I112" i="1"/>
  <c r="D160" i="1"/>
  <c r="D168" i="1"/>
  <c r="G87" i="1"/>
  <c r="H85" i="1" s="1"/>
  <c r="H86" i="1" s="1"/>
  <c r="J114" i="1" s="1"/>
  <c r="I114" i="1"/>
  <c r="E73" i="1"/>
  <c r="I71" i="1"/>
  <c r="E77" i="1"/>
  <c r="I70" i="1"/>
  <c r="E79" i="1"/>
  <c r="I72" i="1"/>
  <c r="F73" i="1"/>
  <c r="E76" i="1"/>
  <c r="D80" i="1"/>
  <c r="P285" i="1" l="1"/>
  <c r="P289" i="1" s="1"/>
  <c r="C285" i="1"/>
  <c r="C289" i="1" s="1"/>
  <c r="P249" i="1"/>
  <c r="P253" i="1" s="1"/>
  <c r="C249" i="1"/>
  <c r="C253" i="1" s="1"/>
  <c r="P232" i="1"/>
  <c r="P236" i="1" s="1"/>
  <c r="O282" i="1"/>
  <c r="B299" i="1"/>
  <c r="B292" i="1"/>
  <c r="B293" i="1" s="1"/>
  <c r="I118" i="1"/>
  <c r="D198" i="1"/>
  <c r="J112" i="1"/>
  <c r="D197" i="1"/>
  <c r="P215" i="1"/>
  <c r="C202" i="1"/>
  <c r="P219" i="1" s="1"/>
  <c r="C215" i="1"/>
  <c r="J118" i="1"/>
  <c r="E198" i="1"/>
  <c r="D169" i="1"/>
  <c r="I73" i="1"/>
  <c r="H87" i="1"/>
  <c r="I85" i="1" s="1"/>
  <c r="I86" i="1" s="1"/>
  <c r="K114" i="1" s="1"/>
  <c r="E80" i="1"/>
  <c r="C219" i="1" l="1"/>
  <c r="C232" i="1"/>
  <c r="C236" i="1" s="1"/>
  <c r="E299" i="1"/>
  <c r="O292" i="1"/>
  <c r="O293" i="1" s="1"/>
  <c r="R232" i="1"/>
  <c r="R236" i="1" s="1"/>
  <c r="R285" i="1"/>
  <c r="R289" i="1" s="1"/>
  <c r="E285" i="1"/>
  <c r="E289" i="1" s="1"/>
  <c r="R249" i="1"/>
  <c r="R253" i="1" s="1"/>
  <c r="E249" i="1"/>
  <c r="E253" i="1" s="1"/>
  <c r="Q285" i="1"/>
  <c r="Q289" i="1" s="1"/>
  <c r="D285" i="1"/>
  <c r="D289" i="1" s="1"/>
  <c r="Q249" i="1"/>
  <c r="Q253" i="1" s="1"/>
  <c r="D249" i="1"/>
  <c r="D253" i="1" s="1"/>
  <c r="Q232" i="1"/>
  <c r="Q236" i="1" s="1"/>
  <c r="D284" i="1"/>
  <c r="R215" i="1"/>
  <c r="E215" i="1"/>
  <c r="E202" i="1"/>
  <c r="R219" i="1" s="1"/>
  <c r="D214" i="1"/>
  <c r="Q214" i="1"/>
  <c r="D215" i="1"/>
  <c r="D202" i="1"/>
  <c r="Q219" i="1" s="1"/>
  <c r="Q215" i="1"/>
  <c r="K118" i="1"/>
  <c r="F198" i="1"/>
  <c r="K112" i="1"/>
  <c r="E197" i="1"/>
  <c r="H111" i="1"/>
  <c r="I87" i="1"/>
  <c r="J85" i="1" s="1"/>
  <c r="J86" i="1" s="1"/>
  <c r="L114" i="1" s="1"/>
  <c r="S249" i="1" l="1"/>
  <c r="S253" i="1" s="1"/>
  <c r="F249" i="1"/>
  <c r="F253" i="1" s="1"/>
  <c r="S232" i="1"/>
  <c r="S236" i="1" s="1"/>
  <c r="S285" i="1"/>
  <c r="S289" i="1" s="1"/>
  <c r="F285" i="1"/>
  <c r="F289" i="1" s="1"/>
  <c r="E219" i="1"/>
  <c r="E232" i="1"/>
  <c r="E236" i="1" s="1"/>
  <c r="E284" i="1"/>
  <c r="D219" i="1"/>
  <c r="D232" i="1"/>
  <c r="D236" i="1" s="1"/>
  <c r="L118" i="1"/>
  <c r="G198" i="1"/>
  <c r="I111" i="1"/>
  <c r="D196" i="1" s="1"/>
  <c r="C196" i="1"/>
  <c r="E214" i="1"/>
  <c r="R214" i="1"/>
  <c r="S215" i="1"/>
  <c r="F215" i="1"/>
  <c r="F202" i="1"/>
  <c r="S219" i="1" s="1"/>
  <c r="L112" i="1"/>
  <c r="F197" i="1"/>
  <c r="I113" i="1"/>
  <c r="I115" i="1" s="1"/>
  <c r="H113" i="1"/>
  <c r="H115" i="1" s="1"/>
  <c r="J87" i="1"/>
  <c r="K85" i="1" s="1"/>
  <c r="K86" i="1" s="1"/>
  <c r="M114" i="1" s="1"/>
  <c r="Q247" i="1" l="1"/>
  <c r="Q250" i="1" s="1"/>
  <c r="D247" i="1"/>
  <c r="D250" i="1" s="1"/>
  <c r="Q233" i="1"/>
  <c r="Q283" i="1"/>
  <c r="D283" i="1"/>
  <c r="D286" i="1" s="1"/>
  <c r="D233" i="1"/>
  <c r="T285" i="1"/>
  <c r="T289" i="1" s="1"/>
  <c r="G285" i="1"/>
  <c r="G289" i="1" s="1"/>
  <c r="T249" i="1"/>
  <c r="T253" i="1" s="1"/>
  <c r="G249" i="1"/>
  <c r="G253" i="1" s="1"/>
  <c r="T232" i="1"/>
  <c r="T236" i="1" s="1"/>
  <c r="F219" i="1"/>
  <c r="F232" i="1"/>
  <c r="F236" i="1" s="1"/>
  <c r="C283" i="1"/>
  <c r="P247" i="1"/>
  <c r="C247" i="1"/>
  <c r="P283" i="1"/>
  <c r="F284" i="1"/>
  <c r="C213" i="1"/>
  <c r="Q213" i="1"/>
  <c r="Q216" i="1" s="1"/>
  <c r="D199" i="1"/>
  <c r="D213" i="1"/>
  <c r="D216" i="1" s="1"/>
  <c r="M118" i="1"/>
  <c r="H198" i="1"/>
  <c r="S214" i="1"/>
  <c r="F214" i="1"/>
  <c r="M112" i="1"/>
  <c r="G197" i="1"/>
  <c r="G202" i="1"/>
  <c r="T219" i="1" s="1"/>
  <c r="G215" i="1"/>
  <c r="T215" i="1"/>
  <c r="J111" i="1"/>
  <c r="E196" i="1" s="1"/>
  <c r="I116" i="1"/>
  <c r="H116" i="1"/>
  <c r="K87" i="1"/>
  <c r="L85" i="1" s="1"/>
  <c r="L86" i="1" s="1"/>
  <c r="N114" i="1" s="1"/>
  <c r="Q284" i="1" l="1"/>
  <c r="Q286" i="1" s="1"/>
  <c r="R247" i="1"/>
  <c r="R250" i="1" s="1"/>
  <c r="E247" i="1"/>
  <c r="E250" i="1" s="1"/>
  <c r="R233" i="1"/>
  <c r="R283" i="1"/>
  <c r="E283" i="1"/>
  <c r="E286" i="1" s="1"/>
  <c r="E233" i="1"/>
  <c r="U285" i="1"/>
  <c r="U289" i="1" s="1"/>
  <c r="H285" i="1"/>
  <c r="H289" i="1" s="1"/>
  <c r="U249" i="1"/>
  <c r="U253" i="1" s="1"/>
  <c r="H249" i="1"/>
  <c r="H253" i="1" s="1"/>
  <c r="U232" i="1"/>
  <c r="U236" i="1" s="1"/>
  <c r="G219" i="1"/>
  <c r="G232" i="1"/>
  <c r="G236" i="1" s="1"/>
  <c r="P284" i="1"/>
  <c r="E301" i="1" s="1"/>
  <c r="E300" i="1"/>
  <c r="B300" i="1"/>
  <c r="G284" i="1"/>
  <c r="H117" i="1"/>
  <c r="H121" i="1" s="1"/>
  <c r="H127" i="1" s="1"/>
  <c r="C200" i="1"/>
  <c r="I117" i="1"/>
  <c r="I121" i="1" s="1"/>
  <c r="I127" i="1" s="1"/>
  <c r="F159" i="1" s="1"/>
  <c r="D200" i="1"/>
  <c r="N112" i="1"/>
  <c r="H197" i="1"/>
  <c r="E199" i="1"/>
  <c r="E213" i="1"/>
  <c r="E216" i="1" s="1"/>
  <c r="R213" i="1"/>
  <c r="R216" i="1" s="1"/>
  <c r="G214" i="1"/>
  <c r="T214" i="1"/>
  <c r="H215" i="1"/>
  <c r="U215" i="1"/>
  <c r="H202" i="1"/>
  <c r="U219" i="1" s="1"/>
  <c r="K111" i="1"/>
  <c r="F196" i="1" s="1"/>
  <c r="N118" i="1"/>
  <c r="I198" i="1"/>
  <c r="J113" i="1"/>
  <c r="J115" i="1" s="1"/>
  <c r="J116" i="1" s="1"/>
  <c r="D201" i="1"/>
  <c r="D205" i="1" s="1"/>
  <c r="L87" i="1"/>
  <c r="M85" i="1" s="1"/>
  <c r="M86" i="1" s="1"/>
  <c r="O114" i="1" s="1"/>
  <c r="P286" i="1" l="1"/>
  <c r="L111" i="1"/>
  <c r="G196" i="1" s="1"/>
  <c r="V232" i="1"/>
  <c r="V236" i="1" s="1"/>
  <c r="V285" i="1"/>
  <c r="V289" i="1" s="1"/>
  <c r="I285" i="1"/>
  <c r="I289" i="1" s="1"/>
  <c r="V249" i="1"/>
  <c r="V253" i="1" s="1"/>
  <c r="I249" i="1"/>
  <c r="I253" i="1" s="1"/>
  <c r="H284" i="1"/>
  <c r="P287" i="1"/>
  <c r="P251" i="1"/>
  <c r="C251" i="1"/>
  <c r="P234" i="1"/>
  <c r="S283" i="1"/>
  <c r="F283" i="1"/>
  <c r="F286" i="1" s="1"/>
  <c r="F233" i="1"/>
  <c r="S247" i="1"/>
  <c r="S250" i="1" s="1"/>
  <c r="F247" i="1"/>
  <c r="F250" i="1" s="1"/>
  <c r="S233" i="1"/>
  <c r="R284" i="1"/>
  <c r="R286" i="1" s="1"/>
  <c r="K113" i="1"/>
  <c r="K115" i="1" s="1"/>
  <c r="K116" i="1" s="1"/>
  <c r="H219" i="1"/>
  <c r="H232" i="1"/>
  <c r="H236" i="1" s="1"/>
  <c r="Q287" i="1"/>
  <c r="Q288" i="1" s="1"/>
  <c r="Q292" i="1" s="1"/>
  <c r="Q251" i="1"/>
  <c r="Q252" i="1" s="1"/>
  <c r="Q256" i="1" s="1"/>
  <c r="D251" i="1"/>
  <c r="Q234" i="1"/>
  <c r="Q235" i="1" s="1"/>
  <c r="Q239" i="1" s="1"/>
  <c r="P288" i="1"/>
  <c r="P292" i="1" s="1"/>
  <c r="J117" i="1"/>
  <c r="J121" i="1" s="1"/>
  <c r="J127" i="1" s="1"/>
  <c r="G159" i="1" s="1"/>
  <c r="E200" i="1"/>
  <c r="F160" i="1"/>
  <c r="F168" i="1"/>
  <c r="F213" i="1"/>
  <c r="F216" i="1" s="1"/>
  <c r="S213" i="1"/>
  <c r="S216" i="1" s="1"/>
  <c r="F199" i="1"/>
  <c r="H214" i="1"/>
  <c r="U214" i="1"/>
  <c r="O112" i="1"/>
  <c r="I197" i="1"/>
  <c r="P217" i="1"/>
  <c r="C217" i="1"/>
  <c r="O118" i="1"/>
  <c r="J198" i="1"/>
  <c r="T213" i="1"/>
  <c r="T216" i="1" s="1"/>
  <c r="G213" i="1"/>
  <c r="G216" i="1" s="1"/>
  <c r="G199" i="1"/>
  <c r="V215" i="1"/>
  <c r="I202" i="1"/>
  <c r="V219" i="1" s="1"/>
  <c r="I215" i="1"/>
  <c r="Q217" i="1"/>
  <c r="Q218" i="1" s="1"/>
  <c r="Q222" i="1" s="1"/>
  <c r="D217" i="1"/>
  <c r="C172" i="1"/>
  <c r="E168" i="1"/>
  <c r="L113" i="1"/>
  <c r="L115" i="1" s="1"/>
  <c r="M111" i="1"/>
  <c r="H196" i="1" s="1"/>
  <c r="M87" i="1"/>
  <c r="N85" i="1" s="1"/>
  <c r="N86" i="1" s="1"/>
  <c r="C287" i="1" l="1"/>
  <c r="I219" i="1"/>
  <c r="I232" i="1"/>
  <c r="I236" i="1" s="1"/>
  <c r="C234" i="1"/>
  <c r="R287" i="1"/>
  <c r="R288" i="1" s="1"/>
  <c r="R292" i="1" s="1"/>
  <c r="R251" i="1"/>
  <c r="R252" i="1" s="1"/>
  <c r="R256" i="1" s="1"/>
  <c r="E251" i="1"/>
  <c r="R234" i="1"/>
  <c r="R235" i="1" s="1"/>
  <c r="R239" i="1" s="1"/>
  <c r="D218" i="1"/>
  <c r="D222" i="1" s="1"/>
  <c r="D234" i="1"/>
  <c r="D235" i="1" s="1"/>
  <c r="D239" i="1" s="1"/>
  <c r="W249" i="1"/>
  <c r="W253" i="1" s="1"/>
  <c r="J249" i="1"/>
  <c r="J253" i="1" s="1"/>
  <c r="W232" i="1"/>
  <c r="W236" i="1" s="1"/>
  <c r="W285" i="1"/>
  <c r="W289" i="1" s="1"/>
  <c r="J285" i="1"/>
  <c r="J289" i="1" s="1"/>
  <c r="I284" i="1"/>
  <c r="E201" i="1"/>
  <c r="E205" i="1" s="1"/>
  <c r="S284" i="1"/>
  <c r="S286" i="1" s="1"/>
  <c r="T233" i="1"/>
  <c r="T283" i="1"/>
  <c r="G283" i="1"/>
  <c r="G286" i="1" s="1"/>
  <c r="G233" i="1"/>
  <c r="T247" i="1"/>
  <c r="T250" i="1" s="1"/>
  <c r="G247" i="1"/>
  <c r="G250" i="1" s="1"/>
  <c r="U247" i="1"/>
  <c r="U250" i="1" s="1"/>
  <c r="H247" i="1"/>
  <c r="H250" i="1" s="1"/>
  <c r="U233" i="1"/>
  <c r="U283" i="1"/>
  <c r="H283" i="1"/>
  <c r="H286" i="1" s="1"/>
  <c r="H233" i="1"/>
  <c r="D287" i="1"/>
  <c r="D288" i="1" s="1"/>
  <c r="D252" i="1"/>
  <c r="D256" i="1" s="1"/>
  <c r="K117" i="1"/>
  <c r="K121" i="1" s="1"/>
  <c r="K127" i="1" s="1"/>
  <c r="H159" i="1" s="1"/>
  <c r="F200" i="1"/>
  <c r="E169" i="1"/>
  <c r="F169" i="1" s="1"/>
  <c r="C173" i="1"/>
  <c r="W215" i="1"/>
  <c r="J215" i="1"/>
  <c r="J202" i="1"/>
  <c r="W219" i="1" s="1"/>
  <c r="V214" i="1"/>
  <c r="I214" i="1"/>
  <c r="E217" i="1"/>
  <c r="R217" i="1"/>
  <c r="R218" i="1" s="1"/>
  <c r="R222" i="1" s="1"/>
  <c r="U213" i="1"/>
  <c r="U216" i="1" s="1"/>
  <c r="H213" i="1"/>
  <c r="H216" i="1" s="1"/>
  <c r="H199" i="1"/>
  <c r="P112" i="1"/>
  <c r="J197" i="1"/>
  <c r="G168" i="1"/>
  <c r="G160" i="1"/>
  <c r="L116" i="1"/>
  <c r="M113" i="1"/>
  <c r="M115" i="1" s="1"/>
  <c r="N111" i="1"/>
  <c r="I196" i="1" s="1"/>
  <c r="N87" i="1"/>
  <c r="O85" i="1" s="1"/>
  <c r="O86" i="1" s="1"/>
  <c r="P114" i="1"/>
  <c r="E287" i="1" l="1"/>
  <c r="E288" i="1" s="1"/>
  <c r="E252" i="1"/>
  <c r="E256" i="1" s="1"/>
  <c r="G169" i="1"/>
  <c r="U284" i="1"/>
  <c r="U286" i="1" s="1"/>
  <c r="S234" i="1"/>
  <c r="S235" i="1" s="1"/>
  <c r="S239" i="1" s="1"/>
  <c r="S287" i="1"/>
  <c r="S288" i="1" s="1"/>
  <c r="S292" i="1" s="1"/>
  <c r="S251" i="1"/>
  <c r="S252" i="1" s="1"/>
  <c r="S256" i="1" s="1"/>
  <c r="F251" i="1"/>
  <c r="V247" i="1"/>
  <c r="V250" i="1" s="1"/>
  <c r="I247" i="1"/>
  <c r="I250" i="1" s="1"/>
  <c r="V233" i="1"/>
  <c r="V283" i="1"/>
  <c r="I283" i="1"/>
  <c r="I286" i="1" s="1"/>
  <c r="I233" i="1"/>
  <c r="E218" i="1"/>
  <c r="E222" i="1" s="1"/>
  <c r="E234" i="1"/>
  <c r="E235" i="1" s="1"/>
  <c r="E239" i="1" s="1"/>
  <c r="J219" i="1"/>
  <c r="J232" i="1"/>
  <c r="J236" i="1" s="1"/>
  <c r="J284" i="1"/>
  <c r="T284" i="1"/>
  <c r="T286" i="1"/>
  <c r="P118" i="1"/>
  <c r="K198" i="1"/>
  <c r="L117" i="1"/>
  <c r="L121" i="1" s="1"/>
  <c r="L127" i="1" s="1"/>
  <c r="I159" i="1" s="1"/>
  <c r="G200" i="1"/>
  <c r="W214" i="1"/>
  <c r="J214" i="1"/>
  <c r="F217" i="1"/>
  <c r="S217" i="1"/>
  <c r="S218" i="1" s="1"/>
  <c r="S222" i="1" s="1"/>
  <c r="Q112" i="1"/>
  <c r="L197" i="1" s="1"/>
  <c r="K197" i="1"/>
  <c r="H160" i="1"/>
  <c r="H168" i="1"/>
  <c r="D292" i="1"/>
  <c r="I213" i="1"/>
  <c r="I216" i="1" s="1"/>
  <c r="V213" i="1"/>
  <c r="V216" i="1" s="1"/>
  <c r="I199" i="1"/>
  <c r="F201" i="1"/>
  <c r="F205" i="1" s="1"/>
  <c r="O111" i="1"/>
  <c r="J196" i="1" s="1"/>
  <c r="N113" i="1"/>
  <c r="N115" i="1" s="1"/>
  <c r="M116" i="1"/>
  <c r="O87" i="1"/>
  <c r="F92" i="1" s="1"/>
  <c r="Q124" i="1" s="1"/>
  <c r="Q114" i="1"/>
  <c r="F287" i="1" l="1"/>
  <c r="F288" i="1" s="1"/>
  <c r="F252" i="1"/>
  <c r="F256" i="1" s="1"/>
  <c r="X285" i="1"/>
  <c r="X289" i="1" s="1"/>
  <c r="K285" i="1"/>
  <c r="K289" i="1" s="1"/>
  <c r="X249" i="1"/>
  <c r="X253" i="1" s="1"/>
  <c r="K249" i="1"/>
  <c r="K253" i="1" s="1"/>
  <c r="X232" i="1"/>
  <c r="X236" i="1" s="1"/>
  <c r="V284" i="1"/>
  <c r="V286" i="1"/>
  <c r="T251" i="1"/>
  <c r="T252" i="1" s="1"/>
  <c r="T256" i="1" s="1"/>
  <c r="G251" i="1"/>
  <c r="T234" i="1"/>
  <c r="T235" i="1" s="1"/>
  <c r="T239" i="1" s="1"/>
  <c r="T287" i="1"/>
  <c r="T288" i="1" s="1"/>
  <c r="T292" i="1" s="1"/>
  <c r="W283" i="1"/>
  <c r="J283" i="1"/>
  <c r="J286" i="1" s="1"/>
  <c r="J233" i="1"/>
  <c r="W247" i="1"/>
  <c r="W250" i="1" s="1"/>
  <c r="J247" i="1"/>
  <c r="J250" i="1" s="1"/>
  <c r="W233" i="1"/>
  <c r="K284" i="1"/>
  <c r="Y238" i="1"/>
  <c r="L291" i="1"/>
  <c r="L238" i="1"/>
  <c r="Y291" i="1"/>
  <c r="L255" i="1"/>
  <c r="Y255" i="1"/>
  <c r="L284" i="1"/>
  <c r="F218" i="1"/>
  <c r="F222" i="1" s="1"/>
  <c r="F234" i="1"/>
  <c r="F235" i="1" s="1"/>
  <c r="F239" i="1" s="1"/>
  <c r="M117" i="1"/>
  <c r="M121" i="1" s="1"/>
  <c r="M127" i="1" s="1"/>
  <c r="J159" i="1" s="1"/>
  <c r="H200" i="1"/>
  <c r="K214" i="1"/>
  <c r="X214" i="1"/>
  <c r="G217" i="1"/>
  <c r="T217" i="1"/>
  <c r="T218" i="1" s="1"/>
  <c r="T222" i="1" s="1"/>
  <c r="G201" i="1"/>
  <c r="G205" i="1" s="1"/>
  <c r="L214" i="1"/>
  <c r="Y214" i="1"/>
  <c r="I160" i="1"/>
  <c r="I168" i="1"/>
  <c r="K202" i="1"/>
  <c r="X219" i="1" s="1"/>
  <c r="X215" i="1"/>
  <c r="K215" i="1"/>
  <c r="Q118" i="1"/>
  <c r="L198" i="1"/>
  <c r="J213" i="1"/>
  <c r="J216" i="1" s="1"/>
  <c r="W213" i="1"/>
  <c r="W216" i="1" s="1"/>
  <c r="J199" i="1"/>
  <c r="E292" i="1"/>
  <c r="Y221" i="1"/>
  <c r="L221" i="1"/>
  <c r="H169" i="1"/>
  <c r="N116" i="1"/>
  <c r="P111" i="1"/>
  <c r="K196" i="1" s="1"/>
  <c r="O113" i="1"/>
  <c r="O115" i="1" s="1"/>
  <c r="X233" i="1" l="1"/>
  <c r="X283" i="1"/>
  <c r="K283" i="1"/>
  <c r="K286" i="1" s="1"/>
  <c r="X247" i="1"/>
  <c r="X250" i="1" s="1"/>
  <c r="K247" i="1"/>
  <c r="K250" i="1" s="1"/>
  <c r="G218" i="1"/>
  <c r="G222" i="1" s="1"/>
  <c r="G234" i="1"/>
  <c r="G235" i="1" s="1"/>
  <c r="G239" i="1" s="1"/>
  <c r="K219" i="1"/>
  <c r="K232" i="1"/>
  <c r="K236" i="1" s="1"/>
  <c r="G287" i="1"/>
  <c r="G288" i="1" s="1"/>
  <c r="G252" i="1"/>
  <c r="G256" i="1" s="1"/>
  <c r="Y285" i="1"/>
  <c r="Y289" i="1" s="1"/>
  <c r="L285" i="1"/>
  <c r="L289" i="1" s="1"/>
  <c r="Y249" i="1"/>
  <c r="Y253" i="1" s="1"/>
  <c r="L249" i="1"/>
  <c r="L253" i="1" s="1"/>
  <c r="Y232" i="1"/>
  <c r="Y236" i="1" s="1"/>
  <c r="U287" i="1"/>
  <c r="U288" i="1" s="1"/>
  <c r="U292" i="1" s="1"/>
  <c r="U251" i="1"/>
  <c r="U252" i="1" s="1"/>
  <c r="U256" i="1" s="1"/>
  <c r="H251" i="1"/>
  <c r="U234" i="1"/>
  <c r="U235" i="1" s="1"/>
  <c r="U239" i="1" s="1"/>
  <c r="W284" i="1"/>
  <c r="W286" i="1"/>
  <c r="U217" i="1"/>
  <c r="U218" i="1" s="1"/>
  <c r="U222" i="1" s="1"/>
  <c r="H217" i="1"/>
  <c r="H201" i="1"/>
  <c r="H205" i="1" s="1"/>
  <c r="X213" i="1"/>
  <c r="X216" i="1" s="1"/>
  <c r="K213" i="1"/>
  <c r="K216" i="1" s="1"/>
  <c r="F292" i="1"/>
  <c r="K199" i="1"/>
  <c r="N117" i="1"/>
  <c r="N121" i="1" s="1"/>
  <c r="N127" i="1" s="1"/>
  <c r="K159" i="1" s="1"/>
  <c r="I200" i="1"/>
  <c r="J160" i="1"/>
  <c r="J168" i="1"/>
  <c r="I169" i="1"/>
  <c r="L215" i="1"/>
  <c r="Y215" i="1"/>
  <c r="L202" i="1"/>
  <c r="Y219" i="1" s="1"/>
  <c r="O116" i="1"/>
  <c r="Q111" i="1"/>
  <c r="P113" i="1"/>
  <c r="P115" i="1" s="1"/>
  <c r="K233" i="1" l="1"/>
  <c r="H287" i="1"/>
  <c r="H288" i="1" s="1"/>
  <c r="H292" i="1" s="1"/>
  <c r="H252" i="1"/>
  <c r="H256" i="1" s="1"/>
  <c r="H218" i="1"/>
  <c r="H222" i="1" s="1"/>
  <c r="H234" i="1"/>
  <c r="H235" i="1" s="1"/>
  <c r="H239" i="1" s="1"/>
  <c r="X284" i="1"/>
  <c r="X286" i="1" s="1"/>
  <c r="L219" i="1"/>
  <c r="L232" i="1"/>
  <c r="L236" i="1" s="1"/>
  <c r="V287" i="1"/>
  <c r="V288" i="1" s="1"/>
  <c r="V292" i="1" s="1"/>
  <c r="V251" i="1"/>
  <c r="V252" i="1" s="1"/>
  <c r="V256" i="1" s="1"/>
  <c r="I251" i="1"/>
  <c r="V234" i="1"/>
  <c r="V235" i="1" s="1"/>
  <c r="V239" i="1" s="1"/>
  <c r="K160" i="1"/>
  <c r="K168" i="1"/>
  <c r="I217" i="1"/>
  <c r="V217" i="1"/>
  <c r="V218" i="1" s="1"/>
  <c r="V222" i="1" s="1"/>
  <c r="I201" i="1"/>
  <c r="I205" i="1" s="1"/>
  <c r="Q113" i="1"/>
  <c r="Q115" i="1" s="1"/>
  <c r="L196" i="1"/>
  <c r="O117" i="1"/>
  <c r="O121" i="1" s="1"/>
  <c r="O127" i="1" s="1"/>
  <c r="L159" i="1" s="1"/>
  <c r="J200" i="1"/>
  <c r="J169" i="1"/>
  <c r="K169" i="1" s="1"/>
  <c r="P116" i="1"/>
  <c r="Q116" i="1"/>
  <c r="I218" i="1" l="1"/>
  <c r="I222" i="1" s="1"/>
  <c r="I234" i="1"/>
  <c r="I235" i="1" s="1"/>
  <c r="I239" i="1" s="1"/>
  <c r="I287" i="1"/>
  <c r="I288" i="1" s="1"/>
  <c r="I292" i="1" s="1"/>
  <c r="I252" i="1"/>
  <c r="I256" i="1" s="1"/>
  <c r="Y247" i="1"/>
  <c r="Y250" i="1" s="1"/>
  <c r="L247" i="1"/>
  <c r="L250" i="1" s="1"/>
  <c r="Y233" i="1"/>
  <c r="Y283" i="1"/>
  <c r="L283" i="1"/>
  <c r="L286" i="1" s="1"/>
  <c r="L233" i="1"/>
  <c r="W234" i="1"/>
  <c r="W235" i="1" s="1"/>
  <c r="W239" i="1" s="1"/>
  <c r="W287" i="1"/>
  <c r="W288" i="1" s="1"/>
  <c r="W292" i="1" s="1"/>
  <c r="W251" i="1"/>
  <c r="W252" i="1" s="1"/>
  <c r="W256" i="1" s="1"/>
  <c r="J251" i="1"/>
  <c r="Q117" i="1"/>
  <c r="Q121" i="1" s="1"/>
  <c r="Q127" i="1" s="1"/>
  <c r="N159" i="1" s="1"/>
  <c r="L200" i="1"/>
  <c r="J217" i="1"/>
  <c r="W217" i="1"/>
  <c r="W218" i="1" s="1"/>
  <c r="W222" i="1" s="1"/>
  <c r="J201" i="1"/>
  <c r="J205" i="1" s="1"/>
  <c r="G292" i="1"/>
  <c r="Y213" i="1"/>
  <c r="Y216" i="1" s="1"/>
  <c r="L199" i="1"/>
  <c r="L201" i="1" s="1"/>
  <c r="L213" i="1"/>
  <c r="L216" i="1" s="1"/>
  <c r="P117" i="1"/>
  <c r="P121" i="1" s="1"/>
  <c r="P127" i="1" s="1"/>
  <c r="M159" i="1" s="1"/>
  <c r="K200" i="1"/>
  <c r="L160" i="1"/>
  <c r="L168" i="1"/>
  <c r="L169" i="1" s="1"/>
  <c r="X251" i="1" l="1"/>
  <c r="X252" i="1" s="1"/>
  <c r="X256" i="1" s="1"/>
  <c r="K251" i="1"/>
  <c r="X234" i="1"/>
  <c r="X235" i="1" s="1"/>
  <c r="X239" i="1" s="1"/>
  <c r="X287" i="1"/>
  <c r="X288" i="1" s="1"/>
  <c r="X292" i="1" s="1"/>
  <c r="J218" i="1"/>
  <c r="J222" i="1" s="1"/>
  <c r="J234" i="1"/>
  <c r="J235" i="1" s="1"/>
  <c r="J239" i="1" s="1"/>
  <c r="J287" i="1"/>
  <c r="J288" i="1" s="1"/>
  <c r="J292" i="1" s="1"/>
  <c r="J252" i="1"/>
  <c r="J256" i="1" s="1"/>
  <c r="L252" i="1"/>
  <c r="Y287" i="1"/>
  <c r="Y251" i="1"/>
  <c r="L251" i="1"/>
  <c r="L287" i="1" s="1"/>
  <c r="L288" i="1" s="1"/>
  <c r="L292" i="1" s="1"/>
  <c r="Y234" i="1"/>
  <c r="Y235" i="1" s="1"/>
  <c r="Y239" i="1" s="1"/>
  <c r="Y252" i="1"/>
  <c r="Y256" i="1" s="1"/>
  <c r="Y284" i="1"/>
  <c r="Y286" i="1"/>
  <c r="X217" i="1"/>
  <c r="X218" i="1" s="1"/>
  <c r="X222" i="1" s="1"/>
  <c r="K217" i="1"/>
  <c r="K201" i="1"/>
  <c r="K205" i="1" s="1"/>
  <c r="M160" i="1"/>
  <c r="M168" i="1"/>
  <c r="Y217" i="1"/>
  <c r="Y218" i="1" s="1"/>
  <c r="Y222" i="1" s="1"/>
  <c r="L217" i="1"/>
  <c r="L234" i="1" s="1"/>
  <c r="L235" i="1" s="1"/>
  <c r="L239" i="1" s="1"/>
  <c r="L218" i="1"/>
  <c r="L222" i="1" s="1"/>
  <c r="N160" i="1"/>
  <c r="N168" i="1"/>
  <c r="L205" i="1"/>
  <c r="M169" i="1"/>
  <c r="L240" i="1" l="1"/>
  <c r="Y240" i="1"/>
  <c r="Y288" i="1"/>
  <c r="Y292" i="1" s="1"/>
  <c r="L256" i="1"/>
  <c r="K287" i="1"/>
  <c r="K288" i="1" s="1"/>
  <c r="K292" i="1" s="1"/>
  <c r="K252" i="1"/>
  <c r="K256" i="1" s="1"/>
  <c r="L293" i="1"/>
  <c r="K234" i="1"/>
  <c r="K235" i="1" s="1"/>
  <c r="K239" i="1" s="1"/>
  <c r="K218" i="1"/>
  <c r="K222" i="1" s="1"/>
  <c r="Y257" i="1"/>
  <c r="Y223" i="1"/>
  <c r="L223" i="1"/>
  <c r="L206" i="1"/>
  <c r="E180" i="1"/>
  <c r="B180" i="1"/>
  <c r="B179" i="1"/>
  <c r="N169" i="1"/>
  <c r="B162" i="1"/>
  <c r="E179" i="1" l="1"/>
  <c r="L257" i="1"/>
  <c r="Y293" i="1"/>
  <c r="Y294" i="1"/>
  <c r="E297" i="1" s="1"/>
  <c r="C233" i="1" l="1"/>
  <c r="C235" i="1" s="1"/>
  <c r="C239" i="1" s="1"/>
  <c r="L241" i="1" s="1"/>
  <c r="B264" i="1" s="1"/>
  <c r="P233" i="1"/>
  <c r="P235" i="1" s="1"/>
  <c r="P239" i="1" s="1"/>
  <c r="Y241" i="1" s="1"/>
  <c r="D264" i="1" s="1"/>
  <c r="P214" i="1"/>
  <c r="P216" i="1"/>
  <c r="P218" i="1" s="1"/>
  <c r="C199" i="1"/>
  <c r="C201" i="1"/>
  <c r="C205" i="1" s="1"/>
  <c r="L207" i="1" s="1"/>
  <c r="C216" i="1"/>
  <c r="C218" i="1" s="1"/>
  <c r="C222" i="1" s="1"/>
  <c r="L224" i="1" s="1"/>
  <c r="B262" i="1" s="1"/>
  <c r="P250" i="1"/>
  <c r="P252" i="1" s="1"/>
  <c r="P256" i="1" s="1"/>
  <c r="Y258" i="1" s="1"/>
  <c r="D263" i="1" s="1"/>
  <c r="C250" i="1"/>
  <c r="C252" i="1" s="1"/>
  <c r="C256" i="1" s="1"/>
  <c r="L258" i="1" s="1"/>
  <c r="B263" i="1" s="1"/>
  <c r="C284" i="1"/>
  <c r="B301" i="1" s="1"/>
  <c r="E190" i="1"/>
  <c r="I187" i="1" s="1"/>
  <c r="C264" i="1" l="1"/>
  <c r="C263" i="1"/>
  <c r="C262" i="1"/>
  <c r="P222" i="1"/>
  <c r="Y224" i="1" s="1"/>
  <c r="D262" i="1" s="1"/>
  <c r="C286" i="1"/>
  <c r="C288" i="1" s="1"/>
  <c r="C292" i="1" s="1"/>
  <c r="L294" i="1" s="1"/>
  <c r="B297" i="1" s="1"/>
</calcChain>
</file>

<file path=xl/sharedStrings.xml><?xml version="1.0" encoding="utf-8"?>
<sst xmlns="http://schemas.openxmlformats.org/spreadsheetml/2006/main" count="370" uniqueCount="205">
  <si>
    <t>Data Collection</t>
  </si>
  <si>
    <t>Debt</t>
  </si>
  <si>
    <t>Equity</t>
  </si>
  <si>
    <t>Fixed rate</t>
  </si>
  <si>
    <t>AWPLR</t>
  </si>
  <si>
    <t>30th December 2024</t>
  </si>
  <si>
    <t>30th December 2026</t>
  </si>
  <si>
    <t>Debt &amp; Equity</t>
  </si>
  <si>
    <t>EPS(1st Quarter)</t>
  </si>
  <si>
    <t>Rs.100</t>
  </si>
  <si>
    <t>Dividend payout ratio</t>
  </si>
  <si>
    <t>Tip Top</t>
  </si>
  <si>
    <t>ABC</t>
  </si>
  <si>
    <t xml:space="preserve">Growing Secruties    </t>
  </si>
  <si>
    <t>(CAGR 2022-2025)</t>
  </si>
  <si>
    <t>Estimated Current Share Value</t>
  </si>
  <si>
    <t>Rs.300</t>
  </si>
  <si>
    <t>Currency Rate</t>
  </si>
  <si>
    <t xml:space="preserve">United Kingdom  </t>
  </si>
  <si>
    <t>Australia</t>
  </si>
  <si>
    <t xml:space="preserve">European Union (region) </t>
  </si>
  <si>
    <t>United Stated of America</t>
  </si>
  <si>
    <t>RS</t>
  </si>
  <si>
    <t>GBP</t>
  </si>
  <si>
    <t>AUD</t>
  </si>
  <si>
    <t>EUR</t>
  </si>
  <si>
    <t>USD</t>
  </si>
  <si>
    <t>Wo got I USD 2022Rs (363.95) we used approximately Rs.364</t>
  </si>
  <si>
    <t>Currency</t>
  </si>
  <si>
    <t>Working days calculation</t>
  </si>
  <si>
    <t>Total days in a year</t>
  </si>
  <si>
    <t>Public holiday in 2022</t>
  </si>
  <si>
    <t>Balance working days</t>
  </si>
  <si>
    <t>we got the details about the details in help of google</t>
  </si>
  <si>
    <t xml:space="preserve">machine details </t>
  </si>
  <si>
    <t>Machine Cost(USD)</t>
  </si>
  <si>
    <t>machine Cost(RS)</t>
  </si>
  <si>
    <t>New(2022)</t>
  </si>
  <si>
    <t>Old(2012)</t>
  </si>
  <si>
    <t>Estimated Salvage</t>
  </si>
  <si>
    <t>maintainance cost</t>
  </si>
  <si>
    <t>Useful life</t>
  </si>
  <si>
    <t>Training</t>
  </si>
  <si>
    <t>Bag production</t>
  </si>
  <si>
    <t>A Minute</t>
  </si>
  <si>
    <t>New machine Product</t>
  </si>
  <si>
    <t xml:space="preserve">Old Machine Products </t>
  </si>
  <si>
    <t>Total</t>
  </si>
  <si>
    <t>Time</t>
  </si>
  <si>
    <t>A hour</t>
  </si>
  <si>
    <t>lunch</t>
  </si>
  <si>
    <t>Not working Time(in minutes)</t>
  </si>
  <si>
    <t>Tea Break at morning</t>
  </si>
  <si>
    <t>Tea Break at evening</t>
  </si>
  <si>
    <t>Total Not working ( 1 hour)</t>
  </si>
  <si>
    <t>A day ( 7 hour)</t>
  </si>
  <si>
    <t xml:space="preserve">Working days </t>
  </si>
  <si>
    <t>Total working days per year 318 days</t>
  </si>
  <si>
    <t>A  year(318)</t>
  </si>
  <si>
    <t>Variable cost per bag</t>
  </si>
  <si>
    <t>New Machine</t>
  </si>
  <si>
    <t>Old Machine</t>
  </si>
  <si>
    <t>Per bag cost(RS)</t>
  </si>
  <si>
    <t>Total cost in a year</t>
  </si>
  <si>
    <t>Total cost in a day</t>
  </si>
  <si>
    <t xml:space="preserve">Tea Bag </t>
  </si>
  <si>
    <t>United Kingdom</t>
  </si>
  <si>
    <t>European Union</t>
  </si>
  <si>
    <t>Country</t>
  </si>
  <si>
    <t>30 Bag Cost</t>
  </si>
  <si>
    <t>GBP 10</t>
  </si>
  <si>
    <t xml:space="preserve">
EUR10</t>
  </si>
  <si>
    <t>AUD 20</t>
  </si>
  <si>
    <t>USD 12</t>
  </si>
  <si>
    <t>30 Bag Cost in LKR</t>
  </si>
  <si>
    <t>per bag cost in (RS)</t>
  </si>
  <si>
    <t>Selling Details</t>
  </si>
  <si>
    <t>Sales %</t>
  </si>
  <si>
    <t>Total Sale per year(New M)</t>
  </si>
  <si>
    <t>Total Sale per year(Old M)</t>
  </si>
  <si>
    <t>Total Sales</t>
  </si>
  <si>
    <t>Selling Revenue</t>
  </si>
  <si>
    <t>Total Revenue(New M)</t>
  </si>
  <si>
    <t>Total Revenue(Old M)</t>
  </si>
  <si>
    <t>Calculate Depreciation</t>
  </si>
  <si>
    <t>machine Cost</t>
  </si>
  <si>
    <t>Depreciation machine cost</t>
  </si>
  <si>
    <t>main value</t>
  </si>
  <si>
    <t>training cost</t>
  </si>
  <si>
    <t>Net Value</t>
  </si>
  <si>
    <t>Tax Rate</t>
  </si>
  <si>
    <t>Some more needed to calculate FCFF</t>
  </si>
  <si>
    <t>New Machine Cost</t>
  </si>
  <si>
    <t>Old Machine Disposal profit</t>
  </si>
  <si>
    <t>Old machine Tax</t>
  </si>
  <si>
    <t>inventory increase</t>
  </si>
  <si>
    <t>sunk cost</t>
  </si>
  <si>
    <t>year</t>
  </si>
  <si>
    <t>Initial Investment</t>
  </si>
  <si>
    <t>(-)machine cost</t>
  </si>
  <si>
    <t>(-)WC increase</t>
  </si>
  <si>
    <t>(-)Training</t>
  </si>
  <si>
    <t>old machine sale</t>
  </si>
  <si>
    <t>(-)old machine tax</t>
  </si>
  <si>
    <t>CFS</t>
  </si>
  <si>
    <t>Sales Revenue</t>
  </si>
  <si>
    <t>(-) Varieble cost change</t>
  </si>
  <si>
    <t>ENBTD</t>
  </si>
  <si>
    <t>(-) Change of Depreciation</t>
  </si>
  <si>
    <t>EBT</t>
  </si>
  <si>
    <t>(-) Tax(30%)</t>
  </si>
  <si>
    <t>NOPAT</t>
  </si>
  <si>
    <t>Change of depreciation</t>
  </si>
  <si>
    <t>(-)maintainance</t>
  </si>
  <si>
    <t>NCF Before Terminal</t>
  </si>
  <si>
    <t>Terminal</t>
  </si>
  <si>
    <t>salvage value of new machine</t>
  </si>
  <si>
    <t>(-)new machine sales Tax</t>
  </si>
  <si>
    <t>NCF</t>
  </si>
  <si>
    <t>Net Cost</t>
  </si>
  <si>
    <t>Net book value</t>
  </si>
  <si>
    <t>New Machine Scrap value</t>
  </si>
  <si>
    <t>Part -A</t>
  </si>
  <si>
    <t>Cost of Equity</t>
  </si>
  <si>
    <t>expected market return</t>
  </si>
  <si>
    <t>market Risk Premium</t>
  </si>
  <si>
    <t>Risk free rate</t>
  </si>
  <si>
    <t>Risk free rate+Beta*(market Risk Premium)</t>
  </si>
  <si>
    <t>CAPM</t>
  </si>
  <si>
    <t>Bet</t>
  </si>
  <si>
    <t>Cost of Debt</t>
  </si>
  <si>
    <t>fixed</t>
  </si>
  <si>
    <t>varieble</t>
  </si>
  <si>
    <t xml:space="preserve">Price of share </t>
  </si>
  <si>
    <t>Divident per share</t>
  </si>
  <si>
    <t>Growth rate(ABC)</t>
  </si>
  <si>
    <t>Cost of Equityb (CGDM)</t>
  </si>
  <si>
    <t>Divident per share/Price of share +Growth rate(ABC)</t>
  </si>
  <si>
    <t>WACC Calculation</t>
  </si>
  <si>
    <t>Total Debt</t>
  </si>
  <si>
    <t>Total Equity</t>
  </si>
  <si>
    <t>Total Debt&amp;Equity</t>
  </si>
  <si>
    <t>WACC</t>
  </si>
  <si>
    <t>Tax</t>
  </si>
  <si>
    <t>((TotalEquity/Total)*Cost of Equity))+((Total Debt/Total)*Cost of Debt)*(1-T)</t>
  </si>
  <si>
    <t>WACC=</t>
  </si>
  <si>
    <t>NPV</t>
  </si>
  <si>
    <t>cash flow</t>
  </si>
  <si>
    <t>PV</t>
  </si>
  <si>
    <t>Pay back period</t>
  </si>
  <si>
    <t>D.PBP</t>
  </si>
  <si>
    <t>PBP</t>
  </si>
  <si>
    <t>IRR</t>
  </si>
  <si>
    <t>So. IRR</t>
  </si>
  <si>
    <t>D.IRR</t>
  </si>
  <si>
    <t>Final Decision</t>
  </si>
  <si>
    <t xml:space="preserve">NPV&gt;0 &amp; NPV Positive So, Accepted </t>
  </si>
  <si>
    <t>Part -B</t>
  </si>
  <si>
    <t>Part -C</t>
  </si>
  <si>
    <t>Year</t>
  </si>
  <si>
    <t>Sales</t>
  </si>
  <si>
    <t>-Variable Costs</t>
  </si>
  <si>
    <t>- Depreciation</t>
  </si>
  <si>
    <t>PBT</t>
  </si>
  <si>
    <t>- Tax</t>
  </si>
  <si>
    <t>PAT</t>
  </si>
  <si>
    <t>Add: Depreciation</t>
  </si>
  <si>
    <t>Less: WC</t>
  </si>
  <si>
    <t>Terminal CF</t>
  </si>
  <si>
    <t>CFs</t>
  </si>
  <si>
    <t>Sensitivity Analysis</t>
  </si>
  <si>
    <t>Base -Case</t>
  </si>
  <si>
    <t>Recession</t>
  </si>
  <si>
    <t>Recession lead</t>
  </si>
  <si>
    <t>Sales Falling by</t>
  </si>
  <si>
    <t>intial outlay increase by</t>
  </si>
  <si>
    <r>
      <t xml:space="preserve">Varieble Cost Increase </t>
    </r>
    <r>
      <rPr>
        <b/>
        <sz val="11"/>
        <color rgb="FFFF0000"/>
        <rFont val="Calibri"/>
        <family val="2"/>
        <scheme val="minor"/>
      </rPr>
      <t>(Of Sales)</t>
    </r>
  </si>
  <si>
    <t>NPV before Recession</t>
  </si>
  <si>
    <t>NPV After Recession</t>
  </si>
  <si>
    <t>Initial investment</t>
  </si>
  <si>
    <t>Varieble Cost</t>
  </si>
  <si>
    <t>Finally,  We Can Say NPV is Negative after Recession &amp; Npv is very much affected by Recession.</t>
  </si>
  <si>
    <t>The NPV Figure Change In</t>
  </si>
  <si>
    <t>Variable Name</t>
  </si>
  <si>
    <t>Pessimistic</t>
  </si>
  <si>
    <t>Expected</t>
  </si>
  <si>
    <t>Optimistic</t>
  </si>
  <si>
    <t>Initial Investment (Capital Costs)</t>
  </si>
  <si>
    <t>Variable Costs</t>
  </si>
  <si>
    <t>Initial Investment-Pessimistic</t>
  </si>
  <si>
    <t>Initial Investment-Optimistic</t>
  </si>
  <si>
    <t>Sales-Pessimistic</t>
  </si>
  <si>
    <t>Sales-Optimistic</t>
  </si>
  <si>
    <t>Varieble Cost-Pessimistic</t>
  </si>
  <si>
    <t>Varieble Cost-Optimistic</t>
  </si>
  <si>
    <t>Note:</t>
  </si>
  <si>
    <t>Varieble Cost is Calculated of Sales. So, Varieble Cost %</t>
  </si>
  <si>
    <t>Pessimestic</t>
  </si>
  <si>
    <t>Optimestic</t>
  </si>
  <si>
    <t>Varieble Cost(of Sales)</t>
  </si>
  <si>
    <t xml:space="preserve"> 1.3 Month</t>
  </si>
  <si>
    <t>1.2 Month</t>
  </si>
  <si>
    <t xml:space="preserve"> So, Payback period low accepted</t>
  </si>
  <si>
    <t>IRR Positive SO, IRR accepted</t>
  </si>
  <si>
    <t>Assume +20% or -20% deviation for optimistic and pessimistic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</si>
</sst>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%"/>
    <numFmt numFmtId="165" formatCode="0.0"/>
    <numFmt numFmtId="166" formatCode="#,##0.0000000_);\(#,##0.0000000\)"/>
    <numFmt numFmtId="167" formatCode="#,##0.000000_);\(#,##0.000000\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sz val="10"/>
      <color theme="4" tint="-0.24997711111789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384">
    <xf numFmtId="0" fontId="0" fillId="0" borderId="0" xfId="0"/>
    <xf numFmtId="0" fontId="0" fillId="0" borderId="0" xfId="0" applyAlignment="1">
      <alignment horizontal="center"/>
    </xf>
    <xf numFmtId="9" fontId="0" fillId="0" borderId="8" xfId="0" applyNumberFormat="1" applyBorder="1"/>
    <xf numFmtId="9" fontId="0" fillId="0" borderId="24" xfId="0" applyNumberFormat="1" applyBorder="1"/>
    <xf numFmtId="9" fontId="0" fillId="0" borderId="27" xfId="0" applyNumberFormat="1" applyBorder="1"/>
    <xf numFmtId="9" fontId="0" fillId="0" borderId="30" xfId="0" applyNumberFormat="1" applyBorder="1"/>
    <xf numFmtId="9" fontId="0" fillId="0" borderId="31" xfId="0" applyNumberFormat="1" applyBorder="1"/>
    <xf numFmtId="0" fontId="0" fillId="0" borderId="34" xfId="0" applyBorder="1"/>
    <xf numFmtId="0" fontId="0" fillId="0" borderId="8" xfId="0" applyBorder="1"/>
    <xf numFmtId="0" fontId="0" fillId="0" borderId="37" xfId="0" applyBorder="1"/>
    <xf numFmtId="0" fontId="0" fillId="0" borderId="41" xfId="0" applyBorder="1"/>
    <xf numFmtId="9" fontId="0" fillId="0" borderId="37" xfId="0" applyNumberFormat="1" applyBorder="1"/>
    <xf numFmtId="0" fontId="0" fillId="0" borderId="23" xfId="0" applyBorder="1"/>
    <xf numFmtId="164" fontId="0" fillId="0" borderId="24" xfId="0" applyNumberFormat="1" applyBorder="1"/>
    <xf numFmtId="0" fontId="0" fillId="0" borderId="26" xfId="0" applyBorder="1"/>
    <xf numFmtId="9" fontId="0" fillId="0" borderId="41" xfId="0" applyNumberFormat="1" applyBorder="1"/>
    <xf numFmtId="0" fontId="0" fillId="0" borderId="8" xfId="0" applyBorder="1" applyAlignment="1"/>
    <xf numFmtId="0" fontId="0" fillId="0" borderId="6" xfId="0" applyBorder="1"/>
    <xf numFmtId="0" fontId="0" fillId="0" borderId="42" xfId="0" applyBorder="1"/>
    <xf numFmtId="0" fontId="0" fillId="0" borderId="7" xfId="0" applyBorder="1"/>
    <xf numFmtId="0" fontId="0" fillId="0" borderId="22" xfId="0" applyBorder="1" applyAlignment="1"/>
    <xf numFmtId="0" fontId="0" fillId="0" borderId="24" xfId="0" applyBorder="1"/>
    <xf numFmtId="0" fontId="0" fillId="0" borderId="44" xfId="0" applyBorder="1"/>
    <xf numFmtId="0" fontId="0" fillId="0" borderId="25" xfId="0" applyBorder="1"/>
    <xf numFmtId="0" fontId="0" fillId="0" borderId="27" xfId="0" applyBorder="1"/>
    <xf numFmtId="0" fontId="0" fillId="0" borderId="45" xfId="0" applyBorder="1"/>
    <xf numFmtId="0" fontId="0" fillId="0" borderId="28" xfId="0" applyBorder="1"/>
    <xf numFmtId="0" fontId="0" fillId="0" borderId="46" xfId="0" applyBorder="1"/>
    <xf numFmtId="0" fontId="0" fillId="0" borderId="36" xfId="0" applyBorder="1"/>
    <xf numFmtId="0" fontId="0" fillId="0" borderId="8" xfId="0" applyBorder="1" applyAlignment="1">
      <alignment horizontal="center"/>
    </xf>
    <xf numFmtId="3" fontId="0" fillId="0" borderId="8" xfId="0" applyNumberFormat="1" applyBorder="1"/>
    <xf numFmtId="3" fontId="0" fillId="0" borderId="8" xfId="0" applyNumberFormat="1" applyFill="1" applyBorder="1"/>
    <xf numFmtId="0" fontId="0" fillId="0" borderId="22" xfId="0" applyBorder="1"/>
    <xf numFmtId="3" fontId="0" fillId="0" borderId="23" xfId="0" applyNumberFormat="1" applyBorder="1"/>
    <xf numFmtId="3" fontId="0" fillId="0" borderId="24" xfId="0" applyNumberFormat="1" applyBorder="1"/>
    <xf numFmtId="3" fontId="0" fillId="0" borderId="44" xfId="0" applyNumberFormat="1" applyBorder="1"/>
    <xf numFmtId="3" fontId="0" fillId="0" borderId="44" xfId="0" applyNumberFormat="1" applyFill="1" applyBorder="1"/>
    <xf numFmtId="3" fontId="0" fillId="0" borderId="26" xfId="0" applyNumberFormat="1" applyBorder="1"/>
    <xf numFmtId="0" fontId="0" fillId="0" borderId="43" xfId="0" applyBorder="1"/>
    <xf numFmtId="0" fontId="0" fillId="0" borderId="35" xfId="0" applyBorder="1"/>
    <xf numFmtId="0" fontId="0" fillId="0" borderId="16" xfId="0" applyBorder="1"/>
    <xf numFmtId="0" fontId="1" fillId="0" borderId="8" xfId="0" applyFont="1" applyBorder="1"/>
    <xf numFmtId="0" fontId="0" fillId="0" borderId="30" xfId="0" applyBorder="1"/>
    <xf numFmtId="0" fontId="1" fillId="0" borderId="26" xfId="0" applyFont="1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44" xfId="0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36" xfId="0" applyFont="1" applyBorder="1"/>
    <xf numFmtId="0" fontId="1" fillId="0" borderId="37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/>
    </xf>
    <xf numFmtId="0" fontId="1" fillId="0" borderId="35" xfId="0" applyFont="1" applyBorder="1" applyAlignment="1"/>
    <xf numFmtId="0" fontId="1" fillId="0" borderId="37" xfId="0" applyFont="1" applyBorder="1"/>
    <xf numFmtId="0" fontId="0" fillId="0" borderId="8" xfId="0" applyBorder="1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1" fillId="0" borderId="36" xfId="0" applyFont="1" applyBorder="1" applyAlignment="1">
      <alignment horizontal="center"/>
    </xf>
    <xf numFmtId="9" fontId="0" fillId="0" borderId="43" xfId="0" applyNumberFormat="1" applyBorder="1"/>
    <xf numFmtId="0" fontId="1" fillId="0" borderId="8" xfId="0" applyFont="1" applyBorder="1" applyAlignment="1">
      <alignment horizontal="center" vertical="center"/>
    </xf>
    <xf numFmtId="0" fontId="0" fillId="0" borderId="61" xfId="0" applyBorder="1"/>
    <xf numFmtId="0" fontId="1" fillId="0" borderId="25" xfId="0" applyFont="1" applyBorder="1"/>
    <xf numFmtId="0" fontId="1" fillId="0" borderId="27" xfId="0" applyFont="1" applyBorder="1"/>
    <xf numFmtId="0" fontId="0" fillId="5" borderId="8" xfId="0" applyFill="1" applyBorder="1" applyAlignment="1">
      <alignment horizontal="center" vertical="center"/>
    </xf>
    <xf numFmtId="0" fontId="0" fillId="5" borderId="8" xfId="0" applyFill="1" applyBorder="1"/>
    <xf numFmtId="3" fontId="0" fillId="5" borderId="8" xfId="0" applyNumberFormat="1" applyFill="1" applyBorder="1"/>
    <xf numFmtId="0" fontId="1" fillId="5" borderId="8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3" fontId="1" fillId="5" borderId="26" xfId="0" applyNumberFormat="1" applyFont="1" applyFill="1" applyBorder="1"/>
    <xf numFmtId="3" fontId="1" fillId="0" borderId="26" xfId="0" applyNumberFormat="1" applyFont="1" applyBorder="1"/>
    <xf numFmtId="3" fontId="1" fillId="4" borderId="27" xfId="0" applyNumberFormat="1" applyFont="1" applyFill="1" applyBorder="1"/>
    <xf numFmtId="0" fontId="0" fillId="5" borderId="8" xfId="0" applyFill="1" applyBorder="1" applyAlignment="1"/>
    <xf numFmtId="3" fontId="0" fillId="0" borderId="27" xfId="0" applyNumberFormat="1" applyBorder="1"/>
    <xf numFmtId="3" fontId="0" fillId="0" borderId="46" xfId="0" applyNumberFormat="1" applyBorder="1"/>
    <xf numFmtId="3" fontId="0" fillId="0" borderId="61" xfId="0" applyNumberFormat="1" applyBorder="1"/>
    <xf numFmtId="3" fontId="0" fillId="0" borderId="37" xfId="0" applyNumberFormat="1" applyBorder="1"/>
    <xf numFmtId="0" fontId="0" fillId="5" borderId="10" xfId="0" applyFill="1" applyBorder="1"/>
    <xf numFmtId="0" fontId="0" fillId="5" borderId="43" xfId="0" applyFill="1" applyBorder="1" applyAlignment="1">
      <alignment horizontal="center" vertical="center"/>
    </xf>
    <xf numFmtId="0" fontId="0" fillId="5" borderId="48" xfId="0" applyFill="1" applyBorder="1"/>
    <xf numFmtId="0" fontId="0" fillId="5" borderId="24" xfId="0" applyFill="1" applyBorder="1"/>
    <xf numFmtId="0" fontId="0" fillId="5" borderId="44" xfId="0" applyFill="1" applyBorder="1"/>
    <xf numFmtId="0" fontId="0" fillId="5" borderId="61" xfId="0" applyFill="1" applyBorder="1"/>
    <xf numFmtId="0" fontId="0" fillId="5" borderId="51" xfId="0" applyFill="1" applyBorder="1"/>
    <xf numFmtId="0" fontId="0" fillId="5" borderId="43" xfId="0" applyFill="1" applyBorder="1"/>
    <xf numFmtId="0" fontId="0" fillId="5" borderId="56" xfId="0" applyFill="1" applyBorder="1"/>
    <xf numFmtId="0" fontId="0" fillId="5" borderId="23" xfId="0" applyFill="1" applyBorder="1"/>
    <xf numFmtId="0" fontId="0" fillId="5" borderId="0" xfId="0" applyFill="1" applyBorder="1"/>
    <xf numFmtId="0" fontId="0" fillId="5" borderId="5" xfId="0" applyFill="1" applyBorder="1"/>
    <xf numFmtId="2" fontId="0" fillId="5" borderId="44" xfId="0" applyNumberFormat="1" applyFill="1" applyBorder="1"/>
    <xf numFmtId="0" fontId="0" fillId="5" borderId="28" xfId="0" applyFill="1" applyBorder="1"/>
    <xf numFmtId="0" fontId="0" fillId="5" borderId="46" xfId="0" applyFill="1" applyBorder="1"/>
    <xf numFmtId="0" fontId="1" fillId="5" borderId="57" xfId="0" applyFont="1" applyFill="1" applyBorder="1"/>
    <xf numFmtId="0" fontId="1" fillId="5" borderId="36" xfId="0" applyFont="1" applyFill="1" applyBorder="1"/>
    <xf numFmtId="0" fontId="0" fillId="5" borderId="9" xfId="0" applyFill="1" applyBorder="1"/>
    <xf numFmtId="0" fontId="0" fillId="5" borderId="55" xfId="0" applyFill="1" applyBorder="1"/>
    <xf numFmtId="2" fontId="1" fillId="5" borderId="37" xfId="0" applyNumberFormat="1" applyFont="1" applyFill="1" applyBorder="1"/>
    <xf numFmtId="3" fontId="0" fillId="5" borderId="44" xfId="0" applyNumberFormat="1" applyFill="1" applyBorder="1"/>
    <xf numFmtId="3" fontId="1" fillId="5" borderId="36" xfId="0" applyNumberFormat="1" applyFont="1" applyFill="1" applyBorder="1"/>
    <xf numFmtId="0" fontId="0" fillId="5" borderId="16" xfId="0" applyFill="1" applyBorder="1" applyAlignment="1"/>
    <xf numFmtId="3" fontId="0" fillId="5" borderId="16" xfId="0" applyNumberFormat="1" applyFill="1" applyBorder="1" applyAlignment="1"/>
    <xf numFmtId="3" fontId="1" fillId="5" borderId="31" xfId="0" applyNumberFormat="1" applyFont="1" applyFill="1" applyBorder="1" applyAlignment="1"/>
    <xf numFmtId="0" fontId="1" fillId="5" borderId="8" xfId="0" applyFont="1" applyFill="1" applyBorder="1" applyAlignment="1"/>
    <xf numFmtId="3" fontId="0" fillId="5" borderId="8" xfId="0" applyNumberFormat="1" applyFill="1" applyBorder="1" applyAlignment="1"/>
    <xf numFmtId="3" fontId="1" fillId="5" borderId="8" xfId="0" applyNumberFormat="1" applyFont="1" applyFill="1" applyBorder="1" applyAlignment="1"/>
    <xf numFmtId="0" fontId="1" fillId="5" borderId="30" xfId="0" applyFont="1" applyFill="1" applyBorder="1" applyAlignment="1">
      <alignment vertical="center"/>
    </xf>
    <xf numFmtId="0" fontId="1" fillId="0" borderId="8" xfId="0" applyFont="1" applyBorder="1" applyAlignment="1"/>
    <xf numFmtId="0" fontId="0" fillId="0" borderId="43" xfId="0" applyBorder="1" applyAlignment="1"/>
    <xf numFmtId="0" fontId="0" fillId="0" borderId="59" xfId="0" applyBorder="1" applyAlignment="1"/>
    <xf numFmtId="0" fontId="0" fillId="0" borderId="25" xfId="0" applyBorder="1" applyAlignment="1"/>
    <xf numFmtId="0" fontId="0" fillId="0" borderId="24" xfId="0" applyBorder="1" applyAlignment="1"/>
    <xf numFmtId="0" fontId="0" fillId="0" borderId="27" xfId="0" applyBorder="1" applyAlignment="1"/>
    <xf numFmtId="3" fontId="0" fillId="6" borderId="1" xfId="0" applyNumberFormat="1" applyFill="1" applyBorder="1"/>
    <xf numFmtId="0" fontId="1" fillId="0" borderId="1" xfId="0" applyFont="1" applyBorder="1" applyAlignment="1">
      <alignment horizontal="center"/>
    </xf>
    <xf numFmtId="0" fontId="0" fillId="0" borderId="2" xfId="0" applyBorder="1"/>
    <xf numFmtId="9" fontId="0" fillId="0" borderId="18" xfId="0" applyNumberFormat="1" applyBorder="1" applyAlignment="1">
      <alignment horizontal="center"/>
    </xf>
    <xf numFmtId="9" fontId="0" fillId="0" borderId="44" xfId="0" applyNumberFormat="1" applyBorder="1"/>
    <xf numFmtId="0" fontId="0" fillId="5" borderId="20" xfId="0" applyFill="1" applyBorder="1" applyAlignment="1"/>
    <xf numFmtId="0" fontId="0" fillId="5" borderId="16" xfId="0" applyFill="1" applyBorder="1"/>
    <xf numFmtId="9" fontId="0" fillId="5" borderId="44" xfId="0" applyNumberFormat="1" applyFill="1" applyBorder="1"/>
    <xf numFmtId="10" fontId="0" fillId="5" borderId="44" xfId="0" applyNumberFormat="1" applyFill="1" applyBorder="1"/>
    <xf numFmtId="1" fontId="0" fillId="5" borderId="24" xfId="0" applyNumberFormat="1" applyFill="1" applyBorder="1"/>
    <xf numFmtId="1" fontId="0" fillId="5" borderId="44" xfId="0" applyNumberFormat="1" applyFill="1" applyBorder="1"/>
    <xf numFmtId="9" fontId="0" fillId="5" borderId="27" xfId="0" applyNumberFormat="1" applyFill="1" applyBorder="1"/>
    <xf numFmtId="10" fontId="1" fillId="5" borderId="37" xfId="0" applyNumberFormat="1" applyFont="1" applyFill="1" applyBorder="1"/>
    <xf numFmtId="0" fontId="0" fillId="0" borderId="14" xfId="0" applyBorder="1"/>
    <xf numFmtId="0" fontId="0" fillId="0" borderId="22" xfId="0" applyFill="1" applyBorder="1"/>
    <xf numFmtId="0" fontId="0" fillId="0" borderId="34" xfId="0" applyFill="1" applyBorder="1"/>
    <xf numFmtId="10" fontId="0" fillId="0" borderId="44" xfId="0" applyNumberFormat="1" applyBorder="1"/>
    <xf numFmtId="0" fontId="0" fillId="0" borderId="25" xfId="0" applyFill="1" applyBorder="1"/>
    <xf numFmtId="0" fontId="0" fillId="0" borderId="35" xfId="0" applyFill="1" applyBorder="1"/>
    <xf numFmtId="9" fontId="0" fillId="0" borderId="18" xfId="0" applyNumberFormat="1" applyBorder="1"/>
    <xf numFmtId="0" fontId="0" fillId="0" borderId="17" xfId="0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0" borderId="38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0" xfId="0" applyFont="1" applyAlignment="1">
      <alignment horizontal="center" vertical="center"/>
    </xf>
    <xf numFmtId="10" fontId="0" fillId="2" borderId="17" xfId="0" applyNumberFormat="1" applyFill="1" applyBorder="1" applyAlignment="1"/>
    <xf numFmtId="0" fontId="0" fillId="6" borderId="1" xfId="0" applyFill="1" applyBorder="1" applyAlignment="1">
      <alignment horizontal="center"/>
    </xf>
    <xf numFmtId="3" fontId="0" fillId="6" borderId="18" xfId="0" applyNumberForma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9" fontId="0" fillId="0" borderId="22" xfId="0" applyNumberFormat="1" applyBorder="1"/>
    <xf numFmtId="4" fontId="0" fillId="0" borderId="23" xfId="0" applyNumberFormat="1" applyBorder="1"/>
    <xf numFmtId="10" fontId="0" fillId="0" borderId="24" xfId="0" applyNumberFormat="1" applyBorder="1" applyAlignment="1"/>
    <xf numFmtId="9" fontId="0" fillId="0" borderId="25" xfId="0" applyNumberFormat="1" applyBorder="1"/>
    <xf numFmtId="2" fontId="0" fillId="0" borderId="26" xfId="0" applyNumberFormat="1" applyBorder="1"/>
    <xf numFmtId="10" fontId="0" fillId="0" borderId="27" xfId="0" applyNumberFormat="1" applyBorder="1" applyAlignment="1"/>
    <xf numFmtId="0" fontId="7" fillId="0" borderId="28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8" fillId="0" borderId="69" xfId="0" applyFont="1" applyBorder="1" applyAlignment="1"/>
    <xf numFmtId="0" fontId="8" fillId="0" borderId="70" xfId="0" applyFont="1" applyBorder="1" applyAlignment="1"/>
    <xf numFmtId="0" fontId="8" fillId="0" borderId="71" xfId="0" applyFont="1" applyBorder="1" applyAlignment="1"/>
    <xf numFmtId="0" fontId="7" fillId="0" borderId="72" xfId="0" applyFont="1" applyBorder="1" applyAlignment="1"/>
    <xf numFmtId="39" fontId="8" fillId="0" borderId="73" xfId="0" applyNumberFormat="1" applyFont="1" applyBorder="1"/>
    <xf numFmtId="0" fontId="8" fillId="0" borderId="73" xfId="0" applyFont="1" applyBorder="1"/>
    <xf numFmtId="0" fontId="7" fillId="0" borderId="73" xfId="0" applyFont="1" applyBorder="1"/>
    <xf numFmtId="0" fontId="8" fillId="0" borderId="74" xfId="0" applyFont="1" applyBorder="1"/>
    <xf numFmtId="37" fontId="7" fillId="0" borderId="73" xfId="0" applyNumberFormat="1" applyFont="1" applyBorder="1"/>
    <xf numFmtId="1" fontId="7" fillId="0" borderId="73" xfId="0" applyNumberFormat="1" applyFont="1" applyBorder="1"/>
    <xf numFmtId="1" fontId="7" fillId="0" borderId="74" xfId="0" applyNumberFormat="1" applyFont="1" applyBorder="1"/>
    <xf numFmtId="0" fontId="8" fillId="0" borderId="72" xfId="0" applyFont="1" applyBorder="1" applyAlignment="1"/>
    <xf numFmtId="37" fontId="8" fillId="0" borderId="73" xfId="0" applyNumberFormat="1" applyFont="1" applyBorder="1"/>
    <xf numFmtId="37" fontId="8" fillId="0" borderId="74" xfId="0" applyNumberFormat="1" applyFont="1" applyBorder="1"/>
    <xf numFmtId="0" fontId="6" fillId="0" borderId="72" xfId="0" applyFont="1" applyBorder="1" applyAlignment="1"/>
    <xf numFmtId="2" fontId="8" fillId="0" borderId="74" xfId="0" applyNumberFormat="1" applyFont="1" applyBorder="1"/>
    <xf numFmtId="0" fontId="1" fillId="0" borderId="72" xfId="0" applyFont="1" applyBorder="1" applyAlignment="1"/>
    <xf numFmtId="39" fontId="8" fillId="0" borderId="75" xfId="0" applyNumberFormat="1" applyFont="1" applyBorder="1"/>
    <xf numFmtId="37" fontId="8" fillId="0" borderId="75" xfId="0" applyNumberFormat="1" applyFont="1" applyBorder="1"/>
    <xf numFmtId="166" fontId="8" fillId="0" borderId="76" xfId="0" applyNumberFormat="1" applyFont="1" applyBorder="1"/>
    <xf numFmtId="0" fontId="6" fillId="0" borderId="77" xfId="0" applyFont="1" applyBorder="1" applyAlignment="1"/>
    <xf numFmtId="39" fontId="0" fillId="0" borderId="61" xfId="0" applyNumberFormat="1" applyBorder="1"/>
    <xf numFmtId="0" fontId="0" fillId="3" borderId="25" xfId="0" applyFont="1" applyFill="1" applyBorder="1" applyAlignment="1"/>
    <xf numFmtId="0" fontId="0" fillId="3" borderId="26" xfId="0" applyFill="1" applyBorder="1"/>
    <xf numFmtId="3" fontId="7" fillId="0" borderId="73" xfId="0" applyNumberFormat="1" applyFont="1" applyBorder="1"/>
    <xf numFmtId="1" fontId="8" fillId="0" borderId="73" xfId="0" applyNumberFormat="1" applyFont="1" applyBorder="1"/>
    <xf numFmtId="9" fontId="0" fillId="0" borderId="0" xfId="0" applyNumberFormat="1"/>
    <xf numFmtId="0" fontId="0" fillId="0" borderId="8" xfId="0" applyBorder="1" applyAlignment="1">
      <alignment horizontal="left"/>
    </xf>
    <xf numFmtId="9" fontId="0" fillId="5" borderId="8" xfId="0" applyNumberFormat="1" applyFill="1" applyBorder="1"/>
    <xf numFmtId="0" fontId="7" fillId="5" borderId="72" xfId="0" applyFont="1" applyFill="1" applyBorder="1" applyAlignment="1"/>
    <xf numFmtId="0" fontId="8" fillId="5" borderId="73" xfId="0" applyFont="1" applyFill="1" applyBorder="1"/>
    <xf numFmtId="37" fontId="7" fillId="5" borderId="73" xfId="0" applyNumberFormat="1" applyFont="1" applyFill="1" applyBorder="1"/>
    <xf numFmtId="0" fontId="0" fillId="5" borderId="0" xfId="0" applyFill="1"/>
    <xf numFmtId="39" fontId="8" fillId="5" borderId="73" xfId="0" applyNumberFormat="1" applyFont="1" applyFill="1" applyBorder="1"/>
    <xf numFmtId="37" fontId="0" fillId="0" borderId="37" xfId="0" applyNumberFormat="1" applyBorder="1"/>
    <xf numFmtId="0" fontId="0" fillId="0" borderId="55" xfId="0" applyBorder="1"/>
    <xf numFmtId="39" fontId="0" fillId="0" borderId="24" xfId="0" applyNumberFormat="1" applyBorder="1"/>
    <xf numFmtId="37" fontId="0" fillId="0" borderId="44" xfId="0" applyNumberFormat="1" applyBorder="1"/>
    <xf numFmtId="37" fontId="0" fillId="0" borderId="27" xfId="0" applyNumberFormat="1" applyBorder="1"/>
    <xf numFmtId="0" fontId="2" fillId="8" borderId="1" xfId="0" applyFont="1" applyFill="1" applyBorder="1" applyAlignment="1">
      <alignment horizontal="center"/>
    </xf>
    <xf numFmtId="0" fontId="3" fillId="8" borderId="0" xfId="0" applyFont="1" applyFill="1" applyAlignment="1">
      <alignment horizontal="center" vertical="center"/>
    </xf>
    <xf numFmtId="0" fontId="7" fillId="0" borderId="73" xfId="0" applyFont="1" applyBorder="1" applyAlignment="1"/>
    <xf numFmtId="39" fontId="7" fillId="0" borderId="73" xfId="0" applyNumberFormat="1" applyFont="1" applyBorder="1"/>
    <xf numFmtId="0" fontId="7" fillId="0" borderId="73" xfId="0" applyFont="1" applyBorder="1" applyAlignment="1">
      <alignment horizontal="center"/>
    </xf>
    <xf numFmtId="0" fontId="0" fillId="0" borderId="73" xfId="0" applyFont="1" applyBorder="1" applyAlignment="1"/>
    <xf numFmtId="0" fontId="0" fillId="0" borderId="0" xfId="0" applyBorder="1" applyAlignment="1"/>
    <xf numFmtId="0" fontId="0" fillId="0" borderId="1" xfId="0" applyBorder="1"/>
    <xf numFmtId="39" fontId="11" fillId="0" borderId="73" xfId="0" applyNumberFormat="1" applyFont="1" applyBorder="1"/>
    <xf numFmtId="37" fontId="0" fillId="8" borderId="27" xfId="0" applyNumberFormat="1" applyFill="1" applyBorder="1"/>
    <xf numFmtId="167" fontId="0" fillId="8" borderId="27" xfId="0" applyNumberFormat="1" applyFill="1" applyBorder="1"/>
    <xf numFmtId="37" fontId="11" fillId="0" borderId="73" xfId="0" applyNumberFormat="1" applyFont="1" applyBorder="1"/>
    <xf numFmtId="0" fontId="0" fillId="0" borderId="39" xfId="0" applyBorder="1"/>
    <xf numFmtId="0" fontId="0" fillId="0" borderId="40" xfId="0" applyBorder="1"/>
    <xf numFmtId="10" fontId="0" fillId="0" borderId="8" xfId="0" applyNumberFormat="1" applyBorder="1"/>
    <xf numFmtId="37" fontId="10" fillId="0" borderId="73" xfId="0" applyNumberFormat="1" applyFont="1" applyBorder="1"/>
    <xf numFmtId="37" fontId="12" fillId="0" borderId="73" xfId="0" applyNumberFormat="1" applyFont="1" applyBorder="1"/>
    <xf numFmtId="39" fontId="12" fillId="0" borderId="73" xfId="0" applyNumberFormat="1" applyFont="1" applyBorder="1"/>
    <xf numFmtId="0" fontId="7" fillId="0" borderId="0" xfId="0" applyFont="1" applyBorder="1" applyAlignment="1"/>
    <xf numFmtId="0" fontId="7" fillId="0" borderId="0" xfId="0" applyFont="1" applyBorder="1" applyAlignment="1">
      <alignment horizontal="center"/>
    </xf>
    <xf numFmtId="39" fontId="12" fillId="0" borderId="0" xfId="0" applyNumberFormat="1" applyFont="1" applyBorder="1"/>
    <xf numFmtId="39" fontId="7" fillId="0" borderId="0" xfId="0" applyNumberFormat="1" applyFont="1" applyBorder="1"/>
    <xf numFmtId="0" fontId="0" fillId="0" borderId="0" xfId="0" applyFont="1" applyBorder="1" applyAlignment="1"/>
    <xf numFmtId="37" fontId="0" fillId="10" borderId="27" xfId="0" applyNumberFormat="1" applyFill="1" applyBorder="1"/>
    <xf numFmtId="0" fontId="0" fillId="0" borderId="31" xfId="0" applyBorder="1"/>
    <xf numFmtId="0" fontId="0" fillId="7" borderId="14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1" fillId="2" borderId="17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165" fontId="0" fillId="0" borderId="30" xfId="0" applyNumberFormat="1" applyBorder="1" applyAlignment="1">
      <alignment horizontal="center"/>
    </xf>
    <xf numFmtId="165" fontId="0" fillId="0" borderId="62" xfId="0" applyNumberFormat="1" applyBorder="1" applyAlignment="1">
      <alignment horizontal="center"/>
    </xf>
    <xf numFmtId="165" fontId="0" fillId="0" borderId="56" xfId="0" applyNumberFormat="1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34" xfId="0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32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9" fontId="0" fillId="0" borderId="11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3" fontId="0" fillId="0" borderId="11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3" fontId="0" fillId="0" borderId="22" xfId="0" applyNumberFormat="1" applyBorder="1" applyAlignment="1">
      <alignment horizontal="center"/>
    </xf>
    <xf numFmtId="3" fontId="0" fillId="0" borderId="25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1" xfId="0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54" xfId="0" applyFont="1" applyBorder="1" applyAlignment="1">
      <alignment horizontal="center"/>
    </xf>
    <xf numFmtId="0" fontId="0" fillId="0" borderId="39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57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4" xfId="0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46" xfId="0" applyNumberFormat="1" applyBorder="1" applyAlignment="1">
      <alignment horizontal="center"/>
    </xf>
    <xf numFmtId="0" fontId="0" fillId="0" borderId="44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44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5" borderId="60" xfId="0" applyFill="1" applyBorder="1" applyAlignment="1">
      <alignment horizontal="center"/>
    </xf>
    <xf numFmtId="0" fontId="0" fillId="5" borderId="54" xfId="0" applyFill="1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43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49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64" xfId="0" applyBorder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1" fillId="5" borderId="62" xfId="0" applyFont="1" applyFill="1" applyBorder="1" applyAlignment="1">
      <alignment horizontal="center"/>
    </xf>
    <xf numFmtId="0" fontId="1" fillId="5" borderId="56" xfId="0" applyFont="1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58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9" fontId="0" fillId="5" borderId="20" xfId="0" applyNumberFormat="1" applyFill="1" applyBorder="1" applyAlignment="1">
      <alignment horizontal="center"/>
    </xf>
    <xf numFmtId="9" fontId="0" fillId="5" borderId="58" xfId="0" applyNumberFormat="1" applyFill="1" applyBorder="1" applyAlignment="1">
      <alignment horizontal="center"/>
    </xf>
    <xf numFmtId="9" fontId="0" fillId="5" borderId="10" xfId="0" applyNumberFormat="1" applyFill="1" applyBorder="1" applyAlignment="1">
      <alignment horizontal="center"/>
    </xf>
    <xf numFmtId="0" fontId="0" fillId="5" borderId="34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45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3" fillId="5" borderId="35" xfId="0" applyFont="1" applyFill="1" applyBorder="1" applyAlignment="1">
      <alignment horizontal="center"/>
    </xf>
    <xf numFmtId="0" fontId="3" fillId="5" borderId="36" xfId="0" applyFont="1" applyFill="1" applyBorder="1" applyAlignment="1">
      <alignment horizontal="center"/>
    </xf>
    <xf numFmtId="0" fontId="3" fillId="5" borderId="37" xfId="0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46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5" borderId="43" xfId="0" applyFill="1" applyBorder="1" applyAlignment="1">
      <alignment horizontal="center" vertical="center"/>
    </xf>
    <xf numFmtId="0" fontId="5" fillId="5" borderId="22" xfId="0" applyFont="1" applyFill="1" applyBorder="1" applyAlignment="1">
      <alignment horizontal="left"/>
    </xf>
    <xf numFmtId="0" fontId="0" fillId="5" borderId="23" xfId="0" applyFill="1" applyBorder="1" applyAlignment="1">
      <alignment horizontal="left"/>
    </xf>
    <xf numFmtId="0" fontId="0" fillId="5" borderId="34" xfId="0" applyFill="1" applyBorder="1" applyAlignment="1">
      <alignment horizontal="left"/>
    </xf>
    <xf numFmtId="0" fontId="0" fillId="5" borderId="8" xfId="0" applyFill="1" applyBorder="1" applyAlignment="1">
      <alignment horizontal="left"/>
    </xf>
    <xf numFmtId="9" fontId="0" fillId="0" borderId="8" xfId="0" applyNumberFormat="1" applyBorder="1" applyAlignment="1">
      <alignment horizontal="center"/>
    </xf>
    <xf numFmtId="0" fontId="2" fillId="10" borderId="17" xfId="0" applyFont="1" applyFill="1" applyBorder="1" applyAlignment="1">
      <alignment horizontal="center"/>
    </xf>
    <xf numFmtId="0" fontId="2" fillId="10" borderId="32" xfId="0" applyFont="1" applyFill="1" applyBorder="1" applyAlignment="1">
      <alignment horizontal="center"/>
    </xf>
    <xf numFmtId="0" fontId="2" fillId="10" borderId="18" xfId="0" applyFont="1" applyFill="1" applyBorder="1" applyAlignment="1">
      <alignment horizontal="center"/>
    </xf>
    <xf numFmtId="0" fontId="0" fillId="5" borderId="65" xfId="0" applyFill="1" applyBorder="1" applyAlignment="1">
      <alignment horizontal="center"/>
    </xf>
    <xf numFmtId="0" fontId="0" fillId="5" borderId="43" xfId="0" applyFill="1" applyBorder="1" applyAlignment="1">
      <alignment horizontal="center"/>
    </xf>
    <xf numFmtId="0" fontId="1" fillId="5" borderId="35" xfId="0" applyFont="1" applyFill="1" applyBorder="1" applyAlignment="1">
      <alignment horizontal="center"/>
    </xf>
    <xf numFmtId="0" fontId="1" fillId="5" borderId="36" xfId="0" applyFont="1" applyFill="1" applyBorder="1" applyAlignment="1">
      <alignment horizontal="center"/>
    </xf>
    <xf numFmtId="0" fontId="5" fillId="5" borderId="45" xfId="0" applyFont="1" applyFill="1" applyBorder="1" applyAlignment="1">
      <alignment horizontal="center"/>
    </xf>
    <xf numFmtId="0" fontId="0" fillId="5" borderId="36" xfId="0" applyFill="1" applyBorder="1" applyAlignment="1">
      <alignment horizontal="center"/>
    </xf>
    <xf numFmtId="0" fontId="0" fillId="5" borderId="52" xfId="0" applyFill="1" applyBorder="1" applyAlignment="1">
      <alignment horizontal="center"/>
    </xf>
    <xf numFmtId="0" fontId="0" fillId="5" borderId="55" xfId="0" applyFill="1" applyBorder="1" applyAlignment="1">
      <alignment horizontal="center"/>
    </xf>
    <xf numFmtId="0" fontId="0" fillId="5" borderId="65" xfId="0" applyFill="1" applyBorder="1" applyAlignment="1">
      <alignment horizontal="left"/>
    </xf>
    <xf numFmtId="0" fontId="0" fillId="5" borderId="43" xfId="0" applyFill="1" applyBorder="1" applyAlignment="1">
      <alignment horizontal="left"/>
    </xf>
    <xf numFmtId="0" fontId="0" fillId="5" borderId="22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4" fillId="5" borderId="34" xfId="0" applyFont="1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62" xfId="0" applyFill="1" applyBorder="1" applyAlignment="1">
      <alignment horizontal="center"/>
    </xf>
    <xf numFmtId="0" fontId="0" fillId="5" borderId="67" xfId="0" applyFill="1" applyBorder="1" applyAlignment="1">
      <alignment horizontal="center"/>
    </xf>
    <xf numFmtId="0" fontId="0" fillId="5" borderId="56" xfId="0" applyFill="1" applyBorder="1" applyAlignment="1">
      <alignment horizontal="center"/>
    </xf>
    <xf numFmtId="10" fontId="0" fillId="5" borderId="16" xfId="0" applyNumberFormat="1" applyFill="1" applyBorder="1" applyAlignment="1">
      <alignment horizontal="center"/>
    </xf>
    <xf numFmtId="10" fontId="0" fillId="5" borderId="33" xfId="0" applyNumberForma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5" borderId="57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2" fillId="9" borderId="17" xfId="0" applyFont="1" applyFill="1" applyBorder="1" applyAlignment="1">
      <alignment horizontal="center"/>
    </xf>
    <xf numFmtId="0" fontId="2" fillId="9" borderId="32" xfId="0" applyFont="1" applyFill="1" applyBorder="1" applyAlignment="1">
      <alignment horizontal="center"/>
    </xf>
    <xf numFmtId="0" fontId="2" fillId="9" borderId="18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/>
    </xf>
    <xf numFmtId="0" fontId="4" fillId="5" borderId="18" xfId="0" applyFont="1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5" borderId="2" xfId="0" applyFont="1" applyFill="1" applyBorder="1" applyAlignment="1">
      <alignment horizontal="center"/>
    </xf>
    <xf numFmtId="0" fontId="3" fillId="5" borderId="32" xfId="0" applyFont="1" applyFill="1" applyBorder="1" applyAlignment="1">
      <alignment horizontal="center"/>
    </xf>
    <xf numFmtId="0" fontId="3" fillId="5" borderId="1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22</xdr:row>
      <xdr:rowOff>22860</xdr:rowOff>
    </xdr:from>
    <xdr:to>
      <xdr:col>2</xdr:col>
      <xdr:colOff>1181099</xdr:colOff>
      <xdr:row>24</xdr:row>
      <xdr:rowOff>175260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" y="4213860"/>
          <a:ext cx="4130039" cy="518160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</xdr:colOff>
      <xdr:row>31</xdr:row>
      <xdr:rowOff>30480</xdr:rowOff>
    </xdr:from>
    <xdr:to>
      <xdr:col>3</xdr:col>
      <xdr:colOff>1211580</xdr:colOff>
      <xdr:row>34</xdr:row>
      <xdr:rowOff>151528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" y="5920740"/>
          <a:ext cx="5364480" cy="6696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4"/>
  <sheetViews>
    <sheetView tabSelected="1" topLeftCell="A281" zoomScale="87" workbookViewId="0">
      <selection activeCell="A303" sqref="A303:E304"/>
    </sheetView>
  </sheetViews>
  <sheetFormatPr defaultRowHeight="14.4" x14ac:dyDescent="0.3"/>
  <cols>
    <col min="1" max="1" width="29.33203125" customWidth="1"/>
    <col min="2" max="2" width="14" bestFit="1" customWidth="1"/>
    <col min="3" max="3" width="17.6640625" bestFit="1" customWidth="1"/>
    <col min="4" max="4" width="20.21875" bestFit="1" customWidth="1"/>
    <col min="5" max="5" width="24.109375" bestFit="1" customWidth="1"/>
    <col min="6" max="6" width="26.5546875" bestFit="1" customWidth="1"/>
    <col min="7" max="7" width="11.44140625" bestFit="1" customWidth="1"/>
    <col min="8" max="9" width="12" bestFit="1" customWidth="1"/>
    <col min="10" max="10" width="18.109375" bestFit="1" customWidth="1"/>
    <col min="11" max="11" width="11.44140625" bestFit="1" customWidth="1"/>
    <col min="12" max="12" width="19.21875" bestFit="1" customWidth="1"/>
    <col min="13" max="13" width="12" bestFit="1" customWidth="1"/>
    <col min="14" max="14" width="15.44140625" customWidth="1"/>
    <col min="15" max="15" width="13.6640625" bestFit="1" customWidth="1"/>
    <col min="16" max="17" width="12" bestFit="1" customWidth="1"/>
    <col min="18" max="24" width="11.44140625" bestFit="1" customWidth="1"/>
    <col min="25" max="25" width="19.21875" bestFit="1" customWidth="1"/>
  </cols>
  <sheetData>
    <row r="1" spans="1:11" ht="18.600000000000001" thickBot="1" x14ac:dyDescent="0.4">
      <c r="G1" s="254" t="s">
        <v>0</v>
      </c>
      <c r="H1" s="255"/>
      <c r="I1" s="256"/>
    </row>
    <row r="2" spans="1:11" ht="15" thickBot="1" x14ac:dyDescent="0.35"/>
    <row r="3" spans="1:11" x14ac:dyDescent="0.3">
      <c r="A3" s="261" t="s">
        <v>7</v>
      </c>
      <c r="B3" s="226" t="s">
        <v>1</v>
      </c>
      <c r="C3" s="257"/>
      <c r="D3" s="259">
        <v>0.4</v>
      </c>
      <c r="E3" s="264">
        <v>200000000</v>
      </c>
      <c r="F3" s="267">
        <v>100000000</v>
      </c>
      <c r="G3" s="249"/>
      <c r="H3" s="20" t="s">
        <v>3</v>
      </c>
      <c r="I3" s="5">
        <v>0.13</v>
      </c>
      <c r="J3" s="20" t="s">
        <v>5</v>
      </c>
      <c r="K3" s="110"/>
    </row>
    <row r="4" spans="1:11" ht="15" thickBot="1" x14ac:dyDescent="0.35">
      <c r="A4" s="262"/>
      <c r="B4" s="227"/>
      <c r="C4" s="258"/>
      <c r="D4" s="260"/>
      <c r="E4" s="260"/>
      <c r="F4" s="268">
        <v>100000000</v>
      </c>
      <c r="G4" s="269"/>
      <c r="H4" s="109" t="s">
        <v>4</v>
      </c>
      <c r="I4" s="6">
        <v>0.02</v>
      </c>
      <c r="J4" s="109" t="s">
        <v>6</v>
      </c>
      <c r="K4" s="111"/>
    </row>
    <row r="5" spans="1:11" x14ac:dyDescent="0.3">
      <c r="A5" s="262"/>
      <c r="B5" s="226" t="s">
        <v>2</v>
      </c>
      <c r="C5" s="257"/>
      <c r="D5" s="259">
        <v>0.6</v>
      </c>
      <c r="E5" s="265">
        <v>300000000</v>
      </c>
    </row>
    <row r="6" spans="1:11" ht="15" thickBot="1" x14ac:dyDescent="0.35">
      <c r="A6" s="263"/>
      <c r="B6" s="227"/>
      <c r="C6" s="258"/>
      <c r="D6" s="260"/>
      <c r="E6" s="266"/>
    </row>
    <row r="7" spans="1:11" ht="15" thickBot="1" x14ac:dyDescent="0.35"/>
    <row r="8" spans="1:11" ht="15" thickBot="1" x14ac:dyDescent="0.35">
      <c r="A8" s="252" t="s">
        <v>8</v>
      </c>
      <c r="B8" s="253"/>
      <c r="C8" s="10" t="s">
        <v>9</v>
      </c>
      <c r="D8">
        <v>100</v>
      </c>
    </row>
    <row r="9" spans="1:11" ht="15" thickBot="1" x14ac:dyDescent="0.35">
      <c r="A9" s="252" t="s">
        <v>10</v>
      </c>
      <c r="B9" s="253"/>
      <c r="C9" s="15">
        <v>0.2</v>
      </c>
    </row>
    <row r="10" spans="1:11" ht="15" thickBot="1" x14ac:dyDescent="0.35">
      <c r="A10" s="250" t="s">
        <v>15</v>
      </c>
      <c r="B10" s="251"/>
      <c r="C10" s="11" t="s">
        <v>16</v>
      </c>
      <c r="D10">
        <v>300</v>
      </c>
    </row>
    <row r="11" spans="1:11" ht="15" thickBot="1" x14ac:dyDescent="0.35"/>
    <row r="12" spans="1:11" x14ac:dyDescent="0.3">
      <c r="A12" s="226" t="s">
        <v>13</v>
      </c>
      <c r="B12" s="12" t="s">
        <v>11</v>
      </c>
      <c r="C12" s="228" t="s">
        <v>14</v>
      </c>
      <c r="D12" s="228"/>
      <c r="E12" s="13">
        <v>3.1E-2</v>
      </c>
    </row>
    <row r="13" spans="1:11" ht="15" thickBot="1" x14ac:dyDescent="0.35">
      <c r="A13" s="227"/>
      <c r="B13" s="14" t="s">
        <v>12</v>
      </c>
      <c r="C13" s="229" t="s">
        <v>14</v>
      </c>
      <c r="D13" s="229"/>
      <c r="E13" s="4">
        <v>0.05</v>
      </c>
    </row>
    <row r="14" spans="1:11" ht="15" thickBot="1" x14ac:dyDescent="0.35"/>
    <row r="15" spans="1:11" ht="15" thickBot="1" x14ac:dyDescent="0.35">
      <c r="C15" s="246" t="s">
        <v>22</v>
      </c>
      <c r="D15" s="248"/>
    </row>
    <row r="16" spans="1:11" ht="15" thickBot="1" x14ac:dyDescent="0.35">
      <c r="A16" s="52" t="s">
        <v>17</v>
      </c>
      <c r="B16" s="48" t="s">
        <v>28</v>
      </c>
      <c r="C16" s="48">
        <v>2012</v>
      </c>
      <c r="D16" s="53">
        <v>2022</v>
      </c>
    </row>
    <row r="17" spans="1:5" x14ac:dyDescent="0.3">
      <c r="A17" s="25" t="s">
        <v>18</v>
      </c>
      <c r="B17" s="26" t="s">
        <v>23</v>
      </c>
      <c r="C17" s="26"/>
      <c r="D17" s="27">
        <v>437</v>
      </c>
    </row>
    <row r="18" spans="1:5" x14ac:dyDescent="0.3">
      <c r="A18" s="7" t="s">
        <v>19</v>
      </c>
      <c r="B18" s="8" t="s">
        <v>24</v>
      </c>
      <c r="C18" s="8"/>
      <c r="D18" s="22">
        <v>245</v>
      </c>
    </row>
    <row r="19" spans="1:5" x14ac:dyDescent="0.3">
      <c r="A19" s="7" t="s">
        <v>20</v>
      </c>
      <c r="B19" s="8" t="s">
        <v>25</v>
      </c>
      <c r="C19" s="8"/>
      <c r="D19" s="22">
        <v>386</v>
      </c>
    </row>
    <row r="20" spans="1:5" ht="15" thickBot="1" x14ac:dyDescent="0.35">
      <c r="A20" s="23" t="s">
        <v>21</v>
      </c>
      <c r="B20" s="14" t="s">
        <v>26</v>
      </c>
      <c r="C20" s="14">
        <v>128</v>
      </c>
      <c r="D20" s="24">
        <v>364</v>
      </c>
    </row>
    <row r="21" spans="1:5" ht="15" thickBot="1" x14ac:dyDescent="0.35"/>
    <row r="22" spans="1:5" ht="15" thickBot="1" x14ac:dyDescent="0.35">
      <c r="A22" s="246" t="s">
        <v>27</v>
      </c>
      <c r="B22" s="247"/>
      <c r="C22" s="247"/>
      <c r="D22" s="248"/>
    </row>
    <row r="23" spans="1:5" x14ac:dyDescent="0.3">
      <c r="A23" s="230"/>
      <c r="B23" s="231"/>
      <c r="C23" s="231"/>
      <c r="D23" s="232"/>
    </row>
    <row r="24" spans="1:5" x14ac:dyDescent="0.3">
      <c r="A24" s="233"/>
      <c r="B24" s="234"/>
      <c r="C24" s="234"/>
      <c r="D24" s="235"/>
    </row>
    <row r="25" spans="1:5" ht="15" thickBot="1" x14ac:dyDescent="0.35">
      <c r="A25" s="17"/>
      <c r="B25" s="18"/>
      <c r="C25" s="18"/>
      <c r="D25" s="19"/>
    </row>
    <row r="26" spans="1:5" ht="15" thickBot="1" x14ac:dyDescent="0.35"/>
    <row r="27" spans="1:5" x14ac:dyDescent="0.3">
      <c r="A27" s="226" t="s">
        <v>29</v>
      </c>
      <c r="B27" s="228" t="s">
        <v>30</v>
      </c>
      <c r="C27" s="228"/>
      <c r="D27" s="21">
        <v>365</v>
      </c>
    </row>
    <row r="28" spans="1:5" x14ac:dyDescent="0.3">
      <c r="A28" s="242"/>
      <c r="B28" s="244" t="s">
        <v>31</v>
      </c>
      <c r="C28" s="244"/>
      <c r="D28" s="22">
        <v>47</v>
      </c>
    </row>
    <row r="29" spans="1:5" ht="15" thickBot="1" x14ac:dyDescent="0.35">
      <c r="A29" s="227"/>
      <c r="B29" s="229" t="s">
        <v>32</v>
      </c>
      <c r="C29" s="229"/>
      <c r="D29" s="24">
        <v>318</v>
      </c>
    </row>
    <row r="30" spans="1:5" ht="15" thickBot="1" x14ac:dyDescent="0.35"/>
    <row r="31" spans="1:5" ht="16.2" thickBot="1" x14ac:dyDescent="0.35">
      <c r="A31" s="239" t="s">
        <v>33</v>
      </c>
      <c r="B31" s="240"/>
      <c r="C31" s="240"/>
      <c r="D31" s="240"/>
      <c r="E31" s="241"/>
    </row>
    <row r="32" spans="1:5" x14ac:dyDescent="0.3">
      <c r="A32" s="230"/>
      <c r="B32" s="231"/>
      <c r="C32" s="231"/>
      <c r="D32" s="231"/>
      <c r="E32" s="232"/>
    </row>
    <row r="33" spans="1:7" x14ac:dyDescent="0.3">
      <c r="A33" s="233"/>
      <c r="B33" s="234"/>
      <c r="C33" s="234"/>
      <c r="D33" s="234"/>
      <c r="E33" s="235"/>
    </row>
    <row r="34" spans="1:7" x14ac:dyDescent="0.3">
      <c r="A34" s="233"/>
      <c r="B34" s="234"/>
      <c r="C34" s="234"/>
      <c r="D34" s="234"/>
      <c r="E34" s="235"/>
    </row>
    <row r="35" spans="1:7" ht="15" thickBot="1" x14ac:dyDescent="0.35">
      <c r="A35" s="236"/>
      <c r="B35" s="237"/>
      <c r="C35" s="237"/>
      <c r="D35" s="237"/>
      <c r="E35" s="238"/>
    </row>
    <row r="36" spans="1:7" ht="15" thickBot="1" x14ac:dyDescent="0.35"/>
    <row r="37" spans="1:7" ht="15" thickBot="1" x14ac:dyDescent="0.35">
      <c r="A37" s="47" t="s">
        <v>34</v>
      </c>
      <c r="B37" s="50" t="s">
        <v>37</v>
      </c>
      <c r="C37" s="51" t="s">
        <v>38</v>
      </c>
    </row>
    <row r="38" spans="1:7" x14ac:dyDescent="0.3">
      <c r="A38" s="32" t="s">
        <v>35</v>
      </c>
      <c r="B38" s="33">
        <v>15000</v>
      </c>
      <c r="C38" s="34">
        <v>20000</v>
      </c>
    </row>
    <row r="39" spans="1:7" x14ac:dyDescent="0.3">
      <c r="A39" s="7" t="s">
        <v>36</v>
      </c>
      <c r="B39" s="8">
        <f>B38*D20</f>
        <v>5460000</v>
      </c>
      <c r="C39" s="22">
        <f>C38*C20</f>
        <v>2560000</v>
      </c>
    </row>
    <row r="40" spans="1:7" x14ac:dyDescent="0.3">
      <c r="A40" s="7" t="s">
        <v>39</v>
      </c>
      <c r="B40" s="30">
        <v>1000000</v>
      </c>
      <c r="C40" s="35">
        <v>1600000</v>
      </c>
    </row>
    <row r="41" spans="1:7" x14ac:dyDescent="0.3">
      <c r="A41" s="7" t="s">
        <v>40</v>
      </c>
      <c r="B41" s="30">
        <v>3000000</v>
      </c>
      <c r="C41" s="35">
        <v>2000000</v>
      </c>
    </row>
    <row r="42" spans="1:7" x14ac:dyDescent="0.3">
      <c r="A42" s="7" t="s">
        <v>41</v>
      </c>
      <c r="B42" s="31">
        <v>10</v>
      </c>
      <c r="C42" s="36">
        <v>10</v>
      </c>
    </row>
    <row r="43" spans="1:7" ht="15" thickBot="1" x14ac:dyDescent="0.35">
      <c r="A43" s="23" t="s">
        <v>42</v>
      </c>
      <c r="B43" s="37">
        <v>1000000</v>
      </c>
      <c r="C43" s="24"/>
      <c r="D43">
        <v>1000000</v>
      </c>
    </row>
    <row r="44" spans="1:7" ht="15" thickBot="1" x14ac:dyDescent="0.35"/>
    <row r="45" spans="1:7" ht="15" thickBot="1" x14ac:dyDescent="0.35">
      <c r="B45" s="246" t="s">
        <v>48</v>
      </c>
      <c r="C45" s="247"/>
      <c r="D45" s="48" t="s">
        <v>45</v>
      </c>
      <c r="E45" s="48" t="s">
        <v>46</v>
      </c>
      <c r="F45" s="49" t="s">
        <v>47</v>
      </c>
    </row>
    <row r="46" spans="1:7" x14ac:dyDescent="0.3">
      <c r="A46" s="226" t="s">
        <v>43</v>
      </c>
      <c r="B46" s="228" t="s">
        <v>44</v>
      </c>
      <c r="C46" s="243"/>
      <c r="D46" s="44">
        <v>50</v>
      </c>
      <c r="E46" s="44">
        <v>25</v>
      </c>
      <c r="F46" s="45">
        <v>75</v>
      </c>
    </row>
    <row r="47" spans="1:7" x14ac:dyDescent="0.3">
      <c r="A47" s="242"/>
      <c r="B47" s="244" t="s">
        <v>49</v>
      </c>
      <c r="C47" s="245"/>
      <c r="D47" s="29">
        <f>D46*60</f>
        <v>3000</v>
      </c>
      <c r="E47" s="29">
        <f>E46*60</f>
        <v>1500</v>
      </c>
      <c r="F47" s="46">
        <f>D47+E47</f>
        <v>4500</v>
      </c>
      <c r="G47" s="1"/>
    </row>
    <row r="48" spans="1:7" x14ac:dyDescent="0.3">
      <c r="A48" s="242"/>
      <c r="B48" s="244" t="s">
        <v>55</v>
      </c>
      <c r="C48" s="245"/>
      <c r="D48" s="8">
        <f>D47*7</f>
        <v>21000</v>
      </c>
      <c r="E48" s="8">
        <f>E47*7</f>
        <v>10500</v>
      </c>
      <c r="F48" s="22">
        <f>D48+E48</f>
        <v>31500</v>
      </c>
    </row>
    <row r="49" spans="1:8" ht="15" thickBot="1" x14ac:dyDescent="0.35">
      <c r="A49" s="227"/>
      <c r="B49" s="229" t="s">
        <v>58</v>
      </c>
      <c r="C49" s="270"/>
      <c r="D49" s="14">
        <f>D48*G54</f>
        <v>6678000</v>
      </c>
      <c r="E49" s="14">
        <f>E48*G54</f>
        <v>3339000</v>
      </c>
      <c r="F49" s="24">
        <f>D49+E49</f>
        <v>10017000</v>
      </c>
    </row>
    <row r="50" spans="1:8" ht="15" thickBot="1" x14ac:dyDescent="0.35"/>
    <row r="51" spans="1:8" ht="15" thickBot="1" x14ac:dyDescent="0.35">
      <c r="A51" s="271" t="s">
        <v>51</v>
      </c>
      <c r="B51" s="272"/>
    </row>
    <row r="52" spans="1:8" x14ac:dyDescent="0.3">
      <c r="A52" s="25" t="s">
        <v>50</v>
      </c>
      <c r="B52" s="27">
        <v>30</v>
      </c>
      <c r="D52" s="226" t="s">
        <v>56</v>
      </c>
      <c r="E52" s="228" t="s">
        <v>30</v>
      </c>
      <c r="F52" s="228"/>
      <c r="G52" s="21">
        <v>365</v>
      </c>
    </row>
    <row r="53" spans="1:8" x14ac:dyDescent="0.3">
      <c r="A53" s="7" t="s">
        <v>52</v>
      </c>
      <c r="B53" s="22">
        <v>15</v>
      </c>
      <c r="D53" s="242"/>
      <c r="E53" s="244" t="s">
        <v>31</v>
      </c>
      <c r="F53" s="244"/>
      <c r="G53" s="22">
        <v>47</v>
      </c>
    </row>
    <row r="54" spans="1:8" ht="15" thickBot="1" x14ac:dyDescent="0.35">
      <c r="A54" s="23" t="s">
        <v>53</v>
      </c>
      <c r="B54" s="24">
        <v>15</v>
      </c>
      <c r="D54" s="227"/>
      <c r="E54" s="229" t="s">
        <v>32</v>
      </c>
      <c r="F54" s="229"/>
      <c r="G54" s="24">
        <v>318</v>
      </c>
    </row>
    <row r="55" spans="1:8" ht="15" thickBot="1" x14ac:dyDescent="0.35">
      <c r="A55" s="39" t="s">
        <v>47</v>
      </c>
      <c r="B55" s="9">
        <v>60</v>
      </c>
      <c r="D55" s="271" t="s">
        <v>57</v>
      </c>
      <c r="E55" s="273"/>
      <c r="F55" s="273"/>
      <c r="G55" s="272"/>
    </row>
    <row r="56" spans="1:8" ht="15" thickBot="1" x14ac:dyDescent="0.35">
      <c r="A56" s="271" t="s">
        <v>54</v>
      </c>
      <c r="B56" s="272"/>
    </row>
    <row r="57" spans="1:8" ht="15" thickBot="1" x14ac:dyDescent="0.35">
      <c r="D57" s="47" t="s">
        <v>62</v>
      </c>
      <c r="E57" s="48" t="s">
        <v>64</v>
      </c>
      <c r="F57" s="247" t="s">
        <v>63</v>
      </c>
      <c r="G57" s="247"/>
      <c r="H57" s="248"/>
    </row>
    <row r="58" spans="1:8" x14ac:dyDescent="0.3">
      <c r="A58" s="278" t="s">
        <v>59</v>
      </c>
      <c r="B58" s="228" t="s">
        <v>60</v>
      </c>
      <c r="C58" s="228"/>
      <c r="D58" s="42">
        <v>180</v>
      </c>
      <c r="E58" s="12">
        <f>D48*D58</f>
        <v>3780000</v>
      </c>
      <c r="F58" s="228">
        <f>E58*G54</f>
        <v>1202040000</v>
      </c>
      <c r="G58" s="228"/>
      <c r="H58" s="249"/>
    </row>
    <row r="59" spans="1:8" x14ac:dyDescent="0.3">
      <c r="A59" s="279"/>
      <c r="B59" s="244" t="s">
        <v>61</v>
      </c>
      <c r="C59" s="244"/>
      <c r="D59" s="40">
        <v>250</v>
      </c>
      <c r="E59" s="8">
        <f>D59*E48</f>
        <v>2625000</v>
      </c>
      <c r="F59" s="244">
        <f>E59*G54</f>
        <v>834750000</v>
      </c>
      <c r="G59" s="244"/>
      <c r="H59" s="289"/>
    </row>
    <row r="60" spans="1:8" ht="15" thickBot="1" x14ac:dyDescent="0.35">
      <c r="A60" s="280"/>
      <c r="B60" s="276" t="s">
        <v>119</v>
      </c>
      <c r="C60" s="277"/>
      <c r="D60" s="43">
        <f>D58+D59</f>
        <v>430</v>
      </c>
      <c r="E60" s="43">
        <f>E58+E59</f>
        <v>6405000</v>
      </c>
      <c r="F60" s="274">
        <f>F58-F59</f>
        <v>367290000</v>
      </c>
      <c r="G60" s="274"/>
      <c r="H60" s="275"/>
    </row>
    <row r="61" spans="1:8" ht="15" thickBot="1" x14ac:dyDescent="0.35"/>
    <row r="62" spans="1:8" ht="15" thickBot="1" x14ac:dyDescent="0.35">
      <c r="A62" s="281" t="s">
        <v>65</v>
      </c>
      <c r="B62" s="271" t="s">
        <v>68</v>
      </c>
      <c r="C62" s="282"/>
      <c r="D62" s="57" t="s">
        <v>69</v>
      </c>
      <c r="E62" s="57" t="s">
        <v>74</v>
      </c>
      <c r="F62" s="247" t="s">
        <v>75</v>
      </c>
      <c r="G62" s="247"/>
      <c r="H62" s="248"/>
    </row>
    <row r="63" spans="1:8" x14ac:dyDescent="0.3">
      <c r="A63" s="279"/>
      <c r="B63" s="283" t="s">
        <v>66</v>
      </c>
      <c r="C63" s="284"/>
      <c r="D63" s="56" t="s">
        <v>70</v>
      </c>
      <c r="E63" s="26">
        <f>10*D17</f>
        <v>4370</v>
      </c>
      <c r="F63" s="287">
        <f>E63/30</f>
        <v>145.66666666666666</v>
      </c>
      <c r="G63" s="287"/>
      <c r="H63" s="288"/>
    </row>
    <row r="64" spans="1:8" ht="16.2" customHeight="1" x14ac:dyDescent="0.3">
      <c r="A64" s="279"/>
      <c r="B64" s="245" t="s">
        <v>19</v>
      </c>
      <c r="C64" s="285"/>
      <c r="D64" s="29" t="s">
        <v>72</v>
      </c>
      <c r="E64" s="8">
        <f>20*D18</f>
        <v>4900</v>
      </c>
      <c r="F64" s="290">
        <f>E64/30</f>
        <v>163.33333333333334</v>
      </c>
      <c r="G64" s="290"/>
      <c r="H64" s="291"/>
    </row>
    <row r="65" spans="1:13" ht="15.6" customHeight="1" x14ac:dyDescent="0.3">
      <c r="A65" s="279"/>
      <c r="B65" s="245" t="s">
        <v>67</v>
      </c>
      <c r="C65" s="285"/>
      <c r="D65" s="54" t="s">
        <v>71</v>
      </c>
      <c r="E65" s="8">
        <f>10*D19</f>
        <v>3860</v>
      </c>
      <c r="F65" s="290">
        <f>E65/30</f>
        <v>128.66666666666666</v>
      </c>
      <c r="G65" s="290"/>
      <c r="H65" s="291"/>
    </row>
    <row r="66" spans="1:13" ht="15" thickBot="1" x14ac:dyDescent="0.35">
      <c r="A66" s="280"/>
      <c r="B66" s="270" t="s">
        <v>21</v>
      </c>
      <c r="C66" s="286"/>
      <c r="D66" s="55" t="s">
        <v>73</v>
      </c>
      <c r="E66" s="14">
        <f>12*D20</f>
        <v>4368</v>
      </c>
      <c r="F66" s="292">
        <f>E66/30</f>
        <v>145.6</v>
      </c>
      <c r="G66" s="292"/>
      <c r="H66" s="293"/>
    </row>
    <row r="67" spans="1:13" ht="15" thickBot="1" x14ac:dyDescent="0.35"/>
    <row r="68" spans="1:13" ht="15" thickBot="1" x14ac:dyDescent="0.35">
      <c r="A68" s="304" t="s">
        <v>76</v>
      </c>
      <c r="B68" s="271" t="s">
        <v>68</v>
      </c>
      <c r="C68" s="282"/>
      <c r="D68" s="59" t="s">
        <v>77</v>
      </c>
      <c r="E68" s="41" t="s">
        <v>78</v>
      </c>
      <c r="F68" s="307" t="s">
        <v>79</v>
      </c>
      <c r="G68" s="307"/>
      <c r="H68" s="307"/>
      <c r="I68" s="106" t="s">
        <v>80</v>
      </c>
    </row>
    <row r="69" spans="1:13" x14ac:dyDescent="0.3">
      <c r="A69" s="305"/>
      <c r="B69" s="283" t="s">
        <v>66</v>
      </c>
      <c r="C69" s="284"/>
      <c r="D69" s="2">
        <v>0.4</v>
      </c>
      <c r="E69" s="8">
        <f>D49*D69</f>
        <v>2671200</v>
      </c>
      <c r="F69" s="244">
        <f>E49*D69</f>
        <v>1335600</v>
      </c>
      <c r="G69" s="244"/>
      <c r="H69" s="244"/>
      <c r="I69" s="16">
        <f>E69+F69</f>
        <v>4006800</v>
      </c>
    </row>
    <row r="70" spans="1:13" x14ac:dyDescent="0.3">
      <c r="A70" s="305"/>
      <c r="B70" s="245" t="s">
        <v>19</v>
      </c>
      <c r="C70" s="285"/>
      <c r="D70" s="2">
        <v>0.3</v>
      </c>
      <c r="E70" s="8">
        <f>D49*D70</f>
        <v>2003400</v>
      </c>
      <c r="F70" s="244">
        <f>E49*D70</f>
        <v>1001700</v>
      </c>
      <c r="G70" s="244"/>
      <c r="H70" s="244"/>
      <c r="I70" s="16">
        <f>E70+F70</f>
        <v>3005100</v>
      </c>
    </row>
    <row r="71" spans="1:13" x14ac:dyDescent="0.3">
      <c r="A71" s="305"/>
      <c r="B71" s="245" t="s">
        <v>67</v>
      </c>
      <c r="C71" s="285"/>
      <c r="D71" s="2">
        <v>0.2</v>
      </c>
      <c r="E71" s="8">
        <f>D49*D71</f>
        <v>1335600</v>
      </c>
      <c r="F71" s="244">
        <f>E49*D71</f>
        <v>667800</v>
      </c>
      <c r="G71" s="244"/>
      <c r="H71" s="244"/>
      <c r="I71" s="16">
        <f>E71+F71</f>
        <v>2003400</v>
      </c>
    </row>
    <row r="72" spans="1:13" ht="15" thickBot="1" x14ac:dyDescent="0.35">
      <c r="A72" s="305"/>
      <c r="B72" s="306" t="s">
        <v>21</v>
      </c>
      <c r="C72" s="303"/>
      <c r="D72" s="58">
        <v>0.1</v>
      </c>
      <c r="E72" s="38">
        <f>D49*D72</f>
        <v>667800</v>
      </c>
      <c r="F72" s="308">
        <f>E49*D72</f>
        <v>333900</v>
      </c>
      <c r="G72" s="308"/>
      <c r="H72" s="308"/>
      <c r="I72" s="107">
        <f>E72+F72</f>
        <v>1001700</v>
      </c>
    </row>
    <row r="73" spans="1:13" ht="15" thickBot="1" x14ac:dyDescent="0.35">
      <c r="A73" s="39" t="s">
        <v>80</v>
      </c>
      <c r="B73" s="297"/>
      <c r="C73" s="298"/>
      <c r="D73" s="299"/>
      <c r="E73" s="28">
        <f>SUM(E69:E72)</f>
        <v>6678000</v>
      </c>
      <c r="F73" s="297">
        <f>SUM(F69:H72)</f>
        <v>3339000</v>
      </c>
      <c r="G73" s="298"/>
      <c r="H73" s="299"/>
      <c r="I73" s="108">
        <f>SUM(I69:I72)</f>
        <v>10017000</v>
      </c>
    </row>
    <row r="74" spans="1:13" ht="15" thickBot="1" x14ac:dyDescent="0.35"/>
    <row r="75" spans="1:13" ht="15" thickBot="1" x14ac:dyDescent="0.35">
      <c r="A75" s="278" t="s">
        <v>81</v>
      </c>
      <c r="B75" s="273" t="s">
        <v>68</v>
      </c>
      <c r="C75" s="282"/>
      <c r="D75" s="12" t="s">
        <v>82</v>
      </c>
      <c r="E75" s="21" t="s">
        <v>83</v>
      </c>
      <c r="K75" s="250" t="s">
        <v>86</v>
      </c>
      <c r="L75" s="251"/>
      <c r="M75" s="309"/>
    </row>
    <row r="76" spans="1:13" x14ac:dyDescent="0.3">
      <c r="A76" s="279"/>
      <c r="B76" s="300" t="s">
        <v>66</v>
      </c>
      <c r="C76" s="284"/>
      <c r="D76" s="8">
        <f>E69*F63</f>
        <v>389104800</v>
      </c>
      <c r="E76" s="22">
        <f>F69*F63</f>
        <v>194552400</v>
      </c>
      <c r="K76" s="310" t="s">
        <v>87</v>
      </c>
      <c r="L76" s="284"/>
      <c r="M76" s="74">
        <f>B39</f>
        <v>5460000</v>
      </c>
    </row>
    <row r="77" spans="1:13" ht="15" thickBot="1" x14ac:dyDescent="0.35">
      <c r="A77" s="279"/>
      <c r="B77" s="301" t="s">
        <v>19</v>
      </c>
      <c r="C77" s="285"/>
      <c r="D77" s="8">
        <f>E70*F64</f>
        <v>327222000</v>
      </c>
      <c r="E77" s="22">
        <f>F70*F64</f>
        <v>163611000</v>
      </c>
      <c r="K77" s="311" t="s">
        <v>88</v>
      </c>
      <c r="L77" s="303"/>
      <c r="M77" s="75">
        <f>1000000</f>
        <v>1000000</v>
      </c>
    </row>
    <row r="78" spans="1:13" ht="15" thickBot="1" x14ac:dyDescent="0.35">
      <c r="A78" s="279"/>
      <c r="B78" s="301" t="s">
        <v>67</v>
      </c>
      <c r="C78" s="285"/>
      <c r="D78" s="8">
        <f>E71*F65</f>
        <v>171847200</v>
      </c>
      <c r="E78" s="22">
        <f>F71*F65</f>
        <v>85923600</v>
      </c>
      <c r="K78" s="250" t="s">
        <v>47</v>
      </c>
      <c r="L78" s="251"/>
      <c r="M78" s="76">
        <f>SUM(M76:M77)</f>
        <v>6460000</v>
      </c>
    </row>
    <row r="79" spans="1:13" x14ac:dyDescent="0.3">
      <c r="A79" s="279"/>
      <c r="B79" s="302" t="s">
        <v>21</v>
      </c>
      <c r="C79" s="303"/>
      <c r="D79" s="38">
        <f>E72*F66</f>
        <v>97231680</v>
      </c>
      <c r="E79" s="60">
        <f>F72*F66</f>
        <v>48615840</v>
      </c>
    </row>
    <row r="80" spans="1:13" ht="15" thickBot="1" x14ac:dyDescent="0.35">
      <c r="A80" s="61" t="s">
        <v>47</v>
      </c>
      <c r="B80" s="276"/>
      <c r="C80" s="277"/>
      <c r="D80" s="43">
        <f>SUM(D76:D79)</f>
        <v>985405680</v>
      </c>
      <c r="E80" s="62">
        <f>SUM(E76:E79)</f>
        <v>492702840</v>
      </c>
    </row>
    <row r="82" spans="1:15" ht="15" thickBot="1" x14ac:dyDescent="0.35"/>
    <row r="83" spans="1:15" x14ac:dyDescent="0.3">
      <c r="A83" s="312" t="s">
        <v>84</v>
      </c>
      <c r="B83" s="313"/>
      <c r="C83" s="313"/>
      <c r="D83" s="314"/>
      <c r="E83" s="67">
        <v>0</v>
      </c>
      <c r="F83" s="67">
        <v>1</v>
      </c>
      <c r="G83" s="105">
        <v>2</v>
      </c>
      <c r="H83" s="67">
        <v>3</v>
      </c>
      <c r="I83" s="102">
        <v>4</v>
      </c>
      <c r="J83" s="67">
        <v>5</v>
      </c>
      <c r="K83" s="67">
        <v>6</v>
      </c>
      <c r="L83" s="67">
        <v>7</v>
      </c>
      <c r="M83" s="67">
        <v>8</v>
      </c>
      <c r="N83" s="67">
        <v>9</v>
      </c>
      <c r="O83" s="68">
        <v>10</v>
      </c>
    </row>
    <row r="84" spans="1:15" x14ac:dyDescent="0.3">
      <c r="A84" s="315" t="s">
        <v>85</v>
      </c>
      <c r="B84" s="316"/>
      <c r="C84" s="316"/>
      <c r="D84" s="317"/>
      <c r="E84" s="65">
        <f>M78</f>
        <v>6460000</v>
      </c>
      <c r="F84" s="64"/>
      <c r="G84" s="99"/>
      <c r="H84" s="64"/>
      <c r="I84" s="72"/>
      <c r="J84" s="64"/>
      <c r="K84" s="64"/>
      <c r="L84" s="64"/>
      <c r="M84" s="64"/>
      <c r="N84" s="8"/>
      <c r="O84" s="22"/>
    </row>
    <row r="85" spans="1:15" x14ac:dyDescent="0.3">
      <c r="A85" s="318"/>
      <c r="B85" s="319"/>
      <c r="C85" s="319"/>
      <c r="D85" s="320"/>
      <c r="E85" s="64"/>
      <c r="F85" s="65">
        <f t="shared" ref="F85:O85" si="0">E87</f>
        <v>6460000</v>
      </c>
      <c r="G85" s="100">
        <f t="shared" si="0"/>
        <v>5814000</v>
      </c>
      <c r="H85" s="65">
        <f t="shared" si="0"/>
        <v>5232600</v>
      </c>
      <c r="I85" s="103">
        <f t="shared" si="0"/>
        <v>4709340</v>
      </c>
      <c r="J85" s="65">
        <f t="shared" si="0"/>
        <v>4238406</v>
      </c>
      <c r="K85" s="65">
        <f t="shared" si="0"/>
        <v>3814565.4</v>
      </c>
      <c r="L85" s="65">
        <f t="shared" si="0"/>
        <v>3433108.86</v>
      </c>
      <c r="M85" s="65">
        <f t="shared" si="0"/>
        <v>3089797.9739999999</v>
      </c>
      <c r="N85" s="30">
        <f t="shared" si="0"/>
        <v>2780818.1765999999</v>
      </c>
      <c r="O85" s="35">
        <f t="shared" si="0"/>
        <v>2502736.3589399997</v>
      </c>
    </row>
    <row r="86" spans="1:15" x14ac:dyDescent="0.3">
      <c r="A86" s="318">
        <v>0.1</v>
      </c>
      <c r="B86" s="316"/>
      <c r="C86" s="316"/>
      <c r="D86" s="317"/>
      <c r="E86" s="64"/>
      <c r="F86" s="64">
        <f>F85*A86</f>
        <v>646000</v>
      </c>
      <c r="G86" s="99">
        <f>G85*A86</f>
        <v>581400</v>
      </c>
      <c r="H86" s="64">
        <f>H85*A86</f>
        <v>523260</v>
      </c>
      <c r="I86" s="72">
        <f>I85*A86</f>
        <v>470934</v>
      </c>
      <c r="J86" s="64">
        <f>J85*A86</f>
        <v>423840.60000000003</v>
      </c>
      <c r="K86" s="64">
        <f>K85*A86</f>
        <v>381456.54000000004</v>
      </c>
      <c r="L86" s="64">
        <f>L85*A86</f>
        <v>343310.886</v>
      </c>
      <c r="M86" s="64">
        <f>M85*A86</f>
        <v>308979.79739999998</v>
      </c>
      <c r="N86" s="8">
        <f>N85*A86</f>
        <v>278081.81766</v>
      </c>
      <c r="O86" s="22">
        <f>O85*A86</f>
        <v>250273.63589399998</v>
      </c>
    </row>
    <row r="87" spans="1:15" ht="15" thickBot="1" x14ac:dyDescent="0.35">
      <c r="A87" s="294" t="s">
        <v>89</v>
      </c>
      <c r="B87" s="295"/>
      <c r="C87" s="295"/>
      <c r="D87" s="296"/>
      <c r="E87" s="69">
        <f>E84</f>
        <v>6460000</v>
      </c>
      <c r="F87" s="69">
        <f t="shared" ref="F87:O87" si="1">F85-F86</f>
        <v>5814000</v>
      </c>
      <c r="G87" s="101">
        <f t="shared" si="1"/>
        <v>5232600</v>
      </c>
      <c r="H87" s="69">
        <f t="shared" si="1"/>
        <v>4709340</v>
      </c>
      <c r="I87" s="104">
        <f t="shared" si="1"/>
        <v>4238406</v>
      </c>
      <c r="J87" s="69">
        <f t="shared" si="1"/>
        <v>3814565.4</v>
      </c>
      <c r="K87" s="69">
        <f t="shared" si="1"/>
        <v>3433108.86</v>
      </c>
      <c r="L87" s="69">
        <f t="shared" si="1"/>
        <v>3089797.9739999999</v>
      </c>
      <c r="M87" s="69">
        <f t="shared" si="1"/>
        <v>2780818.1765999999</v>
      </c>
      <c r="N87" s="70">
        <f t="shared" si="1"/>
        <v>2502736.3589399997</v>
      </c>
      <c r="O87" s="71">
        <f t="shared" si="1"/>
        <v>2252462.7230459996</v>
      </c>
    </row>
    <row r="88" spans="1:15" ht="15" thickBot="1" x14ac:dyDescent="0.35"/>
    <row r="89" spans="1:15" ht="16.2" thickBot="1" x14ac:dyDescent="0.35">
      <c r="A89" s="325" t="s">
        <v>91</v>
      </c>
      <c r="B89" s="326"/>
      <c r="C89" s="326"/>
      <c r="D89" s="326"/>
      <c r="E89" s="326"/>
      <c r="F89" s="326"/>
      <c r="G89" s="327"/>
    </row>
    <row r="90" spans="1:15" x14ac:dyDescent="0.3">
      <c r="A90" s="323" t="s">
        <v>92</v>
      </c>
      <c r="B90" s="324"/>
      <c r="C90" s="324"/>
      <c r="D90" s="324"/>
      <c r="E90" s="324"/>
      <c r="F90" s="328">
        <f>B39</f>
        <v>5460000</v>
      </c>
      <c r="G90" s="329"/>
    </row>
    <row r="91" spans="1:15" x14ac:dyDescent="0.3">
      <c r="A91" s="321" t="s">
        <v>41</v>
      </c>
      <c r="B91" s="322"/>
      <c r="C91" s="322"/>
      <c r="D91" s="322"/>
      <c r="E91" s="322"/>
      <c r="F91" s="330">
        <f>B42</f>
        <v>10</v>
      </c>
      <c r="G91" s="289"/>
    </row>
    <row r="92" spans="1:15" x14ac:dyDescent="0.3">
      <c r="A92" s="321" t="s">
        <v>120</v>
      </c>
      <c r="B92" s="322"/>
      <c r="C92" s="322"/>
      <c r="D92" s="322"/>
      <c r="E92" s="322"/>
      <c r="F92" s="330">
        <f>O87</f>
        <v>2252462.7230459996</v>
      </c>
      <c r="G92" s="289"/>
    </row>
    <row r="93" spans="1:15" x14ac:dyDescent="0.3">
      <c r="A93" s="321" t="s">
        <v>93</v>
      </c>
      <c r="B93" s="322"/>
      <c r="C93" s="322"/>
      <c r="D93" s="322"/>
      <c r="E93" s="322"/>
      <c r="F93" s="244">
        <v>1600000</v>
      </c>
      <c r="G93" s="289"/>
    </row>
    <row r="94" spans="1:15" x14ac:dyDescent="0.3">
      <c r="A94" s="321" t="s">
        <v>90</v>
      </c>
      <c r="B94" s="322"/>
      <c r="C94" s="322"/>
      <c r="D94" s="322"/>
      <c r="E94" s="322"/>
      <c r="F94" s="338">
        <v>0.3</v>
      </c>
      <c r="G94" s="289"/>
    </row>
    <row r="95" spans="1:15" x14ac:dyDescent="0.3">
      <c r="A95" s="321" t="s">
        <v>94</v>
      </c>
      <c r="B95" s="322"/>
      <c r="C95" s="322"/>
      <c r="D95" s="322"/>
      <c r="E95" s="322"/>
      <c r="F95" s="244">
        <f>F93*F94</f>
        <v>480000</v>
      </c>
      <c r="G95" s="289"/>
    </row>
    <row r="96" spans="1:15" x14ac:dyDescent="0.3">
      <c r="A96" s="321" t="s">
        <v>95</v>
      </c>
      <c r="B96" s="322"/>
      <c r="C96" s="322"/>
      <c r="D96" s="322"/>
      <c r="E96" s="322"/>
      <c r="F96" s="244">
        <v>5000000</v>
      </c>
      <c r="G96" s="289"/>
    </row>
    <row r="97" spans="1:17" x14ac:dyDescent="0.3">
      <c r="A97" s="331" t="s">
        <v>96</v>
      </c>
      <c r="B97" s="308"/>
      <c r="C97" s="308"/>
      <c r="D97" s="308"/>
      <c r="E97" s="308"/>
      <c r="F97" s="308">
        <v>300000</v>
      </c>
      <c r="G97" s="332"/>
    </row>
    <row r="98" spans="1:17" x14ac:dyDescent="0.3">
      <c r="A98" s="244" t="s">
        <v>121</v>
      </c>
      <c r="B98" s="244"/>
      <c r="C98" s="244"/>
      <c r="D98" s="244"/>
      <c r="E98" s="244"/>
      <c r="F98" s="330">
        <v>1000000</v>
      </c>
      <c r="G98" s="244"/>
    </row>
    <row r="99" spans="1:17" ht="15" thickBot="1" x14ac:dyDescent="0.35"/>
    <row r="100" spans="1:17" ht="18.600000000000001" thickBot="1" x14ac:dyDescent="0.4">
      <c r="A100" s="339" t="s">
        <v>122</v>
      </c>
      <c r="B100" s="340"/>
      <c r="C100" s="340"/>
      <c r="D100" s="340"/>
      <c r="E100" s="340"/>
      <c r="F100" s="340"/>
      <c r="G100" s="340"/>
      <c r="H100" s="340"/>
      <c r="I100" s="340"/>
      <c r="J100" s="340"/>
      <c r="K100" s="340"/>
      <c r="L100" s="340"/>
      <c r="M100" s="340"/>
      <c r="N100" s="340"/>
      <c r="O100" s="340"/>
      <c r="P100" s="340"/>
      <c r="Q100" s="341"/>
    </row>
    <row r="102" spans="1:17" ht="15" thickBot="1" x14ac:dyDescent="0.35">
      <c r="A102" s="333" t="s">
        <v>97</v>
      </c>
      <c r="B102" s="333"/>
      <c r="C102" s="333"/>
      <c r="D102" s="333"/>
      <c r="E102" s="333"/>
      <c r="F102" s="333"/>
      <c r="G102" s="78">
        <v>0</v>
      </c>
      <c r="H102" s="63">
        <v>1</v>
      </c>
      <c r="I102" s="63">
        <v>2</v>
      </c>
      <c r="J102" s="63">
        <v>3</v>
      </c>
      <c r="K102" s="63">
        <v>4</v>
      </c>
      <c r="L102" s="63">
        <v>5</v>
      </c>
      <c r="M102" s="63">
        <v>6</v>
      </c>
      <c r="N102" s="63">
        <v>7</v>
      </c>
      <c r="O102" s="63">
        <v>8</v>
      </c>
      <c r="P102" s="63">
        <v>9</v>
      </c>
      <c r="Q102" s="63">
        <v>10</v>
      </c>
    </row>
    <row r="103" spans="1:17" x14ac:dyDescent="0.3">
      <c r="A103" s="334" t="s">
        <v>98</v>
      </c>
      <c r="B103" s="335"/>
      <c r="C103" s="335"/>
      <c r="D103" s="335"/>
      <c r="E103" s="335"/>
      <c r="F103" s="335"/>
      <c r="G103" s="80"/>
      <c r="H103" s="77"/>
      <c r="I103" s="64"/>
      <c r="J103" s="64"/>
      <c r="K103" s="64"/>
      <c r="L103" s="64"/>
      <c r="M103" s="64"/>
      <c r="N103" s="64"/>
      <c r="O103" s="64"/>
      <c r="P103" s="64"/>
      <c r="Q103" s="64"/>
    </row>
    <row r="104" spans="1:17" x14ac:dyDescent="0.3">
      <c r="A104" s="336" t="s">
        <v>99</v>
      </c>
      <c r="B104" s="337"/>
      <c r="C104" s="337"/>
      <c r="D104" s="337"/>
      <c r="E104" s="337"/>
      <c r="F104" s="337"/>
      <c r="G104" s="81">
        <f>F90</f>
        <v>5460000</v>
      </c>
      <c r="H104" s="77"/>
      <c r="I104" s="64"/>
      <c r="J104" s="64"/>
      <c r="K104" s="64"/>
      <c r="L104" s="64"/>
      <c r="M104" s="64"/>
      <c r="N104" s="64"/>
      <c r="O104" s="64"/>
      <c r="P104" s="64"/>
      <c r="Q104" s="64"/>
    </row>
    <row r="105" spans="1:17" x14ac:dyDescent="0.3">
      <c r="A105" s="336" t="s">
        <v>100</v>
      </c>
      <c r="B105" s="337"/>
      <c r="C105" s="337"/>
      <c r="D105" s="337"/>
      <c r="E105" s="337"/>
      <c r="F105" s="337"/>
      <c r="G105" s="81">
        <f>F96</f>
        <v>5000000</v>
      </c>
      <c r="H105" s="77"/>
      <c r="I105" s="64"/>
      <c r="J105" s="64"/>
      <c r="K105" s="64"/>
      <c r="L105" s="64"/>
      <c r="M105" s="64"/>
      <c r="N105" s="64"/>
      <c r="O105" s="64"/>
      <c r="P105" s="64"/>
      <c r="Q105" s="64"/>
    </row>
    <row r="106" spans="1:17" x14ac:dyDescent="0.3">
      <c r="A106" s="336" t="s">
        <v>101</v>
      </c>
      <c r="B106" s="337"/>
      <c r="C106" s="337"/>
      <c r="D106" s="337"/>
      <c r="E106" s="337"/>
      <c r="F106" s="337"/>
      <c r="G106" s="97">
        <f>M77</f>
        <v>1000000</v>
      </c>
      <c r="H106" s="77"/>
      <c r="I106" s="64"/>
      <c r="J106" s="64"/>
      <c r="K106" s="64"/>
      <c r="L106" s="64"/>
      <c r="M106" s="64"/>
      <c r="N106" s="64"/>
      <c r="O106" s="64"/>
      <c r="P106" s="64"/>
      <c r="Q106" s="64"/>
    </row>
    <row r="107" spans="1:17" x14ac:dyDescent="0.3">
      <c r="A107" s="336" t="s">
        <v>102</v>
      </c>
      <c r="B107" s="337"/>
      <c r="C107" s="337"/>
      <c r="D107" s="337"/>
      <c r="E107" s="337"/>
      <c r="F107" s="337"/>
      <c r="G107" s="81">
        <f>F93</f>
        <v>1600000</v>
      </c>
      <c r="H107" s="77"/>
      <c r="I107" s="64"/>
      <c r="J107" s="64"/>
      <c r="K107" s="64"/>
      <c r="L107" s="64"/>
      <c r="M107" s="64"/>
      <c r="N107" s="64"/>
      <c r="O107" s="64"/>
      <c r="P107" s="64"/>
      <c r="Q107" s="64"/>
    </row>
    <row r="108" spans="1:17" ht="15" thickBot="1" x14ac:dyDescent="0.35">
      <c r="A108" s="350" t="s">
        <v>103</v>
      </c>
      <c r="B108" s="351"/>
      <c r="C108" s="351"/>
      <c r="D108" s="351"/>
      <c r="E108" s="351"/>
      <c r="F108" s="351"/>
      <c r="G108" s="82">
        <f>F95</f>
        <v>480000</v>
      </c>
      <c r="H108" s="83"/>
      <c r="I108" s="84"/>
      <c r="J108" s="84"/>
      <c r="K108" s="84"/>
      <c r="L108" s="84"/>
      <c r="M108" s="84"/>
      <c r="N108" s="84"/>
      <c r="O108" s="84"/>
      <c r="P108" s="84"/>
      <c r="Q108" s="84"/>
    </row>
    <row r="109" spans="1:17" x14ac:dyDescent="0.3">
      <c r="A109" s="352"/>
      <c r="B109" s="353"/>
      <c r="C109" s="353"/>
      <c r="D109" s="353"/>
      <c r="E109" s="353"/>
      <c r="F109" s="353"/>
      <c r="G109" s="85"/>
      <c r="H109" s="86"/>
      <c r="I109" s="86"/>
      <c r="J109" s="86"/>
      <c r="K109" s="86"/>
      <c r="L109" s="86"/>
      <c r="M109" s="86"/>
      <c r="N109" s="86"/>
      <c r="O109" s="86"/>
      <c r="P109" s="86"/>
      <c r="Q109" s="80"/>
    </row>
    <row r="110" spans="1:17" ht="15.6" x14ac:dyDescent="0.3">
      <c r="A110" s="354" t="s">
        <v>104</v>
      </c>
      <c r="B110" s="322"/>
      <c r="C110" s="322"/>
      <c r="D110" s="322"/>
      <c r="E110" s="322"/>
      <c r="F110" s="322"/>
      <c r="G110" s="77"/>
      <c r="H110" s="77"/>
      <c r="I110" s="64"/>
      <c r="J110" s="64"/>
      <c r="K110" s="64"/>
      <c r="L110" s="64"/>
      <c r="M110" s="64"/>
      <c r="N110" s="64"/>
      <c r="O110" s="64"/>
      <c r="P110" s="64"/>
      <c r="Q110" s="81"/>
    </row>
    <row r="111" spans="1:17" x14ac:dyDescent="0.3">
      <c r="A111" s="321" t="s">
        <v>105</v>
      </c>
      <c r="B111" s="322"/>
      <c r="C111" s="322"/>
      <c r="D111" s="322"/>
      <c r="E111" s="322"/>
      <c r="F111" s="322"/>
      <c r="G111" s="77"/>
      <c r="H111" s="77">
        <f>E80</f>
        <v>492702840</v>
      </c>
      <c r="I111" s="77">
        <f>H111</f>
        <v>492702840</v>
      </c>
      <c r="J111" s="77">
        <f>I111</f>
        <v>492702840</v>
      </c>
      <c r="K111" s="77">
        <f t="shared" ref="K111:Q111" si="2">J111</f>
        <v>492702840</v>
      </c>
      <c r="L111" s="77">
        <f t="shared" si="2"/>
        <v>492702840</v>
      </c>
      <c r="M111" s="77">
        <f t="shared" si="2"/>
        <v>492702840</v>
      </c>
      <c r="N111" s="77">
        <f t="shared" si="2"/>
        <v>492702840</v>
      </c>
      <c r="O111" s="77">
        <f t="shared" si="2"/>
        <v>492702840</v>
      </c>
      <c r="P111" s="77">
        <f t="shared" si="2"/>
        <v>492702840</v>
      </c>
      <c r="Q111" s="77">
        <f t="shared" si="2"/>
        <v>492702840</v>
      </c>
    </row>
    <row r="112" spans="1:17" ht="15" thickBot="1" x14ac:dyDescent="0.35">
      <c r="A112" s="342" t="s">
        <v>106</v>
      </c>
      <c r="B112" s="343"/>
      <c r="C112" s="343"/>
      <c r="D112" s="343"/>
      <c r="E112" s="343"/>
      <c r="F112" s="343"/>
      <c r="G112" s="83"/>
      <c r="H112" s="83">
        <f>F60</f>
        <v>367290000</v>
      </c>
      <c r="I112" s="83">
        <f>H112</f>
        <v>367290000</v>
      </c>
      <c r="J112" s="83">
        <f t="shared" ref="J112:Q112" si="3">I112</f>
        <v>367290000</v>
      </c>
      <c r="K112" s="83">
        <f t="shared" si="3"/>
        <v>367290000</v>
      </c>
      <c r="L112" s="83">
        <f t="shared" si="3"/>
        <v>367290000</v>
      </c>
      <c r="M112" s="83">
        <f t="shared" si="3"/>
        <v>367290000</v>
      </c>
      <c r="N112" s="83">
        <f t="shared" si="3"/>
        <v>367290000</v>
      </c>
      <c r="O112" s="83">
        <f t="shared" si="3"/>
        <v>367290000</v>
      </c>
      <c r="P112" s="83">
        <f t="shared" si="3"/>
        <v>367290000</v>
      </c>
      <c r="Q112" s="83">
        <f t="shared" si="3"/>
        <v>367290000</v>
      </c>
    </row>
    <row r="113" spans="1:17" ht="15" thickBot="1" x14ac:dyDescent="0.35">
      <c r="A113" s="344" t="s">
        <v>107</v>
      </c>
      <c r="B113" s="347"/>
      <c r="C113" s="347"/>
      <c r="D113" s="347"/>
      <c r="E113" s="347"/>
      <c r="F113" s="347"/>
      <c r="G113" s="92"/>
      <c r="H113" s="92">
        <f>H111-H112</f>
        <v>125412840</v>
      </c>
      <c r="I113" s="92">
        <f>I111-I112</f>
        <v>125412840</v>
      </c>
      <c r="J113" s="92">
        <f t="shared" ref="J113:Q113" si="4">J111-J112</f>
        <v>125412840</v>
      </c>
      <c r="K113" s="92">
        <f t="shared" si="4"/>
        <v>125412840</v>
      </c>
      <c r="L113" s="92">
        <f t="shared" si="4"/>
        <v>125412840</v>
      </c>
      <c r="M113" s="92">
        <f t="shared" si="4"/>
        <v>125412840</v>
      </c>
      <c r="N113" s="92">
        <f t="shared" si="4"/>
        <v>125412840</v>
      </c>
      <c r="O113" s="92">
        <f t="shared" si="4"/>
        <v>125412840</v>
      </c>
      <c r="P113" s="92">
        <f t="shared" si="4"/>
        <v>125412840</v>
      </c>
      <c r="Q113" s="92">
        <f t="shared" si="4"/>
        <v>125412840</v>
      </c>
    </row>
    <row r="114" spans="1:17" ht="15" thickBot="1" x14ac:dyDescent="0.35">
      <c r="A114" s="348" t="s">
        <v>108</v>
      </c>
      <c r="B114" s="349"/>
      <c r="C114" s="349"/>
      <c r="D114" s="349"/>
      <c r="E114" s="349"/>
      <c r="F114" s="349"/>
      <c r="G114" s="94"/>
      <c r="H114" s="95">
        <f>F86</f>
        <v>646000</v>
      </c>
      <c r="I114" s="95">
        <f t="shared" ref="I114:Q114" si="5">G86</f>
        <v>581400</v>
      </c>
      <c r="J114" s="95">
        <f>H86</f>
        <v>523260</v>
      </c>
      <c r="K114" s="95">
        <f t="shared" si="5"/>
        <v>470934</v>
      </c>
      <c r="L114" s="95">
        <f>J86</f>
        <v>423840.60000000003</v>
      </c>
      <c r="M114" s="95">
        <f t="shared" si="5"/>
        <v>381456.54000000004</v>
      </c>
      <c r="N114" s="95">
        <f t="shared" si="5"/>
        <v>343310.886</v>
      </c>
      <c r="O114" s="95">
        <f t="shared" si="5"/>
        <v>308979.79739999998</v>
      </c>
      <c r="P114" s="95">
        <f t="shared" si="5"/>
        <v>278081.81766</v>
      </c>
      <c r="Q114" s="95">
        <f t="shared" si="5"/>
        <v>250273.63589399998</v>
      </c>
    </row>
    <row r="115" spans="1:17" ht="15" thickBot="1" x14ac:dyDescent="0.35">
      <c r="A115" s="344" t="s">
        <v>109</v>
      </c>
      <c r="B115" s="345"/>
      <c r="C115" s="345"/>
      <c r="D115" s="345"/>
      <c r="E115" s="345"/>
      <c r="F115" s="345"/>
      <c r="G115" s="92"/>
      <c r="H115" s="93">
        <f>H113-H114</f>
        <v>124766840</v>
      </c>
      <c r="I115" s="93">
        <f t="shared" ref="I115:Q115" si="6">I113-I114</f>
        <v>124831440</v>
      </c>
      <c r="J115" s="93">
        <f t="shared" si="6"/>
        <v>124889580</v>
      </c>
      <c r="K115" s="93">
        <f t="shared" si="6"/>
        <v>124941906</v>
      </c>
      <c r="L115" s="93">
        <f t="shared" si="6"/>
        <v>124988999.40000001</v>
      </c>
      <c r="M115" s="93">
        <f t="shared" si="6"/>
        <v>125031383.45999999</v>
      </c>
      <c r="N115" s="93">
        <f t="shared" si="6"/>
        <v>125069529.11399999</v>
      </c>
      <c r="O115" s="93">
        <f t="shared" si="6"/>
        <v>125103860.2026</v>
      </c>
      <c r="P115" s="93">
        <f t="shared" si="6"/>
        <v>125134758.18234</v>
      </c>
      <c r="Q115" s="93">
        <f t="shared" si="6"/>
        <v>125162566.364106</v>
      </c>
    </row>
    <row r="116" spans="1:17" ht="15" thickBot="1" x14ac:dyDescent="0.35">
      <c r="A116" s="348" t="s">
        <v>110</v>
      </c>
      <c r="B116" s="349"/>
      <c r="C116" s="349"/>
      <c r="D116" s="349"/>
      <c r="E116" s="349"/>
      <c r="F116" s="349"/>
      <c r="G116" s="94"/>
      <c r="H116" s="95">
        <f>H115*F94</f>
        <v>37430052</v>
      </c>
      <c r="I116" s="95">
        <f>I115*F94</f>
        <v>37449432</v>
      </c>
      <c r="J116" s="95">
        <f>J115*F94</f>
        <v>37466874</v>
      </c>
      <c r="K116" s="95">
        <f>K115*F94</f>
        <v>37482571.799999997</v>
      </c>
      <c r="L116" s="95">
        <f>L115*F94</f>
        <v>37496699.82</v>
      </c>
      <c r="M116" s="95">
        <f>M115*F94</f>
        <v>37509415.037999995</v>
      </c>
      <c r="N116" s="95">
        <f>N115*F94</f>
        <v>37520858.734199993</v>
      </c>
      <c r="O116" s="95">
        <f>O115*F94</f>
        <v>37531158.060779996</v>
      </c>
      <c r="P116" s="95">
        <f>P115*F94</f>
        <v>37540427.454701997</v>
      </c>
      <c r="Q116" s="95">
        <f>Q115*F94</f>
        <v>37548769.909231797</v>
      </c>
    </row>
    <row r="117" spans="1:17" ht="15" thickBot="1" x14ac:dyDescent="0.35">
      <c r="A117" s="344" t="s">
        <v>111</v>
      </c>
      <c r="B117" s="345"/>
      <c r="C117" s="345"/>
      <c r="D117" s="345"/>
      <c r="E117" s="345"/>
      <c r="F117" s="345"/>
      <c r="G117" s="92"/>
      <c r="H117" s="93">
        <f t="shared" ref="H117:Q117" si="7">H115-H116</f>
        <v>87336788</v>
      </c>
      <c r="I117" s="93">
        <f t="shared" si="7"/>
        <v>87382008</v>
      </c>
      <c r="J117" s="93">
        <f t="shared" si="7"/>
        <v>87422706</v>
      </c>
      <c r="K117" s="93">
        <f t="shared" si="7"/>
        <v>87459334.200000003</v>
      </c>
      <c r="L117" s="93">
        <f t="shared" si="7"/>
        <v>87492299.580000013</v>
      </c>
      <c r="M117" s="93">
        <f t="shared" si="7"/>
        <v>87521968.421999991</v>
      </c>
      <c r="N117" s="93">
        <f t="shared" si="7"/>
        <v>87548670.379799992</v>
      </c>
      <c r="O117" s="93">
        <f t="shared" si="7"/>
        <v>87572702.141820014</v>
      </c>
      <c r="P117" s="93">
        <f t="shared" si="7"/>
        <v>87594330.727638006</v>
      </c>
      <c r="Q117" s="93">
        <f t="shared" si="7"/>
        <v>87613796.454874203</v>
      </c>
    </row>
    <row r="118" spans="1:17" x14ac:dyDescent="0.3">
      <c r="A118" s="323" t="s">
        <v>112</v>
      </c>
      <c r="B118" s="324"/>
      <c r="C118" s="324"/>
      <c r="D118" s="324"/>
      <c r="E118" s="324"/>
      <c r="F118" s="324"/>
      <c r="G118" s="79"/>
      <c r="H118" s="90">
        <f>H114</f>
        <v>646000</v>
      </c>
      <c r="I118" s="90">
        <f t="shared" ref="I118:Q118" si="8">I114</f>
        <v>581400</v>
      </c>
      <c r="J118" s="90">
        <f t="shared" si="8"/>
        <v>523260</v>
      </c>
      <c r="K118" s="90">
        <f t="shared" si="8"/>
        <v>470934</v>
      </c>
      <c r="L118" s="90">
        <f t="shared" si="8"/>
        <v>423840.60000000003</v>
      </c>
      <c r="M118" s="90">
        <f t="shared" si="8"/>
        <v>381456.54000000004</v>
      </c>
      <c r="N118" s="90">
        <f t="shared" si="8"/>
        <v>343310.886</v>
      </c>
      <c r="O118" s="90">
        <f t="shared" si="8"/>
        <v>308979.79739999998</v>
      </c>
      <c r="P118" s="90">
        <f t="shared" si="8"/>
        <v>278081.81766</v>
      </c>
      <c r="Q118" s="90">
        <f t="shared" si="8"/>
        <v>250273.63589399998</v>
      </c>
    </row>
    <row r="119" spans="1:17" x14ac:dyDescent="0.3">
      <c r="A119" s="321" t="s">
        <v>113</v>
      </c>
      <c r="B119" s="322"/>
      <c r="C119" s="322"/>
      <c r="D119" s="322"/>
      <c r="E119" s="322"/>
      <c r="F119" s="322"/>
      <c r="G119" s="77"/>
      <c r="H119" s="65">
        <v>2000000</v>
      </c>
      <c r="I119" s="64">
        <v>2000000</v>
      </c>
      <c r="J119" s="64">
        <v>2000000</v>
      </c>
      <c r="K119" s="64">
        <v>2000000</v>
      </c>
      <c r="L119" s="64">
        <v>2000000</v>
      </c>
      <c r="M119" s="64">
        <v>1000000</v>
      </c>
      <c r="N119" s="64">
        <v>1000000</v>
      </c>
      <c r="O119" s="64">
        <v>1000000</v>
      </c>
      <c r="P119" s="64">
        <v>1000000</v>
      </c>
      <c r="Q119" s="64">
        <v>1000000</v>
      </c>
    </row>
    <row r="120" spans="1:17" ht="15" thickBot="1" x14ac:dyDescent="0.35">
      <c r="A120" s="342"/>
      <c r="B120" s="343"/>
      <c r="C120" s="343"/>
      <c r="D120" s="343"/>
      <c r="E120" s="343"/>
      <c r="F120" s="343"/>
      <c r="G120" s="83"/>
      <c r="H120" s="87"/>
      <c r="I120" s="87"/>
      <c r="J120" s="87"/>
      <c r="K120" s="87"/>
      <c r="L120" s="87"/>
      <c r="M120" s="87"/>
      <c r="N120" s="87"/>
      <c r="O120" s="87"/>
      <c r="P120" s="87"/>
      <c r="Q120" s="88"/>
    </row>
    <row r="121" spans="1:17" ht="15" thickBot="1" x14ac:dyDescent="0.35">
      <c r="A121" s="344" t="s">
        <v>114</v>
      </c>
      <c r="B121" s="345"/>
      <c r="C121" s="345"/>
      <c r="D121" s="345"/>
      <c r="E121" s="345"/>
      <c r="F121" s="345"/>
      <c r="G121" s="92"/>
      <c r="H121" s="98">
        <f>H117+H118-H119</f>
        <v>85982788</v>
      </c>
      <c r="I121" s="98">
        <f>I117+I118-I119</f>
        <v>85963408</v>
      </c>
      <c r="J121" s="98">
        <f t="shared" ref="J121:Q121" si="9">J117+J118-J119</f>
        <v>85945966</v>
      </c>
      <c r="K121" s="98">
        <f>K117+K118-K119</f>
        <v>85930268.200000003</v>
      </c>
      <c r="L121" s="98">
        <f t="shared" si="9"/>
        <v>85916140.180000007</v>
      </c>
      <c r="M121" s="98">
        <f t="shared" si="9"/>
        <v>86903424.961999997</v>
      </c>
      <c r="N121" s="98">
        <f t="shared" si="9"/>
        <v>86891981.265799999</v>
      </c>
      <c r="O121" s="98">
        <f t="shared" si="9"/>
        <v>86881681.939220011</v>
      </c>
      <c r="P121" s="98">
        <f t="shared" si="9"/>
        <v>86872412.54529801</v>
      </c>
      <c r="Q121" s="98">
        <f t="shared" si="9"/>
        <v>86864070.090768203</v>
      </c>
    </row>
    <row r="122" spans="1:17" x14ac:dyDescent="0.3">
      <c r="A122" s="346" t="s">
        <v>115</v>
      </c>
      <c r="B122" s="324"/>
      <c r="C122" s="324"/>
      <c r="D122" s="324"/>
      <c r="E122" s="324"/>
      <c r="F122" s="324"/>
      <c r="G122" s="79"/>
      <c r="H122" s="90"/>
      <c r="I122" s="90"/>
      <c r="J122" s="90"/>
      <c r="K122" s="90"/>
      <c r="L122" s="90"/>
      <c r="M122" s="90"/>
      <c r="N122" s="90"/>
      <c r="O122" s="90"/>
      <c r="P122" s="90"/>
      <c r="Q122" s="91"/>
    </row>
    <row r="123" spans="1:17" x14ac:dyDescent="0.3">
      <c r="A123" s="323" t="s">
        <v>116</v>
      </c>
      <c r="B123" s="324"/>
      <c r="C123" s="324"/>
      <c r="D123" s="324"/>
      <c r="E123" s="324"/>
      <c r="F123" s="32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97">
        <f>B40</f>
        <v>1000000</v>
      </c>
    </row>
    <row r="124" spans="1:17" x14ac:dyDescent="0.3">
      <c r="A124" s="321" t="s">
        <v>117</v>
      </c>
      <c r="B124" s="322"/>
      <c r="C124" s="322"/>
      <c r="D124" s="322"/>
      <c r="E124" s="322"/>
      <c r="F124" s="322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89">
        <f>(F92-F98)*F94</f>
        <v>375738.81691379991</v>
      </c>
    </row>
    <row r="125" spans="1:17" x14ac:dyDescent="0.3">
      <c r="A125" s="321" t="s">
        <v>95</v>
      </c>
      <c r="B125" s="322"/>
      <c r="C125" s="322"/>
      <c r="D125" s="322"/>
      <c r="E125" s="322"/>
      <c r="F125" s="322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81">
        <f>F96</f>
        <v>5000000</v>
      </c>
    </row>
    <row r="126" spans="1:17" ht="15" thickBot="1" x14ac:dyDescent="0.35">
      <c r="A126" s="342"/>
      <c r="B126" s="343"/>
      <c r="C126" s="343"/>
      <c r="D126" s="343"/>
      <c r="E126" s="343"/>
      <c r="F126" s="343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2"/>
    </row>
    <row r="127" spans="1:17" ht="15" thickBot="1" x14ac:dyDescent="0.35">
      <c r="A127" s="344" t="s">
        <v>118</v>
      </c>
      <c r="B127" s="345"/>
      <c r="C127" s="345"/>
      <c r="D127" s="345"/>
      <c r="E127" s="345"/>
      <c r="F127" s="345"/>
      <c r="G127" s="98">
        <f>SUM((-G104-G105-G106+G107-G108))</f>
        <v>-10340000</v>
      </c>
      <c r="H127" s="98">
        <f t="shared" ref="H127:P127" si="10">H121</f>
        <v>85982788</v>
      </c>
      <c r="I127" s="98">
        <f t="shared" si="10"/>
        <v>85963408</v>
      </c>
      <c r="J127" s="98">
        <f t="shared" si="10"/>
        <v>85945966</v>
      </c>
      <c r="K127" s="98">
        <f t="shared" si="10"/>
        <v>85930268.200000003</v>
      </c>
      <c r="L127" s="98">
        <f t="shared" si="10"/>
        <v>85916140.180000007</v>
      </c>
      <c r="M127" s="98">
        <f t="shared" si="10"/>
        <v>86903424.961999997</v>
      </c>
      <c r="N127" s="98">
        <f t="shared" si="10"/>
        <v>86891981.265799999</v>
      </c>
      <c r="O127" s="98">
        <f t="shared" si="10"/>
        <v>86881681.939220011</v>
      </c>
      <c r="P127" s="98">
        <f t="shared" si="10"/>
        <v>86872412.54529801</v>
      </c>
      <c r="Q127" s="96">
        <f>Q121+Q123-Q124+Q125</f>
        <v>92488331.273854405</v>
      </c>
    </row>
    <row r="128" spans="1:17" ht="15" thickBot="1" x14ac:dyDescent="0.35">
      <c r="P128" s="113" t="s">
        <v>118</v>
      </c>
      <c r="Q128" s="112">
        <f>SUM(G127:Q127)</f>
        <v>859436402.36617231</v>
      </c>
    </row>
    <row r="130" spans="1:15" ht="15" thickBot="1" x14ac:dyDescent="0.35"/>
    <row r="131" spans="1:15" ht="18.600000000000001" thickBot="1" x14ac:dyDescent="0.4">
      <c r="A131" s="339" t="s">
        <v>157</v>
      </c>
      <c r="B131" s="340"/>
      <c r="C131" s="340"/>
      <c r="D131" s="340"/>
      <c r="E131" s="340"/>
      <c r="F131" s="340"/>
      <c r="G131" s="340"/>
      <c r="H131" s="340"/>
      <c r="I131" s="340"/>
      <c r="J131" s="340"/>
      <c r="K131" s="340"/>
      <c r="L131" s="340"/>
      <c r="M131" s="340"/>
      <c r="N131" s="340"/>
      <c r="O131" s="341"/>
    </row>
    <row r="132" spans="1:15" x14ac:dyDescent="0.3">
      <c r="A132" s="114"/>
      <c r="B132" s="134"/>
      <c r="C132" s="134"/>
      <c r="D132" s="134"/>
      <c r="E132" s="134"/>
      <c r="F132" s="134"/>
      <c r="G132" s="134"/>
      <c r="H132" s="134"/>
      <c r="I132" s="134"/>
      <c r="J132" s="134"/>
      <c r="K132" s="134"/>
      <c r="L132" s="134"/>
      <c r="M132" s="134"/>
      <c r="N132" s="134"/>
      <c r="O132" s="135"/>
    </row>
    <row r="133" spans="1:15" ht="15" thickBot="1" x14ac:dyDescent="0.35">
      <c r="A133" s="136"/>
      <c r="B133" s="137"/>
      <c r="C133" s="137"/>
      <c r="D133" s="137"/>
      <c r="E133" s="137"/>
      <c r="F133" s="137"/>
      <c r="G133" s="137"/>
      <c r="H133" s="137"/>
      <c r="I133" s="137"/>
      <c r="J133" s="137"/>
      <c r="K133" s="137"/>
      <c r="L133" s="137"/>
      <c r="M133" s="137"/>
      <c r="N133" s="137"/>
      <c r="O133" s="138"/>
    </row>
    <row r="134" spans="1:15" ht="16.2" thickBot="1" x14ac:dyDescent="0.35">
      <c r="A134" s="114" t="s">
        <v>128</v>
      </c>
      <c r="B134" s="230" t="s">
        <v>127</v>
      </c>
      <c r="C134" s="298"/>
      <c r="D134" s="364"/>
      <c r="E134" s="137"/>
      <c r="F134" s="355" t="s">
        <v>130</v>
      </c>
      <c r="G134" s="356"/>
      <c r="H134" s="357"/>
      <c r="I134" s="137"/>
      <c r="J134" s="376" t="s">
        <v>136</v>
      </c>
      <c r="K134" s="377"/>
      <c r="L134" s="381" t="s">
        <v>137</v>
      </c>
      <c r="M134" s="382"/>
      <c r="N134" s="382"/>
      <c r="O134" s="383"/>
    </row>
    <row r="135" spans="1:15" ht="15" thickBot="1" x14ac:dyDescent="0.35">
      <c r="A135" s="32"/>
      <c r="B135" s="21"/>
      <c r="C135" s="378" t="s">
        <v>128</v>
      </c>
      <c r="D135" s="137"/>
      <c r="E135" s="137"/>
      <c r="F135" s="117" t="s">
        <v>131</v>
      </c>
      <c r="G135" s="118">
        <v>100000000</v>
      </c>
      <c r="H135" s="119">
        <v>0.13</v>
      </c>
      <c r="I135" s="137"/>
      <c r="J135" s="355" t="s">
        <v>133</v>
      </c>
      <c r="K135" s="358"/>
      <c r="L135" s="121">
        <v>300</v>
      </c>
      <c r="M135" s="87"/>
      <c r="N135" s="87"/>
      <c r="O135" s="88"/>
    </row>
    <row r="136" spans="1:15" ht="15" thickBot="1" x14ac:dyDescent="0.35">
      <c r="A136" s="7" t="s">
        <v>129</v>
      </c>
      <c r="B136" s="22">
        <v>1</v>
      </c>
      <c r="C136" s="379"/>
      <c r="D136" s="137"/>
      <c r="E136" s="137"/>
      <c r="F136" s="117" t="s">
        <v>132</v>
      </c>
      <c r="G136" s="118">
        <v>100000000</v>
      </c>
      <c r="H136" s="120">
        <f>2%+18.42%</f>
        <v>0.20420000000000002</v>
      </c>
      <c r="I136" s="137"/>
      <c r="J136" s="315" t="s">
        <v>134</v>
      </c>
      <c r="K136" s="317"/>
      <c r="L136" s="122">
        <v>20</v>
      </c>
      <c r="M136" s="361" t="s">
        <v>123</v>
      </c>
      <c r="N136" s="362"/>
      <c r="O136" s="124">
        <f>L136/L135+L137</f>
        <v>0.11666666666666667</v>
      </c>
    </row>
    <row r="137" spans="1:15" ht="15" thickBot="1" x14ac:dyDescent="0.35">
      <c r="A137" s="7" t="s">
        <v>124</v>
      </c>
      <c r="B137" s="116">
        <v>0.1</v>
      </c>
      <c r="C137" s="379"/>
      <c r="D137" s="115">
        <f>B138+B136*(B139)</f>
        <v>0.1</v>
      </c>
      <c r="E137" s="137"/>
      <c r="F137" s="117"/>
      <c r="G137" s="118"/>
      <c r="H137" s="81"/>
      <c r="I137" s="137"/>
      <c r="J137" s="294" t="s">
        <v>135</v>
      </c>
      <c r="K137" s="296"/>
      <c r="L137" s="123">
        <v>0.05</v>
      </c>
      <c r="M137" s="137"/>
      <c r="N137" s="137"/>
      <c r="O137" s="138"/>
    </row>
    <row r="138" spans="1:15" x14ac:dyDescent="0.3">
      <c r="A138" s="7" t="s">
        <v>126</v>
      </c>
      <c r="B138" s="116">
        <v>0.05</v>
      </c>
      <c r="C138" s="379"/>
      <c r="D138" s="137"/>
      <c r="E138" s="137"/>
      <c r="F138" s="117"/>
      <c r="G138" s="359">
        <f>((G135*H135)+(G136*H136))/(G135+G136)</f>
        <v>0.16710000000000003</v>
      </c>
      <c r="H138" s="360"/>
      <c r="I138" s="137"/>
      <c r="J138" s="137"/>
      <c r="K138" s="137"/>
      <c r="L138" s="137"/>
      <c r="M138" s="137"/>
      <c r="N138" s="137"/>
      <c r="O138" s="138"/>
    </row>
    <row r="139" spans="1:15" ht="15" thickBot="1" x14ac:dyDescent="0.35">
      <c r="A139" s="23" t="s">
        <v>125</v>
      </c>
      <c r="B139" s="4">
        <v>0.05</v>
      </c>
      <c r="C139" s="380"/>
      <c r="D139" s="137"/>
      <c r="E139" s="137"/>
      <c r="F139" s="137"/>
      <c r="G139" s="137"/>
      <c r="H139" s="137"/>
      <c r="I139" s="137"/>
      <c r="J139" s="137"/>
      <c r="K139" s="137"/>
      <c r="L139" s="137"/>
      <c r="M139" s="137"/>
      <c r="N139" s="137"/>
      <c r="O139" s="138"/>
    </row>
    <row r="140" spans="1:15" x14ac:dyDescent="0.3">
      <c r="A140" s="136"/>
      <c r="B140" s="137"/>
      <c r="C140" s="137"/>
      <c r="D140" s="137"/>
      <c r="E140" s="137"/>
      <c r="F140" s="137"/>
      <c r="G140" s="137"/>
      <c r="H140" s="137"/>
      <c r="I140" s="137"/>
      <c r="J140" s="137"/>
      <c r="K140" s="137"/>
      <c r="L140" s="137"/>
      <c r="M140" s="137"/>
      <c r="N140" s="137"/>
      <c r="O140" s="138"/>
    </row>
    <row r="141" spans="1:15" ht="15" thickBot="1" x14ac:dyDescent="0.35">
      <c r="A141" s="136"/>
      <c r="B141" s="137"/>
      <c r="C141" s="137"/>
      <c r="D141" s="137"/>
      <c r="E141" s="137"/>
      <c r="F141" s="137"/>
      <c r="G141" s="137"/>
      <c r="H141" s="137"/>
      <c r="I141" s="137"/>
      <c r="J141" s="137"/>
      <c r="K141" s="137"/>
      <c r="L141" s="137"/>
      <c r="M141" s="137"/>
      <c r="N141" s="137"/>
      <c r="O141" s="138"/>
    </row>
    <row r="142" spans="1:15" ht="15" thickBot="1" x14ac:dyDescent="0.35">
      <c r="A142" s="125" t="s">
        <v>138</v>
      </c>
      <c r="B142" s="137"/>
      <c r="C142" s="137"/>
      <c r="D142" s="137"/>
      <c r="E142" s="137"/>
      <c r="F142" s="137"/>
      <c r="G142" s="137"/>
      <c r="H142" s="137"/>
      <c r="I142" s="137"/>
      <c r="J142" s="137"/>
      <c r="K142" s="137"/>
      <c r="L142" s="137"/>
      <c r="M142" s="137"/>
      <c r="N142" s="137"/>
      <c r="O142" s="138"/>
    </row>
    <row r="143" spans="1:15" ht="15" thickBot="1" x14ac:dyDescent="0.35">
      <c r="A143" s="126" t="s">
        <v>128</v>
      </c>
      <c r="B143" s="3">
        <f>D137</f>
        <v>0.1</v>
      </c>
      <c r="C143" s="137"/>
      <c r="D143" s="132" t="s">
        <v>142</v>
      </c>
      <c r="E143" s="298" t="s">
        <v>144</v>
      </c>
      <c r="F143" s="298"/>
      <c r="G143" s="298"/>
      <c r="H143" s="298"/>
      <c r="I143" s="298"/>
      <c r="J143" s="364"/>
      <c r="K143" s="137"/>
      <c r="L143" s="252" t="s">
        <v>8</v>
      </c>
      <c r="M143" s="253"/>
      <c r="N143" s="10" t="s">
        <v>9</v>
      </c>
      <c r="O143" s="138"/>
    </row>
    <row r="144" spans="1:15" ht="15" thickBot="1" x14ac:dyDescent="0.35">
      <c r="A144" s="127" t="s">
        <v>130</v>
      </c>
      <c r="B144" s="128">
        <f>G138</f>
        <v>0.16710000000000003</v>
      </c>
      <c r="C144" s="137"/>
      <c r="D144" s="137"/>
      <c r="E144" s="137"/>
      <c r="F144" s="137"/>
      <c r="G144" s="137"/>
      <c r="H144" s="137"/>
      <c r="I144" s="137"/>
      <c r="J144" s="137"/>
      <c r="K144" s="137"/>
      <c r="L144" s="252" t="s">
        <v>10</v>
      </c>
      <c r="M144" s="253"/>
      <c r="N144" s="15">
        <v>0.2</v>
      </c>
      <c r="O144" s="138"/>
    </row>
    <row r="145" spans="1:15" ht="15" thickBot="1" x14ac:dyDescent="0.35">
      <c r="A145" s="127" t="s">
        <v>123</v>
      </c>
      <c r="B145" s="128">
        <f>O136</f>
        <v>0.11666666666666667</v>
      </c>
      <c r="C145" s="137"/>
      <c r="D145" s="137"/>
      <c r="E145" s="133" t="s">
        <v>145</v>
      </c>
      <c r="F145" s="140">
        <f>((B147/B148)*B145)+((B146/B148)*B144)*(1-B149)</f>
        <v>0.116788</v>
      </c>
      <c r="G145" s="137"/>
      <c r="H145" s="137"/>
      <c r="I145" s="137"/>
      <c r="J145" s="137"/>
      <c r="K145" s="137"/>
      <c r="L145" s="250" t="s">
        <v>15</v>
      </c>
      <c r="M145" s="251"/>
      <c r="N145" s="11" t="s">
        <v>16</v>
      </c>
      <c r="O145" s="138"/>
    </row>
    <row r="146" spans="1:15" x14ac:dyDescent="0.3">
      <c r="A146" s="127" t="s">
        <v>139</v>
      </c>
      <c r="B146" s="35">
        <f>E3</f>
        <v>200000000</v>
      </c>
      <c r="C146" s="137"/>
      <c r="D146" s="137"/>
      <c r="E146" s="137"/>
      <c r="F146" s="137"/>
      <c r="G146" s="137"/>
      <c r="H146" s="137"/>
      <c r="I146" s="137"/>
      <c r="J146" s="137"/>
      <c r="K146" s="137"/>
      <c r="L146" s="137"/>
      <c r="M146" s="137"/>
      <c r="N146" s="137"/>
      <c r="O146" s="138"/>
    </row>
    <row r="147" spans="1:15" x14ac:dyDescent="0.3">
      <c r="A147" s="127" t="s">
        <v>140</v>
      </c>
      <c r="B147" s="35">
        <f>E5</f>
        <v>300000000</v>
      </c>
      <c r="C147" s="137"/>
      <c r="D147" s="137"/>
      <c r="E147" s="137"/>
      <c r="F147" s="137"/>
      <c r="G147" s="137"/>
      <c r="H147" s="137"/>
      <c r="I147" s="137"/>
      <c r="J147" s="137"/>
      <c r="K147" s="137"/>
      <c r="L147" s="137"/>
      <c r="M147" s="137"/>
      <c r="N147" s="137"/>
      <c r="O147" s="138"/>
    </row>
    <row r="148" spans="1:15" ht="15" thickBot="1" x14ac:dyDescent="0.35">
      <c r="A148" s="129" t="s">
        <v>141</v>
      </c>
      <c r="B148" s="73">
        <f>SUM(B146:B147)</f>
        <v>500000000</v>
      </c>
      <c r="C148" s="137"/>
      <c r="D148" s="137"/>
      <c r="E148" s="137"/>
      <c r="F148" s="137"/>
      <c r="G148" s="137"/>
      <c r="H148" s="137"/>
      <c r="I148" s="137"/>
      <c r="J148" s="137"/>
      <c r="K148" s="137"/>
      <c r="L148" s="137"/>
      <c r="M148" s="137"/>
      <c r="N148" s="137"/>
      <c r="O148" s="138"/>
    </row>
    <row r="149" spans="1:15" ht="15" thickBot="1" x14ac:dyDescent="0.35">
      <c r="A149" s="130" t="s">
        <v>143</v>
      </c>
      <c r="B149" s="131">
        <v>0.3</v>
      </c>
      <c r="C149" s="137"/>
      <c r="D149" s="137"/>
      <c r="E149" s="137"/>
      <c r="F149" s="137"/>
      <c r="G149" s="137"/>
      <c r="H149" s="137"/>
      <c r="I149" s="137"/>
      <c r="J149" s="137"/>
      <c r="K149" s="137"/>
      <c r="L149" s="137"/>
      <c r="M149" s="137"/>
      <c r="N149" s="137"/>
      <c r="O149" s="138"/>
    </row>
    <row r="150" spans="1:15" x14ac:dyDescent="0.3">
      <c r="A150" s="136"/>
      <c r="B150" s="137"/>
      <c r="C150" s="137"/>
      <c r="D150" s="137"/>
      <c r="E150" s="137"/>
      <c r="F150" s="137"/>
      <c r="G150" s="137"/>
      <c r="H150" s="137"/>
      <c r="I150" s="137"/>
      <c r="J150" s="137"/>
      <c r="K150" s="137"/>
      <c r="L150" s="137"/>
      <c r="M150" s="137"/>
      <c r="N150" s="137"/>
      <c r="O150" s="138"/>
    </row>
    <row r="151" spans="1:15" x14ac:dyDescent="0.3">
      <c r="A151" s="136"/>
      <c r="B151" s="137"/>
      <c r="C151" s="137"/>
      <c r="D151" s="137"/>
      <c r="E151" s="137"/>
      <c r="F151" s="137"/>
      <c r="G151" s="137"/>
      <c r="H151" s="137"/>
      <c r="I151" s="137"/>
      <c r="J151" s="137"/>
      <c r="K151" s="137"/>
      <c r="L151" s="137"/>
      <c r="M151" s="137"/>
      <c r="N151" s="137"/>
      <c r="O151" s="138"/>
    </row>
    <row r="152" spans="1:15" x14ac:dyDescent="0.3">
      <c r="A152" s="136"/>
      <c r="B152" s="137"/>
      <c r="C152" s="137"/>
      <c r="D152" s="137"/>
      <c r="E152" s="137"/>
      <c r="F152" s="137"/>
      <c r="H152" s="137"/>
      <c r="I152" s="137"/>
      <c r="J152" s="137"/>
      <c r="K152" s="137"/>
      <c r="L152" s="137"/>
      <c r="M152" s="137"/>
      <c r="N152" s="137"/>
      <c r="O152" s="138"/>
    </row>
    <row r="153" spans="1:15" ht="15" thickBot="1" x14ac:dyDescent="0.35">
      <c r="A153" s="17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9"/>
    </row>
    <row r="154" spans="1:15" ht="15" thickBot="1" x14ac:dyDescent="0.35"/>
    <row r="155" spans="1:15" x14ac:dyDescent="0.3">
      <c r="A155" s="216" t="s">
        <v>146</v>
      </c>
    </row>
    <row r="156" spans="1:15" ht="15" thickBot="1" x14ac:dyDescent="0.35">
      <c r="A156" s="217"/>
    </row>
    <row r="158" spans="1:15" s="139" customFormat="1" x14ac:dyDescent="0.3">
      <c r="A158" s="375" t="s">
        <v>97</v>
      </c>
      <c r="B158" s="375"/>
      <c r="C158" s="375"/>
      <c r="D158" s="66">
        <v>0</v>
      </c>
      <c r="E158" s="66">
        <v>1</v>
      </c>
      <c r="F158" s="66">
        <v>2</v>
      </c>
      <c r="G158" s="66">
        <v>3</v>
      </c>
      <c r="H158" s="66">
        <v>4</v>
      </c>
      <c r="I158" s="66">
        <v>5</v>
      </c>
      <c r="J158" s="66">
        <v>6</v>
      </c>
      <c r="K158" s="66">
        <v>7</v>
      </c>
      <c r="L158" s="66">
        <v>8</v>
      </c>
      <c r="M158" s="66">
        <v>9</v>
      </c>
      <c r="N158" s="66">
        <v>10</v>
      </c>
    </row>
    <row r="159" spans="1:15" x14ac:dyDescent="0.3">
      <c r="A159" s="322" t="s">
        <v>147</v>
      </c>
      <c r="B159" s="322"/>
      <c r="C159" s="322"/>
      <c r="D159" s="65">
        <f t="shared" ref="D159:N159" si="11">G127</f>
        <v>-10340000</v>
      </c>
      <c r="E159" s="65">
        <f>H127</f>
        <v>85982788</v>
      </c>
      <c r="F159" s="65">
        <f t="shared" si="11"/>
        <v>85963408</v>
      </c>
      <c r="G159" s="65">
        <f t="shared" si="11"/>
        <v>85945966</v>
      </c>
      <c r="H159" s="65">
        <f t="shared" si="11"/>
        <v>85930268.200000003</v>
      </c>
      <c r="I159" s="65">
        <f t="shared" si="11"/>
        <v>85916140.180000007</v>
      </c>
      <c r="J159" s="65">
        <f t="shared" si="11"/>
        <v>86903424.961999997</v>
      </c>
      <c r="K159" s="65">
        <f t="shared" si="11"/>
        <v>86891981.265799999</v>
      </c>
      <c r="L159" s="65">
        <f t="shared" si="11"/>
        <v>86881681.939220011</v>
      </c>
      <c r="M159" s="65">
        <f t="shared" si="11"/>
        <v>86872412.54529801</v>
      </c>
      <c r="N159" s="65">
        <f t="shared" si="11"/>
        <v>92488331.273854405</v>
      </c>
    </row>
    <row r="160" spans="1:15" x14ac:dyDescent="0.3">
      <c r="A160" s="322" t="s">
        <v>148</v>
      </c>
      <c r="B160" s="322"/>
      <c r="C160" s="322"/>
      <c r="D160" s="65">
        <f>D159</f>
        <v>-10340000</v>
      </c>
      <c r="E160" s="65">
        <f>E159/(1+F145)^E158</f>
        <v>76991146.036669448</v>
      </c>
      <c r="F160" s="65">
        <f>F159/(1+F145)^F158</f>
        <v>68924265.570856422</v>
      </c>
      <c r="G160" s="65">
        <f>G159/(1+F145)^G158</f>
        <v>61703994.686292164</v>
      </c>
      <c r="H160" s="65">
        <f>H159/(1+F145)^H158</f>
        <v>55241213.746283151</v>
      </c>
      <c r="I160" s="65">
        <f>I159/(1+F145)^I158</f>
        <v>49456236.451270238</v>
      </c>
      <c r="J160" s="65">
        <f>J159/(1+F145)^J158</f>
        <v>44793238.257640906</v>
      </c>
      <c r="K160" s="65">
        <f>K159/(1+F145)^K158</f>
        <v>40103707.91369354</v>
      </c>
      <c r="L160" s="65">
        <f>L159/(1+F145)^L158</f>
        <v>35905610.027995564</v>
      </c>
      <c r="M160" s="65">
        <f>M159/(1+F145)^M158</f>
        <v>32147354.075903539</v>
      </c>
      <c r="N160" s="65">
        <f>N159/(1+F145)^N158</f>
        <v>30646406.374432743</v>
      </c>
    </row>
    <row r="161" spans="1:14" ht="15" thickBot="1" x14ac:dyDescent="0.35"/>
    <row r="162" spans="1:14" ht="15" thickBot="1" x14ac:dyDescent="0.35">
      <c r="A162" s="141" t="s">
        <v>146</v>
      </c>
      <c r="B162" s="142">
        <f>SUM(D160:N160)</f>
        <v>485573173.14103776</v>
      </c>
    </row>
    <row r="163" spans="1:14" ht="15" thickBot="1" x14ac:dyDescent="0.35"/>
    <row r="164" spans="1:14" x14ac:dyDescent="0.3">
      <c r="A164" s="216" t="s">
        <v>149</v>
      </c>
    </row>
    <row r="165" spans="1:14" ht="15" thickBot="1" x14ac:dyDescent="0.35">
      <c r="A165" s="217"/>
    </row>
    <row r="167" spans="1:14" x14ac:dyDescent="0.3">
      <c r="A167" s="375" t="s">
        <v>97</v>
      </c>
      <c r="B167" s="375"/>
      <c r="C167" s="375"/>
      <c r="D167" s="66">
        <v>0</v>
      </c>
      <c r="E167" s="66">
        <v>1</v>
      </c>
      <c r="F167" s="66">
        <v>2</v>
      </c>
      <c r="G167" s="66">
        <v>3</v>
      </c>
      <c r="H167" s="66">
        <v>4</v>
      </c>
      <c r="I167" s="66">
        <v>5</v>
      </c>
      <c r="J167" s="66">
        <v>6</v>
      </c>
      <c r="K167" s="66">
        <v>7</v>
      </c>
      <c r="L167" s="66">
        <v>8</v>
      </c>
      <c r="M167" s="66">
        <v>9</v>
      </c>
      <c r="N167" s="66">
        <v>10</v>
      </c>
    </row>
    <row r="168" spans="1:14" x14ac:dyDescent="0.3">
      <c r="A168" s="322" t="s">
        <v>147</v>
      </c>
      <c r="B168" s="322"/>
      <c r="C168" s="322"/>
      <c r="D168" s="65">
        <f>D159</f>
        <v>-10340000</v>
      </c>
      <c r="E168" s="65">
        <f>E159</f>
        <v>85982788</v>
      </c>
      <c r="F168" s="65">
        <f t="shared" ref="F168:N168" si="12">F159</f>
        <v>85963408</v>
      </c>
      <c r="G168" s="65">
        <f t="shared" si="12"/>
        <v>85945966</v>
      </c>
      <c r="H168" s="65">
        <f t="shared" si="12"/>
        <v>85930268.200000003</v>
      </c>
      <c r="I168" s="65">
        <f t="shared" si="12"/>
        <v>85916140.180000007</v>
      </c>
      <c r="J168" s="65">
        <f t="shared" si="12"/>
        <v>86903424.961999997</v>
      </c>
      <c r="K168" s="65">
        <f>K159</f>
        <v>86891981.265799999</v>
      </c>
      <c r="L168" s="65">
        <f t="shared" si="12"/>
        <v>86881681.939220011</v>
      </c>
      <c r="M168" s="65">
        <f t="shared" si="12"/>
        <v>86872412.54529801</v>
      </c>
      <c r="N168" s="65">
        <f t="shared" si="12"/>
        <v>92488331.273854405</v>
      </c>
    </row>
    <row r="169" spans="1:14" x14ac:dyDescent="0.3">
      <c r="A169" s="322" t="s">
        <v>148</v>
      </c>
      <c r="B169" s="322"/>
      <c r="C169" s="322"/>
      <c r="D169" s="65">
        <f>D168</f>
        <v>-10340000</v>
      </c>
      <c r="E169" s="65">
        <f>D169+E168</f>
        <v>75642788</v>
      </c>
      <c r="F169" s="65">
        <f>E169+F168</f>
        <v>161606196</v>
      </c>
      <c r="G169" s="65">
        <f>F169+G168</f>
        <v>247552162</v>
      </c>
      <c r="H169" s="65">
        <f>G169+H168</f>
        <v>333482430.19999999</v>
      </c>
      <c r="I169" s="65">
        <f>H169+I168</f>
        <v>419398570.38</v>
      </c>
      <c r="J169" s="65">
        <f t="shared" ref="J169:N169" si="13">I169+J168</f>
        <v>506301995.34200001</v>
      </c>
      <c r="K169" s="65">
        <f t="shared" si="13"/>
        <v>593193976.60780001</v>
      </c>
      <c r="L169" s="65">
        <f t="shared" si="13"/>
        <v>680075658.54701996</v>
      </c>
      <c r="M169" s="65">
        <f t="shared" si="13"/>
        <v>766948071.09231794</v>
      </c>
      <c r="N169" s="65">
        <f t="shared" si="13"/>
        <v>859436402.36617231</v>
      </c>
    </row>
    <row r="171" spans="1:14" ht="15" thickBot="1" x14ac:dyDescent="0.35"/>
    <row r="172" spans="1:14" x14ac:dyDescent="0.3">
      <c r="B172" s="32" t="s">
        <v>150</v>
      </c>
      <c r="C172" s="42">
        <f>D160/E160</f>
        <v>-0.13430115711065335</v>
      </c>
      <c r="D172" s="8" t="s">
        <v>200</v>
      </c>
    </row>
    <row r="173" spans="1:14" ht="15" thickBot="1" x14ac:dyDescent="0.35">
      <c r="B173" s="23" t="s">
        <v>151</v>
      </c>
      <c r="C173" s="215">
        <f>D169/E168</f>
        <v>-0.1202566262447782</v>
      </c>
      <c r="D173" s="8" t="s">
        <v>201</v>
      </c>
    </row>
    <row r="174" spans="1:14" ht="15" thickBot="1" x14ac:dyDescent="0.35">
      <c r="G174" s="220" t="s">
        <v>155</v>
      </c>
      <c r="H174" s="221"/>
      <c r="I174" s="221"/>
      <c r="J174" s="221"/>
      <c r="K174" s="221"/>
      <c r="L174" s="222"/>
    </row>
    <row r="175" spans="1:14" ht="15" thickBot="1" x14ac:dyDescent="0.35">
      <c r="G175" s="150" t="s">
        <v>146</v>
      </c>
      <c r="H175" s="223" t="s">
        <v>156</v>
      </c>
      <c r="I175" s="224"/>
      <c r="J175" s="224"/>
      <c r="K175" s="224"/>
      <c r="L175" s="225"/>
    </row>
    <row r="176" spans="1:14" ht="15" thickBot="1" x14ac:dyDescent="0.35">
      <c r="A176" s="216" t="s">
        <v>152</v>
      </c>
      <c r="G176" s="151" t="s">
        <v>151</v>
      </c>
      <c r="H176" s="223" t="s">
        <v>202</v>
      </c>
      <c r="I176" s="224"/>
      <c r="J176" s="224"/>
      <c r="K176" s="224"/>
      <c r="L176" s="225"/>
    </row>
    <row r="177" spans="1:13" ht="15" thickBot="1" x14ac:dyDescent="0.35">
      <c r="A177" s="217"/>
      <c r="G177" s="151" t="s">
        <v>152</v>
      </c>
      <c r="H177" s="223" t="s">
        <v>203</v>
      </c>
      <c r="I177" s="224"/>
      <c r="J177" s="224"/>
      <c r="K177" s="224"/>
      <c r="L177" s="225"/>
    </row>
    <row r="178" spans="1:13" ht="15" thickBot="1" x14ac:dyDescent="0.35"/>
    <row r="179" spans="1:13" x14ac:dyDescent="0.3">
      <c r="A179" s="144">
        <v>5</v>
      </c>
      <c r="B179" s="145">
        <f>NPV(500%,E168:N168)+D168</f>
        <v>6855823.1258942373</v>
      </c>
      <c r="C179" s="218" t="s">
        <v>153</v>
      </c>
      <c r="D179" s="12" t="s">
        <v>154</v>
      </c>
      <c r="E179" s="146">
        <f>A180+((B180/(B180-B179))*(A179-A180))</f>
        <v>6.5948334751134059</v>
      </c>
    </row>
    <row r="180" spans="1:13" ht="15" thickBot="1" x14ac:dyDescent="0.35">
      <c r="A180" s="147">
        <v>4</v>
      </c>
      <c r="B180" s="148">
        <f>NPV(400%,E168:N168)+D168</f>
        <v>11154593.645121478</v>
      </c>
      <c r="C180" s="219"/>
      <c r="D180" s="14" t="s">
        <v>152</v>
      </c>
      <c r="E180" s="149">
        <f>IRR(D168:N168)</f>
        <v>8.3153287531811468</v>
      </c>
    </row>
    <row r="182" spans="1:13" ht="15" thickBot="1" x14ac:dyDescent="0.35"/>
    <row r="183" spans="1:13" ht="18.600000000000001" thickBot="1" x14ac:dyDescent="0.4">
      <c r="A183" s="372" t="s">
        <v>158</v>
      </c>
      <c r="B183" s="373"/>
      <c r="C183" s="373"/>
      <c r="D183" s="373"/>
      <c r="E183" s="373"/>
      <c r="F183" s="373"/>
      <c r="G183" s="373"/>
      <c r="H183" s="373"/>
      <c r="I183" s="373"/>
      <c r="J183" s="373"/>
      <c r="K183" s="373"/>
      <c r="L183" s="373"/>
      <c r="M183" s="374"/>
    </row>
    <row r="184" spans="1:13" x14ac:dyDescent="0.3">
      <c r="F184" s="197"/>
      <c r="G184" s="197"/>
      <c r="H184" s="197"/>
    </row>
    <row r="185" spans="1:13" ht="16.2" thickBot="1" x14ac:dyDescent="0.35">
      <c r="A185" s="192" t="s">
        <v>170</v>
      </c>
    </row>
    <row r="186" spans="1:13" ht="15" thickBot="1" x14ac:dyDescent="0.35">
      <c r="D186" s="198" t="s">
        <v>195</v>
      </c>
    </row>
    <row r="187" spans="1:13" ht="15" thickBot="1" x14ac:dyDescent="0.35">
      <c r="A187" s="8" t="s">
        <v>182</v>
      </c>
      <c r="D187" s="363" t="s">
        <v>196</v>
      </c>
      <c r="E187" s="298"/>
      <c r="F187" s="364"/>
      <c r="G187" s="197"/>
      <c r="I187">
        <f>E190</f>
        <v>273799810.24667931</v>
      </c>
    </row>
    <row r="188" spans="1:13" x14ac:dyDescent="0.3">
      <c r="A188" s="8" t="s">
        <v>98</v>
      </c>
      <c r="D188" s="203" t="s">
        <v>197</v>
      </c>
      <c r="E188" s="204" t="s">
        <v>185</v>
      </c>
      <c r="F188" s="10" t="s">
        <v>198</v>
      </c>
    </row>
    <row r="189" spans="1:13" x14ac:dyDescent="0.3">
      <c r="A189" s="8" t="s">
        <v>160</v>
      </c>
      <c r="D189" s="205">
        <f>120%*E189</f>
        <v>0.89455136893467069</v>
      </c>
      <c r="E189" s="205">
        <f>(C197/C196)*100%</f>
        <v>0.74545947411222557</v>
      </c>
      <c r="F189" s="205">
        <f>80%*E189</f>
        <v>0.59636757928978046</v>
      </c>
    </row>
    <row r="190" spans="1:13" ht="15" thickBot="1" x14ac:dyDescent="0.35">
      <c r="A190" s="8" t="s">
        <v>199</v>
      </c>
      <c r="E190">
        <f>C197*E189</f>
        <v>273799810.24667931</v>
      </c>
    </row>
    <row r="191" spans="1:13" ht="16.2" thickBot="1" x14ac:dyDescent="0.35">
      <c r="A191" s="371" t="s">
        <v>204</v>
      </c>
      <c r="B191" s="240"/>
      <c r="C191" s="241"/>
    </row>
    <row r="193" spans="1:12" ht="15" thickBot="1" x14ac:dyDescent="0.35"/>
    <row r="194" spans="1:12" x14ac:dyDescent="0.3">
      <c r="A194" s="152" t="s">
        <v>159</v>
      </c>
      <c r="B194" s="153">
        <v>0</v>
      </c>
      <c r="C194" s="153">
        <v>1</v>
      </c>
      <c r="D194" s="153">
        <v>2</v>
      </c>
      <c r="E194" s="153">
        <v>3</v>
      </c>
      <c r="F194" s="153">
        <v>4</v>
      </c>
      <c r="G194" s="153">
        <v>5</v>
      </c>
      <c r="H194" s="153">
        <v>6</v>
      </c>
      <c r="I194" s="153">
        <v>7</v>
      </c>
      <c r="J194" s="153">
        <v>8</v>
      </c>
      <c r="K194" s="153">
        <v>9</v>
      </c>
      <c r="L194" s="154">
        <v>10</v>
      </c>
    </row>
    <row r="195" spans="1:12" x14ac:dyDescent="0.3">
      <c r="A195" s="155" t="s">
        <v>98</v>
      </c>
      <c r="B195" s="156">
        <f>G127</f>
        <v>-10340000</v>
      </c>
      <c r="C195" s="157"/>
      <c r="D195" s="158"/>
      <c r="E195" s="158"/>
      <c r="F195" s="158"/>
      <c r="G195" s="158"/>
      <c r="H195" s="158"/>
      <c r="I195" s="158"/>
      <c r="J195" s="158"/>
      <c r="K195" s="158"/>
      <c r="L195" s="159"/>
    </row>
    <row r="196" spans="1:12" x14ac:dyDescent="0.3">
      <c r="A196" s="155" t="s">
        <v>160</v>
      </c>
      <c r="B196" s="157"/>
      <c r="C196" s="160">
        <f>H111</f>
        <v>492702840</v>
      </c>
      <c r="D196" s="160">
        <f t="shared" ref="D196:L196" si="14">I111</f>
        <v>492702840</v>
      </c>
      <c r="E196" s="160">
        <f t="shared" si="14"/>
        <v>492702840</v>
      </c>
      <c r="F196" s="160">
        <f t="shared" si="14"/>
        <v>492702840</v>
      </c>
      <c r="G196" s="160">
        <f t="shared" si="14"/>
        <v>492702840</v>
      </c>
      <c r="H196" s="160">
        <f t="shared" si="14"/>
        <v>492702840</v>
      </c>
      <c r="I196" s="160">
        <f t="shared" si="14"/>
        <v>492702840</v>
      </c>
      <c r="J196" s="160">
        <f t="shared" si="14"/>
        <v>492702840</v>
      </c>
      <c r="K196" s="160">
        <f t="shared" si="14"/>
        <v>492702840</v>
      </c>
      <c r="L196" s="160">
        <f t="shared" si="14"/>
        <v>492702840</v>
      </c>
    </row>
    <row r="197" spans="1:12" x14ac:dyDescent="0.3">
      <c r="A197" s="155" t="s">
        <v>161</v>
      </c>
      <c r="B197" s="157"/>
      <c r="C197" s="160">
        <f>H112</f>
        <v>367290000</v>
      </c>
      <c r="D197" s="160">
        <f t="shared" ref="D197:L197" si="15">I112</f>
        <v>367290000</v>
      </c>
      <c r="E197" s="160">
        <f t="shared" si="15"/>
        <v>367290000</v>
      </c>
      <c r="F197" s="160">
        <f t="shared" si="15"/>
        <v>367290000</v>
      </c>
      <c r="G197" s="160">
        <f t="shared" si="15"/>
        <v>367290000</v>
      </c>
      <c r="H197" s="160">
        <f t="shared" si="15"/>
        <v>367290000</v>
      </c>
      <c r="I197" s="160">
        <f t="shared" si="15"/>
        <v>367290000</v>
      </c>
      <c r="J197" s="160">
        <f t="shared" si="15"/>
        <v>367290000</v>
      </c>
      <c r="K197" s="160">
        <f t="shared" si="15"/>
        <v>367290000</v>
      </c>
      <c r="L197" s="160">
        <f t="shared" si="15"/>
        <v>367290000</v>
      </c>
    </row>
    <row r="198" spans="1:12" x14ac:dyDescent="0.3">
      <c r="A198" s="155" t="s">
        <v>162</v>
      </c>
      <c r="B198" s="157"/>
      <c r="C198" s="161">
        <f>H114</f>
        <v>646000</v>
      </c>
      <c r="D198" s="161">
        <f t="shared" ref="D198:L198" si="16">I114</f>
        <v>581400</v>
      </c>
      <c r="E198" s="161">
        <f t="shared" si="16"/>
        <v>523260</v>
      </c>
      <c r="F198" s="161">
        <f t="shared" si="16"/>
        <v>470934</v>
      </c>
      <c r="G198" s="161">
        <f t="shared" si="16"/>
        <v>423840.60000000003</v>
      </c>
      <c r="H198" s="161">
        <f t="shared" si="16"/>
        <v>381456.54000000004</v>
      </c>
      <c r="I198" s="161">
        <f t="shared" si="16"/>
        <v>343310.886</v>
      </c>
      <c r="J198" s="161">
        <f t="shared" si="16"/>
        <v>308979.79739999998</v>
      </c>
      <c r="K198" s="161">
        <f t="shared" si="16"/>
        <v>278081.81766</v>
      </c>
      <c r="L198" s="161">
        <f t="shared" si="16"/>
        <v>250273.63589399998</v>
      </c>
    </row>
    <row r="199" spans="1:12" x14ac:dyDescent="0.3">
      <c r="A199" s="163" t="s">
        <v>163</v>
      </c>
      <c r="B199" s="157"/>
      <c r="C199" s="164">
        <f>C196-C197-C198</f>
        <v>124766840</v>
      </c>
      <c r="D199" s="164">
        <f t="shared" ref="D199:K199" si="17">D196-D197-D198</f>
        <v>124831440</v>
      </c>
      <c r="E199" s="164">
        <f>E196-E197-E198</f>
        <v>124889580</v>
      </c>
      <c r="F199" s="164">
        <f t="shared" si="17"/>
        <v>124941906</v>
      </c>
      <c r="G199" s="164">
        <f t="shared" si="17"/>
        <v>124988999.40000001</v>
      </c>
      <c r="H199" s="164">
        <f t="shared" si="17"/>
        <v>125031383.45999999</v>
      </c>
      <c r="I199" s="164">
        <f t="shared" si="17"/>
        <v>125069529.11399999</v>
      </c>
      <c r="J199" s="164">
        <f t="shared" si="17"/>
        <v>125103860.2026</v>
      </c>
      <c r="K199" s="164">
        <f t="shared" si="17"/>
        <v>125134758.18234</v>
      </c>
      <c r="L199" s="165">
        <f>L196-L197-L198</f>
        <v>125162566.364106</v>
      </c>
    </row>
    <row r="200" spans="1:12" x14ac:dyDescent="0.3">
      <c r="A200" s="155" t="s">
        <v>164</v>
      </c>
      <c r="B200" s="157"/>
      <c r="C200" s="161">
        <f>H116</f>
        <v>37430052</v>
      </c>
      <c r="D200" s="161">
        <f t="shared" ref="D200:L200" si="18">I116</f>
        <v>37449432</v>
      </c>
      <c r="E200" s="161">
        <f t="shared" si="18"/>
        <v>37466874</v>
      </c>
      <c r="F200" s="161">
        <f t="shared" si="18"/>
        <v>37482571.799999997</v>
      </c>
      <c r="G200" s="161">
        <f t="shared" si="18"/>
        <v>37496699.82</v>
      </c>
      <c r="H200" s="161">
        <f t="shared" si="18"/>
        <v>37509415.037999995</v>
      </c>
      <c r="I200" s="161">
        <f t="shared" si="18"/>
        <v>37520858.734199993</v>
      </c>
      <c r="J200" s="161">
        <f t="shared" si="18"/>
        <v>37531158.060779996</v>
      </c>
      <c r="K200" s="161">
        <f t="shared" si="18"/>
        <v>37540427.454701997</v>
      </c>
      <c r="L200" s="161">
        <f t="shared" si="18"/>
        <v>37548769.909231797</v>
      </c>
    </row>
    <row r="201" spans="1:12" x14ac:dyDescent="0.3">
      <c r="A201" s="163" t="s">
        <v>165</v>
      </c>
      <c r="B201" s="157"/>
      <c r="C201" s="164">
        <f>C199-C200</f>
        <v>87336788</v>
      </c>
      <c r="D201" s="164">
        <f t="shared" ref="D201:L201" si="19">D199-D200</f>
        <v>87382008</v>
      </c>
      <c r="E201" s="164">
        <f t="shared" si="19"/>
        <v>87422706</v>
      </c>
      <c r="F201" s="164">
        <f t="shared" si="19"/>
        <v>87459334.200000003</v>
      </c>
      <c r="G201" s="164">
        <f t="shared" si="19"/>
        <v>87492299.580000013</v>
      </c>
      <c r="H201" s="164">
        <f t="shared" si="19"/>
        <v>87521968.421999991</v>
      </c>
      <c r="I201" s="164">
        <f t="shared" si="19"/>
        <v>87548670.379799992</v>
      </c>
      <c r="J201" s="164">
        <f t="shared" si="19"/>
        <v>87572702.141820014</v>
      </c>
      <c r="K201" s="164">
        <f t="shared" si="19"/>
        <v>87594330.727638006</v>
      </c>
      <c r="L201" s="165">
        <f t="shared" si="19"/>
        <v>87613796.454874203</v>
      </c>
    </row>
    <row r="202" spans="1:12" x14ac:dyDescent="0.3">
      <c r="A202" s="155" t="s">
        <v>166</v>
      </c>
      <c r="B202" s="157"/>
      <c r="C202" s="161">
        <f>C198</f>
        <v>646000</v>
      </c>
      <c r="D202" s="161">
        <f>D198</f>
        <v>581400</v>
      </c>
      <c r="E202" s="161">
        <f t="shared" ref="E202:L202" si="20">E198</f>
        <v>523260</v>
      </c>
      <c r="F202" s="161">
        <f t="shared" si="20"/>
        <v>470934</v>
      </c>
      <c r="G202" s="161">
        <f t="shared" si="20"/>
        <v>423840.60000000003</v>
      </c>
      <c r="H202" s="161">
        <f t="shared" si="20"/>
        <v>381456.54000000004</v>
      </c>
      <c r="I202" s="161">
        <f t="shared" si="20"/>
        <v>343310.886</v>
      </c>
      <c r="J202" s="161">
        <f t="shared" si="20"/>
        <v>308979.79739999998</v>
      </c>
      <c r="K202" s="161">
        <f t="shared" si="20"/>
        <v>278081.81766</v>
      </c>
      <c r="L202" s="162">
        <f t="shared" si="20"/>
        <v>250273.63589399998</v>
      </c>
    </row>
    <row r="203" spans="1:12" x14ac:dyDescent="0.3">
      <c r="A203" s="166" t="s">
        <v>167</v>
      </c>
      <c r="B203" s="157"/>
      <c r="C203" s="176">
        <f>H119</f>
        <v>2000000</v>
      </c>
      <c r="D203" s="176">
        <f t="shared" ref="D203:L203" si="21">I119</f>
        <v>2000000</v>
      </c>
      <c r="E203" s="176">
        <f t="shared" si="21"/>
        <v>2000000</v>
      </c>
      <c r="F203" s="176">
        <f t="shared" si="21"/>
        <v>2000000</v>
      </c>
      <c r="G203" s="176">
        <f t="shared" si="21"/>
        <v>2000000</v>
      </c>
      <c r="H203" s="176">
        <f t="shared" si="21"/>
        <v>1000000</v>
      </c>
      <c r="I203" s="176">
        <f t="shared" si="21"/>
        <v>1000000</v>
      </c>
      <c r="J203" s="176">
        <f t="shared" si="21"/>
        <v>1000000</v>
      </c>
      <c r="K203" s="176">
        <f t="shared" si="21"/>
        <v>1000000</v>
      </c>
      <c r="L203" s="176">
        <f t="shared" si="21"/>
        <v>1000000</v>
      </c>
    </row>
    <row r="204" spans="1:12" x14ac:dyDescent="0.3">
      <c r="A204" s="166" t="s">
        <v>168</v>
      </c>
      <c r="B204" s="157"/>
      <c r="C204" s="157"/>
      <c r="D204" s="158"/>
      <c r="E204" s="158"/>
      <c r="F204" s="158"/>
      <c r="G204" s="158"/>
      <c r="H204" s="158"/>
      <c r="I204" s="158"/>
      <c r="J204" s="158"/>
      <c r="K204" s="158"/>
      <c r="L204" s="167">
        <f>Q123-Q124+Q125</f>
        <v>5624261.1830861997</v>
      </c>
    </row>
    <row r="205" spans="1:12" x14ac:dyDescent="0.3">
      <c r="A205" s="168" t="s">
        <v>169</v>
      </c>
      <c r="B205" s="169">
        <f>B195</f>
        <v>-10340000</v>
      </c>
      <c r="C205" s="170">
        <f t="shared" ref="C205:K205" si="22">C201+C202-C203</f>
        <v>85982788</v>
      </c>
      <c r="D205" s="170">
        <f t="shared" si="22"/>
        <v>85963408</v>
      </c>
      <c r="E205" s="170">
        <f t="shared" si="22"/>
        <v>85945966</v>
      </c>
      <c r="F205" s="170">
        <f t="shared" si="22"/>
        <v>85930268.200000003</v>
      </c>
      <c r="G205" s="170">
        <f t="shared" si="22"/>
        <v>85916140.180000007</v>
      </c>
      <c r="H205" s="170">
        <f t="shared" si="22"/>
        <v>86903424.961999997</v>
      </c>
      <c r="I205" s="170">
        <f t="shared" si="22"/>
        <v>86891981.265799999</v>
      </c>
      <c r="J205" s="170">
        <f t="shared" si="22"/>
        <v>86881681.939220011</v>
      </c>
      <c r="K205" s="170">
        <f t="shared" si="22"/>
        <v>86872412.54529801</v>
      </c>
      <c r="L205" s="171">
        <f>L201+L202-L203+L204</f>
        <v>92488331.273854405</v>
      </c>
    </row>
    <row r="206" spans="1:12" x14ac:dyDescent="0.3">
      <c r="A206" s="172" t="s">
        <v>118</v>
      </c>
      <c r="B206" s="169">
        <f>B205</f>
        <v>-10340000</v>
      </c>
      <c r="C206" s="38"/>
      <c r="D206" s="38"/>
      <c r="E206" s="38"/>
      <c r="F206" s="38"/>
      <c r="G206" s="38"/>
      <c r="H206" s="38"/>
      <c r="I206" s="38"/>
      <c r="J206" s="38"/>
      <c r="K206" s="38"/>
      <c r="L206" s="173">
        <f>B205:L205</f>
        <v>92488331.273854405</v>
      </c>
    </row>
    <row r="207" spans="1:12" ht="15" thickBot="1" x14ac:dyDescent="0.35">
      <c r="A207" s="174" t="s">
        <v>146</v>
      </c>
      <c r="B207" s="175"/>
      <c r="C207" s="175"/>
      <c r="D207" s="175"/>
      <c r="E207" s="175"/>
      <c r="F207" s="175"/>
      <c r="G207" s="175"/>
      <c r="H207" s="175"/>
      <c r="I207" s="175"/>
      <c r="J207" s="175"/>
      <c r="K207" s="175"/>
      <c r="L207" s="200">
        <f>NPV(F145,C205:L205)+B205</f>
        <v>485573173.14103764</v>
      </c>
    </row>
    <row r="209" spans="1:25" ht="15" thickBot="1" x14ac:dyDescent="0.35"/>
    <row r="210" spans="1:25" ht="15" thickBot="1" x14ac:dyDescent="0.35">
      <c r="A210" s="198" t="s">
        <v>189</v>
      </c>
      <c r="N210" s="236" t="s">
        <v>190</v>
      </c>
      <c r="O210" s="237"/>
    </row>
    <row r="211" spans="1:25" x14ac:dyDescent="0.3">
      <c r="A211" s="152" t="s">
        <v>159</v>
      </c>
      <c r="B211" s="153">
        <v>0</v>
      </c>
      <c r="C211" s="153">
        <v>1</v>
      </c>
      <c r="D211" s="153">
        <v>2</v>
      </c>
      <c r="E211" s="153">
        <v>3</v>
      </c>
      <c r="F211" s="153">
        <v>4</v>
      </c>
      <c r="G211" s="153">
        <v>5</v>
      </c>
      <c r="H211" s="153">
        <v>6</v>
      </c>
      <c r="I211" s="153">
        <v>7</v>
      </c>
      <c r="J211" s="153">
        <v>8</v>
      </c>
      <c r="K211" s="153">
        <v>9</v>
      </c>
      <c r="L211" s="154">
        <v>10</v>
      </c>
      <c r="N211" s="152" t="s">
        <v>159</v>
      </c>
      <c r="O211" s="153">
        <v>0</v>
      </c>
      <c r="P211" s="153">
        <v>1</v>
      </c>
      <c r="Q211" s="153">
        <v>2</v>
      </c>
      <c r="R211" s="153">
        <v>3</v>
      </c>
      <c r="S211" s="153">
        <v>4</v>
      </c>
      <c r="T211" s="153">
        <v>5</v>
      </c>
      <c r="U211" s="153">
        <v>6</v>
      </c>
      <c r="V211" s="153">
        <v>7</v>
      </c>
      <c r="W211" s="153">
        <v>8</v>
      </c>
      <c r="X211" s="153">
        <v>9</v>
      </c>
      <c r="Y211" s="154">
        <v>10</v>
      </c>
    </row>
    <row r="212" spans="1:25" x14ac:dyDescent="0.3">
      <c r="A212" s="155" t="s">
        <v>98</v>
      </c>
      <c r="B212" s="199">
        <f>B195*120%</f>
        <v>-12408000</v>
      </c>
      <c r="C212" s="157"/>
      <c r="D212" s="158"/>
      <c r="E212" s="158"/>
      <c r="F212" s="158"/>
      <c r="G212" s="158"/>
      <c r="H212" s="158"/>
      <c r="I212" s="158"/>
      <c r="J212" s="158"/>
      <c r="K212" s="158"/>
      <c r="L212" s="159"/>
      <c r="N212" s="155" t="s">
        <v>98</v>
      </c>
      <c r="O212" s="199">
        <f>B195*80%</f>
        <v>-8272000</v>
      </c>
      <c r="P212" s="157"/>
      <c r="Q212" s="158"/>
      <c r="R212" s="158"/>
      <c r="S212" s="158"/>
      <c r="T212" s="158"/>
      <c r="U212" s="158"/>
      <c r="V212" s="158"/>
      <c r="W212" s="158"/>
      <c r="X212" s="158"/>
      <c r="Y212" s="159"/>
    </row>
    <row r="213" spans="1:25" x14ac:dyDescent="0.3">
      <c r="A213" s="155" t="s">
        <v>160</v>
      </c>
      <c r="B213" s="157"/>
      <c r="C213" s="160">
        <f>C196</f>
        <v>492702840</v>
      </c>
      <c r="D213" s="160">
        <f t="shared" ref="D213:L213" si="23">D196</f>
        <v>492702840</v>
      </c>
      <c r="E213" s="160">
        <f t="shared" si="23"/>
        <v>492702840</v>
      </c>
      <c r="F213" s="160">
        <f t="shared" si="23"/>
        <v>492702840</v>
      </c>
      <c r="G213" s="160">
        <f t="shared" si="23"/>
        <v>492702840</v>
      </c>
      <c r="H213" s="160">
        <f t="shared" si="23"/>
        <v>492702840</v>
      </c>
      <c r="I213" s="160">
        <f t="shared" si="23"/>
        <v>492702840</v>
      </c>
      <c r="J213" s="160">
        <f t="shared" si="23"/>
        <v>492702840</v>
      </c>
      <c r="K213" s="160">
        <f t="shared" si="23"/>
        <v>492702840</v>
      </c>
      <c r="L213" s="160">
        <f t="shared" si="23"/>
        <v>492702840</v>
      </c>
      <c r="N213" s="155" t="s">
        <v>160</v>
      </c>
      <c r="O213" s="157"/>
      <c r="P213" s="160">
        <f>D196</f>
        <v>492702840</v>
      </c>
      <c r="Q213" s="160">
        <f t="shared" ref="Q213:Y213" si="24">D196</f>
        <v>492702840</v>
      </c>
      <c r="R213" s="160">
        <f t="shared" si="24"/>
        <v>492702840</v>
      </c>
      <c r="S213" s="160">
        <f t="shared" si="24"/>
        <v>492702840</v>
      </c>
      <c r="T213" s="160">
        <f t="shared" si="24"/>
        <v>492702840</v>
      </c>
      <c r="U213" s="160">
        <f t="shared" si="24"/>
        <v>492702840</v>
      </c>
      <c r="V213" s="160">
        <f t="shared" si="24"/>
        <v>492702840</v>
      </c>
      <c r="W213" s="160">
        <f t="shared" si="24"/>
        <v>492702840</v>
      </c>
      <c r="X213" s="160">
        <f t="shared" si="24"/>
        <v>492702840</v>
      </c>
      <c r="Y213" s="160">
        <f t="shared" si="24"/>
        <v>492702840</v>
      </c>
    </row>
    <row r="214" spans="1:25" x14ac:dyDescent="0.3">
      <c r="A214" s="155" t="s">
        <v>161</v>
      </c>
      <c r="B214" s="157"/>
      <c r="C214" s="160">
        <f>C197</f>
        <v>367290000</v>
      </c>
      <c r="D214" s="160">
        <f t="shared" ref="D214:L214" si="25">D197</f>
        <v>367290000</v>
      </c>
      <c r="E214" s="160">
        <f t="shared" si="25"/>
        <v>367290000</v>
      </c>
      <c r="F214" s="160">
        <f t="shared" si="25"/>
        <v>367290000</v>
      </c>
      <c r="G214" s="160">
        <f t="shared" si="25"/>
        <v>367290000</v>
      </c>
      <c r="H214" s="160">
        <f t="shared" si="25"/>
        <v>367290000</v>
      </c>
      <c r="I214" s="160">
        <f t="shared" si="25"/>
        <v>367290000</v>
      </c>
      <c r="J214" s="160">
        <f t="shared" si="25"/>
        <v>367290000</v>
      </c>
      <c r="K214" s="160">
        <f t="shared" si="25"/>
        <v>367290000</v>
      </c>
      <c r="L214" s="160">
        <f t="shared" si="25"/>
        <v>367290000</v>
      </c>
      <c r="N214" s="155" t="s">
        <v>161</v>
      </c>
      <c r="O214" s="157"/>
      <c r="P214" s="160">
        <f>C197</f>
        <v>367290000</v>
      </c>
      <c r="Q214" s="160">
        <f t="shared" ref="Q214:Y214" si="26">D197</f>
        <v>367290000</v>
      </c>
      <c r="R214" s="160">
        <f t="shared" si="26"/>
        <v>367290000</v>
      </c>
      <c r="S214" s="160">
        <f t="shared" si="26"/>
        <v>367290000</v>
      </c>
      <c r="T214" s="160">
        <f t="shared" si="26"/>
        <v>367290000</v>
      </c>
      <c r="U214" s="160">
        <f t="shared" si="26"/>
        <v>367290000</v>
      </c>
      <c r="V214" s="160">
        <f t="shared" si="26"/>
        <v>367290000</v>
      </c>
      <c r="W214" s="160">
        <f t="shared" si="26"/>
        <v>367290000</v>
      </c>
      <c r="X214" s="160">
        <f t="shared" si="26"/>
        <v>367290000</v>
      </c>
      <c r="Y214" s="160">
        <f t="shared" si="26"/>
        <v>367290000</v>
      </c>
    </row>
    <row r="215" spans="1:25" x14ac:dyDescent="0.3">
      <c r="A215" s="155" t="s">
        <v>162</v>
      </c>
      <c r="B215" s="157"/>
      <c r="C215" s="161">
        <f>C198</f>
        <v>646000</v>
      </c>
      <c r="D215" s="161">
        <f t="shared" ref="D215:L215" si="27">D198</f>
        <v>581400</v>
      </c>
      <c r="E215" s="161">
        <f t="shared" si="27"/>
        <v>523260</v>
      </c>
      <c r="F215" s="161">
        <f t="shared" si="27"/>
        <v>470934</v>
      </c>
      <c r="G215" s="161">
        <f t="shared" si="27"/>
        <v>423840.60000000003</v>
      </c>
      <c r="H215" s="161">
        <f t="shared" si="27"/>
        <v>381456.54000000004</v>
      </c>
      <c r="I215" s="161">
        <f t="shared" si="27"/>
        <v>343310.886</v>
      </c>
      <c r="J215" s="161">
        <f t="shared" si="27"/>
        <v>308979.79739999998</v>
      </c>
      <c r="K215" s="161">
        <f t="shared" si="27"/>
        <v>278081.81766</v>
      </c>
      <c r="L215" s="161">
        <f t="shared" si="27"/>
        <v>250273.63589399998</v>
      </c>
      <c r="N215" s="155" t="s">
        <v>162</v>
      </c>
      <c r="O215" s="157"/>
      <c r="P215" s="161">
        <f>C198</f>
        <v>646000</v>
      </c>
      <c r="Q215" s="161">
        <f t="shared" ref="Q215:Y215" si="28">D198</f>
        <v>581400</v>
      </c>
      <c r="R215" s="161">
        <f t="shared" si="28"/>
        <v>523260</v>
      </c>
      <c r="S215" s="161">
        <f t="shared" si="28"/>
        <v>470934</v>
      </c>
      <c r="T215" s="161">
        <f t="shared" si="28"/>
        <v>423840.60000000003</v>
      </c>
      <c r="U215" s="161">
        <f t="shared" si="28"/>
        <v>381456.54000000004</v>
      </c>
      <c r="V215" s="161">
        <f t="shared" si="28"/>
        <v>343310.886</v>
      </c>
      <c r="W215" s="161">
        <f t="shared" si="28"/>
        <v>308979.79739999998</v>
      </c>
      <c r="X215" s="161">
        <f t="shared" si="28"/>
        <v>278081.81766</v>
      </c>
      <c r="Y215" s="161">
        <f t="shared" si="28"/>
        <v>250273.63589399998</v>
      </c>
    </row>
    <row r="216" spans="1:25" x14ac:dyDescent="0.3">
      <c r="A216" s="163" t="s">
        <v>163</v>
      </c>
      <c r="B216" s="157"/>
      <c r="C216" s="164">
        <f>C213-C214-C215</f>
        <v>124766840</v>
      </c>
      <c r="D216" s="164">
        <f t="shared" ref="D216" si="29">D213-D214-D215</f>
        <v>124831440</v>
      </c>
      <c r="E216" s="164">
        <f>E213-E214-E215</f>
        <v>124889580</v>
      </c>
      <c r="F216" s="164">
        <f t="shared" ref="F216:J216" si="30">F213-F214-F215</f>
        <v>124941906</v>
      </c>
      <c r="G216" s="164">
        <f t="shared" si="30"/>
        <v>124988999.40000001</v>
      </c>
      <c r="H216" s="164">
        <f t="shared" si="30"/>
        <v>125031383.45999999</v>
      </c>
      <c r="I216" s="164">
        <f t="shared" si="30"/>
        <v>125069529.11399999</v>
      </c>
      <c r="J216" s="164">
        <f t="shared" si="30"/>
        <v>125103860.2026</v>
      </c>
      <c r="K216" s="164">
        <f>K213-K214-K215</f>
        <v>125134758.18234</v>
      </c>
      <c r="L216" s="165">
        <f>L213-L214-L215</f>
        <v>125162566.364106</v>
      </c>
      <c r="N216" s="163" t="s">
        <v>163</v>
      </c>
      <c r="O216" s="157"/>
      <c r="P216" s="164">
        <f>P213-P214-P215</f>
        <v>124766840</v>
      </c>
      <c r="Q216" s="164">
        <f t="shared" ref="Q216" si="31">Q213-Q214-Q215</f>
        <v>124831440</v>
      </c>
      <c r="R216" s="164">
        <f>R213-R214-R215</f>
        <v>124889580</v>
      </c>
      <c r="S216" s="164">
        <f t="shared" ref="S216:X216" si="32">S213-S214-S215</f>
        <v>124941906</v>
      </c>
      <c r="T216" s="164">
        <f t="shared" si="32"/>
        <v>124988999.40000001</v>
      </c>
      <c r="U216" s="164">
        <f t="shared" si="32"/>
        <v>125031383.45999999</v>
      </c>
      <c r="V216" s="164">
        <f t="shared" si="32"/>
        <v>125069529.11399999</v>
      </c>
      <c r="W216" s="164">
        <f t="shared" si="32"/>
        <v>125103860.2026</v>
      </c>
      <c r="X216" s="164">
        <f t="shared" si="32"/>
        <v>125134758.18234</v>
      </c>
      <c r="Y216" s="165">
        <f>Y213-Y214-Y215</f>
        <v>125162566.364106</v>
      </c>
    </row>
    <row r="217" spans="1:25" x14ac:dyDescent="0.3">
      <c r="A217" s="155" t="s">
        <v>164</v>
      </c>
      <c r="B217" s="157"/>
      <c r="C217" s="161">
        <f>C200</f>
        <v>37430052</v>
      </c>
      <c r="D217" s="161">
        <f t="shared" ref="D217:L217" si="33">D200</f>
        <v>37449432</v>
      </c>
      <c r="E217" s="161">
        <f t="shared" si="33"/>
        <v>37466874</v>
      </c>
      <c r="F217" s="161">
        <f t="shared" si="33"/>
        <v>37482571.799999997</v>
      </c>
      <c r="G217" s="161">
        <f t="shared" si="33"/>
        <v>37496699.82</v>
      </c>
      <c r="H217" s="161">
        <f t="shared" si="33"/>
        <v>37509415.037999995</v>
      </c>
      <c r="I217" s="161">
        <f t="shared" si="33"/>
        <v>37520858.734199993</v>
      </c>
      <c r="J217" s="161">
        <f t="shared" si="33"/>
        <v>37531158.060779996</v>
      </c>
      <c r="K217" s="161">
        <f t="shared" si="33"/>
        <v>37540427.454701997</v>
      </c>
      <c r="L217" s="161">
        <f t="shared" si="33"/>
        <v>37548769.909231797</v>
      </c>
      <c r="N217" s="155" t="s">
        <v>164</v>
      </c>
      <c r="O217" s="157"/>
      <c r="P217" s="161">
        <f>C200</f>
        <v>37430052</v>
      </c>
      <c r="Q217" s="161">
        <f t="shared" ref="Q217:Y217" si="34">D200</f>
        <v>37449432</v>
      </c>
      <c r="R217" s="161">
        <f t="shared" si="34"/>
        <v>37466874</v>
      </c>
      <c r="S217" s="161">
        <f t="shared" si="34"/>
        <v>37482571.799999997</v>
      </c>
      <c r="T217" s="161">
        <f t="shared" si="34"/>
        <v>37496699.82</v>
      </c>
      <c r="U217" s="161">
        <f t="shared" si="34"/>
        <v>37509415.037999995</v>
      </c>
      <c r="V217" s="161">
        <f t="shared" si="34"/>
        <v>37520858.734199993</v>
      </c>
      <c r="W217" s="161">
        <f t="shared" si="34"/>
        <v>37531158.060779996</v>
      </c>
      <c r="X217" s="161">
        <f t="shared" si="34"/>
        <v>37540427.454701997</v>
      </c>
      <c r="Y217" s="161">
        <f t="shared" si="34"/>
        <v>37548769.909231797</v>
      </c>
    </row>
    <row r="218" spans="1:25" x14ac:dyDescent="0.3">
      <c r="A218" s="163" t="s">
        <v>165</v>
      </c>
      <c r="B218" s="157"/>
      <c r="C218" s="164">
        <f>C216-C217</f>
        <v>87336788</v>
      </c>
      <c r="D218" s="164">
        <f t="shared" ref="D218:L218" si="35">D216-D217</f>
        <v>87382008</v>
      </c>
      <c r="E218" s="164">
        <f t="shared" si="35"/>
        <v>87422706</v>
      </c>
      <c r="F218" s="164">
        <f t="shared" si="35"/>
        <v>87459334.200000003</v>
      </c>
      <c r="G218" s="164">
        <f t="shared" si="35"/>
        <v>87492299.580000013</v>
      </c>
      <c r="H218" s="164">
        <f t="shared" si="35"/>
        <v>87521968.421999991</v>
      </c>
      <c r="I218" s="164">
        <f t="shared" si="35"/>
        <v>87548670.379799992</v>
      </c>
      <c r="J218" s="164">
        <f t="shared" si="35"/>
        <v>87572702.141820014</v>
      </c>
      <c r="K218" s="164">
        <f>K216-K217</f>
        <v>87594330.727638006</v>
      </c>
      <c r="L218" s="165">
        <f t="shared" si="35"/>
        <v>87613796.454874203</v>
      </c>
      <c r="N218" s="163" t="s">
        <v>165</v>
      </c>
      <c r="O218" s="157"/>
      <c r="P218" s="164">
        <f>P216-P217</f>
        <v>87336788</v>
      </c>
      <c r="Q218" s="164">
        <f t="shared" ref="Q218:Y218" si="36">Q216-Q217</f>
        <v>87382008</v>
      </c>
      <c r="R218" s="164">
        <f t="shared" si="36"/>
        <v>87422706</v>
      </c>
      <c r="S218" s="164">
        <f t="shared" si="36"/>
        <v>87459334.200000003</v>
      </c>
      <c r="T218" s="164">
        <f t="shared" si="36"/>
        <v>87492299.580000013</v>
      </c>
      <c r="U218" s="164">
        <f t="shared" si="36"/>
        <v>87521968.421999991</v>
      </c>
      <c r="V218" s="164">
        <f t="shared" si="36"/>
        <v>87548670.379799992</v>
      </c>
      <c r="W218" s="164">
        <f t="shared" si="36"/>
        <v>87572702.141820014</v>
      </c>
      <c r="X218" s="177">
        <f>X216-X217</f>
        <v>87594330.727638006</v>
      </c>
      <c r="Y218" s="165">
        <f t="shared" si="36"/>
        <v>87613796.454874203</v>
      </c>
    </row>
    <row r="219" spans="1:25" x14ac:dyDescent="0.3">
      <c r="A219" s="155" t="s">
        <v>166</v>
      </c>
      <c r="B219" s="157"/>
      <c r="C219" s="161">
        <f>C215</f>
        <v>646000</v>
      </c>
      <c r="D219" s="161">
        <f t="shared" ref="D219:L219" si="37">D215</f>
        <v>581400</v>
      </c>
      <c r="E219" s="161">
        <f t="shared" si="37"/>
        <v>523260</v>
      </c>
      <c r="F219" s="161">
        <f t="shared" si="37"/>
        <v>470934</v>
      </c>
      <c r="G219" s="161">
        <f t="shared" si="37"/>
        <v>423840.60000000003</v>
      </c>
      <c r="H219" s="161">
        <f t="shared" si="37"/>
        <v>381456.54000000004</v>
      </c>
      <c r="I219" s="161">
        <f t="shared" si="37"/>
        <v>343310.886</v>
      </c>
      <c r="J219" s="161">
        <f t="shared" si="37"/>
        <v>308979.79739999998</v>
      </c>
      <c r="K219" s="161">
        <f t="shared" si="37"/>
        <v>278081.81766</v>
      </c>
      <c r="L219" s="161">
        <f t="shared" si="37"/>
        <v>250273.63589399998</v>
      </c>
      <c r="N219" s="155" t="s">
        <v>166</v>
      </c>
      <c r="O219" s="157"/>
      <c r="P219" s="161">
        <f>C202</f>
        <v>646000</v>
      </c>
      <c r="Q219" s="161">
        <f t="shared" ref="Q219:Y219" si="38">D202</f>
        <v>581400</v>
      </c>
      <c r="R219" s="161">
        <f t="shared" si="38"/>
        <v>523260</v>
      </c>
      <c r="S219" s="161">
        <f t="shared" si="38"/>
        <v>470934</v>
      </c>
      <c r="T219" s="161">
        <f t="shared" si="38"/>
        <v>423840.60000000003</v>
      </c>
      <c r="U219" s="161">
        <f t="shared" si="38"/>
        <v>381456.54000000004</v>
      </c>
      <c r="V219" s="161">
        <f t="shared" si="38"/>
        <v>343310.886</v>
      </c>
      <c r="W219" s="161">
        <f t="shared" si="38"/>
        <v>308979.79739999998</v>
      </c>
      <c r="X219" s="161">
        <f t="shared" si="38"/>
        <v>278081.81766</v>
      </c>
      <c r="Y219" s="161">
        <f t="shared" si="38"/>
        <v>250273.63589399998</v>
      </c>
    </row>
    <row r="220" spans="1:25" x14ac:dyDescent="0.3">
      <c r="A220" s="166" t="s">
        <v>167</v>
      </c>
      <c r="B220" s="157"/>
      <c r="C220" s="176">
        <f>C203</f>
        <v>2000000</v>
      </c>
      <c r="D220" s="176">
        <f t="shared" ref="D220:L220" si="39">D203</f>
        <v>2000000</v>
      </c>
      <c r="E220" s="176">
        <f t="shared" si="39"/>
        <v>2000000</v>
      </c>
      <c r="F220" s="176">
        <f t="shared" si="39"/>
        <v>2000000</v>
      </c>
      <c r="G220" s="176">
        <f t="shared" si="39"/>
        <v>2000000</v>
      </c>
      <c r="H220" s="176">
        <f t="shared" si="39"/>
        <v>1000000</v>
      </c>
      <c r="I220" s="176">
        <f t="shared" si="39"/>
        <v>1000000</v>
      </c>
      <c r="J220" s="176">
        <f t="shared" si="39"/>
        <v>1000000</v>
      </c>
      <c r="K220" s="176">
        <f t="shared" si="39"/>
        <v>1000000</v>
      </c>
      <c r="L220" s="176">
        <f t="shared" si="39"/>
        <v>1000000</v>
      </c>
      <c r="N220" s="166" t="s">
        <v>167</v>
      </c>
      <c r="O220" s="157"/>
      <c r="P220" s="176">
        <f>C203</f>
        <v>2000000</v>
      </c>
      <c r="Q220" s="176">
        <f t="shared" ref="Q220:Y220" si="40">D203</f>
        <v>2000000</v>
      </c>
      <c r="R220" s="176">
        <f t="shared" si="40"/>
        <v>2000000</v>
      </c>
      <c r="S220" s="176">
        <f t="shared" si="40"/>
        <v>2000000</v>
      </c>
      <c r="T220" s="176">
        <f t="shared" si="40"/>
        <v>2000000</v>
      </c>
      <c r="U220" s="176">
        <f t="shared" si="40"/>
        <v>1000000</v>
      </c>
      <c r="V220" s="176">
        <f t="shared" si="40"/>
        <v>1000000</v>
      </c>
      <c r="W220" s="176">
        <f t="shared" si="40"/>
        <v>1000000</v>
      </c>
      <c r="X220" s="176">
        <f t="shared" si="40"/>
        <v>1000000</v>
      </c>
      <c r="Y220" s="176">
        <f t="shared" si="40"/>
        <v>1000000</v>
      </c>
    </row>
    <row r="221" spans="1:25" x14ac:dyDescent="0.3">
      <c r="A221" s="166" t="s">
        <v>168</v>
      </c>
      <c r="B221" s="157"/>
      <c r="C221" s="157"/>
      <c r="D221" s="158"/>
      <c r="E221" s="158"/>
      <c r="F221" s="158"/>
      <c r="G221" s="158"/>
      <c r="H221" s="158"/>
      <c r="I221" s="158"/>
      <c r="J221" s="158"/>
      <c r="K221" s="158"/>
      <c r="L221" s="167">
        <f>L204</f>
        <v>5624261.1830861997</v>
      </c>
      <c r="N221" s="166" t="s">
        <v>168</v>
      </c>
      <c r="O221" s="157"/>
      <c r="P221" s="157"/>
      <c r="Q221" s="158"/>
      <c r="R221" s="158"/>
      <c r="S221" s="158"/>
      <c r="T221" s="158"/>
      <c r="U221" s="158"/>
      <c r="V221" s="158"/>
      <c r="W221" s="158"/>
      <c r="X221" s="158"/>
      <c r="Y221" s="167">
        <f>L204</f>
        <v>5624261.1830861997</v>
      </c>
    </row>
    <row r="222" spans="1:25" x14ac:dyDescent="0.3">
      <c r="A222" s="168" t="s">
        <v>169</v>
      </c>
      <c r="B222" s="169">
        <f>B212</f>
        <v>-12408000</v>
      </c>
      <c r="C222" s="170">
        <f t="shared" ref="C222:J222" si="41">C218+C219-C220</f>
        <v>85982788</v>
      </c>
      <c r="D222" s="170">
        <f t="shared" si="41"/>
        <v>85963408</v>
      </c>
      <c r="E222" s="170">
        <f t="shared" si="41"/>
        <v>85945966</v>
      </c>
      <c r="F222" s="170">
        <f t="shared" si="41"/>
        <v>85930268.200000003</v>
      </c>
      <c r="G222" s="170">
        <f t="shared" si="41"/>
        <v>85916140.180000007</v>
      </c>
      <c r="H222" s="170">
        <f t="shared" si="41"/>
        <v>86903424.961999997</v>
      </c>
      <c r="I222" s="170">
        <f t="shared" si="41"/>
        <v>86891981.265799999</v>
      </c>
      <c r="J222" s="170">
        <f t="shared" si="41"/>
        <v>86881681.939220011</v>
      </c>
      <c r="K222" s="170">
        <f>K218+K219-K220</f>
        <v>86872412.54529801</v>
      </c>
      <c r="L222" s="171">
        <f>L218+L219-L220+L221</f>
        <v>92488331.273854405</v>
      </c>
      <c r="N222" s="168" t="s">
        <v>169</v>
      </c>
      <c r="O222" s="169">
        <f>O212</f>
        <v>-8272000</v>
      </c>
      <c r="P222" s="170">
        <f>P218+P219-P220</f>
        <v>85982788</v>
      </c>
      <c r="Q222" s="170">
        <f t="shared" ref="Q222:X222" si="42">Q218+Q219-Q220</f>
        <v>85963408</v>
      </c>
      <c r="R222" s="170">
        <f t="shared" si="42"/>
        <v>85945966</v>
      </c>
      <c r="S222" s="170">
        <f t="shared" si="42"/>
        <v>85930268.200000003</v>
      </c>
      <c r="T222" s="170">
        <f t="shared" si="42"/>
        <v>85916140.180000007</v>
      </c>
      <c r="U222" s="170">
        <f t="shared" si="42"/>
        <v>86903424.961999997</v>
      </c>
      <c r="V222" s="170">
        <f t="shared" si="42"/>
        <v>86891981.265799999</v>
      </c>
      <c r="W222" s="170">
        <f t="shared" si="42"/>
        <v>86881681.939220011</v>
      </c>
      <c r="X222" s="170">
        <f t="shared" si="42"/>
        <v>86872412.54529801</v>
      </c>
      <c r="Y222" s="171">
        <f>Y218+Y219-Y220+Y221</f>
        <v>92488331.273854405</v>
      </c>
    </row>
    <row r="223" spans="1:25" x14ac:dyDescent="0.3">
      <c r="A223" s="172" t="s">
        <v>118</v>
      </c>
      <c r="B223" s="169">
        <f>B222</f>
        <v>-12408000</v>
      </c>
      <c r="C223" s="38"/>
      <c r="D223" s="38"/>
      <c r="E223" s="38"/>
      <c r="F223" s="38"/>
      <c r="G223" s="38"/>
      <c r="H223" s="38"/>
      <c r="I223" s="38"/>
      <c r="J223" s="38"/>
      <c r="K223" s="38"/>
      <c r="L223" s="173">
        <f>B222:L222</f>
        <v>92488331.273854405</v>
      </c>
      <c r="N223" s="172" t="s">
        <v>118</v>
      </c>
      <c r="O223" s="169">
        <f>O222</f>
        <v>-8272000</v>
      </c>
      <c r="P223" s="38"/>
      <c r="Q223" s="38"/>
      <c r="R223" s="38"/>
      <c r="S223" s="38"/>
      <c r="T223" s="38"/>
      <c r="U223" s="38"/>
      <c r="V223" s="38"/>
      <c r="W223" s="38"/>
      <c r="X223" s="38"/>
      <c r="Y223" s="173">
        <f>O222:Y222</f>
        <v>92488331.273854405</v>
      </c>
    </row>
    <row r="224" spans="1:25" ht="15" thickBot="1" x14ac:dyDescent="0.35">
      <c r="A224" s="174" t="s">
        <v>146</v>
      </c>
      <c r="B224" s="175"/>
      <c r="C224" s="175"/>
      <c r="D224" s="175"/>
      <c r="E224" s="175"/>
      <c r="F224" s="175"/>
      <c r="G224" s="175"/>
      <c r="H224" s="175"/>
      <c r="I224" s="175"/>
      <c r="J224" s="175"/>
      <c r="K224" s="175"/>
      <c r="L224" s="201">
        <f>NPV(F145,C222:L222)+B222</f>
        <v>483505173.14103764</v>
      </c>
      <c r="N224" s="174" t="s">
        <v>146</v>
      </c>
      <c r="O224" s="175"/>
      <c r="P224" s="175"/>
      <c r="Q224" s="175"/>
      <c r="R224" s="175"/>
      <c r="S224" s="175"/>
      <c r="T224" s="175"/>
      <c r="U224" s="175"/>
      <c r="V224" s="175"/>
      <c r="W224" s="175"/>
      <c r="X224" s="175"/>
      <c r="Y224" s="201">
        <f>NPV(F145,P222:Y222)+O222</f>
        <v>487641173.14103764</v>
      </c>
    </row>
    <row r="226" spans="1:25" ht="15" thickBot="1" x14ac:dyDescent="0.35"/>
    <row r="227" spans="1:25" ht="15" thickBot="1" x14ac:dyDescent="0.35">
      <c r="A227" s="198" t="s">
        <v>191</v>
      </c>
      <c r="N227" s="198" t="s">
        <v>192</v>
      </c>
    </row>
    <row r="228" spans="1:25" x14ac:dyDescent="0.3">
      <c r="A228" s="152" t="s">
        <v>159</v>
      </c>
      <c r="B228" s="153">
        <v>0</v>
      </c>
      <c r="C228" s="153">
        <v>1</v>
      </c>
      <c r="D228" s="153">
        <v>2</v>
      </c>
      <c r="E228" s="153">
        <v>3</v>
      </c>
      <c r="F228" s="153">
        <v>4</v>
      </c>
      <c r="G228" s="153">
        <v>5</v>
      </c>
      <c r="H228" s="153">
        <v>6</v>
      </c>
      <c r="I228" s="153">
        <v>7</v>
      </c>
      <c r="J228" s="153">
        <v>8</v>
      </c>
      <c r="K228" s="153">
        <v>9</v>
      </c>
      <c r="L228" s="154">
        <v>10</v>
      </c>
      <c r="N228" s="152" t="s">
        <v>159</v>
      </c>
      <c r="O228" s="153">
        <v>0</v>
      </c>
      <c r="P228" s="153">
        <v>1</v>
      </c>
      <c r="Q228" s="153">
        <v>2</v>
      </c>
      <c r="R228" s="153">
        <v>3</v>
      </c>
      <c r="S228" s="153">
        <v>4</v>
      </c>
      <c r="T228" s="153">
        <v>5</v>
      </c>
      <c r="U228" s="153">
        <v>6</v>
      </c>
      <c r="V228" s="153">
        <v>7</v>
      </c>
      <c r="W228" s="153">
        <v>8</v>
      </c>
      <c r="X228" s="153">
        <v>9</v>
      </c>
      <c r="Y228" s="154">
        <v>10</v>
      </c>
    </row>
    <row r="229" spans="1:25" x14ac:dyDescent="0.3">
      <c r="A229" s="155" t="s">
        <v>98</v>
      </c>
      <c r="B229" s="156">
        <f>B195</f>
        <v>-10340000</v>
      </c>
      <c r="C229" s="157"/>
      <c r="D229" s="158"/>
      <c r="E229" s="158"/>
      <c r="F229" s="158"/>
      <c r="G229" s="158"/>
      <c r="H229" s="158"/>
      <c r="I229" s="158"/>
      <c r="J229" s="158"/>
      <c r="K229" s="158"/>
      <c r="L229" s="159"/>
      <c r="N229" s="155" t="s">
        <v>98</v>
      </c>
      <c r="O229" s="156">
        <f>B195</f>
        <v>-10340000</v>
      </c>
      <c r="P229" s="157"/>
      <c r="Q229" s="158"/>
      <c r="R229" s="158"/>
      <c r="S229" s="158"/>
      <c r="T229" s="158"/>
      <c r="U229" s="158"/>
      <c r="V229" s="158"/>
      <c r="W229" s="158"/>
      <c r="X229" s="158"/>
      <c r="Y229" s="159"/>
    </row>
    <row r="230" spans="1:25" x14ac:dyDescent="0.3">
      <c r="A230" s="155" t="s">
        <v>160</v>
      </c>
      <c r="B230" s="157"/>
      <c r="C230" s="202">
        <f>C196*80%</f>
        <v>394162272</v>
      </c>
      <c r="D230" s="202">
        <f t="shared" ref="D230:L230" si="43">D196*80%</f>
        <v>394162272</v>
      </c>
      <c r="E230" s="202">
        <f t="shared" si="43"/>
        <v>394162272</v>
      </c>
      <c r="F230" s="202">
        <f t="shared" si="43"/>
        <v>394162272</v>
      </c>
      <c r="G230" s="202">
        <f t="shared" si="43"/>
        <v>394162272</v>
      </c>
      <c r="H230" s="202">
        <f t="shared" si="43"/>
        <v>394162272</v>
      </c>
      <c r="I230" s="202">
        <f t="shared" si="43"/>
        <v>394162272</v>
      </c>
      <c r="J230" s="202">
        <f t="shared" si="43"/>
        <v>394162272</v>
      </c>
      <c r="K230" s="202">
        <f t="shared" si="43"/>
        <v>394162272</v>
      </c>
      <c r="L230" s="202">
        <f t="shared" si="43"/>
        <v>394162272</v>
      </c>
      <c r="N230" s="155" t="s">
        <v>160</v>
      </c>
      <c r="O230" s="157"/>
      <c r="P230" s="202">
        <f>C196*120%</f>
        <v>591243408</v>
      </c>
      <c r="Q230" s="202">
        <f t="shared" ref="Q230:Y230" si="44">D196*120%</f>
        <v>591243408</v>
      </c>
      <c r="R230" s="202">
        <f t="shared" si="44"/>
        <v>591243408</v>
      </c>
      <c r="S230" s="202">
        <f t="shared" si="44"/>
        <v>591243408</v>
      </c>
      <c r="T230" s="202">
        <f t="shared" si="44"/>
        <v>591243408</v>
      </c>
      <c r="U230" s="202">
        <f t="shared" si="44"/>
        <v>591243408</v>
      </c>
      <c r="V230" s="202">
        <f t="shared" si="44"/>
        <v>591243408</v>
      </c>
      <c r="W230" s="202">
        <f t="shared" si="44"/>
        <v>591243408</v>
      </c>
      <c r="X230" s="202">
        <f t="shared" si="44"/>
        <v>591243408</v>
      </c>
      <c r="Y230" s="202">
        <f t="shared" si="44"/>
        <v>591243408</v>
      </c>
    </row>
    <row r="231" spans="1:25" x14ac:dyDescent="0.3">
      <c r="A231" s="155" t="s">
        <v>161</v>
      </c>
      <c r="B231" s="157"/>
      <c r="C231" s="206">
        <f>C230*E189</f>
        <v>293832000</v>
      </c>
      <c r="D231" s="206">
        <f>D230*E189</f>
        <v>293832000</v>
      </c>
      <c r="E231" s="206">
        <f>E230*E189</f>
        <v>293832000</v>
      </c>
      <c r="F231" s="206">
        <f>F230*E189</f>
        <v>293832000</v>
      </c>
      <c r="G231" s="206">
        <f>G230*E189</f>
        <v>293832000</v>
      </c>
      <c r="H231" s="206">
        <f>H230*E189</f>
        <v>293832000</v>
      </c>
      <c r="I231" s="206">
        <f>I230*E189</f>
        <v>293832000</v>
      </c>
      <c r="J231" s="206">
        <f>J230*E189</f>
        <v>293832000</v>
      </c>
      <c r="K231" s="206">
        <f>K230*E189</f>
        <v>293832000</v>
      </c>
      <c r="L231" s="206">
        <f>L230*E189</f>
        <v>293832000</v>
      </c>
      <c r="N231" s="155" t="s">
        <v>161</v>
      </c>
      <c r="O231" s="157"/>
      <c r="P231" s="206">
        <f>P230*E189</f>
        <v>440748000</v>
      </c>
      <c r="Q231" s="206">
        <f>Q230*E189</f>
        <v>440748000</v>
      </c>
      <c r="R231" s="206">
        <f>R230*E189</f>
        <v>440748000</v>
      </c>
      <c r="S231" s="206">
        <f>S230*E189</f>
        <v>440748000</v>
      </c>
      <c r="T231" s="206">
        <f>T230*E189</f>
        <v>440748000</v>
      </c>
      <c r="U231" s="206">
        <f>U230*E189</f>
        <v>440748000</v>
      </c>
      <c r="V231" s="206">
        <f>V230*E189</f>
        <v>440748000</v>
      </c>
      <c r="W231" s="206">
        <f>W230*E189</f>
        <v>440748000</v>
      </c>
      <c r="X231" s="206">
        <f>X230*E189</f>
        <v>440748000</v>
      </c>
      <c r="Y231" s="206">
        <f>Y230*E189</f>
        <v>440748000</v>
      </c>
    </row>
    <row r="232" spans="1:25" x14ac:dyDescent="0.3">
      <c r="A232" s="155" t="s">
        <v>162</v>
      </c>
      <c r="B232" s="157"/>
      <c r="C232" s="161">
        <f>C215</f>
        <v>646000</v>
      </c>
      <c r="D232" s="161">
        <f t="shared" ref="D232:L232" si="45">D215</f>
        <v>581400</v>
      </c>
      <c r="E232" s="161">
        <f t="shared" si="45"/>
        <v>523260</v>
      </c>
      <c r="F232" s="161">
        <f t="shared" si="45"/>
        <v>470934</v>
      </c>
      <c r="G232" s="161">
        <f t="shared" si="45"/>
        <v>423840.60000000003</v>
      </c>
      <c r="H232" s="161">
        <f t="shared" si="45"/>
        <v>381456.54000000004</v>
      </c>
      <c r="I232" s="161">
        <f t="shared" si="45"/>
        <v>343310.886</v>
      </c>
      <c r="J232" s="161">
        <f t="shared" si="45"/>
        <v>308979.79739999998</v>
      </c>
      <c r="K232" s="161">
        <f t="shared" si="45"/>
        <v>278081.81766</v>
      </c>
      <c r="L232" s="161">
        <f t="shared" si="45"/>
        <v>250273.63589399998</v>
      </c>
      <c r="N232" s="155" t="s">
        <v>162</v>
      </c>
      <c r="O232" s="157"/>
      <c r="P232" s="161">
        <f>C198</f>
        <v>646000</v>
      </c>
      <c r="Q232" s="161">
        <f t="shared" ref="Q232:Y232" si="46">D198</f>
        <v>581400</v>
      </c>
      <c r="R232" s="161">
        <f t="shared" si="46"/>
        <v>523260</v>
      </c>
      <c r="S232" s="161">
        <f t="shared" si="46"/>
        <v>470934</v>
      </c>
      <c r="T232" s="161">
        <f t="shared" si="46"/>
        <v>423840.60000000003</v>
      </c>
      <c r="U232" s="161">
        <f t="shared" si="46"/>
        <v>381456.54000000004</v>
      </c>
      <c r="V232" s="161">
        <f t="shared" si="46"/>
        <v>343310.886</v>
      </c>
      <c r="W232" s="161">
        <f t="shared" si="46"/>
        <v>308979.79739999998</v>
      </c>
      <c r="X232" s="161">
        <f t="shared" si="46"/>
        <v>278081.81766</v>
      </c>
      <c r="Y232" s="161">
        <f t="shared" si="46"/>
        <v>250273.63589399998</v>
      </c>
    </row>
    <row r="233" spans="1:25" x14ac:dyDescent="0.3">
      <c r="A233" s="163" t="s">
        <v>163</v>
      </c>
      <c r="B233" s="157"/>
      <c r="C233" s="164">
        <f>C230-C231-C232</f>
        <v>99684272</v>
      </c>
      <c r="D233" s="164">
        <f t="shared" ref="D233" si="47">D230-D231-D232</f>
        <v>99748872</v>
      </c>
      <c r="E233" s="164">
        <f>E230-E231-E232</f>
        <v>99807012</v>
      </c>
      <c r="F233" s="164">
        <f t="shared" ref="F233:K233" si="48">F230-F231-F232</f>
        <v>99859338</v>
      </c>
      <c r="G233" s="164">
        <f t="shared" si="48"/>
        <v>99906431.400000006</v>
      </c>
      <c r="H233" s="164">
        <f t="shared" si="48"/>
        <v>99948815.459999993</v>
      </c>
      <c r="I233" s="164">
        <f t="shared" si="48"/>
        <v>99986961.113999993</v>
      </c>
      <c r="J233" s="164">
        <f t="shared" si="48"/>
        <v>100021292.2026</v>
      </c>
      <c r="K233" s="164">
        <f t="shared" si="48"/>
        <v>100052190.18234</v>
      </c>
      <c r="L233" s="165">
        <f>L230-L231-L232</f>
        <v>100079998.364106</v>
      </c>
      <c r="N233" s="163" t="s">
        <v>163</v>
      </c>
      <c r="O233" s="157"/>
      <c r="P233" s="164">
        <f>P230-P231-P232</f>
        <v>149849408</v>
      </c>
      <c r="Q233" s="164">
        <f t="shared" ref="Q233" si="49">Q230-Q231-Q232</f>
        <v>149914008</v>
      </c>
      <c r="R233" s="164">
        <f>R230-R231-R232</f>
        <v>149972148</v>
      </c>
      <c r="S233" s="164">
        <f t="shared" ref="S233:X233" si="50">S230-S231-S232</f>
        <v>150024474</v>
      </c>
      <c r="T233" s="164">
        <f t="shared" si="50"/>
        <v>150071567.40000001</v>
      </c>
      <c r="U233" s="164">
        <f t="shared" si="50"/>
        <v>150113951.46000001</v>
      </c>
      <c r="V233" s="164">
        <f t="shared" si="50"/>
        <v>150152097.11399999</v>
      </c>
      <c r="W233" s="164">
        <f t="shared" si="50"/>
        <v>150186428.2026</v>
      </c>
      <c r="X233" s="164">
        <f t="shared" si="50"/>
        <v>150217326.18234</v>
      </c>
      <c r="Y233" s="165">
        <f>Y230-Y231-Y232</f>
        <v>150245134.364106</v>
      </c>
    </row>
    <row r="234" spans="1:25" x14ac:dyDescent="0.3">
      <c r="A234" s="155" t="s">
        <v>164</v>
      </c>
      <c r="B234" s="157"/>
      <c r="C234" s="161">
        <f>C217</f>
        <v>37430052</v>
      </c>
      <c r="D234" s="161">
        <f t="shared" ref="D234:L234" si="51">D217</f>
        <v>37449432</v>
      </c>
      <c r="E234" s="161">
        <f t="shared" si="51"/>
        <v>37466874</v>
      </c>
      <c r="F234" s="161">
        <f t="shared" si="51"/>
        <v>37482571.799999997</v>
      </c>
      <c r="G234" s="161">
        <f t="shared" si="51"/>
        <v>37496699.82</v>
      </c>
      <c r="H234" s="161">
        <f t="shared" si="51"/>
        <v>37509415.037999995</v>
      </c>
      <c r="I234" s="161">
        <f t="shared" si="51"/>
        <v>37520858.734199993</v>
      </c>
      <c r="J234" s="161">
        <f t="shared" si="51"/>
        <v>37531158.060779996</v>
      </c>
      <c r="K234" s="161">
        <f t="shared" si="51"/>
        <v>37540427.454701997</v>
      </c>
      <c r="L234" s="161">
        <f t="shared" si="51"/>
        <v>37548769.909231797</v>
      </c>
      <c r="N234" s="155" t="s">
        <v>164</v>
      </c>
      <c r="O234" s="157"/>
      <c r="P234" s="161">
        <f>C200</f>
        <v>37430052</v>
      </c>
      <c r="Q234" s="161">
        <f t="shared" ref="Q234:Y234" si="52">D200</f>
        <v>37449432</v>
      </c>
      <c r="R234" s="161">
        <f t="shared" si="52"/>
        <v>37466874</v>
      </c>
      <c r="S234" s="161">
        <f t="shared" si="52"/>
        <v>37482571.799999997</v>
      </c>
      <c r="T234" s="161">
        <f t="shared" si="52"/>
        <v>37496699.82</v>
      </c>
      <c r="U234" s="161">
        <f t="shared" si="52"/>
        <v>37509415.037999995</v>
      </c>
      <c r="V234" s="161">
        <f t="shared" si="52"/>
        <v>37520858.734199993</v>
      </c>
      <c r="W234" s="161">
        <f t="shared" si="52"/>
        <v>37531158.060779996</v>
      </c>
      <c r="X234" s="161">
        <f t="shared" si="52"/>
        <v>37540427.454701997</v>
      </c>
      <c r="Y234" s="161">
        <f t="shared" si="52"/>
        <v>37548769.909231797</v>
      </c>
    </row>
    <row r="235" spans="1:25" x14ac:dyDescent="0.3">
      <c r="A235" s="163" t="s">
        <v>165</v>
      </c>
      <c r="B235" s="157"/>
      <c r="C235" s="164">
        <f>C233-C234</f>
        <v>62254220</v>
      </c>
      <c r="D235" s="164">
        <f t="shared" ref="D235:L235" si="53">D233-D234</f>
        <v>62299440</v>
      </c>
      <c r="E235" s="164">
        <f t="shared" si="53"/>
        <v>62340138</v>
      </c>
      <c r="F235" s="164">
        <f t="shared" si="53"/>
        <v>62376766.200000003</v>
      </c>
      <c r="G235" s="164">
        <f t="shared" si="53"/>
        <v>62409731.580000006</v>
      </c>
      <c r="H235" s="164">
        <f t="shared" si="53"/>
        <v>62439400.421999998</v>
      </c>
      <c r="I235" s="164">
        <f t="shared" si="53"/>
        <v>62466102.379799999</v>
      </c>
      <c r="J235" s="164">
        <f t="shared" si="53"/>
        <v>62490134.141820006</v>
      </c>
      <c r="K235" s="164">
        <f t="shared" si="53"/>
        <v>62511762.727637999</v>
      </c>
      <c r="L235" s="165">
        <f t="shared" si="53"/>
        <v>62531228.454874203</v>
      </c>
      <c r="N235" s="163" t="s">
        <v>165</v>
      </c>
      <c r="O235" s="157"/>
      <c r="P235" s="164">
        <f>P233-P234</f>
        <v>112419356</v>
      </c>
      <c r="Q235" s="164">
        <f t="shared" ref="Q235:Y235" si="54">Q233-Q234</f>
        <v>112464576</v>
      </c>
      <c r="R235" s="164">
        <f t="shared" si="54"/>
        <v>112505274</v>
      </c>
      <c r="S235" s="164">
        <f t="shared" si="54"/>
        <v>112541902.2</v>
      </c>
      <c r="T235" s="164">
        <f t="shared" si="54"/>
        <v>112574867.58000001</v>
      </c>
      <c r="U235" s="164">
        <f t="shared" si="54"/>
        <v>112604536.42200002</v>
      </c>
      <c r="V235" s="164">
        <f t="shared" si="54"/>
        <v>112631238.37979999</v>
      </c>
      <c r="W235" s="164">
        <f t="shared" si="54"/>
        <v>112655270.14182001</v>
      </c>
      <c r="X235" s="164">
        <f t="shared" si="54"/>
        <v>112676898.72763801</v>
      </c>
      <c r="Y235" s="165">
        <f t="shared" si="54"/>
        <v>112696364.4548742</v>
      </c>
    </row>
    <row r="236" spans="1:25" x14ac:dyDescent="0.3">
      <c r="A236" s="155" t="s">
        <v>166</v>
      </c>
      <c r="B236" s="157"/>
      <c r="C236" s="161">
        <f>C232</f>
        <v>646000</v>
      </c>
      <c r="D236" s="161">
        <f>D232</f>
        <v>581400</v>
      </c>
      <c r="E236" s="161">
        <f t="shared" ref="E236:L236" si="55">E232</f>
        <v>523260</v>
      </c>
      <c r="F236" s="161">
        <f t="shared" si="55"/>
        <v>470934</v>
      </c>
      <c r="G236" s="161">
        <f t="shared" si="55"/>
        <v>423840.60000000003</v>
      </c>
      <c r="H236" s="161">
        <f t="shared" si="55"/>
        <v>381456.54000000004</v>
      </c>
      <c r="I236" s="161">
        <f t="shared" si="55"/>
        <v>343310.886</v>
      </c>
      <c r="J236" s="161">
        <f t="shared" si="55"/>
        <v>308979.79739999998</v>
      </c>
      <c r="K236" s="161">
        <f t="shared" si="55"/>
        <v>278081.81766</v>
      </c>
      <c r="L236" s="162">
        <f t="shared" si="55"/>
        <v>250273.63589399998</v>
      </c>
      <c r="N236" s="155" t="s">
        <v>166</v>
      </c>
      <c r="O236" s="157"/>
      <c r="P236" s="161">
        <f>P232</f>
        <v>646000</v>
      </c>
      <c r="Q236" s="161">
        <f>Q232</f>
        <v>581400</v>
      </c>
      <c r="R236" s="161">
        <f t="shared" ref="R236:Y236" si="56">R232</f>
        <v>523260</v>
      </c>
      <c r="S236" s="161">
        <f t="shared" si="56"/>
        <v>470934</v>
      </c>
      <c r="T236" s="161">
        <f t="shared" si="56"/>
        <v>423840.60000000003</v>
      </c>
      <c r="U236" s="161">
        <f t="shared" si="56"/>
        <v>381456.54000000004</v>
      </c>
      <c r="V236" s="161">
        <f t="shared" si="56"/>
        <v>343310.886</v>
      </c>
      <c r="W236" s="161">
        <f t="shared" si="56"/>
        <v>308979.79739999998</v>
      </c>
      <c r="X236" s="161">
        <f t="shared" si="56"/>
        <v>278081.81766</v>
      </c>
      <c r="Y236" s="162">
        <f t="shared" si="56"/>
        <v>250273.63589399998</v>
      </c>
    </row>
    <row r="237" spans="1:25" x14ac:dyDescent="0.3">
      <c r="A237" s="166" t="s">
        <v>167</v>
      </c>
      <c r="B237" s="157"/>
      <c r="C237" s="176">
        <f>C220</f>
        <v>2000000</v>
      </c>
      <c r="D237" s="176">
        <f t="shared" ref="D237:L237" si="57">D220</f>
        <v>2000000</v>
      </c>
      <c r="E237" s="176">
        <f t="shared" si="57"/>
        <v>2000000</v>
      </c>
      <c r="F237" s="176">
        <f t="shared" si="57"/>
        <v>2000000</v>
      </c>
      <c r="G237" s="176">
        <f t="shared" si="57"/>
        <v>2000000</v>
      </c>
      <c r="H237" s="176">
        <f t="shared" si="57"/>
        <v>1000000</v>
      </c>
      <c r="I237" s="176">
        <f t="shared" si="57"/>
        <v>1000000</v>
      </c>
      <c r="J237" s="176">
        <f t="shared" si="57"/>
        <v>1000000</v>
      </c>
      <c r="K237" s="176">
        <f t="shared" si="57"/>
        <v>1000000</v>
      </c>
      <c r="L237" s="176">
        <f t="shared" si="57"/>
        <v>1000000</v>
      </c>
      <c r="N237" s="166" t="s">
        <v>167</v>
      </c>
      <c r="O237" s="157"/>
      <c r="P237" s="176">
        <f>C203</f>
        <v>2000000</v>
      </c>
      <c r="Q237" s="176">
        <f t="shared" ref="Q237:Y237" si="58">D203</f>
        <v>2000000</v>
      </c>
      <c r="R237" s="176">
        <f t="shared" si="58"/>
        <v>2000000</v>
      </c>
      <c r="S237" s="176">
        <f t="shared" si="58"/>
        <v>2000000</v>
      </c>
      <c r="T237" s="176">
        <f t="shared" si="58"/>
        <v>2000000</v>
      </c>
      <c r="U237" s="176">
        <f t="shared" si="58"/>
        <v>1000000</v>
      </c>
      <c r="V237" s="176">
        <f t="shared" si="58"/>
        <v>1000000</v>
      </c>
      <c r="W237" s="176">
        <f t="shared" si="58"/>
        <v>1000000</v>
      </c>
      <c r="X237" s="176">
        <f t="shared" si="58"/>
        <v>1000000</v>
      </c>
      <c r="Y237" s="176">
        <f t="shared" si="58"/>
        <v>1000000</v>
      </c>
    </row>
    <row r="238" spans="1:25" x14ac:dyDescent="0.3">
      <c r="A238" s="166" t="s">
        <v>168</v>
      </c>
      <c r="B238" s="157"/>
      <c r="C238" s="157"/>
      <c r="D238" s="158"/>
      <c r="E238" s="158"/>
      <c r="F238" s="158"/>
      <c r="G238" s="158"/>
      <c r="H238" s="158"/>
      <c r="I238" s="158"/>
      <c r="J238" s="158"/>
      <c r="K238" s="158"/>
      <c r="L238" s="167">
        <f>L204</f>
        <v>5624261.1830861997</v>
      </c>
      <c r="N238" s="166" t="s">
        <v>168</v>
      </c>
      <c r="O238" s="157"/>
      <c r="P238" s="157"/>
      <c r="Q238" s="158"/>
      <c r="R238" s="158"/>
      <c r="S238" s="158"/>
      <c r="T238" s="158"/>
      <c r="U238" s="158"/>
      <c r="V238" s="158"/>
      <c r="W238" s="158"/>
      <c r="X238" s="158"/>
      <c r="Y238" s="167">
        <f>L204</f>
        <v>5624261.1830861997</v>
      </c>
    </row>
    <row r="239" spans="1:25" x14ac:dyDescent="0.3">
      <c r="A239" s="168" t="s">
        <v>169</v>
      </c>
      <c r="B239" s="169">
        <f>B229</f>
        <v>-10340000</v>
      </c>
      <c r="C239" s="170">
        <f t="shared" ref="C239:K239" si="59">C235+C236-C237</f>
        <v>60900220</v>
      </c>
      <c r="D239" s="170">
        <f t="shared" si="59"/>
        <v>60880840</v>
      </c>
      <c r="E239" s="170">
        <f t="shared" si="59"/>
        <v>60863398</v>
      </c>
      <c r="F239" s="170">
        <f t="shared" si="59"/>
        <v>60847700.200000003</v>
      </c>
      <c r="G239" s="170">
        <f t="shared" si="59"/>
        <v>60833572.180000007</v>
      </c>
      <c r="H239" s="170">
        <f t="shared" si="59"/>
        <v>61820856.961999997</v>
      </c>
      <c r="I239" s="170">
        <f t="shared" si="59"/>
        <v>61809413.265799999</v>
      </c>
      <c r="J239" s="170">
        <f t="shared" si="59"/>
        <v>61799113.939220004</v>
      </c>
      <c r="K239" s="170">
        <f t="shared" si="59"/>
        <v>61789844.545297995</v>
      </c>
      <c r="L239" s="171">
        <f>L235+L236-L237+L238</f>
        <v>67405763.273854405</v>
      </c>
      <c r="N239" s="168" t="s">
        <v>169</v>
      </c>
      <c r="O239" s="169">
        <f>O229</f>
        <v>-10340000</v>
      </c>
      <c r="P239" s="170">
        <f t="shared" ref="P239:X239" si="60">P235+P236-P237</f>
        <v>111065356</v>
      </c>
      <c r="Q239" s="170">
        <f t="shared" si="60"/>
        <v>111045976</v>
      </c>
      <c r="R239" s="170">
        <f t="shared" si="60"/>
        <v>111028534</v>
      </c>
      <c r="S239" s="170">
        <f t="shared" si="60"/>
        <v>111012836.2</v>
      </c>
      <c r="T239" s="170">
        <f t="shared" si="60"/>
        <v>110998708.18000001</v>
      </c>
      <c r="U239" s="170">
        <f t="shared" si="60"/>
        <v>111985992.96200003</v>
      </c>
      <c r="V239" s="170">
        <f t="shared" si="60"/>
        <v>111974549.2658</v>
      </c>
      <c r="W239" s="170">
        <f t="shared" si="60"/>
        <v>111964249.93922001</v>
      </c>
      <c r="X239" s="170">
        <f t="shared" si="60"/>
        <v>111954980.54529801</v>
      </c>
      <c r="Y239" s="171">
        <f>Y235+Y236-Y237+Y238</f>
        <v>117570899.2738544</v>
      </c>
    </row>
    <row r="240" spans="1:25" x14ac:dyDescent="0.3">
      <c r="A240" s="172" t="s">
        <v>118</v>
      </c>
      <c r="B240" s="169">
        <f>B239</f>
        <v>-10340000</v>
      </c>
      <c r="C240" s="38"/>
      <c r="D240" s="38"/>
      <c r="E240" s="38"/>
      <c r="F240" s="38"/>
      <c r="G240" s="38"/>
      <c r="H240" s="38"/>
      <c r="I240" s="38"/>
      <c r="J240" s="38"/>
      <c r="K240" s="38"/>
      <c r="L240" s="173">
        <f>B239:L239</f>
        <v>67405763.273854405</v>
      </c>
      <c r="N240" s="172" t="s">
        <v>118</v>
      </c>
      <c r="O240" s="169">
        <f>O239</f>
        <v>-10340000</v>
      </c>
      <c r="P240" s="38"/>
      <c r="Q240" s="38"/>
      <c r="R240" s="38"/>
      <c r="S240" s="38"/>
      <c r="T240" s="38"/>
      <c r="U240" s="38"/>
      <c r="V240" s="38"/>
      <c r="W240" s="38"/>
      <c r="X240" s="38"/>
      <c r="Y240" s="173">
        <f>O239:Y239</f>
        <v>117570899.2738544</v>
      </c>
    </row>
    <row r="241" spans="1:25" ht="15" thickBot="1" x14ac:dyDescent="0.35">
      <c r="A241" s="174" t="s">
        <v>146</v>
      </c>
      <c r="B241" s="175"/>
      <c r="C241" s="175"/>
      <c r="D241" s="175"/>
      <c r="E241" s="175"/>
      <c r="F241" s="175"/>
      <c r="G241" s="175"/>
      <c r="H241" s="175"/>
      <c r="I241" s="175"/>
      <c r="J241" s="175"/>
      <c r="K241" s="175"/>
      <c r="L241" s="200">
        <f>NPV(F145,C239:L239)+B239</f>
        <v>341968083.49882281</v>
      </c>
      <c r="N241" s="174" t="s">
        <v>146</v>
      </c>
      <c r="O241" s="175"/>
      <c r="P241" s="175"/>
      <c r="Q241" s="175"/>
      <c r="R241" s="175"/>
      <c r="S241" s="175"/>
      <c r="T241" s="175"/>
      <c r="U241" s="175"/>
      <c r="V241" s="175"/>
      <c r="W241" s="175"/>
      <c r="X241" s="175"/>
      <c r="Y241" s="200">
        <f>NPV(F145,P239:Y239)+O239</f>
        <v>629178262.78325272</v>
      </c>
    </row>
    <row r="243" spans="1:25" ht="15" thickBot="1" x14ac:dyDescent="0.35"/>
    <row r="244" spans="1:25" ht="15" thickBot="1" x14ac:dyDescent="0.35">
      <c r="A244" s="198" t="s">
        <v>193</v>
      </c>
      <c r="N244" s="236" t="s">
        <v>194</v>
      </c>
      <c r="O244" s="237"/>
    </row>
    <row r="245" spans="1:25" x14ac:dyDescent="0.3">
      <c r="A245" s="152" t="s">
        <v>159</v>
      </c>
      <c r="B245" s="153">
        <v>0</v>
      </c>
      <c r="C245" s="153">
        <v>1</v>
      </c>
      <c r="D245" s="153">
        <v>2</v>
      </c>
      <c r="E245" s="153">
        <v>3</v>
      </c>
      <c r="F245" s="153">
        <v>4</v>
      </c>
      <c r="G245" s="153">
        <v>5</v>
      </c>
      <c r="H245" s="153">
        <v>6</v>
      </c>
      <c r="I245" s="153">
        <v>7</v>
      </c>
      <c r="J245" s="153">
        <v>8</v>
      </c>
      <c r="K245" s="153">
        <v>9</v>
      </c>
      <c r="L245" s="154">
        <v>10</v>
      </c>
      <c r="N245" s="152" t="s">
        <v>159</v>
      </c>
      <c r="O245" s="153">
        <v>0</v>
      </c>
      <c r="P245" s="153">
        <v>1</v>
      </c>
      <c r="Q245" s="153">
        <v>2</v>
      </c>
      <c r="R245" s="153">
        <v>3</v>
      </c>
      <c r="S245" s="153">
        <v>4</v>
      </c>
      <c r="T245" s="153">
        <v>5</v>
      </c>
      <c r="U245" s="153">
        <v>6</v>
      </c>
      <c r="V245" s="153">
        <v>7</v>
      </c>
      <c r="W245" s="153">
        <v>8</v>
      </c>
      <c r="X245" s="153">
        <v>9</v>
      </c>
      <c r="Y245" s="154">
        <v>10</v>
      </c>
    </row>
    <row r="246" spans="1:25" x14ac:dyDescent="0.3">
      <c r="A246" s="155" t="s">
        <v>98</v>
      </c>
      <c r="B246" s="156">
        <f>B195</f>
        <v>-10340000</v>
      </c>
      <c r="C246" s="157"/>
      <c r="D246" s="158"/>
      <c r="E246" s="158"/>
      <c r="F246" s="158"/>
      <c r="G246" s="158"/>
      <c r="H246" s="158"/>
      <c r="I246" s="158"/>
      <c r="J246" s="158"/>
      <c r="K246" s="158"/>
      <c r="L246" s="159"/>
      <c r="N246" s="155" t="s">
        <v>98</v>
      </c>
      <c r="O246" s="156">
        <f>B195</f>
        <v>-10340000</v>
      </c>
      <c r="P246" s="157"/>
      <c r="Q246" s="158"/>
      <c r="R246" s="158"/>
      <c r="S246" s="158"/>
      <c r="T246" s="158"/>
      <c r="U246" s="158"/>
      <c r="V246" s="158"/>
      <c r="W246" s="158"/>
      <c r="X246" s="158"/>
      <c r="Y246" s="159"/>
    </row>
    <row r="247" spans="1:25" x14ac:dyDescent="0.3">
      <c r="A247" s="155" t="s">
        <v>160</v>
      </c>
      <c r="B247" s="157"/>
      <c r="C247" s="160">
        <f>C196</f>
        <v>492702840</v>
      </c>
      <c r="D247" s="160">
        <f t="shared" ref="D247:L247" si="61">D196</f>
        <v>492702840</v>
      </c>
      <c r="E247" s="160">
        <f t="shared" si="61"/>
        <v>492702840</v>
      </c>
      <c r="F247" s="160">
        <f t="shared" si="61"/>
        <v>492702840</v>
      </c>
      <c r="G247" s="160">
        <f t="shared" si="61"/>
        <v>492702840</v>
      </c>
      <c r="H247" s="160">
        <f t="shared" si="61"/>
        <v>492702840</v>
      </c>
      <c r="I247" s="160">
        <f t="shared" si="61"/>
        <v>492702840</v>
      </c>
      <c r="J247" s="160">
        <f t="shared" si="61"/>
        <v>492702840</v>
      </c>
      <c r="K247" s="160">
        <f t="shared" si="61"/>
        <v>492702840</v>
      </c>
      <c r="L247" s="160">
        <f t="shared" si="61"/>
        <v>492702840</v>
      </c>
      <c r="N247" s="155" t="s">
        <v>160</v>
      </c>
      <c r="O247" s="164"/>
      <c r="P247" s="160">
        <f>C196</f>
        <v>492702840</v>
      </c>
      <c r="Q247" s="160">
        <f t="shared" ref="Q247:Y247" si="62">D196</f>
        <v>492702840</v>
      </c>
      <c r="R247" s="160">
        <f t="shared" si="62"/>
        <v>492702840</v>
      </c>
      <c r="S247" s="160">
        <f t="shared" si="62"/>
        <v>492702840</v>
      </c>
      <c r="T247" s="160">
        <f t="shared" si="62"/>
        <v>492702840</v>
      </c>
      <c r="U247" s="160">
        <f t="shared" si="62"/>
        <v>492702840</v>
      </c>
      <c r="V247" s="160">
        <f t="shared" si="62"/>
        <v>492702840</v>
      </c>
      <c r="W247" s="160">
        <f t="shared" si="62"/>
        <v>492702840</v>
      </c>
      <c r="X247" s="160">
        <f t="shared" si="62"/>
        <v>492702840</v>
      </c>
      <c r="Y247" s="160">
        <f t="shared" si="62"/>
        <v>492702840</v>
      </c>
    </row>
    <row r="248" spans="1:25" x14ac:dyDescent="0.3">
      <c r="A248" s="155" t="s">
        <v>161</v>
      </c>
      <c r="B248" s="157"/>
      <c r="C248" s="207">
        <f>C247*D189</f>
        <v>440748000</v>
      </c>
      <c r="D248" s="207">
        <f>D247*D189</f>
        <v>440748000</v>
      </c>
      <c r="E248" s="207">
        <f>E247*D189</f>
        <v>440748000</v>
      </c>
      <c r="F248" s="207">
        <f>F247*D189</f>
        <v>440748000</v>
      </c>
      <c r="G248" s="207">
        <f>G247*D189</f>
        <v>440748000</v>
      </c>
      <c r="H248" s="207">
        <f>H247*D189</f>
        <v>440748000</v>
      </c>
      <c r="I248" s="207">
        <f>I247*D189</f>
        <v>440748000</v>
      </c>
      <c r="J248" s="207">
        <f>J247*D189</f>
        <v>440748000</v>
      </c>
      <c r="K248" s="207">
        <f>K247*D189</f>
        <v>440748000</v>
      </c>
      <c r="L248" s="207">
        <f>L247*D189</f>
        <v>440748000</v>
      </c>
      <c r="N248" s="155" t="s">
        <v>161</v>
      </c>
      <c r="O248" s="157"/>
      <c r="P248" s="207">
        <f>P247*F189</f>
        <v>293832000</v>
      </c>
      <c r="Q248" s="207">
        <f>Q247*F189</f>
        <v>293832000</v>
      </c>
      <c r="R248" s="207">
        <f>R247*F189</f>
        <v>293832000</v>
      </c>
      <c r="S248" s="207">
        <f>S247*F189</f>
        <v>293832000</v>
      </c>
      <c r="T248" s="207">
        <f>T247*F189</f>
        <v>293832000</v>
      </c>
      <c r="U248" s="207">
        <f>U247*F189</f>
        <v>293832000</v>
      </c>
      <c r="V248" s="207">
        <f>V247*F189</f>
        <v>293832000</v>
      </c>
      <c r="W248" s="207">
        <f>W247*F189</f>
        <v>293832000</v>
      </c>
      <c r="X248" s="207">
        <f>X247*F189</f>
        <v>293832000</v>
      </c>
      <c r="Y248" s="207">
        <f>Y247*F189</f>
        <v>293832000</v>
      </c>
    </row>
    <row r="249" spans="1:25" x14ac:dyDescent="0.3">
      <c r="A249" s="155" t="s">
        <v>162</v>
      </c>
      <c r="B249" s="157"/>
      <c r="C249" s="161">
        <f>C198</f>
        <v>646000</v>
      </c>
      <c r="D249" s="161">
        <f t="shared" ref="D249:L249" si="63">D198</f>
        <v>581400</v>
      </c>
      <c r="E249" s="161">
        <f t="shared" si="63"/>
        <v>523260</v>
      </c>
      <c r="F249" s="161">
        <f t="shared" si="63"/>
        <v>470934</v>
      </c>
      <c r="G249" s="161">
        <f t="shared" si="63"/>
        <v>423840.60000000003</v>
      </c>
      <c r="H249" s="161">
        <f t="shared" si="63"/>
        <v>381456.54000000004</v>
      </c>
      <c r="I249" s="161">
        <f t="shared" si="63"/>
        <v>343310.886</v>
      </c>
      <c r="J249" s="161">
        <f t="shared" si="63"/>
        <v>308979.79739999998</v>
      </c>
      <c r="K249" s="161">
        <f t="shared" si="63"/>
        <v>278081.81766</v>
      </c>
      <c r="L249" s="161">
        <f t="shared" si="63"/>
        <v>250273.63589399998</v>
      </c>
      <c r="N249" s="155" t="s">
        <v>162</v>
      </c>
      <c r="O249" s="157"/>
      <c r="P249" s="161">
        <f>C198</f>
        <v>646000</v>
      </c>
      <c r="Q249" s="161">
        <f t="shared" ref="Q249:Y249" si="64">D198</f>
        <v>581400</v>
      </c>
      <c r="R249" s="161">
        <f t="shared" si="64"/>
        <v>523260</v>
      </c>
      <c r="S249" s="161">
        <f t="shared" si="64"/>
        <v>470934</v>
      </c>
      <c r="T249" s="161">
        <f t="shared" si="64"/>
        <v>423840.60000000003</v>
      </c>
      <c r="U249" s="161">
        <f t="shared" si="64"/>
        <v>381456.54000000004</v>
      </c>
      <c r="V249" s="161">
        <f t="shared" si="64"/>
        <v>343310.886</v>
      </c>
      <c r="W249" s="161">
        <f t="shared" si="64"/>
        <v>308979.79739999998</v>
      </c>
      <c r="X249" s="161">
        <f t="shared" si="64"/>
        <v>278081.81766</v>
      </c>
      <c r="Y249" s="161">
        <f t="shared" si="64"/>
        <v>250273.63589399998</v>
      </c>
    </row>
    <row r="250" spans="1:25" x14ac:dyDescent="0.3">
      <c r="A250" s="163" t="s">
        <v>163</v>
      </c>
      <c r="B250" s="157"/>
      <c r="C250" s="164">
        <f>C247-C248-C249</f>
        <v>51308840</v>
      </c>
      <c r="D250" s="164">
        <f t="shared" ref="D250" si="65">D247-D248-D249</f>
        <v>51373440</v>
      </c>
      <c r="E250" s="164">
        <f>E247-E248-E249</f>
        <v>51431580</v>
      </c>
      <c r="F250" s="164">
        <f t="shared" ref="F250:K250" si="66">F247-F248-F249</f>
        <v>51483906</v>
      </c>
      <c r="G250" s="164">
        <f t="shared" si="66"/>
        <v>51530999.399999999</v>
      </c>
      <c r="H250" s="164">
        <f t="shared" si="66"/>
        <v>51573383.460000001</v>
      </c>
      <c r="I250" s="164">
        <f t="shared" si="66"/>
        <v>51611529.114</v>
      </c>
      <c r="J250" s="164">
        <f t="shared" si="66"/>
        <v>51645860.202600002</v>
      </c>
      <c r="K250" s="164">
        <f t="shared" si="66"/>
        <v>51676758.182340004</v>
      </c>
      <c r="L250" s="165">
        <f>L247-L248-L249</f>
        <v>51704566.364105999</v>
      </c>
      <c r="N250" s="163" t="s">
        <v>163</v>
      </c>
      <c r="O250" s="157"/>
      <c r="P250" s="164">
        <f>P247-P248-P249</f>
        <v>198224840</v>
      </c>
      <c r="Q250" s="164">
        <f t="shared" ref="Q250" si="67">Q247-Q248-Q249</f>
        <v>198289440</v>
      </c>
      <c r="R250" s="164">
        <f>R247-R248-R249</f>
        <v>198347580</v>
      </c>
      <c r="S250" s="164">
        <f t="shared" ref="S250:X250" si="68">S247-S248-S249</f>
        <v>198399906</v>
      </c>
      <c r="T250" s="164">
        <f t="shared" si="68"/>
        <v>198446999.40000001</v>
      </c>
      <c r="U250" s="164">
        <f t="shared" si="68"/>
        <v>198489383.46000001</v>
      </c>
      <c r="V250" s="164">
        <f t="shared" si="68"/>
        <v>198527529.11399999</v>
      </c>
      <c r="W250" s="164">
        <f t="shared" si="68"/>
        <v>198561860.2026</v>
      </c>
      <c r="X250" s="164">
        <f t="shared" si="68"/>
        <v>198592758.18234</v>
      </c>
      <c r="Y250" s="165">
        <f>Y247-Y248-Y249</f>
        <v>198620566.364106</v>
      </c>
    </row>
    <row r="251" spans="1:25" x14ac:dyDescent="0.3">
      <c r="A251" s="155" t="s">
        <v>164</v>
      </c>
      <c r="B251" s="157"/>
      <c r="C251" s="161">
        <f>C200</f>
        <v>37430052</v>
      </c>
      <c r="D251" s="161">
        <f t="shared" ref="D251:L251" si="69">D200</f>
        <v>37449432</v>
      </c>
      <c r="E251" s="161">
        <f t="shared" si="69"/>
        <v>37466874</v>
      </c>
      <c r="F251" s="161">
        <f t="shared" si="69"/>
        <v>37482571.799999997</v>
      </c>
      <c r="G251" s="161">
        <f t="shared" si="69"/>
        <v>37496699.82</v>
      </c>
      <c r="H251" s="161">
        <f t="shared" si="69"/>
        <v>37509415.037999995</v>
      </c>
      <c r="I251" s="161">
        <f t="shared" si="69"/>
        <v>37520858.734199993</v>
      </c>
      <c r="J251" s="161">
        <f t="shared" si="69"/>
        <v>37531158.060779996</v>
      </c>
      <c r="K251" s="161">
        <f t="shared" si="69"/>
        <v>37540427.454701997</v>
      </c>
      <c r="L251" s="161">
        <f t="shared" si="69"/>
        <v>37548769.909231797</v>
      </c>
      <c r="N251" s="155" t="s">
        <v>164</v>
      </c>
      <c r="O251" s="157"/>
      <c r="P251" s="161">
        <f>C200</f>
        <v>37430052</v>
      </c>
      <c r="Q251" s="161">
        <f t="shared" ref="Q251:Y251" si="70">D200</f>
        <v>37449432</v>
      </c>
      <c r="R251" s="161">
        <f t="shared" si="70"/>
        <v>37466874</v>
      </c>
      <c r="S251" s="161">
        <f t="shared" si="70"/>
        <v>37482571.799999997</v>
      </c>
      <c r="T251" s="161">
        <f t="shared" si="70"/>
        <v>37496699.82</v>
      </c>
      <c r="U251" s="161">
        <f t="shared" si="70"/>
        <v>37509415.037999995</v>
      </c>
      <c r="V251" s="161">
        <f t="shared" si="70"/>
        <v>37520858.734199993</v>
      </c>
      <c r="W251" s="161">
        <f t="shared" si="70"/>
        <v>37531158.060779996</v>
      </c>
      <c r="X251" s="161">
        <f t="shared" si="70"/>
        <v>37540427.454701997</v>
      </c>
      <c r="Y251" s="161">
        <f t="shared" si="70"/>
        <v>37548769.909231797</v>
      </c>
    </row>
    <row r="252" spans="1:25" x14ac:dyDescent="0.3">
      <c r="A252" s="163" t="s">
        <v>165</v>
      </c>
      <c r="B252" s="157"/>
      <c r="C252" s="164">
        <f>C250-C251</f>
        <v>13878788</v>
      </c>
      <c r="D252" s="164">
        <f t="shared" ref="D252:L252" si="71">D250-D251</f>
        <v>13924008</v>
      </c>
      <c r="E252" s="164">
        <f t="shared" si="71"/>
        <v>13964706</v>
      </c>
      <c r="F252" s="164">
        <f t="shared" si="71"/>
        <v>14001334.200000003</v>
      </c>
      <c r="G252" s="164">
        <f t="shared" si="71"/>
        <v>14034299.579999998</v>
      </c>
      <c r="H252" s="164">
        <f t="shared" si="71"/>
        <v>14063968.422000006</v>
      </c>
      <c r="I252" s="164">
        <f t="shared" si="71"/>
        <v>14090670.379800007</v>
      </c>
      <c r="J252" s="164">
        <f t="shared" si="71"/>
        <v>14114702.141820006</v>
      </c>
      <c r="K252" s="164">
        <f t="shared" si="71"/>
        <v>14136330.727638006</v>
      </c>
      <c r="L252" s="165">
        <f t="shared" si="71"/>
        <v>14155796.454874203</v>
      </c>
      <c r="N252" s="163" t="s">
        <v>165</v>
      </c>
      <c r="O252" s="157"/>
      <c r="P252" s="164">
        <f>P250-P251</f>
        <v>160794788</v>
      </c>
      <c r="Q252" s="164">
        <f t="shared" ref="Q252:Y252" si="72">Q250-Q251</f>
        <v>160840008</v>
      </c>
      <c r="R252" s="164">
        <f t="shared" si="72"/>
        <v>160880706</v>
      </c>
      <c r="S252" s="164">
        <f t="shared" si="72"/>
        <v>160917334.19999999</v>
      </c>
      <c r="T252" s="164">
        <f t="shared" si="72"/>
        <v>160950299.58000001</v>
      </c>
      <c r="U252" s="164">
        <f t="shared" si="72"/>
        <v>160979968.42200002</v>
      </c>
      <c r="V252" s="164">
        <f t="shared" si="72"/>
        <v>161006670.37979999</v>
      </c>
      <c r="W252" s="164">
        <f t="shared" si="72"/>
        <v>161030702.14182001</v>
      </c>
      <c r="X252" s="164">
        <f t="shared" si="72"/>
        <v>161052330.72763801</v>
      </c>
      <c r="Y252" s="165">
        <f t="shared" si="72"/>
        <v>161071796.45487422</v>
      </c>
    </row>
    <row r="253" spans="1:25" x14ac:dyDescent="0.3">
      <c r="A253" s="155" t="s">
        <v>166</v>
      </c>
      <c r="B253" s="157"/>
      <c r="C253" s="161">
        <f>C249</f>
        <v>646000</v>
      </c>
      <c r="D253" s="161">
        <f>D249</f>
        <v>581400</v>
      </c>
      <c r="E253" s="161">
        <f t="shared" ref="E253:L253" si="73">E249</f>
        <v>523260</v>
      </c>
      <c r="F253" s="161">
        <f t="shared" si="73"/>
        <v>470934</v>
      </c>
      <c r="G253" s="161">
        <f t="shared" si="73"/>
        <v>423840.60000000003</v>
      </c>
      <c r="H253" s="161">
        <f t="shared" si="73"/>
        <v>381456.54000000004</v>
      </c>
      <c r="I253" s="161">
        <f t="shared" si="73"/>
        <v>343310.886</v>
      </c>
      <c r="J253" s="161">
        <f t="shared" si="73"/>
        <v>308979.79739999998</v>
      </c>
      <c r="K253" s="161">
        <f t="shared" si="73"/>
        <v>278081.81766</v>
      </c>
      <c r="L253" s="162">
        <f t="shared" si="73"/>
        <v>250273.63589399998</v>
      </c>
      <c r="N253" s="155" t="s">
        <v>166</v>
      </c>
      <c r="O253" s="157"/>
      <c r="P253" s="161">
        <f>P249</f>
        <v>646000</v>
      </c>
      <c r="Q253" s="161">
        <f>Q249</f>
        <v>581400</v>
      </c>
      <c r="R253" s="161">
        <f t="shared" ref="R253:Y253" si="74">R249</f>
        <v>523260</v>
      </c>
      <c r="S253" s="161">
        <f t="shared" si="74"/>
        <v>470934</v>
      </c>
      <c r="T253" s="161">
        <f t="shared" si="74"/>
        <v>423840.60000000003</v>
      </c>
      <c r="U253" s="161">
        <f t="shared" si="74"/>
        <v>381456.54000000004</v>
      </c>
      <c r="V253" s="161">
        <f t="shared" si="74"/>
        <v>343310.886</v>
      </c>
      <c r="W253" s="161">
        <f t="shared" si="74"/>
        <v>308979.79739999998</v>
      </c>
      <c r="X253" s="161">
        <f t="shared" si="74"/>
        <v>278081.81766</v>
      </c>
      <c r="Y253" s="162">
        <f t="shared" si="74"/>
        <v>250273.63589399998</v>
      </c>
    </row>
    <row r="254" spans="1:25" x14ac:dyDescent="0.3">
      <c r="A254" s="166" t="s">
        <v>167</v>
      </c>
      <c r="B254" s="157"/>
      <c r="C254" s="176">
        <f>C203</f>
        <v>2000000</v>
      </c>
      <c r="D254" s="176">
        <f t="shared" ref="D254:L254" si="75">D203</f>
        <v>2000000</v>
      </c>
      <c r="E254" s="176">
        <f t="shared" si="75"/>
        <v>2000000</v>
      </c>
      <c r="F254" s="176">
        <f t="shared" si="75"/>
        <v>2000000</v>
      </c>
      <c r="G254" s="176">
        <f t="shared" si="75"/>
        <v>2000000</v>
      </c>
      <c r="H254" s="176">
        <f t="shared" si="75"/>
        <v>1000000</v>
      </c>
      <c r="I254" s="176">
        <f t="shared" si="75"/>
        <v>1000000</v>
      </c>
      <c r="J254" s="176">
        <f t="shared" si="75"/>
        <v>1000000</v>
      </c>
      <c r="K254" s="176">
        <f t="shared" si="75"/>
        <v>1000000</v>
      </c>
      <c r="L254" s="176">
        <f t="shared" si="75"/>
        <v>1000000</v>
      </c>
      <c r="N254" s="166" t="s">
        <v>167</v>
      </c>
      <c r="O254" s="157"/>
      <c r="P254" s="176">
        <f>C203</f>
        <v>2000000</v>
      </c>
      <c r="Q254" s="176">
        <f t="shared" ref="Q254:Y254" si="76">D203</f>
        <v>2000000</v>
      </c>
      <c r="R254" s="176">
        <f t="shared" si="76"/>
        <v>2000000</v>
      </c>
      <c r="S254" s="176">
        <f t="shared" si="76"/>
        <v>2000000</v>
      </c>
      <c r="T254" s="176">
        <f t="shared" si="76"/>
        <v>2000000</v>
      </c>
      <c r="U254" s="176">
        <f t="shared" si="76"/>
        <v>1000000</v>
      </c>
      <c r="V254" s="176">
        <f t="shared" si="76"/>
        <v>1000000</v>
      </c>
      <c r="W254" s="176">
        <f t="shared" si="76"/>
        <v>1000000</v>
      </c>
      <c r="X254" s="176">
        <f t="shared" si="76"/>
        <v>1000000</v>
      </c>
      <c r="Y254" s="176">
        <f t="shared" si="76"/>
        <v>1000000</v>
      </c>
    </row>
    <row r="255" spans="1:25" x14ac:dyDescent="0.3">
      <c r="A255" s="166" t="s">
        <v>168</v>
      </c>
      <c r="B255" s="157"/>
      <c r="C255" s="157"/>
      <c r="D255" s="158"/>
      <c r="E255" s="158"/>
      <c r="F255" s="158"/>
      <c r="G255" s="158"/>
      <c r="H255" s="158"/>
      <c r="I255" s="158"/>
      <c r="J255" s="158"/>
      <c r="K255" s="158"/>
      <c r="L255" s="167">
        <f>L204</f>
        <v>5624261.1830861997</v>
      </c>
      <c r="N255" s="166" t="s">
        <v>168</v>
      </c>
      <c r="O255" s="157"/>
      <c r="P255" s="157"/>
      <c r="Q255" s="158"/>
      <c r="R255" s="158"/>
      <c r="S255" s="158"/>
      <c r="T255" s="158"/>
      <c r="U255" s="158"/>
      <c r="V255" s="158"/>
      <c r="W255" s="158"/>
      <c r="X255" s="158"/>
      <c r="Y255" s="167">
        <f>L204</f>
        <v>5624261.1830861997</v>
      </c>
    </row>
    <row r="256" spans="1:25" x14ac:dyDescent="0.3">
      <c r="A256" s="168" t="s">
        <v>169</v>
      </c>
      <c r="B256" s="169">
        <f>B246</f>
        <v>-10340000</v>
      </c>
      <c r="C256" s="170">
        <f t="shared" ref="C256:K256" si="77">C252+C253-C254</f>
        <v>12524788</v>
      </c>
      <c r="D256" s="170">
        <f t="shared" si="77"/>
        <v>12505408</v>
      </c>
      <c r="E256" s="170">
        <f t="shared" si="77"/>
        <v>12487966</v>
      </c>
      <c r="F256" s="170">
        <f t="shared" si="77"/>
        <v>12472268.200000003</v>
      </c>
      <c r="G256" s="170">
        <f t="shared" si="77"/>
        <v>12458140.179999998</v>
      </c>
      <c r="H256" s="170">
        <f t="shared" si="77"/>
        <v>13445424.962000005</v>
      </c>
      <c r="I256" s="170">
        <f t="shared" si="77"/>
        <v>13433981.265800007</v>
      </c>
      <c r="J256" s="170">
        <f t="shared" si="77"/>
        <v>13423681.939220006</v>
      </c>
      <c r="K256" s="170">
        <f t="shared" si="77"/>
        <v>13414412.545298006</v>
      </c>
      <c r="L256" s="171">
        <f>L252+L253-L254+L255</f>
        <v>19030331.273854405</v>
      </c>
      <c r="N256" s="168" t="s">
        <v>169</v>
      </c>
      <c r="O256" s="169">
        <f>O246</f>
        <v>-10340000</v>
      </c>
      <c r="P256" s="170">
        <f t="shared" ref="P256:X256" si="78">P252+P253-P254</f>
        <v>159440788</v>
      </c>
      <c r="Q256" s="170">
        <f t="shared" si="78"/>
        <v>159421408</v>
      </c>
      <c r="R256" s="170">
        <f t="shared" si="78"/>
        <v>159403966</v>
      </c>
      <c r="S256" s="170">
        <f t="shared" si="78"/>
        <v>159388268.19999999</v>
      </c>
      <c r="T256" s="170">
        <f t="shared" si="78"/>
        <v>159374140.18000001</v>
      </c>
      <c r="U256" s="170">
        <f t="shared" si="78"/>
        <v>160361424.96200001</v>
      </c>
      <c r="V256" s="170">
        <f t="shared" si="78"/>
        <v>160349981.2658</v>
      </c>
      <c r="W256" s="170">
        <f t="shared" si="78"/>
        <v>160339681.93922001</v>
      </c>
      <c r="X256" s="170">
        <f t="shared" si="78"/>
        <v>160330412.54529801</v>
      </c>
      <c r="Y256" s="171">
        <f>Y252+Y253-Y254+Y255</f>
        <v>165946331.2738544</v>
      </c>
    </row>
    <row r="257" spans="1:25" x14ac:dyDescent="0.3">
      <c r="A257" s="172" t="s">
        <v>118</v>
      </c>
      <c r="B257" s="169">
        <f>B256</f>
        <v>-10340000</v>
      </c>
      <c r="C257" s="38"/>
      <c r="D257" s="38"/>
      <c r="E257" s="38"/>
      <c r="F257" s="38"/>
      <c r="G257" s="38"/>
      <c r="H257" s="38"/>
      <c r="I257" s="38"/>
      <c r="J257" s="38"/>
      <c r="K257" s="38"/>
      <c r="L257" s="173">
        <f>B256:L256</f>
        <v>19030331.273854405</v>
      </c>
      <c r="N257" s="172" t="s">
        <v>118</v>
      </c>
      <c r="O257" s="169">
        <f>O256</f>
        <v>-10340000</v>
      </c>
      <c r="P257" s="38"/>
      <c r="Q257" s="38"/>
      <c r="R257" s="38"/>
      <c r="S257" s="38"/>
      <c r="T257" s="38"/>
      <c r="U257" s="38"/>
      <c r="V257" s="38"/>
      <c r="W257" s="38"/>
      <c r="X257" s="38"/>
      <c r="Y257" s="173">
        <f>O256:Y256</f>
        <v>165946331.2738544</v>
      </c>
    </row>
    <row r="258" spans="1:25" ht="15" thickBot="1" x14ac:dyDescent="0.35">
      <c r="A258" s="174" t="s">
        <v>146</v>
      </c>
      <c r="B258" s="175"/>
      <c r="C258" s="175"/>
      <c r="D258" s="175"/>
      <c r="E258" s="175"/>
      <c r="F258" s="175"/>
      <c r="G258" s="175"/>
      <c r="H258" s="175"/>
      <c r="I258" s="175"/>
      <c r="J258" s="175"/>
      <c r="K258" s="175"/>
      <c r="L258" s="200">
        <f>NPV(F145,C256:L256)+B256</f>
        <v>65004486.755424485</v>
      </c>
      <c r="N258" s="174" t="s">
        <v>146</v>
      </c>
      <c r="O258" s="175"/>
      <c r="P258" s="175"/>
      <c r="Q258" s="175"/>
      <c r="R258" s="175"/>
      <c r="S258" s="175"/>
      <c r="T258" s="175"/>
      <c r="U258" s="175"/>
      <c r="V258" s="175"/>
      <c r="W258" s="175"/>
      <c r="X258" s="175"/>
      <c r="Y258" s="200">
        <f>NPV(F145,P256:Y256)+O256</f>
        <v>906141859.52665079</v>
      </c>
    </row>
    <row r="261" spans="1:25" x14ac:dyDescent="0.3">
      <c r="A261" s="193" t="s">
        <v>183</v>
      </c>
      <c r="B261" s="195" t="s">
        <v>184</v>
      </c>
      <c r="C261" s="195" t="s">
        <v>185</v>
      </c>
      <c r="D261" s="195" t="s">
        <v>186</v>
      </c>
      <c r="F261" s="209"/>
      <c r="G261" s="210"/>
      <c r="H261" s="210"/>
      <c r="I261" s="210"/>
    </row>
    <row r="262" spans="1:25" x14ac:dyDescent="0.3">
      <c r="A262" s="193" t="s">
        <v>187</v>
      </c>
      <c r="B262" s="208">
        <f>L224</f>
        <v>483505173.14103764</v>
      </c>
      <c r="C262" s="194">
        <f>L207</f>
        <v>485573173.14103764</v>
      </c>
      <c r="D262" s="208">
        <f>Y224</f>
        <v>487641173.14103764</v>
      </c>
      <c r="F262" s="209"/>
      <c r="G262" s="211"/>
      <c r="H262" s="212"/>
      <c r="I262" s="211"/>
    </row>
    <row r="263" spans="1:25" x14ac:dyDescent="0.3">
      <c r="A263" s="193" t="s">
        <v>188</v>
      </c>
      <c r="B263" s="208">
        <f>L258</f>
        <v>65004486.755424485</v>
      </c>
      <c r="C263" s="194">
        <f>L207</f>
        <v>485573173.14103764</v>
      </c>
      <c r="D263" s="208">
        <f>Y258</f>
        <v>906141859.52665079</v>
      </c>
      <c r="F263" s="209"/>
      <c r="G263" s="211"/>
      <c r="H263" s="212"/>
      <c r="I263" s="211"/>
    </row>
    <row r="264" spans="1:25" x14ac:dyDescent="0.3">
      <c r="A264" s="196" t="s">
        <v>105</v>
      </c>
      <c r="B264" s="208">
        <f>L241</f>
        <v>341968083.49882281</v>
      </c>
      <c r="C264" s="194">
        <f>L207</f>
        <v>485573173.14103764</v>
      </c>
      <c r="D264" s="208">
        <f>Y241</f>
        <v>629178262.78325272</v>
      </c>
      <c r="F264" s="213"/>
      <c r="G264" s="211"/>
      <c r="H264" s="212"/>
      <c r="I264" s="211"/>
    </row>
    <row r="270" spans="1:25" ht="15" thickBot="1" x14ac:dyDescent="0.35"/>
    <row r="271" spans="1:25" ht="18.600000000000001" thickBot="1" x14ac:dyDescent="0.4">
      <c r="A271" s="191" t="s">
        <v>170</v>
      </c>
    </row>
    <row r="273" spans="1:26" x14ac:dyDescent="0.3">
      <c r="A273" s="143" t="s">
        <v>173</v>
      </c>
      <c r="B273" s="8"/>
    </row>
    <row r="274" spans="1:26" x14ac:dyDescent="0.3">
      <c r="A274" s="179" t="s">
        <v>174</v>
      </c>
      <c r="B274" s="180">
        <v>0.3</v>
      </c>
      <c r="C274" s="178"/>
    </row>
    <row r="275" spans="1:26" x14ac:dyDescent="0.3">
      <c r="A275" s="8" t="s">
        <v>176</v>
      </c>
      <c r="B275" s="2">
        <v>0.9</v>
      </c>
    </row>
    <row r="276" spans="1:26" x14ac:dyDescent="0.3">
      <c r="A276" s="8" t="s">
        <v>175</v>
      </c>
      <c r="B276" s="2">
        <v>0.2</v>
      </c>
      <c r="C276" s="178"/>
    </row>
    <row r="279" spans="1:26" ht="15" thickBot="1" x14ac:dyDescent="0.35"/>
    <row r="280" spans="1:26" ht="15" thickBot="1" x14ac:dyDescent="0.35">
      <c r="E280" s="363" t="s">
        <v>171</v>
      </c>
      <c r="F280" s="364"/>
      <c r="S280" s="363" t="s">
        <v>172</v>
      </c>
      <c r="T280" s="364"/>
    </row>
    <row r="281" spans="1:26" x14ac:dyDescent="0.3">
      <c r="A281" s="152" t="s">
        <v>159</v>
      </c>
      <c r="B281" s="153">
        <v>0</v>
      </c>
      <c r="C281" s="153">
        <v>1</v>
      </c>
      <c r="D281" s="153">
        <v>2</v>
      </c>
      <c r="E281" s="153">
        <v>3</v>
      </c>
      <c r="F281" s="153">
        <v>4</v>
      </c>
      <c r="G281" s="153">
        <v>5</v>
      </c>
      <c r="H281" s="153">
        <v>6</v>
      </c>
      <c r="I281" s="153">
        <v>7</v>
      </c>
      <c r="J281" s="153">
        <v>8</v>
      </c>
      <c r="K281" s="153">
        <v>9</v>
      </c>
      <c r="L281" s="154">
        <v>10</v>
      </c>
      <c r="N281" s="152" t="s">
        <v>159</v>
      </c>
      <c r="O281" s="153">
        <v>0</v>
      </c>
      <c r="P281" s="153">
        <v>1</v>
      </c>
      <c r="Q281" s="153">
        <v>2</v>
      </c>
      <c r="R281" s="153">
        <v>3</v>
      </c>
      <c r="S281" s="153">
        <v>4</v>
      </c>
      <c r="T281" s="153">
        <v>5</v>
      </c>
      <c r="U281" s="153">
        <v>6</v>
      </c>
      <c r="V281" s="153">
        <v>7</v>
      </c>
      <c r="W281" s="153">
        <v>8</v>
      </c>
      <c r="X281" s="153">
        <v>9</v>
      </c>
      <c r="Y281" s="154">
        <v>10</v>
      </c>
    </row>
    <row r="282" spans="1:26" x14ac:dyDescent="0.3">
      <c r="A282" s="155" t="s">
        <v>98</v>
      </c>
      <c r="B282" s="185">
        <f>B195</f>
        <v>-10340000</v>
      </c>
      <c r="C282" s="157"/>
      <c r="D282" s="158"/>
      <c r="E282" s="158"/>
      <c r="F282" s="158"/>
      <c r="G282" s="158"/>
      <c r="H282" s="158"/>
      <c r="I282" s="158"/>
      <c r="J282" s="158"/>
      <c r="K282" s="158"/>
      <c r="L282" s="159"/>
      <c r="N282" s="155" t="s">
        <v>98</v>
      </c>
      <c r="O282" s="156">
        <f>B282*120%</f>
        <v>-12408000</v>
      </c>
      <c r="P282" s="157"/>
      <c r="Q282" s="158"/>
      <c r="R282" s="158"/>
      <c r="S282" s="158"/>
      <c r="T282" s="158"/>
      <c r="U282" s="158"/>
      <c r="V282" s="158"/>
      <c r="W282" s="158"/>
      <c r="X282" s="158"/>
      <c r="Y282" s="159"/>
    </row>
    <row r="283" spans="1:26" s="184" customFormat="1" x14ac:dyDescent="0.3">
      <c r="A283" s="181" t="s">
        <v>160</v>
      </c>
      <c r="B283" s="182"/>
      <c r="C283" s="183">
        <f>C196</f>
        <v>492702840</v>
      </c>
      <c r="D283" s="183">
        <f t="shared" ref="D283:L283" si="79">D196</f>
        <v>492702840</v>
      </c>
      <c r="E283" s="183">
        <f t="shared" si="79"/>
        <v>492702840</v>
      </c>
      <c r="F283" s="183">
        <f t="shared" si="79"/>
        <v>492702840</v>
      </c>
      <c r="G283" s="183">
        <f t="shared" si="79"/>
        <v>492702840</v>
      </c>
      <c r="H283" s="183">
        <f t="shared" si="79"/>
        <v>492702840</v>
      </c>
      <c r="I283" s="183">
        <f t="shared" si="79"/>
        <v>492702840</v>
      </c>
      <c r="J283" s="183">
        <f t="shared" si="79"/>
        <v>492702840</v>
      </c>
      <c r="K283" s="183">
        <f t="shared" si="79"/>
        <v>492702840</v>
      </c>
      <c r="L283" s="183">
        <f t="shared" si="79"/>
        <v>492702840</v>
      </c>
      <c r="N283" s="181" t="s">
        <v>160</v>
      </c>
      <c r="O283" s="182"/>
      <c r="P283" s="183">
        <f t="shared" ref="P283:Y283" si="80">C196*70%</f>
        <v>344891988</v>
      </c>
      <c r="Q283" s="183">
        <f t="shared" si="80"/>
        <v>344891988</v>
      </c>
      <c r="R283" s="183">
        <f t="shared" si="80"/>
        <v>344891988</v>
      </c>
      <c r="S283" s="183">
        <f t="shared" si="80"/>
        <v>344891988</v>
      </c>
      <c r="T283" s="183">
        <f t="shared" si="80"/>
        <v>344891988</v>
      </c>
      <c r="U283" s="183">
        <f t="shared" si="80"/>
        <v>344891988</v>
      </c>
      <c r="V283" s="183">
        <f t="shared" si="80"/>
        <v>344891988</v>
      </c>
      <c r="W283" s="183">
        <f t="shared" si="80"/>
        <v>344891988</v>
      </c>
      <c r="X283" s="183">
        <f t="shared" si="80"/>
        <v>344891988</v>
      </c>
      <c r="Y283" s="183">
        <f t="shared" si="80"/>
        <v>344891988</v>
      </c>
    </row>
    <row r="284" spans="1:26" x14ac:dyDescent="0.3">
      <c r="A284" s="155" t="s">
        <v>161</v>
      </c>
      <c r="B284" s="157"/>
      <c r="C284" s="160">
        <f>C197</f>
        <v>367290000</v>
      </c>
      <c r="D284" s="160">
        <f t="shared" ref="D284:L284" si="81">D197</f>
        <v>367290000</v>
      </c>
      <c r="E284" s="160">
        <f t="shared" si="81"/>
        <v>367290000</v>
      </c>
      <c r="F284" s="160">
        <f t="shared" si="81"/>
        <v>367290000</v>
      </c>
      <c r="G284" s="160">
        <f t="shared" si="81"/>
        <v>367290000</v>
      </c>
      <c r="H284" s="160">
        <f t="shared" si="81"/>
        <v>367290000</v>
      </c>
      <c r="I284" s="160">
        <f t="shared" si="81"/>
        <v>367290000</v>
      </c>
      <c r="J284" s="160">
        <f t="shared" si="81"/>
        <v>367290000</v>
      </c>
      <c r="K284" s="160">
        <f t="shared" si="81"/>
        <v>367290000</v>
      </c>
      <c r="L284" s="160">
        <f t="shared" si="81"/>
        <v>367290000</v>
      </c>
      <c r="N284" s="155" t="s">
        <v>161</v>
      </c>
      <c r="O284" s="157"/>
      <c r="P284" s="160">
        <f>P283*90%</f>
        <v>310402789.19999999</v>
      </c>
      <c r="Q284" s="160">
        <f t="shared" ref="Q284:Y284" si="82">Q283*90%</f>
        <v>310402789.19999999</v>
      </c>
      <c r="R284" s="160">
        <f t="shared" si="82"/>
        <v>310402789.19999999</v>
      </c>
      <c r="S284" s="160">
        <f t="shared" si="82"/>
        <v>310402789.19999999</v>
      </c>
      <c r="T284" s="160">
        <f t="shared" si="82"/>
        <v>310402789.19999999</v>
      </c>
      <c r="U284" s="160">
        <f t="shared" si="82"/>
        <v>310402789.19999999</v>
      </c>
      <c r="V284" s="160">
        <f t="shared" si="82"/>
        <v>310402789.19999999</v>
      </c>
      <c r="W284" s="160">
        <f t="shared" si="82"/>
        <v>310402789.19999999</v>
      </c>
      <c r="X284" s="160">
        <f t="shared" si="82"/>
        <v>310402789.19999999</v>
      </c>
      <c r="Y284" s="160">
        <f t="shared" si="82"/>
        <v>310402789.19999999</v>
      </c>
    </row>
    <row r="285" spans="1:26" x14ac:dyDescent="0.3">
      <c r="A285" s="155" t="s">
        <v>162</v>
      </c>
      <c r="B285" s="157"/>
      <c r="C285" s="161">
        <f>C198</f>
        <v>646000</v>
      </c>
      <c r="D285" s="161">
        <f t="shared" ref="D285:L285" si="83">D198</f>
        <v>581400</v>
      </c>
      <c r="E285" s="161">
        <f t="shared" si="83"/>
        <v>523260</v>
      </c>
      <c r="F285" s="161">
        <f t="shared" si="83"/>
        <v>470934</v>
      </c>
      <c r="G285" s="161">
        <f t="shared" si="83"/>
        <v>423840.60000000003</v>
      </c>
      <c r="H285" s="161">
        <f t="shared" si="83"/>
        <v>381456.54000000004</v>
      </c>
      <c r="I285" s="161">
        <f t="shared" si="83"/>
        <v>343310.886</v>
      </c>
      <c r="J285" s="161">
        <f t="shared" si="83"/>
        <v>308979.79739999998</v>
      </c>
      <c r="K285" s="161">
        <f t="shared" si="83"/>
        <v>278081.81766</v>
      </c>
      <c r="L285" s="161">
        <f t="shared" si="83"/>
        <v>250273.63589399998</v>
      </c>
      <c r="N285" s="155" t="s">
        <v>162</v>
      </c>
      <c r="O285" s="157"/>
      <c r="P285" s="161">
        <f>C198</f>
        <v>646000</v>
      </c>
      <c r="Q285" s="161">
        <f t="shared" ref="Q285:Y285" si="84">D198</f>
        <v>581400</v>
      </c>
      <c r="R285" s="161">
        <f t="shared" si="84"/>
        <v>523260</v>
      </c>
      <c r="S285" s="161">
        <f t="shared" si="84"/>
        <v>470934</v>
      </c>
      <c r="T285" s="161">
        <f t="shared" si="84"/>
        <v>423840.60000000003</v>
      </c>
      <c r="U285" s="161">
        <f t="shared" si="84"/>
        <v>381456.54000000004</v>
      </c>
      <c r="V285" s="161">
        <f t="shared" si="84"/>
        <v>343310.886</v>
      </c>
      <c r="W285" s="161">
        <f t="shared" si="84"/>
        <v>308979.79739999998</v>
      </c>
      <c r="X285" s="161">
        <f t="shared" si="84"/>
        <v>278081.81766</v>
      </c>
      <c r="Y285" s="161">
        <f t="shared" si="84"/>
        <v>250273.63589399998</v>
      </c>
      <c r="Z285" s="161"/>
    </row>
    <row r="286" spans="1:26" x14ac:dyDescent="0.3">
      <c r="A286" s="163" t="s">
        <v>163</v>
      </c>
      <c r="B286" s="157"/>
      <c r="C286" s="164">
        <f t="shared" ref="C286:L286" si="85">C283-C284-C285</f>
        <v>124766840</v>
      </c>
      <c r="D286" s="164">
        <f t="shared" si="85"/>
        <v>124831440</v>
      </c>
      <c r="E286" s="164">
        <f t="shared" si="85"/>
        <v>124889580</v>
      </c>
      <c r="F286" s="164">
        <f t="shared" si="85"/>
        <v>124941906</v>
      </c>
      <c r="G286" s="164">
        <f t="shared" si="85"/>
        <v>124988999.40000001</v>
      </c>
      <c r="H286" s="164">
        <f t="shared" si="85"/>
        <v>125031383.45999999</v>
      </c>
      <c r="I286" s="164">
        <f t="shared" si="85"/>
        <v>125069529.11399999</v>
      </c>
      <c r="J286" s="164">
        <f t="shared" si="85"/>
        <v>125103860.2026</v>
      </c>
      <c r="K286" s="164">
        <f t="shared" si="85"/>
        <v>125134758.18234</v>
      </c>
      <c r="L286" s="165">
        <f t="shared" si="85"/>
        <v>125162566.364106</v>
      </c>
      <c r="N286" s="163" t="s">
        <v>163</v>
      </c>
      <c r="O286" s="157"/>
      <c r="P286" s="164">
        <f>P283-P284-P285</f>
        <v>33843198.800000012</v>
      </c>
      <c r="Q286" s="164">
        <f t="shared" ref="Q286" si="86">Q283-Q284-Q285</f>
        <v>33907798.800000012</v>
      </c>
      <c r="R286" s="164">
        <f>R283-R284-R285</f>
        <v>33965938.800000012</v>
      </c>
      <c r="S286" s="164">
        <f t="shared" ref="S286:X286" si="87">S283-S284-S285</f>
        <v>34018264.800000012</v>
      </c>
      <c r="T286" s="164">
        <f t="shared" si="87"/>
        <v>34065358.20000001</v>
      </c>
      <c r="U286" s="164">
        <f t="shared" si="87"/>
        <v>34107742.260000013</v>
      </c>
      <c r="V286" s="164">
        <f t="shared" si="87"/>
        <v>34145887.914000012</v>
      </c>
      <c r="W286" s="164">
        <f t="shared" si="87"/>
        <v>34180219.002600014</v>
      </c>
      <c r="X286" s="164">
        <f t="shared" si="87"/>
        <v>34211116.982340015</v>
      </c>
      <c r="Y286" s="165">
        <f>Y283-Y284-Y285</f>
        <v>34238925.164106011</v>
      </c>
    </row>
    <row r="287" spans="1:26" x14ac:dyDescent="0.3">
      <c r="A287" s="155" t="s">
        <v>164</v>
      </c>
      <c r="B287" s="157"/>
      <c r="C287" s="161">
        <f>C251</f>
        <v>37430052</v>
      </c>
      <c r="D287" s="161">
        <f t="shared" ref="D287:L287" si="88">D251</f>
        <v>37449432</v>
      </c>
      <c r="E287" s="161">
        <f t="shared" si="88"/>
        <v>37466874</v>
      </c>
      <c r="F287" s="161">
        <f t="shared" si="88"/>
        <v>37482571.799999997</v>
      </c>
      <c r="G287" s="161">
        <f t="shared" si="88"/>
        <v>37496699.82</v>
      </c>
      <c r="H287" s="161">
        <f t="shared" si="88"/>
        <v>37509415.037999995</v>
      </c>
      <c r="I287" s="161">
        <f t="shared" si="88"/>
        <v>37520858.734199993</v>
      </c>
      <c r="J287" s="161">
        <f t="shared" si="88"/>
        <v>37531158.060779996</v>
      </c>
      <c r="K287" s="161">
        <f t="shared" si="88"/>
        <v>37540427.454701997</v>
      </c>
      <c r="L287" s="161">
        <f t="shared" si="88"/>
        <v>37548769.909231797</v>
      </c>
      <c r="N287" s="155" t="s">
        <v>164</v>
      </c>
      <c r="O287" s="157"/>
      <c r="P287" s="161">
        <f>C200</f>
        <v>37430052</v>
      </c>
      <c r="Q287" s="161">
        <f t="shared" ref="Q287:Y287" si="89">D200</f>
        <v>37449432</v>
      </c>
      <c r="R287" s="161">
        <f t="shared" si="89"/>
        <v>37466874</v>
      </c>
      <c r="S287" s="161">
        <f t="shared" si="89"/>
        <v>37482571.799999997</v>
      </c>
      <c r="T287" s="161">
        <f t="shared" si="89"/>
        <v>37496699.82</v>
      </c>
      <c r="U287" s="161">
        <f t="shared" si="89"/>
        <v>37509415.037999995</v>
      </c>
      <c r="V287" s="161">
        <f t="shared" si="89"/>
        <v>37520858.734199993</v>
      </c>
      <c r="W287" s="161">
        <f t="shared" si="89"/>
        <v>37531158.060779996</v>
      </c>
      <c r="X287" s="161">
        <f t="shared" si="89"/>
        <v>37540427.454701997</v>
      </c>
      <c r="Y287" s="161">
        <f t="shared" si="89"/>
        <v>37548769.909231797</v>
      </c>
    </row>
    <row r="288" spans="1:26" x14ac:dyDescent="0.3">
      <c r="A288" s="163" t="s">
        <v>165</v>
      </c>
      <c r="B288" s="157"/>
      <c r="C288" s="164">
        <f t="shared" ref="C288:L288" si="90">C286-C287</f>
        <v>87336788</v>
      </c>
      <c r="D288" s="164">
        <f t="shared" si="90"/>
        <v>87382008</v>
      </c>
      <c r="E288" s="164">
        <f t="shared" si="90"/>
        <v>87422706</v>
      </c>
      <c r="F288" s="164">
        <f t="shared" si="90"/>
        <v>87459334.200000003</v>
      </c>
      <c r="G288" s="164">
        <f t="shared" si="90"/>
        <v>87492299.580000013</v>
      </c>
      <c r="H288" s="164">
        <f t="shared" si="90"/>
        <v>87521968.421999991</v>
      </c>
      <c r="I288" s="164">
        <f t="shared" si="90"/>
        <v>87548670.379799992</v>
      </c>
      <c r="J288" s="164">
        <f t="shared" si="90"/>
        <v>87572702.141820014</v>
      </c>
      <c r="K288" s="164">
        <f t="shared" si="90"/>
        <v>87594330.727638006</v>
      </c>
      <c r="L288" s="165">
        <f t="shared" si="90"/>
        <v>87613796.454874203</v>
      </c>
      <c r="N288" s="163" t="s">
        <v>165</v>
      </c>
      <c r="O288" s="157"/>
      <c r="P288" s="164">
        <f>P286-P287</f>
        <v>-3586853.1999999881</v>
      </c>
      <c r="Q288" s="164">
        <f t="shared" ref="Q288:Y288" si="91">Q286-Q287</f>
        <v>-3541633.1999999881</v>
      </c>
      <c r="R288" s="164">
        <f t="shared" si="91"/>
        <v>-3500935.1999999881</v>
      </c>
      <c r="S288" s="164">
        <f t="shared" si="91"/>
        <v>-3464306.9999999851</v>
      </c>
      <c r="T288" s="164">
        <f t="shared" si="91"/>
        <v>-3431341.6199999899</v>
      </c>
      <c r="U288" s="164">
        <f t="shared" si="91"/>
        <v>-3401672.7779999822</v>
      </c>
      <c r="V288" s="164">
        <f t="shared" si="91"/>
        <v>-3374970.8201999813</v>
      </c>
      <c r="W288" s="164">
        <f t="shared" si="91"/>
        <v>-3350939.058179982</v>
      </c>
      <c r="X288" s="164">
        <f t="shared" si="91"/>
        <v>-3329310.4723619819</v>
      </c>
      <c r="Y288" s="165">
        <f t="shared" si="91"/>
        <v>-3309844.7451257855</v>
      </c>
    </row>
    <row r="289" spans="1:25" x14ac:dyDescent="0.3">
      <c r="A289" s="155" t="s">
        <v>166</v>
      </c>
      <c r="B289" s="157"/>
      <c r="C289" s="161">
        <f t="shared" ref="C289:L289" si="92">C285</f>
        <v>646000</v>
      </c>
      <c r="D289" s="161">
        <f t="shared" si="92"/>
        <v>581400</v>
      </c>
      <c r="E289" s="161">
        <f t="shared" si="92"/>
        <v>523260</v>
      </c>
      <c r="F289" s="161">
        <f t="shared" si="92"/>
        <v>470934</v>
      </c>
      <c r="G289" s="161">
        <f t="shared" si="92"/>
        <v>423840.60000000003</v>
      </c>
      <c r="H289" s="161">
        <f t="shared" si="92"/>
        <v>381456.54000000004</v>
      </c>
      <c r="I289" s="161">
        <f t="shared" si="92"/>
        <v>343310.886</v>
      </c>
      <c r="J289" s="161">
        <f t="shared" si="92"/>
        <v>308979.79739999998</v>
      </c>
      <c r="K289" s="161">
        <f t="shared" si="92"/>
        <v>278081.81766</v>
      </c>
      <c r="L289" s="161">
        <f t="shared" si="92"/>
        <v>250273.63589399998</v>
      </c>
      <c r="N289" s="155" t="s">
        <v>166</v>
      </c>
      <c r="O289" s="157"/>
      <c r="P289" s="161">
        <f>P285</f>
        <v>646000</v>
      </c>
      <c r="Q289" s="161">
        <f>Q285</f>
        <v>581400</v>
      </c>
      <c r="R289" s="161">
        <f t="shared" ref="R289:Y289" si="93">R285</f>
        <v>523260</v>
      </c>
      <c r="S289" s="161">
        <f t="shared" si="93"/>
        <v>470934</v>
      </c>
      <c r="T289" s="161">
        <f t="shared" si="93"/>
        <v>423840.60000000003</v>
      </c>
      <c r="U289" s="161">
        <f t="shared" si="93"/>
        <v>381456.54000000004</v>
      </c>
      <c r="V289" s="161">
        <f t="shared" si="93"/>
        <v>343310.886</v>
      </c>
      <c r="W289" s="161">
        <f t="shared" si="93"/>
        <v>308979.79739999998</v>
      </c>
      <c r="X289" s="161">
        <f t="shared" si="93"/>
        <v>278081.81766</v>
      </c>
      <c r="Y289" s="162">
        <f t="shared" si="93"/>
        <v>250273.63589399998</v>
      </c>
    </row>
    <row r="290" spans="1:25" x14ac:dyDescent="0.3">
      <c r="A290" s="166" t="s">
        <v>167</v>
      </c>
      <c r="B290" s="157"/>
      <c r="C290" s="176">
        <f>C203</f>
        <v>2000000</v>
      </c>
      <c r="D290" s="176">
        <f t="shared" ref="D290:L290" si="94">D203</f>
        <v>2000000</v>
      </c>
      <c r="E290" s="176">
        <f t="shared" si="94"/>
        <v>2000000</v>
      </c>
      <c r="F290" s="176">
        <f t="shared" si="94"/>
        <v>2000000</v>
      </c>
      <c r="G290" s="176">
        <f t="shared" si="94"/>
        <v>2000000</v>
      </c>
      <c r="H290" s="176">
        <f t="shared" si="94"/>
        <v>1000000</v>
      </c>
      <c r="I290" s="176">
        <f t="shared" si="94"/>
        <v>1000000</v>
      </c>
      <c r="J290" s="176">
        <f t="shared" si="94"/>
        <v>1000000</v>
      </c>
      <c r="K290" s="176">
        <f t="shared" si="94"/>
        <v>1000000</v>
      </c>
      <c r="L290" s="176">
        <f t="shared" si="94"/>
        <v>1000000</v>
      </c>
      <c r="N290" s="166" t="s">
        <v>167</v>
      </c>
      <c r="O290" s="157"/>
      <c r="P290" s="176">
        <f>C203</f>
        <v>2000000</v>
      </c>
      <c r="Q290" s="176">
        <f t="shared" ref="Q290:Y290" si="95">D203</f>
        <v>2000000</v>
      </c>
      <c r="R290" s="176">
        <f t="shared" si="95"/>
        <v>2000000</v>
      </c>
      <c r="S290" s="176">
        <f t="shared" si="95"/>
        <v>2000000</v>
      </c>
      <c r="T290" s="176">
        <f t="shared" si="95"/>
        <v>2000000</v>
      </c>
      <c r="U290" s="176">
        <f t="shared" si="95"/>
        <v>1000000</v>
      </c>
      <c r="V290" s="176">
        <f t="shared" si="95"/>
        <v>1000000</v>
      </c>
      <c r="W290" s="176">
        <f t="shared" si="95"/>
        <v>1000000</v>
      </c>
      <c r="X290" s="176">
        <f t="shared" si="95"/>
        <v>1000000</v>
      </c>
      <c r="Y290" s="176">
        <f t="shared" si="95"/>
        <v>1000000</v>
      </c>
    </row>
    <row r="291" spans="1:25" x14ac:dyDescent="0.3">
      <c r="A291" s="166" t="s">
        <v>168</v>
      </c>
      <c r="B291" s="157"/>
      <c r="C291" s="157"/>
      <c r="D291" s="158"/>
      <c r="E291" s="158"/>
      <c r="F291" s="158"/>
      <c r="G291" s="158"/>
      <c r="H291" s="158"/>
      <c r="I291" s="158"/>
      <c r="J291" s="158"/>
      <c r="K291" s="158"/>
      <c r="L291" s="167">
        <f>L204</f>
        <v>5624261.1830861997</v>
      </c>
      <c r="N291" s="166" t="s">
        <v>168</v>
      </c>
      <c r="O291" s="157"/>
      <c r="P291" s="157"/>
      <c r="Q291" s="158"/>
      <c r="R291" s="158"/>
      <c r="S291" s="158"/>
      <c r="T291" s="158"/>
      <c r="U291" s="158"/>
      <c r="V291" s="158"/>
      <c r="W291" s="158"/>
      <c r="X291" s="158"/>
      <c r="Y291" s="167">
        <f>L204</f>
        <v>5624261.1830861997</v>
      </c>
    </row>
    <row r="292" spans="1:25" x14ac:dyDescent="0.3">
      <c r="A292" s="168" t="s">
        <v>169</v>
      </c>
      <c r="B292" s="169">
        <f>B282</f>
        <v>-10340000</v>
      </c>
      <c r="C292" s="170">
        <f t="shared" ref="C292:K292" si="96">C288+C289-C290</f>
        <v>85982788</v>
      </c>
      <c r="D292" s="170">
        <f t="shared" si="96"/>
        <v>85963408</v>
      </c>
      <c r="E292" s="170">
        <f t="shared" si="96"/>
        <v>85945966</v>
      </c>
      <c r="F292" s="170">
        <f t="shared" si="96"/>
        <v>85930268.200000003</v>
      </c>
      <c r="G292" s="170">
        <f t="shared" si="96"/>
        <v>85916140.180000007</v>
      </c>
      <c r="H292" s="170">
        <f t="shared" si="96"/>
        <v>86903424.961999997</v>
      </c>
      <c r="I292" s="170">
        <f t="shared" si="96"/>
        <v>86891981.265799999</v>
      </c>
      <c r="J292" s="170">
        <f t="shared" si="96"/>
        <v>86881681.939220011</v>
      </c>
      <c r="K292" s="170">
        <f t="shared" si="96"/>
        <v>86872412.54529801</v>
      </c>
      <c r="L292" s="171">
        <f>L288+L289-L290+L291</f>
        <v>92488331.273854405</v>
      </c>
      <c r="N292" s="168" t="s">
        <v>169</v>
      </c>
      <c r="O292" s="169">
        <f>O282</f>
        <v>-12408000</v>
      </c>
      <c r="P292" s="170">
        <f t="shared" ref="P292:X292" si="97">P288+P289-P290</f>
        <v>-4940853.1999999881</v>
      </c>
      <c r="Q292" s="170">
        <f t="shared" si="97"/>
        <v>-4960233.1999999881</v>
      </c>
      <c r="R292" s="170">
        <f t="shared" si="97"/>
        <v>-4977675.1999999881</v>
      </c>
      <c r="S292" s="170">
        <f t="shared" si="97"/>
        <v>-4993372.9999999851</v>
      </c>
      <c r="T292" s="170">
        <f t="shared" si="97"/>
        <v>-5007501.0199999902</v>
      </c>
      <c r="U292" s="170">
        <f t="shared" si="97"/>
        <v>-4020216.2379999822</v>
      </c>
      <c r="V292" s="170">
        <f t="shared" si="97"/>
        <v>-4031659.9341999814</v>
      </c>
      <c r="W292" s="170">
        <f t="shared" si="97"/>
        <v>-4041959.260779982</v>
      </c>
      <c r="X292" s="170">
        <f t="shared" si="97"/>
        <v>-4051228.6547019817</v>
      </c>
      <c r="Y292" s="171">
        <f>Y288+Y289-Y290+Y291</f>
        <v>1564690.0738544143</v>
      </c>
    </row>
    <row r="293" spans="1:25" x14ac:dyDescent="0.3">
      <c r="A293" s="172" t="s">
        <v>118</v>
      </c>
      <c r="B293" s="169">
        <f>B292</f>
        <v>-10340000</v>
      </c>
      <c r="C293" s="38"/>
      <c r="D293" s="38"/>
      <c r="E293" s="38"/>
      <c r="F293" s="38"/>
      <c r="G293" s="38"/>
      <c r="H293" s="38"/>
      <c r="I293" s="38"/>
      <c r="J293" s="38"/>
      <c r="K293" s="38"/>
      <c r="L293" s="173">
        <f>B292:L292</f>
        <v>92488331.273854405</v>
      </c>
      <c r="N293" s="172" t="s">
        <v>118</v>
      </c>
      <c r="O293" s="169">
        <f>O292</f>
        <v>-12408000</v>
      </c>
      <c r="P293" s="38"/>
      <c r="Q293" s="38"/>
      <c r="R293" s="38"/>
      <c r="S293" s="38"/>
      <c r="T293" s="38"/>
      <c r="U293" s="38"/>
      <c r="V293" s="38"/>
      <c r="W293" s="38"/>
      <c r="X293" s="38"/>
      <c r="Y293" s="173">
        <f>O292:Y292</f>
        <v>1564690.0738544143</v>
      </c>
    </row>
    <row r="294" spans="1:25" ht="15" thickBot="1" x14ac:dyDescent="0.35">
      <c r="A294" s="174" t="s">
        <v>146</v>
      </c>
      <c r="B294" s="175"/>
      <c r="C294" s="175"/>
      <c r="D294" s="175"/>
      <c r="E294" s="175"/>
      <c r="F294" s="175"/>
      <c r="G294" s="175"/>
      <c r="H294" s="175"/>
      <c r="I294" s="175"/>
      <c r="J294" s="175"/>
      <c r="K294" s="175"/>
      <c r="L294" s="214">
        <f>NPV(F145,C292:L292)+B292</f>
        <v>485573173.14103764</v>
      </c>
      <c r="N294" s="174" t="s">
        <v>146</v>
      </c>
      <c r="O294" s="175"/>
      <c r="P294" s="175"/>
      <c r="Q294" s="175"/>
      <c r="R294" s="175"/>
      <c r="S294" s="175"/>
      <c r="T294" s="175"/>
      <c r="U294" s="175"/>
      <c r="V294" s="175"/>
      <c r="W294" s="175"/>
      <c r="X294" s="175"/>
      <c r="Y294" s="214">
        <f>NPV(F145,P292:Y292)+O292</f>
        <v>-37059453.460296616</v>
      </c>
    </row>
    <row r="296" spans="1:25" ht="15" thickBot="1" x14ac:dyDescent="0.35"/>
    <row r="297" spans="1:25" ht="15" thickBot="1" x14ac:dyDescent="0.35">
      <c r="A297" s="39" t="s">
        <v>177</v>
      </c>
      <c r="B297" s="186">
        <f>L294</f>
        <v>485573173.14103764</v>
      </c>
      <c r="D297" s="39" t="s">
        <v>178</v>
      </c>
      <c r="E297" s="186">
        <f>Y294</f>
        <v>-37059453.460296616</v>
      </c>
    </row>
    <row r="298" spans="1:25" ht="15" thickBot="1" x14ac:dyDescent="0.35">
      <c r="A298" s="187"/>
      <c r="B298" s="187"/>
    </row>
    <row r="299" spans="1:25" x14ac:dyDescent="0.3">
      <c r="A299" s="32" t="s">
        <v>179</v>
      </c>
      <c r="B299" s="188">
        <f>B282</f>
        <v>-10340000</v>
      </c>
      <c r="D299" s="32" t="s">
        <v>179</v>
      </c>
      <c r="E299" s="188">
        <f>O282</f>
        <v>-12408000</v>
      </c>
    </row>
    <row r="300" spans="1:25" x14ac:dyDescent="0.3">
      <c r="A300" s="7" t="s">
        <v>160</v>
      </c>
      <c r="B300" s="189">
        <f>C283</f>
        <v>492702840</v>
      </c>
      <c r="D300" s="7" t="s">
        <v>160</v>
      </c>
      <c r="E300" s="189">
        <f>P283</f>
        <v>344891988</v>
      </c>
    </row>
    <row r="301" spans="1:25" ht="15" thickBot="1" x14ac:dyDescent="0.35">
      <c r="A301" s="23" t="s">
        <v>180</v>
      </c>
      <c r="B301" s="190">
        <f>C284</f>
        <v>367290000</v>
      </c>
      <c r="D301" s="23" t="s">
        <v>180</v>
      </c>
      <c r="E301" s="190">
        <f>P284</f>
        <v>310402789.19999999</v>
      </c>
    </row>
    <row r="302" spans="1:25" ht="15" thickBot="1" x14ac:dyDescent="0.35"/>
    <row r="303" spans="1:25" x14ac:dyDescent="0.3">
      <c r="A303" s="365" t="s">
        <v>181</v>
      </c>
      <c r="B303" s="366"/>
      <c r="C303" s="366"/>
      <c r="D303" s="366"/>
      <c r="E303" s="367"/>
    </row>
    <row r="304" spans="1:25" ht="15" thickBot="1" x14ac:dyDescent="0.35">
      <c r="A304" s="368"/>
      <c r="B304" s="369"/>
      <c r="C304" s="369"/>
      <c r="D304" s="369"/>
      <c r="E304" s="370"/>
    </row>
  </sheetData>
  <mergeCells count="169">
    <mergeCell ref="A155:A156"/>
    <mergeCell ref="A158:C158"/>
    <mergeCell ref="A159:C159"/>
    <mergeCell ref="A160:C160"/>
    <mergeCell ref="A164:A165"/>
    <mergeCell ref="A167:C167"/>
    <mergeCell ref="J134:K134"/>
    <mergeCell ref="B134:D134"/>
    <mergeCell ref="C135:C139"/>
    <mergeCell ref="E143:J143"/>
    <mergeCell ref="E280:F280"/>
    <mergeCell ref="S280:T280"/>
    <mergeCell ref="A303:E304"/>
    <mergeCell ref="A191:C191"/>
    <mergeCell ref="A183:M183"/>
    <mergeCell ref="N210:O210"/>
    <mergeCell ref="N244:O244"/>
    <mergeCell ref="D187:F187"/>
    <mergeCell ref="A168:C168"/>
    <mergeCell ref="A169:C169"/>
    <mergeCell ref="A106:F106"/>
    <mergeCell ref="A107:F107"/>
    <mergeCell ref="A108:F108"/>
    <mergeCell ref="A109:F109"/>
    <mergeCell ref="A110:F110"/>
    <mergeCell ref="A111:F111"/>
    <mergeCell ref="L145:M145"/>
    <mergeCell ref="F134:H134"/>
    <mergeCell ref="J135:K135"/>
    <mergeCell ref="J136:K136"/>
    <mergeCell ref="G138:H138"/>
    <mergeCell ref="J137:K137"/>
    <mergeCell ref="M136:N136"/>
    <mergeCell ref="A124:F124"/>
    <mergeCell ref="A125:F125"/>
    <mergeCell ref="A126:F126"/>
    <mergeCell ref="A127:F127"/>
    <mergeCell ref="A131:O131"/>
    <mergeCell ref="L134:O134"/>
    <mergeCell ref="L143:M143"/>
    <mergeCell ref="L144:M144"/>
    <mergeCell ref="A118:F118"/>
    <mergeCell ref="A119:F119"/>
    <mergeCell ref="A120:F120"/>
    <mergeCell ref="A121:F121"/>
    <mergeCell ref="A122:F122"/>
    <mergeCell ref="A123:F123"/>
    <mergeCell ref="A112:F112"/>
    <mergeCell ref="A113:F113"/>
    <mergeCell ref="A114:F114"/>
    <mergeCell ref="A115:F115"/>
    <mergeCell ref="A116:F116"/>
    <mergeCell ref="A117:F117"/>
    <mergeCell ref="A97:E97"/>
    <mergeCell ref="F97:G97"/>
    <mergeCell ref="A102:F102"/>
    <mergeCell ref="A103:F103"/>
    <mergeCell ref="A104:F104"/>
    <mergeCell ref="A105:F105"/>
    <mergeCell ref="F94:G94"/>
    <mergeCell ref="F95:G95"/>
    <mergeCell ref="F96:G96"/>
    <mergeCell ref="A100:Q100"/>
    <mergeCell ref="A98:E98"/>
    <mergeCell ref="F98:G98"/>
    <mergeCell ref="A93:E93"/>
    <mergeCell ref="A94:E94"/>
    <mergeCell ref="A95:E95"/>
    <mergeCell ref="A96:E96"/>
    <mergeCell ref="A90:E90"/>
    <mergeCell ref="A89:G89"/>
    <mergeCell ref="F90:G90"/>
    <mergeCell ref="F91:G91"/>
    <mergeCell ref="F92:G92"/>
    <mergeCell ref="F93:G93"/>
    <mergeCell ref="A91:E91"/>
    <mergeCell ref="A92:E92"/>
    <mergeCell ref="K75:M75"/>
    <mergeCell ref="K76:L76"/>
    <mergeCell ref="K77:L77"/>
    <mergeCell ref="K78:L78"/>
    <mergeCell ref="B80:C80"/>
    <mergeCell ref="A83:D83"/>
    <mergeCell ref="A84:D84"/>
    <mergeCell ref="A85:D85"/>
    <mergeCell ref="A86:D86"/>
    <mergeCell ref="A68:A72"/>
    <mergeCell ref="B68:C68"/>
    <mergeCell ref="B69:C69"/>
    <mergeCell ref="B70:C70"/>
    <mergeCell ref="B71:C71"/>
    <mergeCell ref="B72:C72"/>
    <mergeCell ref="F68:H68"/>
    <mergeCell ref="F69:H69"/>
    <mergeCell ref="F70:H70"/>
    <mergeCell ref="F71:H71"/>
    <mergeCell ref="F72:H72"/>
    <mergeCell ref="A87:D87"/>
    <mergeCell ref="B73:D73"/>
    <mergeCell ref="F73:H73"/>
    <mergeCell ref="A75:A79"/>
    <mergeCell ref="B75:C75"/>
    <mergeCell ref="B76:C76"/>
    <mergeCell ref="B77:C77"/>
    <mergeCell ref="B78:C78"/>
    <mergeCell ref="B79:C79"/>
    <mergeCell ref="A62:A66"/>
    <mergeCell ref="B62:C62"/>
    <mergeCell ref="B63:C63"/>
    <mergeCell ref="B64:C64"/>
    <mergeCell ref="B65:C65"/>
    <mergeCell ref="B66:C66"/>
    <mergeCell ref="F62:H62"/>
    <mergeCell ref="B58:C58"/>
    <mergeCell ref="B59:C59"/>
    <mergeCell ref="F63:H63"/>
    <mergeCell ref="F59:H59"/>
    <mergeCell ref="F64:H64"/>
    <mergeCell ref="F65:H65"/>
    <mergeCell ref="F66:H66"/>
    <mergeCell ref="B45:C45"/>
    <mergeCell ref="A51:B51"/>
    <mergeCell ref="A56:B56"/>
    <mergeCell ref="D52:D54"/>
    <mergeCell ref="E52:F52"/>
    <mergeCell ref="E53:F53"/>
    <mergeCell ref="E54:F54"/>
    <mergeCell ref="D55:G55"/>
    <mergeCell ref="F60:H60"/>
    <mergeCell ref="B60:C60"/>
    <mergeCell ref="A58:A60"/>
    <mergeCell ref="A10:B10"/>
    <mergeCell ref="C15:D15"/>
    <mergeCell ref="A8:B8"/>
    <mergeCell ref="A9:B9"/>
    <mergeCell ref="G1:I1"/>
    <mergeCell ref="B3:C4"/>
    <mergeCell ref="B5:C6"/>
    <mergeCell ref="D3:D4"/>
    <mergeCell ref="D5:D6"/>
    <mergeCell ref="A3:A6"/>
    <mergeCell ref="E3:E4"/>
    <mergeCell ref="E5:E6"/>
    <mergeCell ref="F3:G3"/>
    <mergeCell ref="F4:G4"/>
    <mergeCell ref="A176:A177"/>
    <mergeCell ref="C179:C180"/>
    <mergeCell ref="G174:L174"/>
    <mergeCell ref="H175:L175"/>
    <mergeCell ref="H176:L176"/>
    <mergeCell ref="H177:L177"/>
    <mergeCell ref="A12:A13"/>
    <mergeCell ref="C12:D12"/>
    <mergeCell ref="C13:D13"/>
    <mergeCell ref="A32:E35"/>
    <mergeCell ref="A31:E31"/>
    <mergeCell ref="A46:A49"/>
    <mergeCell ref="B46:C46"/>
    <mergeCell ref="B47:C47"/>
    <mergeCell ref="B48:C48"/>
    <mergeCell ref="A22:D22"/>
    <mergeCell ref="A23:D24"/>
    <mergeCell ref="A27:A29"/>
    <mergeCell ref="B27:C27"/>
    <mergeCell ref="B28:C28"/>
    <mergeCell ref="B29:C29"/>
    <mergeCell ref="F57:H57"/>
    <mergeCell ref="F58:H58"/>
    <mergeCell ref="B49:C49"/>
  </mergeCells>
  <pageMargins left="0.7" right="0.7" top="0.75" bottom="0.75" header="0.3" footer="0.3"/>
  <pageSetup orientation="portrait" r:id="rId1"/>
  <ignoredErrors>
    <ignoredError sqref="E64 P250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Sathik</dc:creator>
  <cp:lastModifiedBy>Sathik</cp:lastModifiedBy>
  <dcterms:created xsi:type="dcterms:W3CDTF">2023-01-20T14:30:44Z</dcterms:created>
  <dcterms:modified xsi:type="dcterms:W3CDTF">2023-01-21T21:51:42Z</dcterms:modified>
</cp:coreProperties>
</file>