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6600" windowHeight="10605" activeTab="2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CO_PO_AttainmentAnalysis!$A$1:$BR$51</definedName>
  </definedNames>
  <calcPr calcId="144525"/>
</workbook>
</file>

<file path=xl/calcChain.xml><?xml version="1.0" encoding="utf-8"?>
<calcChain xmlns="http://schemas.openxmlformats.org/spreadsheetml/2006/main">
  <c r="AR23" i="3" l="1"/>
  <c r="AS23" i="3"/>
  <c r="AC16" i="3"/>
  <c r="AI16" i="3" s="1"/>
  <c r="AD16" i="3"/>
  <c r="AJ16" i="3" s="1"/>
  <c r="AE16" i="3"/>
  <c r="AK16" i="3" s="1"/>
  <c r="AF16" i="3"/>
  <c r="AL16" i="3" s="1"/>
  <c r="AG16" i="3"/>
  <c r="AM16" i="3" s="1"/>
  <c r="AB16" i="3"/>
  <c r="AH16" i="3" s="1"/>
  <c r="AL23" i="3"/>
  <c r="AM23" i="3"/>
  <c r="AD23" i="3"/>
  <c r="AJ23" i="3" s="1"/>
  <c r="AP23" i="3" s="1"/>
  <c r="AE23" i="3"/>
  <c r="AK23" i="3" s="1"/>
  <c r="AQ23" i="3" s="1"/>
  <c r="AF23" i="3"/>
  <c r="AG23" i="3"/>
  <c r="AC23" i="3"/>
  <c r="AI23" i="3" s="1"/>
  <c r="AO23" i="3" s="1"/>
  <c r="AB23" i="3"/>
  <c r="AH23" i="3" s="1"/>
  <c r="AW23" i="3" l="1"/>
  <c r="BI23" i="3" s="1"/>
  <c r="BA23" i="3"/>
  <c r="BM23" i="3" s="1"/>
  <c r="BE23" i="3"/>
  <c r="BQ23" i="3" s="1"/>
  <c r="AX23" i="3"/>
  <c r="BJ23" i="3" s="1"/>
  <c r="BB23" i="3"/>
  <c r="BN23" i="3" s="1"/>
  <c r="BF23" i="3"/>
  <c r="BR23" i="3" s="1"/>
  <c r="AN23" i="3"/>
  <c r="AY23" i="3"/>
  <c r="BK23" i="3" s="1"/>
  <c r="BC23" i="3"/>
  <c r="BO23" i="3" s="1"/>
  <c r="AU23" i="3"/>
  <c r="BG23" i="3" s="1"/>
  <c r="AV23" i="3"/>
  <c r="BH23" i="3" s="1"/>
  <c r="AZ23" i="3"/>
  <c r="BL23" i="3" s="1"/>
  <c r="BD23" i="3"/>
  <c r="BP23" i="3" s="1"/>
  <c r="AY16" i="3" a="1"/>
  <c r="AY16" i="3" s="1"/>
  <c r="BK16" i="3" s="1"/>
  <c r="BC16" i="3" a="1"/>
  <c r="BC16" i="3" s="1"/>
  <c r="BO16" i="3" s="1"/>
  <c r="AU16" i="3" a="1"/>
  <c r="AU16" i="3" s="1"/>
  <c r="AX16" i="3" a="1"/>
  <c r="AX16" i="3" s="1"/>
  <c r="BJ16" i="3"/>
  <c r="BG16" i="3"/>
  <c r="BF16" i="3" a="1"/>
  <c r="BF16" i="3" s="1"/>
  <c r="BR16" i="3" s="1"/>
  <c r="BB16" i="3" a="1"/>
  <c r="BB16" i="3" s="1"/>
  <c r="BN16" i="3" s="1"/>
  <c r="BE16" i="3" a="1"/>
  <c r="BE16" i="3" s="1"/>
  <c r="BQ16" i="3" s="1"/>
  <c r="BA16" i="3" a="1"/>
  <c r="BA16" i="3" s="1"/>
  <c r="BM16" i="3" s="1"/>
  <c r="AW16" i="3" a="1"/>
  <c r="AW16" i="3" s="1"/>
  <c r="BI16" i="3" s="1"/>
  <c r="AN16" i="3"/>
  <c r="BD16" i="3" a="1"/>
  <c r="BD16" i="3" s="1"/>
  <c r="BP16" i="3" s="1"/>
  <c r="AZ16" i="3" a="1"/>
  <c r="AZ16" i="3" s="1"/>
  <c r="AV16" i="3" a="1"/>
  <c r="AV16" i="3" s="1"/>
  <c r="M12" i="1"/>
  <c r="M13" i="1"/>
  <c r="M15" i="1"/>
  <c r="M23" i="1"/>
  <c r="G11" i="1"/>
  <c r="H11" i="1"/>
  <c r="I11" i="1"/>
  <c r="K17" i="1"/>
  <c r="M17" i="1" s="1"/>
  <c r="I17" i="1"/>
  <c r="H17" i="1"/>
  <c r="G17" i="1"/>
  <c r="J17" i="1"/>
  <c r="J1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10" i="1"/>
  <c r="BL16" i="3" l="1"/>
  <c r="BH16" i="3"/>
  <c r="L17" i="1"/>
  <c r="K11" i="1"/>
  <c r="M11" i="1" s="1"/>
  <c r="AB17" i="3"/>
  <c r="AC17" i="3"/>
  <c r="AD17" i="3"/>
  <c r="AE17" i="3"/>
  <c r="AF17" i="3"/>
  <c r="AG17" i="3"/>
  <c r="AM17" i="3"/>
  <c r="BA17" i="3"/>
  <c r="BB17" i="3"/>
  <c r="BC17" i="3"/>
  <c r="BD17" i="3"/>
  <c r="BE17" i="3"/>
  <c r="BF17" i="3"/>
  <c r="L11" i="1" l="1"/>
  <c r="E16" i="1"/>
  <c r="G16" i="1"/>
  <c r="H16" i="1"/>
  <c r="I16" i="1"/>
  <c r="J16" i="1"/>
  <c r="H10" i="1"/>
  <c r="K16" i="1" l="1"/>
  <c r="M16" i="1" s="1"/>
  <c r="AF18" i="3"/>
  <c r="AF19" i="3"/>
  <c r="AF20" i="3"/>
  <c r="AF21" i="3"/>
  <c r="AF22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15" i="3"/>
  <c r="AE18" i="3"/>
  <c r="AE19" i="3"/>
  <c r="AE20" i="3"/>
  <c r="AE21" i="3"/>
  <c r="AE22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15" i="3"/>
  <c r="AD18" i="3"/>
  <c r="AD19" i="3"/>
  <c r="AD20" i="3"/>
  <c r="AD21" i="3"/>
  <c r="AD22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15" i="3"/>
  <c r="AC18" i="3"/>
  <c r="AC19" i="3"/>
  <c r="AC20" i="3"/>
  <c r="AC21" i="3"/>
  <c r="AC22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15" i="3"/>
  <c r="AB18" i="3"/>
  <c r="AB19" i="3"/>
  <c r="AB20" i="3"/>
  <c r="AB21" i="3"/>
  <c r="AB22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15" i="3"/>
  <c r="L16" i="1" l="1"/>
  <c r="Q43" i="1"/>
  <c r="Q42" i="1"/>
  <c r="Q41" i="1"/>
  <c r="R43" i="1"/>
  <c r="R42" i="1"/>
  <c r="R41" i="1"/>
  <c r="T43" i="1"/>
  <c r="T42" i="1"/>
  <c r="T41" i="1"/>
  <c r="V43" i="1"/>
  <c r="V42" i="1"/>
  <c r="V41" i="1"/>
  <c r="W43" i="1"/>
  <c r="W42" i="1"/>
  <c r="W41" i="1"/>
  <c r="U43" i="1"/>
  <c r="U42" i="1"/>
  <c r="U41" i="1"/>
  <c r="G12" i="1" l="1"/>
  <c r="G13" i="1"/>
  <c r="G14" i="1"/>
  <c r="G15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10" i="1"/>
  <c r="I12" i="1"/>
  <c r="I13" i="1"/>
  <c r="I14" i="1"/>
  <c r="I15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0" i="1"/>
  <c r="B34" i="5" l="1"/>
  <c r="B4" i="5"/>
  <c r="D3" i="5"/>
  <c r="B3" i="5"/>
  <c r="D2" i="5"/>
  <c r="B2" i="5"/>
  <c r="O53" i="4"/>
  <c r="E53" i="4"/>
  <c r="E52" i="4"/>
  <c r="O51" i="4"/>
  <c r="E51" i="4"/>
  <c r="AL41" i="4"/>
  <c r="AL40" i="4"/>
  <c r="AL39" i="4"/>
  <c r="AL38" i="4"/>
  <c r="Q33" i="4"/>
  <c r="AL32" i="4"/>
  <c r="Q32" i="4"/>
  <c r="AL31" i="4"/>
  <c r="Q31" i="4"/>
  <c r="Q30" i="4"/>
  <c r="AL26" i="4"/>
  <c r="AL25" i="4"/>
  <c r="AL24" i="4"/>
  <c r="AL23" i="4"/>
  <c r="O4" i="4"/>
  <c r="E4" i="4"/>
  <c r="E3" i="4"/>
  <c r="O2" i="4"/>
  <c r="E2" i="4"/>
  <c r="B50" i="3"/>
  <c r="B49" i="3"/>
  <c r="B48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A44" i="3"/>
  <c r="AK42" i="3"/>
  <c r="AI42" i="3"/>
  <c r="AH42" i="3"/>
  <c r="AG42" i="3"/>
  <c r="AM42" i="3" s="1"/>
  <c r="AI41" i="3"/>
  <c r="AG41" i="3"/>
  <c r="AM41" i="3" s="1"/>
  <c r="AK40" i="3"/>
  <c r="AI40" i="3"/>
  <c r="AG40" i="3"/>
  <c r="AM40" i="3" s="1"/>
  <c r="AG39" i="3"/>
  <c r="AM39" i="3" s="1"/>
  <c r="AK38" i="3"/>
  <c r="AG38" i="3"/>
  <c r="AM38" i="3" s="1"/>
  <c r="AG37" i="3"/>
  <c r="AM37" i="3" s="1"/>
  <c r="AK36" i="3"/>
  <c r="AG36" i="3"/>
  <c r="AM36" i="3" s="1"/>
  <c r="AG35" i="3"/>
  <c r="AM35" i="3" s="1"/>
  <c r="AG34" i="3"/>
  <c r="AM34" i="3" s="1"/>
  <c r="AI33" i="3"/>
  <c r="AG33" i="3"/>
  <c r="AM33" i="3" s="1"/>
  <c r="AK32" i="3"/>
  <c r="AJ32" i="3"/>
  <c r="AH32" i="3"/>
  <c r="AG32" i="3"/>
  <c r="AM32" i="3" s="1"/>
  <c r="AK31" i="3"/>
  <c r="AJ31" i="3"/>
  <c r="AH31" i="3"/>
  <c r="AG31" i="3"/>
  <c r="AM31" i="3" s="1"/>
  <c r="AK30" i="3"/>
  <c r="AJ30" i="3"/>
  <c r="AI30" i="3"/>
  <c r="AH30" i="3"/>
  <c r="AG30" i="3"/>
  <c r="AM30" i="3" s="1"/>
  <c r="AG29" i="3"/>
  <c r="AM29" i="3" s="1"/>
  <c r="AG28" i="3"/>
  <c r="AM28" i="3" s="1"/>
  <c r="AG27" i="3"/>
  <c r="AM27" i="3" s="1"/>
  <c r="AG26" i="3"/>
  <c r="AM26" i="3" s="1"/>
  <c r="AG25" i="3"/>
  <c r="AM25" i="3" s="1"/>
  <c r="AI24" i="3"/>
  <c r="AG24" i="3"/>
  <c r="AM24" i="3" s="1"/>
  <c r="AK22" i="3"/>
  <c r="AG22" i="3"/>
  <c r="AM22" i="3" s="1"/>
  <c r="AK21" i="3"/>
  <c r="AG21" i="3"/>
  <c r="AM21" i="3" s="1"/>
  <c r="AK20" i="3"/>
  <c r="AI20" i="3"/>
  <c r="AG20" i="3"/>
  <c r="AM20" i="3" s="1"/>
  <c r="AK19" i="3"/>
  <c r="AG19" i="3"/>
  <c r="AM19" i="3" s="1"/>
  <c r="AI18" i="3"/>
  <c r="AG18" i="3"/>
  <c r="AM18" i="3" s="1"/>
  <c r="AG15" i="3"/>
  <c r="AM15" i="3" s="1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V12" i="3"/>
  <c r="J12" i="3"/>
  <c r="D12" i="3"/>
  <c r="A11" i="3"/>
  <c r="BG9" i="3"/>
  <c r="BF9" i="3"/>
  <c r="BE9" i="3"/>
  <c r="BD9" i="3"/>
  <c r="BC9" i="3"/>
  <c r="BB9" i="3"/>
  <c r="BA9" i="3"/>
  <c r="AZ9" i="3"/>
  <c r="AY9" i="3"/>
  <c r="AX9" i="3"/>
  <c r="AW9" i="3"/>
  <c r="AV9" i="3"/>
  <c r="I7" i="3"/>
  <c r="H7" i="3"/>
  <c r="G7" i="3"/>
  <c r="F7" i="3"/>
  <c r="E7" i="3"/>
  <c r="D7" i="3"/>
  <c r="B52" i="1"/>
  <c r="C48" i="1"/>
  <c r="S43" i="1"/>
  <c r="P43" i="1"/>
  <c r="S42" i="1"/>
  <c r="P42" i="1"/>
  <c r="S41" i="1"/>
  <c r="P41" i="1"/>
  <c r="J37" i="1"/>
  <c r="H37" i="1"/>
  <c r="E37" i="1"/>
  <c r="J36" i="1"/>
  <c r="H36" i="1"/>
  <c r="E36" i="1"/>
  <c r="J35" i="1"/>
  <c r="H35" i="1"/>
  <c r="E35" i="1"/>
  <c r="J34" i="1"/>
  <c r="H34" i="1"/>
  <c r="E34" i="1"/>
  <c r="J33" i="1"/>
  <c r="H33" i="1"/>
  <c r="E33" i="1"/>
  <c r="J32" i="1"/>
  <c r="H32" i="1"/>
  <c r="E32" i="1"/>
  <c r="J31" i="1"/>
  <c r="H31" i="1"/>
  <c r="E31" i="1"/>
  <c r="J30" i="1"/>
  <c r="H30" i="1"/>
  <c r="E30" i="1"/>
  <c r="J29" i="1"/>
  <c r="H29" i="1"/>
  <c r="E29" i="1"/>
  <c r="J28" i="1"/>
  <c r="H28" i="1"/>
  <c r="E28" i="1"/>
  <c r="J27" i="1"/>
  <c r="H27" i="1"/>
  <c r="E27" i="1"/>
  <c r="J26" i="1"/>
  <c r="H26" i="1"/>
  <c r="E26" i="1"/>
  <c r="J25" i="1"/>
  <c r="H25" i="1"/>
  <c r="E25" i="1"/>
  <c r="J24" i="1"/>
  <c r="H24" i="1"/>
  <c r="E24" i="1"/>
  <c r="J23" i="1"/>
  <c r="H23" i="1"/>
  <c r="E23" i="1"/>
  <c r="J22" i="1"/>
  <c r="H22" i="1"/>
  <c r="E22" i="1"/>
  <c r="J21" i="1"/>
  <c r="H21" i="1"/>
  <c r="E21" i="1"/>
  <c r="J20" i="1"/>
  <c r="H20" i="1"/>
  <c r="E20" i="1"/>
  <c r="J19" i="1"/>
  <c r="H19" i="1"/>
  <c r="E19" i="1"/>
  <c r="J18" i="1"/>
  <c r="H18" i="1"/>
  <c r="E18" i="1"/>
  <c r="J15" i="1"/>
  <c r="H15" i="1"/>
  <c r="E15" i="1"/>
  <c r="J14" i="1"/>
  <c r="H14" i="1"/>
  <c r="E14" i="1"/>
  <c r="J13" i="1"/>
  <c r="H13" i="1"/>
  <c r="E13" i="1"/>
  <c r="J12" i="1"/>
  <c r="H12" i="1"/>
  <c r="E12" i="1"/>
  <c r="J10" i="1"/>
  <c r="E10" i="1"/>
  <c r="J9" i="1"/>
  <c r="I9" i="1"/>
  <c r="H9" i="1"/>
  <c r="G9" i="1"/>
  <c r="F9" i="1"/>
  <c r="E9" i="1"/>
  <c r="D9" i="1"/>
  <c r="A7" i="1"/>
  <c r="K26" i="1" l="1"/>
  <c r="K27" i="1"/>
  <c r="K37" i="1"/>
  <c r="K10" i="1"/>
  <c r="L10" i="1" s="1"/>
  <c r="K12" i="1"/>
  <c r="K13" i="1"/>
  <c r="K15" i="1"/>
  <c r="L15" i="1" s="1"/>
  <c r="K18" i="1"/>
  <c r="K19" i="1"/>
  <c r="K20" i="1"/>
  <c r="L20" i="1" s="1"/>
  <c r="K21" i="1"/>
  <c r="K22" i="1"/>
  <c r="K23" i="1"/>
  <c r="AS28" i="3" s="1"/>
  <c r="K24" i="1"/>
  <c r="K25" i="1"/>
  <c r="K28" i="1"/>
  <c r="K29" i="1"/>
  <c r="K30" i="1"/>
  <c r="K31" i="1"/>
  <c r="K32" i="1"/>
  <c r="K34" i="1"/>
  <c r="K35" i="1"/>
  <c r="K36" i="1"/>
  <c r="K33" i="1"/>
  <c r="K14" i="1"/>
  <c r="AD14" i="3"/>
  <c r="AJ26" i="3" s="1"/>
  <c r="AF14" i="3"/>
  <c r="AE14" i="3"/>
  <c r="AK17" i="3" s="1"/>
  <c r="AC14" i="3"/>
  <c r="AI26" i="3" s="1"/>
  <c r="AG14" i="3"/>
  <c r="AB14" i="3"/>
  <c r="AH17" i="3" s="1"/>
  <c r="AH41" i="3"/>
  <c r="AJ34" i="3"/>
  <c r="AJ19" i="3"/>
  <c r="AJ35" i="3"/>
  <c r="AJ18" i="3"/>
  <c r="AJ33" i="3"/>
  <c r="AK18" i="3"/>
  <c r="AI34" i="3"/>
  <c r="AI27" i="3"/>
  <c r="BF19" i="3"/>
  <c r="BA20" i="3"/>
  <c r="BM20" i="3" s="1"/>
  <c r="BF24" i="3"/>
  <c r="BA25" i="3"/>
  <c r="BF28" i="3"/>
  <c r="BA29" i="3"/>
  <c r="BF32" i="3"/>
  <c r="BA33" i="3"/>
  <c r="BF36" i="3"/>
  <c r="BA37" i="3" a="1"/>
  <c r="BA37" i="3" s="1"/>
  <c r="BF40" i="3"/>
  <c r="BA41" i="3"/>
  <c r="BB20" i="3"/>
  <c r="BN20" i="3" s="1"/>
  <c r="BB25" i="3"/>
  <c r="BB29" i="3"/>
  <c r="BB33" i="3"/>
  <c r="BB37" i="3" a="1"/>
  <c r="BB37" i="3" s="1"/>
  <c r="BB41" i="3"/>
  <c r="BC18" i="3"/>
  <c r="BB19" i="3"/>
  <c r="BE20" i="3"/>
  <c r="BQ20" i="3" s="1"/>
  <c r="BC22" i="3"/>
  <c r="BO22" i="3" s="1"/>
  <c r="BB24" i="3"/>
  <c r="BE25" i="3"/>
  <c r="BC27" i="3" a="1"/>
  <c r="BC27" i="3" s="1"/>
  <c r="BB28" i="3"/>
  <c r="BE29" i="3"/>
  <c r="BC31" i="3"/>
  <c r="BB32" i="3"/>
  <c r="BE33" i="3"/>
  <c r="BC35" i="3"/>
  <c r="BB36" i="3"/>
  <c r="BE37" i="3" a="1"/>
  <c r="BE37" i="3" s="1"/>
  <c r="BC39" i="3"/>
  <c r="BB40" i="3"/>
  <c r="BE41" i="3"/>
  <c r="AG44" i="3"/>
  <c r="BC19" i="3"/>
  <c r="BF20" i="3"/>
  <c r="BR20" i="3" s="1"/>
  <c r="BC24" i="3"/>
  <c r="BF25" i="3"/>
  <c r="BC28" i="3"/>
  <c r="BF29" i="3"/>
  <c r="BC32" i="3"/>
  <c r="BF33" i="3"/>
  <c r="BC36" i="3"/>
  <c r="BF37" i="3" a="1"/>
  <c r="BF37" i="3" s="1"/>
  <c r="BC40" i="3"/>
  <c r="BF41" i="3"/>
  <c r="BD26" i="3"/>
  <c r="BA38" i="3"/>
  <c r="BA18" i="3"/>
  <c r="BE18" i="3"/>
  <c r="BD19" i="3"/>
  <c r="BC20" i="3"/>
  <c r="BO20" i="3" s="1"/>
  <c r="BB21" i="3"/>
  <c r="BN21" i="3" s="1"/>
  <c r="BF21" i="3"/>
  <c r="BR21" i="3" s="1"/>
  <c r="BA22" i="3"/>
  <c r="BM22" i="3" s="1"/>
  <c r="BE22" i="3"/>
  <c r="BQ22" i="3" s="1"/>
  <c r="BD24" i="3"/>
  <c r="BC25" i="3"/>
  <c r="BB26" i="3"/>
  <c r="BF26" i="3"/>
  <c r="BA27" i="3" a="1"/>
  <c r="BA27" i="3" s="1"/>
  <c r="BE27" i="3" a="1"/>
  <c r="BE27" i="3" s="1"/>
  <c r="BD28" i="3"/>
  <c r="BC29" i="3"/>
  <c r="BB30" i="3"/>
  <c r="BF30" i="3"/>
  <c r="BA31" i="3"/>
  <c r="BE31" i="3"/>
  <c r="BD32" i="3"/>
  <c r="BC33" i="3"/>
  <c r="BB34" i="3"/>
  <c r="BF34" i="3"/>
  <c r="BA35" i="3"/>
  <c r="BE35" i="3"/>
  <c r="BD36" i="3"/>
  <c r="BC37" i="3" a="1"/>
  <c r="BC37" i="3" s="1"/>
  <c r="BB38" i="3"/>
  <c r="BF38" i="3"/>
  <c r="BA39" i="3"/>
  <c r="BE39" i="3"/>
  <c r="BD40" i="3"/>
  <c r="BC41" i="3"/>
  <c r="BB42" i="3"/>
  <c r="BF42" i="3"/>
  <c r="BD21" i="3"/>
  <c r="BP21" i="3" s="1"/>
  <c r="BD34" i="3"/>
  <c r="BE38" i="3"/>
  <c r="BD39" i="3"/>
  <c r="BE42" i="3"/>
  <c r="BB18" i="3"/>
  <c r="BF18" i="3"/>
  <c r="BA19" i="3"/>
  <c r="BE19" i="3"/>
  <c r="BD20" i="3"/>
  <c r="BP20" i="3" s="1"/>
  <c r="BC21" i="3"/>
  <c r="BO21" i="3" s="1"/>
  <c r="BB22" i="3"/>
  <c r="BN22" i="3" s="1"/>
  <c r="BF22" i="3"/>
  <c r="BR22" i="3" s="1"/>
  <c r="BA24" i="3"/>
  <c r="BE24" i="3"/>
  <c r="BD25" i="3"/>
  <c r="BC26" i="3"/>
  <c r="BB27" i="3" a="1"/>
  <c r="BB27" i="3" s="1"/>
  <c r="BF27" i="3" a="1"/>
  <c r="BF27" i="3" s="1"/>
  <c r="BA28" i="3"/>
  <c r="BE28" i="3"/>
  <c r="BD29" i="3"/>
  <c r="BC30" i="3"/>
  <c r="BB31" i="3"/>
  <c r="BF31" i="3"/>
  <c r="BA32" i="3"/>
  <c r="BE32" i="3"/>
  <c r="BD33" i="3"/>
  <c r="BC34" i="3"/>
  <c r="BB35" i="3"/>
  <c r="BF35" i="3"/>
  <c r="BA36" i="3"/>
  <c r="BE36" i="3"/>
  <c r="BD37" i="3" a="1"/>
  <c r="BD37" i="3" s="1"/>
  <c r="BC38" i="3"/>
  <c r="BB39" i="3"/>
  <c r="BF39" i="3"/>
  <c r="BA40" i="3"/>
  <c r="BE40" i="3"/>
  <c r="BD41" i="3"/>
  <c r="BC42" i="3"/>
  <c r="BD38" i="3"/>
  <c r="BD42" i="3"/>
  <c r="BD30" i="3"/>
  <c r="BD18" i="3"/>
  <c r="BA21" i="3"/>
  <c r="BM21" i="3" s="1"/>
  <c r="BE21" i="3"/>
  <c r="BQ21" i="3" s="1"/>
  <c r="BD22" i="3"/>
  <c r="BP22" i="3" s="1"/>
  <c r="BA26" i="3"/>
  <c r="BE26" i="3"/>
  <c r="BD27" i="3" a="1"/>
  <c r="BD27" i="3" s="1"/>
  <c r="BA30" i="3"/>
  <c r="BE30" i="3"/>
  <c r="BD31" i="3"/>
  <c r="BA34" i="3"/>
  <c r="BE34" i="3"/>
  <c r="BD35" i="3"/>
  <c r="BA42" i="3"/>
  <c r="AF44" i="3"/>
  <c r="AL28" i="3" l="1"/>
  <c r="AL17" i="3"/>
  <c r="AL42" i="3"/>
  <c r="AL30" i="3"/>
  <c r="AJ25" i="3"/>
  <c r="AJ41" i="3"/>
  <c r="AJ27" i="3"/>
  <c r="AJ39" i="3"/>
  <c r="AJ24" i="3"/>
  <c r="AJ29" i="3"/>
  <c r="AJ20" i="3"/>
  <c r="AJ28" i="3"/>
  <c r="AJ40" i="3"/>
  <c r="AP40" i="3" s="1"/>
  <c r="AJ17" i="3"/>
  <c r="AP17" i="3" s="1"/>
  <c r="AJ38" i="3"/>
  <c r="AP18" i="3"/>
  <c r="AJ15" i="3"/>
  <c r="AJ37" i="3"/>
  <c r="AJ22" i="3"/>
  <c r="AP22" i="3" s="1"/>
  <c r="AJ36" i="3"/>
  <c r="AJ21" i="3"/>
  <c r="AJ42" i="3"/>
  <c r="AI36" i="3"/>
  <c r="AI28" i="3"/>
  <c r="AI39" i="3"/>
  <c r="AI25" i="3"/>
  <c r="AI31" i="3"/>
  <c r="AI21" i="3"/>
  <c r="AI29" i="3"/>
  <c r="AI35" i="3"/>
  <c r="AI37" i="3"/>
  <c r="AI17" i="3"/>
  <c r="AI38" i="3"/>
  <c r="L22" i="1"/>
  <c r="M22" i="1"/>
  <c r="AS27" i="3" s="1"/>
  <c r="M24" i="1"/>
  <c r="AS29" i="3" s="1"/>
  <c r="L14" i="1"/>
  <c r="M14" i="1"/>
  <c r="L30" i="1"/>
  <c r="M30" i="1"/>
  <c r="AS35" i="3" s="1"/>
  <c r="L21" i="1"/>
  <c r="M21" i="1"/>
  <c r="AS26" i="3" s="1"/>
  <c r="L37" i="1"/>
  <c r="M37" i="1"/>
  <c r="L36" i="1"/>
  <c r="M36" i="1"/>
  <c r="AO41" i="3" s="1"/>
  <c r="L35" i="1"/>
  <c r="M35" i="1"/>
  <c r="AQ40" i="3" s="1"/>
  <c r="L34" i="1"/>
  <c r="M34" i="1"/>
  <c r="AS39" i="3" s="1"/>
  <c r="L33" i="1"/>
  <c r="M33" i="1"/>
  <c r="AS38" i="3" s="1"/>
  <c r="L32" i="1"/>
  <c r="M32" i="1"/>
  <c r="AS37" i="3" s="1"/>
  <c r="L31" i="1"/>
  <c r="M31" i="1"/>
  <c r="AS36" i="3" s="1"/>
  <c r="L29" i="1"/>
  <c r="M29" i="1"/>
  <c r="AS34" i="3" s="1"/>
  <c r="L28" i="1"/>
  <c r="M28" i="1"/>
  <c r="AO33" i="3" s="1"/>
  <c r="L26" i="1"/>
  <c r="M26" i="1"/>
  <c r="L18" i="1"/>
  <c r="M18" i="1"/>
  <c r="L27" i="1"/>
  <c r="L19" i="1"/>
  <c r="AO24" i="3"/>
  <c r="L25" i="1"/>
  <c r="M25" i="1"/>
  <c r="BN18" i="3"/>
  <c r="AQ18" i="3"/>
  <c r="AS18" i="3"/>
  <c r="AO18" i="3"/>
  <c r="BP18" i="3"/>
  <c r="BQ18" i="3"/>
  <c r="BO18" i="3"/>
  <c r="BN17" i="3"/>
  <c r="BO17" i="3"/>
  <c r="BR17" i="3"/>
  <c r="BM17" i="3"/>
  <c r="AQ17" i="3"/>
  <c r="AR17" i="3"/>
  <c r="AO17" i="3"/>
  <c r="BP17" i="3"/>
  <c r="AN17" i="3"/>
  <c r="BQ17" i="3"/>
  <c r="AS17" i="3"/>
  <c r="AO28" i="3"/>
  <c r="BO28" i="3"/>
  <c r="BR28" i="3"/>
  <c r="BQ28" i="3"/>
  <c r="BP28" i="3"/>
  <c r="BN28" i="3"/>
  <c r="L23" i="1"/>
  <c r="BM28" i="3"/>
  <c r="AR28" i="3"/>
  <c r="BR18" i="3"/>
  <c r="L13" i="1"/>
  <c r="BM18" i="3"/>
  <c r="AO20" i="3"/>
  <c r="L24" i="1"/>
  <c r="AH22" i="3"/>
  <c r="AN22" i="3" s="1"/>
  <c r="AL41" i="3"/>
  <c r="AK33" i="3"/>
  <c r="AI22" i="3"/>
  <c r="AI32" i="3"/>
  <c r="AI19" i="3"/>
  <c r="AI15" i="3"/>
  <c r="AK34" i="3"/>
  <c r="AK15" i="3"/>
  <c r="AK35" i="3"/>
  <c r="AK29" i="3"/>
  <c r="AK39" i="3"/>
  <c r="AK26" i="3"/>
  <c r="M10" i="1"/>
  <c r="AQ21" i="3"/>
  <c r="L12" i="1"/>
  <c r="AS25" i="3"/>
  <c r="AO21" i="3"/>
  <c r="AL35" i="3"/>
  <c r="AL21" i="3"/>
  <c r="AL15" i="3"/>
  <c r="AH35" i="3"/>
  <c r="AH24" i="3"/>
  <c r="AL36" i="3"/>
  <c r="AL26" i="3"/>
  <c r="AL25" i="3"/>
  <c r="AH36" i="3"/>
  <c r="AH26" i="3"/>
  <c r="AH25" i="3"/>
  <c r="AL27" i="3"/>
  <c r="AL37" i="3"/>
  <c r="AH18" i="3"/>
  <c r="AN18" i="3" s="1"/>
  <c r="AH37" i="3"/>
  <c r="AK37" i="3"/>
  <c r="AK27" i="3"/>
  <c r="AL18" i="3"/>
  <c r="AL31" i="3"/>
  <c r="AV31" i="3" s="1"/>
  <c r="AL39" i="3"/>
  <c r="AL34" i="3"/>
  <c r="AL29" i="3"/>
  <c r="AL19" i="3"/>
  <c r="AH27" i="3"/>
  <c r="AH39" i="3"/>
  <c r="AH19" i="3"/>
  <c r="AH34" i="3"/>
  <c r="AH29" i="3"/>
  <c r="AK24" i="3"/>
  <c r="AK25" i="3"/>
  <c r="AK41" i="3"/>
  <c r="AK28" i="3"/>
  <c r="AQ28" i="3" s="1"/>
  <c r="AL22" i="3"/>
  <c r="AL32" i="3"/>
  <c r="AL40" i="3"/>
  <c r="AL20" i="3"/>
  <c r="AL38" i="3"/>
  <c r="AL33" i="3"/>
  <c r="AL24" i="3"/>
  <c r="AH28" i="3"/>
  <c r="AH40" i="3"/>
  <c r="AH21" i="3"/>
  <c r="AH38" i="3"/>
  <c r="AH15" i="3"/>
  <c r="AH33" i="3"/>
  <c r="AH20" i="3"/>
  <c r="AW15" i="3" l="1" a="1"/>
  <c r="AW15" i="3" s="1"/>
  <c r="AZ15" i="3" a="1"/>
  <c r="AZ15" i="3" s="1"/>
  <c r="BC15" i="3" a="1"/>
  <c r="BC15" i="3" s="1"/>
  <c r="AX15" i="3" a="1"/>
  <c r="AX15" i="3" s="1"/>
  <c r="BD15" i="3" a="1"/>
  <c r="BD15" i="3" s="1"/>
  <c r="AV15" i="3" a="1"/>
  <c r="AV15" i="3" s="1"/>
  <c r="BA15" i="3" a="1"/>
  <c r="BA15" i="3" s="1"/>
  <c r="BE15" i="3" a="1"/>
  <c r="BE15" i="3" s="1"/>
  <c r="AY15" i="3" a="1"/>
  <c r="AY15" i="3" s="1"/>
  <c r="BB15" i="3" a="1"/>
  <c r="BB15" i="3" s="1"/>
  <c r="BF15" i="3" a="1"/>
  <c r="BF15" i="3" s="1"/>
  <c r="AZ42" i="3"/>
  <c r="AY39" i="3"/>
  <c r="BK39" i="3" s="1"/>
  <c r="AX30" i="3"/>
  <c r="BJ30" i="3" s="1"/>
  <c r="AU30" i="3"/>
  <c r="AZ30" i="3"/>
  <c r="BL30" i="3" s="1"/>
  <c r="AV30" i="3"/>
  <c r="AY30" i="3"/>
  <c r="BK30" i="3" s="1"/>
  <c r="AW30" i="3"/>
  <c r="BI30" i="3" s="1"/>
  <c r="AV25" i="3"/>
  <c r="AY42" i="3"/>
  <c r="AU42" i="3"/>
  <c r="BG42" i="3" s="1"/>
  <c r="AW42" i="3"/>
  <c r="BI42" i="3" s="1"/>
  <c r="AV42" i="3"/>
  <c r="BH42" i="3" s="1"/>
  <c r="AX42" i="3"/>
  <c r="AU17" i="3"/>
  <c r="BG17" i="3" s="1"/>
  <c r="AY17" i="3"/>
  <c r="BK17" i="3" s="1"/>
  <c r="AW17" i="3"/>
  <c r="BI17" i="3" s="1"/>
  <c r="AZ17" i="3"/>
  <c r="BL17" i="3" s="1"/>
  <c r="AX17" i="3"/>
  <c r="BJ17" i="3" s="1"/>
  <c r="AV17" i="3"/>
  <c r="BH17" i="3" s="1"/>
  <c r="AY29" i="3"/>
  <c r="BK29" i="3" s="1"/>
  <c r="BR29" i="3"/>
  <c r="AO29" i="3"/>
  <c r="BN29" i="3"/>
  <c r="BO29" i="3"/>
  <c r="BM29" i="3"/>
  <c r="AQ29" i="3"/>
  <c r="BP29" i="3"/>
  <c r="AR29" i="3"/>
  <c r="BQ29" i="3"/>
  <c r="AP29" i="3"/>
  <c r="BO19" i="3"/>
  <c r="AO19" i="3"/>
  <c r="AR19" i="3"/>
  <c r="BR19" i="3"/>
  <c r="BN19" i="3"/>
  <c r="BQ19" i="3"/>
  <c r="BP19" i="3"/>
  <c r="AQ19" i="3"/>
  <c r="AS19" i="3"/>
  <c r="AN19" i="3"/>
  <c r="BM19" i="3"/>
  <c r="AO42" i="3"/>
  <c r="BQ42" i="3"/>
  <c r="AR42" i="3"/>
  <c r="BR42" i="3"/>
  <c r="BP42" i="3"/>
  <c r="BN42" i="3"/>
  <c r="BL42" i="3"/>
  <c r="BJ42" i="3"/>
  <c r="AS42" i="3"/>
  <c r="AQ42" i="3"/>
  <c r="AN42" i="3"/>
  <c r="BO42" i="3"/>
  <c r="BK42" i="3"/>
  <c r="AP42" i="3"/>
  <c r="BM42" i="3"/>
  <c r="BR31" i="3"/>
  <c r="BN31" i="3"/>
  <c r="AS31" i="3"/>
  <c r="AP28" i="3"/>
  <c r="AO31" i="3"/>
  <c r="AQ31" i="3"/>
  <c r="BQ31" i="3"/>
  <c r="AR31" i="3"/>
  <c r="BO31" i="3"/>
  <c r="AP31" i="3"/>
  <c r="BP31" i="3"/>
  <c r="BH31" i="3"/>
  <c r="AN31" i="3"/>
  <c r="BM31" i="3"/>
  <c r="BQ32" i="3"/>
  <c r="AN32" i="3"/>
  <c r="BP32" i="3"/>
  <c r="BO32" i="3"/>
  <c r="BN32" i="3"/>
  <c r="BM32" i="3"/>
  <c r="BL32" i="3"/>
  <c r="BK32" i="3"/>
  <c r="BJ32" i="3"/>
  <c r="BI32" i="3"/>
  <c r="BH32" i="3"/>
  <c r="BG32" i="3"/>
  <c r="AS32" i="3"/>
  <c r="AR32" i="3"/>
  <c r="AQ32" i="3"/>
  <c r="AO32" i="3"/>
  <c r="BR32" i="3"/>
  <c r="BP30" i="3"/>
  <c r="BH30" i="3"/>
  <c r="AQ30" i="3"/>
  <c r="BO30" i="3"/>
  <c r="AP30" i="3"/>
  <c r="AN30" i="3"/>
  <c r="BN30" i="3"/>
  <c r="BQ30" i="3"/>
  <c r="BM30" i="3"/>
  <c r="AR30" i="3"/>
  <c r="BG30" i="3"/>
  <c r="AO30" i="3"/>
  <c r="BR30" i="3"/>
  <c r="AS30" i="3"/>
  <c r="AQ26" i="3"/>
  <c r="BM39" i="3"/>
  <c r="BM24" i="3"/>
  <c r="AR35" i="3"/>
  <c r="BO24" i="3"/>
  <c r="BR24" i="3"/>
  <c r="AP36" i="3"/>
  <c r="AP32" i="3"/>
  <c r="AR24" i="3"/>
  <c r="BQ24" i="3"/>
  <c r="BP24" i="3"/>
  <c r="AS24" i="3"/>
  <c r="BN24" i="3"/>
  <c r="AN24" i="3"/>
  <c r="AQ34" i="3"/>
  <c r="BQ34" i="3"/>
  <c r="AY37" i="3" a="1"/>
  <c r="AY37" i="3" s="1"/>
  <c r="BK37" i="3" s="1"/>
  <c r="AX36" i="3"/>
  <c r="BJ36" i="3" s="1"/>
  <c r="BO26" i="3"/>
  <c r="BO35" i="3"/>
  <c r="BN39" i="3"/>
  <c r="AO39" i="3"/>
  <c r="AP41" i="3"/>
  <c r="BR34" i="3"/>
  <c r="BP41" i="3"/>
  <c r="AP34" i="3"/>
  <c r="AR34" i="3"/>
  <c r="AO34" i="3"/>
  <c r="BP34" i="3"/>
  <c r="AR26" i="3"/>
  <c r="AO26" i="3"/>
  <c r="BM26" i="3"/>
  <c r="AP39" i="3"/>
  <c r="BN36" i="3"/>
  <c r="BO34" i="3"/>
  <c r="AO36" i="3"/>
  <c r="BM34" i="3"/>
  <c r="BO39" i="3"/>
  <c r="BP26" i="3"/>
  <c r="BQ26" i="3"/>
  <c r="BN34" i="3"/>
  <c r="BO33" i="3"/>
  <c r="AS41" i="3"/>
  <c r="BO36" i="3"/>
  <c r="AR39" i="3"/>
  <c r="BQ33" i="3"/>
  <c r="BQ39" i="3"/>
  <c r="BN40" i="3"/>
  <c r="BM27" i="3"/>
  <c r="AP33" i="3"/>
  <c r="BR40" i="3"/>
  <c r="BP39" i="3"/>
  <c r="BR39" i="3"/>
  <c r="AN41" i="3"/>
  <c r="BN26" i="3"/>
  <c r="AQ39" i="3"/>
  <c r="BR36" i="3"/>
  <c r="BM36" i="3"/>
  <c r="AO38" i="3"/>
  <c r="BQ41" i="3"/>
  <c r="BO41" i="3"/>
  <c r="AR41" i="3"/>
  <c r="BM41" i="3"/>
  <c r="BM40" i="3"/>
  <c r="AP24" i="3"/>
  <c r="BN41" i="3"/>
  <c r="BR26" i="3"/>
  <c r="AR36" i="3"/>
  <c r="AQ36" i="3"/>
  <c r="BR41" i="3"/>
  <c r="BQ36" i="3"/>
  <c r="AS20" i="3"/>
  <c r="AP26" i="3"/>
  <c r="BO27" i="3"/>
  <c r="BP36" i="3"/>
  <c r="AQ20" i="3"/>
  <c r="AQ22" i="3"/>
  <c r="AR20" i="3"/>
  <c r="AP20" i="3"/>
  <c r="AQ38" i="3"/>
  <c r="BN35" i="3"/>
  <c r="AR38" i="3"/>
  <c r="AP35" i="3"/>
  <c r="BR35" i="3"/>
  <c r="BQ35" i="3"/>
  <c r="BP37" i="3"/>
  <c r="AO22" i="3"/>
  <c r="AO35" i="3"/>
  <c r="BP35" i="3"/>
  <c r="BO38" i="3"/>
  <c r="BH25" i="3"/>
  <c r="BN38" i="3"/>
  <c r="BP25" i="3"/>
  <c r="AP38" i="3"/>
  <c r="BQ37" i="3"/>
  <c r="AR40" i="3"/>
  <c r="BQ40" i="3"/>
  <c r="AP37" i="3"/>
  <c r="BP40" i="3"/>
  <c r="BP33" i="3"/>
  <c r="BN33" i="3"/>
  <c r="BR38" i="3"/>
  <c r="BP38" i="3"/>
  <c r="AR33" i="3"/>
  <c r="AO40" i="3"/>
  <c r="AR27" i="3"/>
  <c r="BR37" i="3"/>
  <c r="BR27" i="3"/>
  <c r="AQ33" i="3"/>
  <c r="BQ38" i="3"/>
  <c r="AP27" i="3"/>
  <c r="BQ27" i="3"/>
  <c r="AS40" i="3"/>
  <c r="BM38" i="3"/>
  <c r="AP21" i="3"/>
  <c r="AS21" i="3"/>
  <c r="AR21" i="3"/>
  <c r="H45" i="1"/>
  <c r="F24" i="4" s="1"/>
  <c r="H46" i="1"/>
  <c r="G24" i="4" s="1"/>
  <c r="H49" i="1"/>
  <c r="J24" i="4" s="1"/>
  <c r="AQ15" i="3"/>
  <c r="BQ15" i="3"/>
  <c r="AP15" i="3"/>
  <c r="BP15" i="3"/>
  <c r="AO15" i="3"/>
  <c r="BO15" i="3"/>
  <c r="H44" i="1"/>
  <c r="E24" i="4" s="1"/>
  <c r="AS15" i="3"/>
  <c r="H43" i="1"/>
  <c r="D24" i="4" s="1"/>
  <c r="AR15" i="3"/>
  <c r="AV35" i="3"/>
  <c r="BH35" i="3" s="1"/>
  <c r="AU19" i="3"/>
  <c r="BG19" i="3" s="1"/>
  <c r="AY18" i="3"/>
  <c r="BK18" i="3" s="1"/>
  <c r="AY34" i="3"/>
  <c r="BK34" i="3" s="1"/>
  <c r="AV19" i="3"/>
  <c r="BH19" i="3" s="1"/>
  <c r="AY25" i="3"/>
  <c r="BK25" i="3" s="1"/>
  <c r="AU25" i="3"/>
  <c r="BG25" i="3" s="1"/>
  <c r="AY24" i="3"/>
  <c r="BK24" i="3" s="1"/>
  <c r="AX19" i="3"/>
  <c r="BJ19" i="3" s="1"/>
  <c r="AX25" i="3"/>
  <c r="BJ25" i="3" s="1"/>
  <c r="AW25" i="3"/>
  <c r="BI25" i="3" s="1"/>
  <c r="AZ24" i="3"/>
  <c r="BL24" i="3" s="1"/>
  <c r="AW36" i="3"/>
  <c r="BI36" i="3" s="1"/>
  <c r="AV29" i="3"/>
  <c r="BH29" i="3" s="1"/>
  <c r="H48" i="1"/>
  <c r="I24" i="4" s="1"/>
  <c r="H52" i="1"/>
  <c r="M24" i="4" s="1"/>
  <c r="H50" i="1"/>
  <c r="K24" i="4" s="1"/>
  <c r="H47" i="1"/>
  <c r="H24" i="4" s="1"/>
  <c r="H41" i="1"/>
  <c r="B24" i="4" s="1"/>
  <c r="AN37" i="3"/>
  <c r="AR37" i="3"/>
  <c r="AP25" i="3"/>
  <c r="BN25" i="3"/>
  <c r="BO37" i="3"/>
  <c r="AN25" i="3"/>
  <c r="AR25" i="3"/>
  <c r="BR25" i="3"/>
  <c r="BM25" i="3"/>
  <c r="BN37" i="3"/>
  <c r="H42" i="1"/>
  <c r="C24" i="4" s="1"/>
  <c r="H51" i="1"/>
  <c r="AM44" i="3" s="1"/>
  <c r="AQ27" i="3"/>
  <c r="AQ35" i="3"/>
  <c r="AO27" i="3"/>
  <c r="BO40" i="3"/>
  <c r="BM35" i="3"/>
  <c r="BQ25" i="3"/>
  <c r="BR33" i="3"/>
  <c r="BO25" i="3"/>
  <c r="AS33" i="3"/>
  <c r="BM33" i="3"/>
  <c r="BN27" i="3"/>
  <c r="BP27" i="3"/>
  <c r="AS22" i="3"/>
  <c r="AP19" i="3"/>
  <c r="AO37" i="3"/>
  <c r="BM37" i="3"/>
  <c r="AO25" i="3"/>
  <c r="AN35" i="3"/>
  <c r="AZ35" i="3"/>
  <c r="BL35" i="3" s="1"/>
  <c r="AY35" i="3"/>
  <c r="BK35" i="3" s="1"/>
  <c r="AW35" i="3"/>
  <c r="BI35" i="3" s="1"/>
  <c r="AX35" i="3"/>
  <c r="BJ35" i="3" s="1"/>
  <c r="AU35" i="3"/>
  <c r="BG35" i="3" s="1"/>
  <c r="AX24" i="3"/>
  <c r="BJ24" i="3" s="1"/>
  <c r="AW18" i="3"/>
  <c r="BI18" i="3" s="1"/>
  <c r="AW24" i="3"/>
  <c r="BI24" i="3" s="1"/>
  <c r="AV18" i="3"/>
  <c r="BH18" i="3" s="1"/>
  <c r="AY27" i="3" a="1"/>
  <c r="AY27" i="3" s="1"/>
  <c r="BK27" i="3" s="1"/>
  <c r="AU24" i="3"/>
  <c r="BG24" i="3" s="1"/>
  <c r="AW28" i="3"/>
  <c r="BI28" i="3" s="1"/>
  <c r="AN26" i="3"/>
  <c r="AX26" i="3"/>
  <c r="BJ26" i="3" s="1"/>
  <c r="AW26" i="3"/>
  <c r="BI26" i="3" s="1"/>
  <c r="AZ26" i="3"/>
  <c r="BL26" i="3" s="1"/>
  <c r="AY26" i="3"/>
  <c r="BK26" i="3" s="1"/>
  <c r="AV26" i="3"/>
  <c r="BH26" i="3" s="1"/>
  <c r="AU26" i="3"/>
  <c r="BG26" i="3" s="1"/>
  <c r="AU18" i="3"/>
  <c r="BG18" i="3" s="1"/>
  <c r="AN36" i="3"/>
  <c r="AY36" i="3"/>
  <c r="BK36" i="3" s="1"/>
  <c r="AV36" i="3"/>
  <c r="BH36" i="3" s="1"/>
  <c r="AZ36" i="3"/>
  <c r="BL36" i="3" s="1"/>
  <c r="AU36" i="3"/>
  <c r="BG36" i="3" s="1"/>
  <c r="AN38" i="3"/>
  <c r="AV38" i="3"/>
  <c r="BH38" i="3" s="1"/>
  <c r="AX38" i="3"/>
  <c r="BJ38" i="3" s="1"/>
  <c r="AZ38" i="3"/>
  <c r="BL38" i="3" s="1"/>
  <c r="AY38" i="3"/>
  <c r="BK38" i="3" s="1"/>
  <c r="AU38" i="3"/>
  <c r="BG38" i="3" s="1"/>
  <c r="AW38" i="3"/>
  <c r="BI38" i="3" s="1"/>
  <c r="AN29" i="3"/>
  <c r="AU29" i="3"/>
  <c r="BG29" i="3" s="1"/>
  <c r="AZ29" i="3"/>
  <c r="BL29" i="3" s="1"/>
  <c r="AW29" i="3"/>
  <c r="BI29" i="3" s="1"/>
  <c r="AX29" i="3"/>
  <c r="BJ29" i="3" s="1"/>
  <c r="AN39" i="3"/>
  <c r="AU39" i="3"/>
  <c r="BG39" i="3" s="1"/>
  <c r="AV39" i="3"/>
  <c r="BH39" i="3" s="1"/>
  <c r="AW39" i="3"/>
  <c r="BI39" i="3" s="1"/>
  <c r="AZ39" i="3"/>
  <c r="BL39" i="3" s="1"/>
  <c r="AX39" i="3"/>
  <c r="BJ39" i="3" s="1"/>
  <c r="AN20" i="3"/>
  <c r="AZ20" i="3"/>
  <c r="BL20" i="3" s="1"/>
  <c r="AW20" i="3"/>
  <c r="BI20" i="3" s="1"/>
  <c r="AV20" i="3"/>
  <c r="BH20" i="3" s="1"/>
  <c r="AU20" i="3"/>
  <c r="BG20" i="3" s="1"/>
  <c r="AX20" i="3"/>
  <c r="BJ20" i="3" s="1"/>
  <c r="AY20" i="3"/>
  <c r="BK20" i="3" s="1"/>
  <c r="AN21" i="3"/>
  <c r="AY21" i="3"/>
  <c r="BK21" i="3" s="1"/>
  <c r="AV21" i="3"/>
  <c r="BH21" i="3" s="1"/>
  <c r="AX21" i="3"/>
  <c r="BJ21" i="3" s="1"/>
  <c r="AU21" i="3"/>
  <c r="BG21" i="3" s="1"/>
  <c r="AZ21" i="3"/>
  <c r="BL21" i="3" s="1"/>
  <c r="AW21" i="3"/>
  <c r="BI21" i="3" s="1"/>
  <c r="AQ24" i="3"/>
  <c r="AV24" i="3"/>
  <c r="BH24" i="3" s="1"/>
  <c r="AN27" i="3"/>
  <c r="AX27" i="3" a="1"/>
  <c r="AX27" i="3" s="1"/>
  <c r="BJ27" i="3" s="1"/>
  <c r="AV27" i="3" a="1"/>
  <c r="AV27" i="3" s="1"/>
  <c r="BH27" i="3" s="1"/>
  <c r="AU27" i="3" a="1"/>
  <c r="AU27" i="3" s="1"/>
  <c r="BG27" i="3" s="1"/>
  <c r="AZ27" i="3" a="1"/>
  <c r="AZ27" i="3" s="1"/>
  <c r="BL27" i="3" s="1"/>
  <c r="AW27" i="3" a="1"/>
  <c r="AW27" i="3" s="1"/>
  <c r="BI27" i="3" s="1"/>
  <c r="AY31" i="3"/>
  <c r="BK31" i="3" s="1"/>
  <c r="AW31" i="3"/>
  <c r="BI31" i="3" s="1"/>
  <c r="AZ31" i="3"/>
  <c r="BL31" i="3" s="1"/>
  <c r="AX31" i="3"/>
  <c r="BJ31" i="3" s="1"/>
  <c r="AU31" i="3"/>
  <c r="BG31" i="3" s="1"/>
  <c r="AN33" i="3"/>
  <c r="AU33" i="3"/>
  <c r="BG33" i="3" s="1"/>
  <c r="AV33" i="3"/>
  <c r="BH33" i="3" s="1"/>
  <c r="AX33" i="3"/>
  <c r="BJ33" i="3" s="1"/>
  <c r="AZ33" i="3"/>
  <c r="BL33" i="3" s="1"/>
  <c r="AY33" i="3"/>
  <c r="BK33" i="3" s="1"/>
  <c r="AW33" i="3"/>
  <c r="BI33" i="3" s="1"/>
  <c r="AN40" i="3"/>
  <c r="AY40" i="3"/>
  <c r="BK40" i="3" s="1"/>
  <c r="AV40" i="3"/>
  <c r="BH40" i="3" s="1"/>
  <c r="AU40" i="3"/>
  <c r="BG40" i="3" s="1"/>
  <c r="AZ40" i="3"/>
  <c r="BL40" i="3" s="1"/>
  <c r="AX40" i="3"/>
  <c r="BJ40" i="3" s="1"/>
  <c r="AW40" i="3"/>
  <c r="BI40" i="3" s="1"/>
  <c r="AZ32" i="3"/>
  <c r="AX32" i="3"/>
  <c r="AU32" i="3"/>
  <c r="AY32" i="3"/>
  <c r="AW32" i="3"/>
  <c r="AV32" i="3"/>
  <c r="AQ41" i="3"/>
  <c r="AY41" i="3"/>
  <c r="BK41" i="3" s="1"/>
  <c r="AW41" i="3"/>
  <c r="BI41" i="3" s="1"/>
  <c r="AV41" i="3"/>
  <c r="BH41" i="3" s="1"/>
  <c r="AU41" i="3"/>
  <c r="BG41" i="3" s="1"/>
  <c r="AZ41" i="3"/>
  <c r="BL41" i="3" s="1"/>
  <c r="AX41" i="3"/>
  <c r="BJ41" i="3" s="1"/>
  <c r="AN34" i="3"/>
  <c r="AZ34" i="3"/>
  <c r="BL34" i="3" s="1"/>
  <c r="AW34" i="3"/>
  <c r="BI34" i="3" s="1"/>
  <c r="AX34" i="3"/>
  <c r="BJ34" i="3" s="1"/>
  <c r="AU34" i="3"/>
  <c r="BG34" i="3" s="1"/>
  <c r="AV34" i="3"/>
  <c r="BH34" i="3" s="1"/>
  <c r="AX18" i="3"/>
  <c r="BJ18" i="3" s="1"/>
  <c r="AZ18" i="3"/>
  <c r="BL18" i="3" s="1"/>
  <c r="AR18" i="3"/>
  <c r="AX28" i="3"/>
  <c r="BJ28" i="3" s="1"/>
  <c r="AN15" i="3"/>
  <c r="BH15" i="3"/>
  <c r="BK15" i="3"/>
  <c r="AU15" i="3" a="1"/>
  <c r="AU15" i="3" s="1"/>
  <c r="BI15" i="3"/>
  <c r="BJ15" i="3"/>
  <c r="AN28" i="3"/>
  <c r="AU28" i="3"/>
  <c r="BG28" i="3" s="1"/>
  <c r="AY28" i="3"/>
  <c r="BK28" i="3" s="1"/>
  <c r="AV28" i="3"/>
  <c r="BH28" i="3" s="1"/>
  <c r="AZ28" i="3"/>
  <c r="BL28" i="3" s="1"/>
  <c r="AR22" i="3"/>
  <c r="AZ22" i="3"/>
  <c r="BL22" i="3" s="1"/>
  <c r="AU22" i="3"/>
  <c r="BG22" i="3" s="1"/>
  <c r="AV22" i="3"/>
  <c r="BH22" i="3" s="1"/>
  <c r="AW22" i="3"/>
  <c r="BI22" i="3" s="1"/>
  <c r="AY22" i="3"/>
  <c r="BK22" i="3" s="1"/>
  <c r="AX22" i="3"/>
  <c r="BJ22" i="3" s="1"/>
  <c r="AQ25" i="3"/>
  <c r="AZ25" i="3"/>
  <c r="BL25" i="3" s="1"/>
  <c r="AW19" i="3"/>
  <c r="BI19" i="3" s="1"/>
  <c r="AZ19" i="3"/>
  <c r="BL19" i="3" s="1"/>
  <c r="AY19" i="3"/>
  <c r="BK19" i="3" s="1"/>
  <c r="AQ37" i="3"/>
  <c r="AZ37" i="3" a="1"/>
  <c r="AZ37" i="3" s="1"/>
  <c r="BL37" i="3" s="1"/>
  <c r="AV37" i="3" a="1"/>
  <c r="AV37" i="3" s="1"/>
  <c r="BH37" i="3" s="1"/>
  <c r="AW37" i="3" a="1"/>
  <c r="AW37" i="3" s="1"/>
  <c r="BI37" i="3" s="1"/>
  <c r="AX37" i="3" a="1"/>
  <c r="AX37" i="3" s="1"/>
  <c r="BJ37" i="3" s="1"/>
  <c r="AU37" i="3" a="1"/>
  <c r="AU37" i="3" s="1"/>
  <c r="BG37" i="3" s="1"/>
  <c r="AI44" i="3" l="1"/>
  <c r="I60" i="4" s="1"/>
  <c r="BE44" i="3"/>
  <c r="AJ44" i="3"/>
  <c r="BF44" i="3"/>
  <c r="BA44" i="3"/>
  <c r="BC44" i="3"/>
  <c r="AL44" i="3"/>
  <c r="BB44" i="3"/>
  <c r="AK44" i="3"/>
  <c r="L60" i="4" s="1"/>
  <c r="BD44" i="3"/>
  <c r="AH44" i="3"/>
  <c r="H60" i="4" s="1"/>
  <c r="BM15" i="3"/>
  <c r="BR15" i="3"/>
  <c r="BR44" i="3" s="1"/>
  <c r="AX44" i="3"/>
  <c r="AV44" i="3"/>
  <c r="AZ44" i="3"/>
  <c r="AY44" i="3"/>
  <c r="AW44" i="3"/>
  <c r="BL15" i="3"/>
  <c r="BL44" i="3" s="1"/>
  <c r="BG15" i="3"/>
  <c r="AU44" i="3"/>
  <c r="BN15" i="3"/>
  <c r="BN44" i="3" s="1"/>
  <c r="AS44" i="3"/>
  <c r="AO44" i="3"/>
  <c r="I59" i="4" s="1"/>
  <c r="G31" i="4"/>
  <c r="BQ44" i="3"/>
  <c r="BP44" i="3"/>
  <c r="AP44" i="3"/>
  <c r="J59" i="4" s="1"/>
  <c r="BM44" i="3"/>
  <c r="BI44" i="3"/>
  <c r="BJ44" i="3"/>
  <c r="BO44" i="3"/>
  <c r="AN44" i="3"/>
  <c r="H59" i="4" s="1"/>
  <c r="L24" i="4"/>
  <c r="H53" i="1"/>
  <c r="G25" i="4" s="1"/>
  <c r="K60" i="4"/>
  <c r="J60" i="4"/>
  <c r="AR44" i="3"/>
  <c r="AQ44" i="3"/>
  <c r="BK44" i="3"/>
  <c r="BH44" i="3"/>
  <c r="BG44" i="3"/>
  <c r="K59" i="4" l="1"/>
  <c r="L59" i="4"/>
  <c r="D8" i="5"/>
  <c r="E25" i="4"/>
  <c r="C25" i="4"/>
  <c r="J25" i="4"/>
  <c r="O52" i="4"/>
  <c r="I25" i="4"/>
  <c r="G33" i="4"/>
  <c r="D9" i="5"/>
  <c r="D4" i="5"/>
  <c r="B25" i="4"/>
  <c r="F25" i="4"/>
  <c r="M25" i="4"/>
  <c r="O3" i="4"/>
  <c r="K25" i="4"/>
  <c r="D11" i="5"/>
  <c r="D10" i="5"/>
  <c r="H25" i="4"/>
  <c r="D12" i="5"/>
  <c r="D25" i="4"/>
  <c r="G30" i="4"/>
  <c r="H31" i="4" s="1"/>
  <c r="L25" i="4"/>
  <c r="D7" i="5"/>
  <c r="N24" i="4"/>
  <c r="H33" i="4" l="1"/>
  <c r="N25" i="4"/>
  <c r="H32" i="4"/>
  <c r="H30" i="4"/>
</calcChain>
</file>

<file path=xl/sharedStrings.xml><?xml version="1.0" encoding="utf-8"?>
<sst xmlns="http://schemas.openxmlformats.org/spreadsheetml/2006/main" count="484" uniqueCount="227">
  <si>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</si>
  <si>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</si>
  <si>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</si>
  <si>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</si>
  <si>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</si>
  <si>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</si>
  <si>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</si>
  <si>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</si>
  <si>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</si>
  <si>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</si>
  <si>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</si>
  <si>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</si>
  <si>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</si>
  <si>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</si>
  <si>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</si>
  <si>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</si>
  <si>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</si>
  <si>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</si>
  <si>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</si>
  <si>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</si>
  <si>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</si>
  <si>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</si>
  <si>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</si>
  <si>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</si>
  <si>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</si>
  <si>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</si>
  <si>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</si>
  <si>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</si>
  <si>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</si>
  <si>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</si>
  <si>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</si>
  <si>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</si>
  <si>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</si>
  <si>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</si>
  <si>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</si>
  <si>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</si>
  <si>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</si>
  <si>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</si>
  <si>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</si>
  <si>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</si>
  <si>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</si>
  <si>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</si>
  <si>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</si>
  <si>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</si>
  <si>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</si>
  <si>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</si>
  <si>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</si>
  <si>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</si>
  <si>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</si>
  <si>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</si>
  <si>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</si>
  <si>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</si>
  <si>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</si>
  <si>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</si>
  <si>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</si>
  <si>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</si>
  <si>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</si>
  <si>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</si>
  <si>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Quiz 3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</si>
  <si>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</si>
  <si>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</si>
  <si>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</si>
  <si>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</si>
  <si>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</si>
  <si>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</si>
  <si>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</si>
  <si>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</si>
  <si>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</si>
  <si>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</si>
  <si>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</si>
  <si>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</si>
  <si>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</si>
  <si>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</si>
  <si>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</si>
  <si>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W (Withdrawn)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</si>
  <si>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</si>
  <si>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</si>
  <si>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</si>
  <si>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</si>
  <si>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</si>
  <si>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</si>
  <si>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</si>
  <si>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</si>
  <si>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</si>
  <si>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</si>
  <si>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</si>
  <si>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</si>
  <si>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</si>
  <si>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</si>
  <si>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</si>
  <si>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</si>
  <si>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</si>
  <si>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</si>
  <si>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</si>
  <si>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</si>
  <si>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</si>
  <si>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</si>
  <si>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</si>
  <si>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</si>
  <si>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</si>
  <si>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</si>
  <si>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</si>
  <si>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</si>
  <si>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</si>
  <si>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</si>
  <si>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</si>
  <si>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</si>
  <si>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</si>
  <si>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</si>
  <si>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</si>
  <si>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</si>
  <si>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</si>
  <si>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</si>
  <si>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</si>
  <si>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</si>
  <si>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</si>
  <si>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</si>
  <si>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</si>
  <si>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</si>
  <si>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</si>
  <si>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</si>
  <si>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</si>
  <si>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</si>
  <si>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</si>
  <si>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</si>
  <si>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</si>
  <si>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</si>
  <si>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</si>
  <si>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</si>
  <si>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</si>
  <si>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</si>
  <si>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</si>
  <si>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</si>
  <si>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</si>
  <si>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</si>
  <si>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</si>
  <si>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</si>
  <si>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</si>
  <si>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</si>
  <si>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</si>
  <si>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</si>
  <si>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</si>
  <si>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</si>
  <si>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</si>
  <si>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</si>
  <si>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</si>
  <si>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</si>
  <si>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</si>
  <si>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</si>
  <si>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</si>
  <si>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</si>
  <si>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</si>
  <si>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</si>
  <si>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Number of Studens</t>
  </si>
  <si>
    <t>Average Score</t>
  </si>
  <si>
    <t>Number of Students Achieveing CO</t>
  </si>
  <si>
    <t>Number of Students Achieveing PO</t>
  </si>
  <si>
    <t>Class Average</t>
  </si>
  <si>
    <t>#ERROR!</t>
  </si>
  <si>
    <t>Department of CSE, ULAB</t>
  </si>
  <si>
    <t>Halima Khatun Oni</t>
  </si>
  <si>
    <t>Bright Arowny Zaman</t>
  </si>
  <si>
    <t>Sharmin Kabir Kripa</t>
  </si>
  <si>
    <t>CSE 305</t>
  </si>
  <si>
    <t>Algorithms</t>
  </si>
  <si>
    <t>Mohammad Shahriar Rahman, PhD</t>
  </si>
  <si>
    <t>Associate Professor and HoD (CSE)</t>
  </si>
  <si>
    <t>133014014</t>
  </si>
  <si>
    <t>Mahamudur Rahman</t>
  </si>
  <si>
    <t>163014005</t>
  </si>
  <si>
    <t>Mahbuba Aktar Nijhum</t>
  </si>
  <si>
    <t>171014040</t>
  </si>
  <si>
    <t>Md. Delowar Hosen</t>
  </si>
  <si>
    <t>171014056</t>
  </si>
  <si>
    <t>Hazzatun -E- Jahan</t>
  </si>
  <si>
    <t>171014069</t>
  </si>
  <si>
    <t>* Zinat Sultana</t>
  </si>
  <si>
    <t>171014088</t>
  </si>
  <si>
    <t>Md. Muntakim Islam Badrul</t>
  </si>
  <si>
    <t>172014040</t>
  </si>
  <si>
    <t>173014022</t>
  </si>
  <si>
    <t>Suraya Binte Khurshid</t>
  </si>
  <si>
    <t>173014023</t>
  </si>
  <si>
    <t>173014051</t>
  </si>
  <si>
    <t>181014030</t>
  </si>
  <si>
    <t>Maisha Mostofa Prima</t>
  </si>
  <si>
    <t>181014053</t>
  </si>
  <si>
    <t>Nazmuj Shakib Diip</t>
  </si>
  <si>
    <t>Md. Shafiuzzaman Khan</t>
  </si>
  <si>
    <t>181014056</t>
  </si>
  <si>
    <t>Linia E Jannat</t>
  </si>
  <si>
    <t>181014075</t>
  </si>
  <si>
    <t>Sadia Yeasmin</t>
  </si>
  <si>
    <t>172014051</t>
  </si>
  <si>
    <t>181014077</t>
  </si>
  <si>
    <t>Md Mehedi Hasan</t>
  </si>
  <si>
    <t>181014082</t>
  </si>
  <si>
    <t>Chitra Banik</t>
  </si>
  <si>
    <t>181014083</t>
  </si>
  <si>
    <t>Tasneem Aktar</t>
  </si>
  <si>
    <t>181014087</t>
  </si>
  <si>
    <t>Mushrat Jahan Mitu</t>
  </si>
  <si>
    <t>181014095</t>
  </si>
  <si>
    <t>Monira Parvin Mimi</t>
  </si>
  <si>
    <t>181014100</t>
  </si>
  <si>
    <t>Sadia Anzam</t>
  </si>
  <si>
    <t>181014112</t>
  </si>
  <si>
    <t>Ayan Roy</t>
  </si>
  <si>
    <t>181014110</t>
  </si>
  <si>
    <t>Prianka Uddin</t>
  </si>
  <si>
    <t>181014115</t>
  </si>
  <si>
    <t>Simron Mhejabin</t>
  </si>
  <si>
    <t>181014121</t>
  </si>
  <si>
    <t>Md. Mosiur Rahman</t>
  </si>
  <si>
    <t>181014123</t>
  </si>
  <si>
    <t>Md. Shiam Prodhan</t>
  </si>
  <si>
    <t>Summer 2019</t>
  </si>
  <si>
    <t>142014041</t>
  </si>
  <si>
    <t>Mahmud Hossain</t>
  </si>
  <si>
    <t>171014089</t>
  </si>
  <si>
    <t>* Md Rayhan Hossain</t>
  </si>
  <si>
    <t>181014055</t>
  </si>
  <si>
    <t>I (Incomplete)</t>
  </si>
  <si>
    <t>Mahamud Hossain</t>
  </si>
  <si>
    <t>Students should have better understanding of discrete math</t>
  </si>
  <si>
    <t>Book reading habbit of the students should be improved</t>
  </si>
  <si>
    <t>More case analysis could be included in the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</si>
</sst>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 d\,\ yyyy"/>
  </numFmts>
  <fonts count="26" x14ac:knownFonts="1">
    <font>
      <sz val="9"/>
      <color rgb="FF000000"/>
      <name val="Arimo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9"/>
      <name val="Arimo"/>
    </font>
  </fonts>
  <fills count="1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1" fontId="0" fillId="0" borderId="0"/>
  </cellStyleXfs>
  <cellXfs count="366">
    <xf numFmtId="1" fontId="0" fillId="0" borderId="0" xfId="0" applyNumberFormat="1" applyFont="1" applyAlignment="1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/>
    <xf numFmtId="1" fontId="2" fillId="0" borderId="0" xfId="0" applyNumberFormat="1" applyFont="1"/>
    <xf numFmtId="1" fontId="1" fillId="0" borderId="0" xfId="0" applyNumberFormat="1" applyFont="1"/>
    <xf numFmtId="1" fontId="1" fillId="0" borderId="2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/>
    </xf>
    <xf numFmtId="1" fontId="2" fillId="2" borderId="17" xfId="0" applyNumberFormat="1" applyFont="1" applyFill="1" applyBorder="1" applyAlignment="1">
      <alignment horizontal="center" vertical="center"/>
    </xf>
    <xf numFmtId="1" fontId="2" fillId="2" borderId="18" xfId="0" applyNumberFormat="1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2" borderId="20" xfId="0" applyNumberFormat="1" applyFont="1" applyFill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/>
    </xf>
    <xf numFmtId="1" fontId="2" fillId="2" borderId="21" xfId="0" applyNumberFormat="1" applyFont="1" applyFill="1" applyBorder="1" applyAlignment="1">
      <alignment horizontal="center" vertical="center"/>
    </xf>
    <xf numFmtId="1" fontId="2" fillId="2" borderId="22" xfId="0" applyNumberFormat="1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/>
    </xf>
    <xf numFmtId="1" fontId="2" fillId="2" borderId="24" xfId="0" applyNumberFormat="1" applyFont="1" applyFill="1" applyBorder="1" applyAlignment="1">
      <alignment horizontal="center" vertical="center"/>
    </xf>
    <xf numFmtId="1" fontId="2" fillId="2" borderId="25" xfId="0" applyNumberFormat="1" applyFont="1" applyFill="1" applyBorder="1" applyAlignment="1">
      <alignment horizontal="center" vertical="center"/>
    </xf>
    <xf numFmtId="1" fontId="2" fillId="2" borderId="26" xfId="0" applyNumberFormat="1" applyFont="1" applyFill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2" borderId="28" xfId="0" applyNumberFormat="1" applyFont="1" applyFill="1" applyBorder="1" applyAlignment="1">
      <alignment horizontal="center" vertical="center"/>
    </xf>
    <xf numFmtId="1" fontId="2" fillId="2" borderId="29" xfId="0" applyNumberFormat="1" applyFont="1" applyFill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2" borderId="28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33" xfId="0" applyNumberFormat="1" applyFont="1" applyBorder="1"/>
    <xf numFmtId="1" fontId="3" fillId="0" borderId="31" xfId="0" applyNumberFormat="1" applyFont="1" applyBorder="1"/>
    <xf numFmtId="1" fontId="1" fillId="2" borderId="18" xfId="0" applyNumberFormat="1" applyFont="1" applyFill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 wrapText="1"/>
    </xf>
    <xf numFmtId="1" fontId="5" fillId="5" borderId="18" xfId="0" applyNumberFormat="1" applyFont="1" applyFill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/>
    </xf>
    <xf numFmtId="1" fontId="2" fillId="0" borderId="43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vertical="center" wrapText="1"/>
    </xf>
    <xf numFmtId="1" fontId="2" fillId="0" borderId="22" xfId="0" applyNumberFormat="1" applyFont="1" applyBorder="1" applyAlignment="1">
      <alignment horizontal="center" vertical="center"/>
    </xf>
    <xf numFmtId="1" fontId="5" fillId="2" borderId="18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 applyAlignment="1">
      <alignment horizontal="center" vertical="center"/>
    </xf>
    <xf numFmtId="1" fontId="5" fillId="2" borderId="18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/>
    </xf>
    <xf numFmtId="1" fontId="6" fillId="0" borderId="43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vertical="top"/>
    </xf>
    <xf numFmtId="0" fontId="2" fillId="0" borderId="18" xfId="0" applyNumberFormat="1" applyFont="1" applyBorder="1" applyAlignment="1">
      <alignment vertical="top"/>
    </xf>
    <xf numFmtId="1" fontId="2" fillId="0" borderId="41" xfId="0" applyNumberFormat="1" applyFont="1" applyBorder="1" applyAlignment="1">
      <alignment horizontal="center"/>
    </xf>
    <xf numFmtId="1" fontId="2" fillId="0" borderId="48" xfId="0" applyNumberFormat="1" applyFont="1" applyBorder="1" applyAlignment="1">
      <alignment horizontal="center"/>
    </xf>
    <xf numFmtId="1" fontId="2" fillId="0" borderId="49" xfId="0" applyNumberFormat="1" applyFont="1" applyBorder="1" applyAlignment="1">
      <alignment horizontal="center"/>
    </xf>
    <xf numFmtId="1" fontId="2" fillId="0" borderId="41" xfId="0" applyNumberFormat="1" applyFont="1" applyBorder="1" applyAlignment="1">
      <alignment horizontal="center"/>
    </xf>
    <xf numFmtId="1" fontId="2" fillId="0" borderId="50" xfId="0" applyNumberFormat="1" applyFont="1" applyBorder="1" applyAlignment="1">
      <alignment horizontal="center" vertical="center"/>
    </xf>
    <xf numFmtId="1" fontId="2" fillId="0" borderId="51" xfId="0" applyNumberFormat="1" applyFont="1" applyBorder="1" applyAlignment="1">
      <alignment horizontal="center" vertical="center"/>
    </xf>
    <xf numFmtId="1" fontId="2" fillId="0" borderId="52" xfId="0" applyNumberFormat="1" applyFont="1" applyBorder="1" applyAlignment="1">
      <alignment horizontal="center" vertical="center"/>
    </xf>
    <xf numFmtId="1" fontId="2" fillId="0" borderId="5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left" vertical="center"/>
    </xf>
    <xf numFmtId="1" fontId="2" fillId="6" borderId="7" xfId="0" applyNumberFormat="1" applyFont="1" applyFill="1" applyBorder="1" applyAlignment="1">
      <alignment horizontal="center" vertical="center"/>
    </xf>
    <xf numFmtId="1" fontId="2" fillId="6" borderId="8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" fontId="10" fillId="6" borderId="48" xfId="0" applyNumberFormat="1" applyFont="1" applyFill="1" applyBorder="1" applyAlignment="1"/>
    <xf numFmtId="1" fontId="10" fillId="6" borderId="48" xfId="0" applyNumberFormat="1" applyFont="1" applyFill="1" applyBorder="1"/>
    <xf numFmtId="1" fontId="1" fillId="0" borderId="18" xfId="0" applyNumberFormat="1" applyFont="1" applyBorder="1" applyAlignment="1">
      <alignment horizontal="center" vertical="center"/>
    </xf>
    <xf numFmtId="9" fontId="2" fillId="6" borderId="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9" fillId="2" borderId="18" xfId="0" applyNumberFormat="1" applyFont="1" applyFill="1" applyBorder="1" applyAlignment="1">
      <alignment horizontal="center" vertical="center"/>
    </xf>
    <xf numFmtId="9" fontId="2" fillId="6" borderId="8" xfId="0" applyNumberFormat="1" applyFont="1" applyFill="1" applyBorder="1" applyAlignment="1">
      <alignment horizontal="center" vertical="center"/>
    </xf>
    <xf numFmtId="9" fontId="2" fillId="6" borderId="10" xfId="0" applyNumberFormat="1" applyFont="1" applyFill="1" applyBorder="1" applyAlignment="1">
      <alignment horizontal="center" vertical="center"/>
    </xf>
    <xf numFmtId="9" fontId="2" fillId="6" borderId="54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9" fontId="2" fillId="6" borderId="56" xfId="0" applyNumberFormat="1" applyFont="1" applyFill="1" applyBorder="1" applyAlignment="1">
      <alignment horizontal="center" vertical="center"/>
    </xf>
    <xf numFmtId="9" fontId="2" fillId="6" borderId="57" xfId="0" applyNumberFormat="1" applyFont="1" applyFill="1" applyBorder="1" applyAlignment="1">
      <alignment horizontal="center" vertical="center"/>
    </xf>
    <xf numFmtId="9" fontId="2" fillId="6" borderId="58" xfId="0" applyNumberFormat="1" applyFont="1" applyFill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/>
    </xf>
    <xf numFmtId="2" fontId="2" fillId="2" borderId="62" xfId="0" applyNumberFormat="1" applyFont="1" applyFill="1" applyBorder="1" applyAlignment="1">
      <alignment horizontal="center" vertical="center"/>
    </xf>
    <xf numFmtId="2" fontId="2" fillId="2" borderId="63" xfId="0" applyNumberFormat="1" applyFont="1" applyFill="1" applyBorder="1" applyAlignment="1">
      <alignment horizontal="center" vertical="center"/>
    </xf>
    <xf numFmtId="2" fontId="10" fillId="2" borderId="11" xfId="0" applyNumberFormat="1" applyFont="1" applyFill="1" applyBorder="1" applyAlignment="1"/>
    <xf numFmtId="2" fontId="10" fillId="2" borderId="64" xfId="0" applyNumberFormat="1" applyFont="1" applyFill="1" applyBorder="1" applyAlignment="1"/>
    <xf numFmtId="2" fontId="10" fillId="2" borderId="65" xfId="0" applyNumberFormat="1" applyFont="1" applyFill="1" applyBorder="1" applyAlignment="1"/>
    <xf numFmtId="2" fontId="10" fillId="2" borderId="11" xfId="0" applyNumberFormat="1" applyFont="1" applyFill="1" applyBorder="1"/>
    <xf numFmtId="2" fontId="10" fillId="2" borderId="64" xfId="0" applyNumberFormat="1" applyFont="1" applyFill="1" applyBorder="1"/>
    <xf numFmtId="2" fontId="10" fillId="2" borderId="65" xfId="0" applyNumberFormat="1" applyFont="1" applyFill="1" applyBorder="1"/>
    <xf numFmtId="2" fontId="2" fillId="0" borderId="64" xfId="0" applyNumberFormat="1" applyFont="1" applyBorder="1" applyAlignment="1">
      <alignment horizontal="center" vertical="center"/>
    </xf>
    <xf numFmtId="2" fontId="2" fillId="0" borderId="66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67" xfId="0" applyNumberFormat="1" applyFont="1" applyBorder="1" applyAlignment="1">
      <alignment horizontal="center" vertical="center"/>
    </xf>
    <xf numFmtId="1" fontId="2" fillId="0" borderId="68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9" fontId="2" fillId="0" borderId="17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 wrapText="1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35" xfId="0" applyNumberFormat="1" applyFont="1" applyFill="1" applyBorder="1" applyAlignment="1">
      <alignment horizontal="center" vertical="center"/>
    </xf>
    <xf numFmtId="2" fontId="2" fillId="2" borderId="19" xfId="0" applyNumberFormat="1" applyFont="1" applyFill="1" applyBorder="1" applyAlignment="1">
      <alignment horizontal="center" vertical="center"/>
    </xf>
    <xf numFmtId="2" fontId="2" fillId="2" borderId="69" xfId="0" applyNumberFormat="1" applyFont="1" applyFill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1" fontId="2" fillId="7" borderId="62" xfId="0" applyNumberFormat="1" applyFont="1" applyFill="1" applyBorder="1" applyAlignment="1">
      <alignment horizontal="center" vertical="center"/>
    </xf>
    <xf numFmtId="1" fontId="2" fillId="0" borderId="64" xfId="0" applyNumberFormat="1" applyFont="1" applyBorder="1" applyAlignment="1">
      <alignment horizontal="center" vertical="center"/>
    </xf>
    <xf numFmtId="1" fontId="2" fillId="0" borderId="70" xfId="0" applyNumberFormat="1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18" xfId="0" applyNumberFormat="1" applyFont="1" applyBorder="1" applyAlignment="1">
      <alignment horizontal="center" wrapText="1"/>
    </xf>
    <xf numFmtId="9" fontId="2" fillId="0" borderId="35" xfId="0" applyNumberFormat="1" applyFont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8" xfId="0" applyNumberFormat="1" applyFont="1" applyBorder="1" applyAlignment="1">
      <alignment horizontal="center" vertical="top" wrapText="1"/>
    </xf>
    <xf numFmtId="9" fontId="1" fillId="0" borderId="18" xfId="0" applyNumberFormat="1" applyFont="1" applyBorder="1" applyAlignment="1">
      <alignment horizontal="center" vertical="center"/>
    </xf>
    <xf numFmtId="1" fontId="1" fillId="8" borderId="18" xfId="0" applyNumberFormat="1" applyFont="1" applyFill="1" applyBorder="1"/>
    <xf numFmtId="164" fontId="1" fillId="0" borderId="0" xfId="0" applyNumberFormat="1" applyFont="1"/>
    <xf numFmtId="1" fontId="1" fillId="2" borderId="18" xfId="0" applyNumberFormat="1" applyFont="1" applyFill="1" applyBorder="1" applyAlignment="1">
      <alignment horizontal="center"/>
    </xf>
    <xf numFmtId="1" fontId="2" fillId="0" borderId="1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9" fontId="9" fillId="0" borderId="18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  <xf numFmtId="2" fontId="2" fillId="0" borderId="35" xfId="0" applyNumberFormat="1" applyFont="1" applyBorder="1" applyAlignment="1">
      <alignment horizontal="center" vertical="center"/>
    </xf>
    <xf numFmtId="0" fontId="14" fillId="0" borderId="0" xfId="0" applyNumberFormat="1" applyFont="1"/>
    <xf numFmtId="0" fontId="15" fillId="0" borderId="0" xfId="0" applyNumberFormat="1" applyFont="1"/>
    <xf numFmtId="0" fontId="6" fillId="9" borderId="18" xfId="0" applyNumberFormat="1" applyFont="1" applyFill="1" applyBorder="1" applyAlignment="1">
      <alignment horizontal="center" vertical="center"/>
    </xf>
    <xf numFmtId="0" fontId="11" fillId="12" borderId="12" xfId="0" applyNumberFormat="1" applyFont="1" applyFill="1" applyBorder="1" applyAlignment="1">
      <alignment horizontal="center" vertical="center"/>
    </xf>
    <xf numFmtId="1" fontId="11" fillId="12" borderId="13" xfId="0" applyNumberFormat="1" applyFont="1" applyFill="1" applyBorder="1" applyAlignment="1">
      <alignment horizontal="center" vertical="center"/>
    </xf>
    <xf numFmtId="0" fontId="11" fillId="12" borderId="13" xfId="0" applyNumberFormat="1" applyFont="1" applyFill="1" applyBorder="1" applyAlignment="1">
      <alignment horizontal="center" vertical="center"/>
    </xf>
    <xf numFmtId="1" fontId="9" fillId="10" borderId="18" xfId="0" applyNumberFormat="1" applyFont="1" applyFill="1" applyBorder="1" applyAlignment="1">
      <alignment horizontal="center" vertical="center"/>
    </xf>
    <xf numFmtId="1" fontId="11" fillId="12" borderId="14" xfId="0" applyNumberFormat="1" applyFont="1" applyFill="1" applyBorder="1" applyAlignment="1">
      <alignment horizontal="center" vertical="center"/>
    </xf>
    <xf numFmtId="0" fontId="11" fillId="12" borderId="18" xfId="0" applyNumberFormat="1" applyFont="1" applyFill="1" applyBorder="1" applyAlignment="1">
      <alignment horizontal="center" vertical="center" wrapText="1"/>
    </xf>
    <xf numFmtId="1" fontId="11" fillId="12" borderId="76" xfId="0" applyNumberFormat="1" applyFont="1" applyFill="1" applyBorder="1" applyAlignment="1">
      <alignment horizontal="center" vertical="center" wrapText="1"/>
    </xf>
    <xf numFmtId="164" fontId="11" fillId="12" borderId="28" xfId="0" applyNumberFormat="1" applyFont="1" applyFill="1" applyBorder="1" applyAlignment="1">
      <alignment horizontal="center" vertical="center"/>
    </xf>
    <xf numFmtId="0" fontId="11" fillId="12" borderId="28" xfId="0" applyNumberFormat="1" applyFont="1" applyFill="1" applyBorder="1" applyAlignment="1">
      <alignment horizontal="center" vertical="center"/>
    </xf>
    <xf numFmtId="1" fontId="11" fillId="12" borderId="29" xfId="0" applyNumberFormat="1" applyFont="1" applyFill="1" applyBorder="1" applyAlignment="1">
      <alignment horizontal="center" vertical="center"/>
    </xf>
    <xf numFmtId="9" fontId="9" fillId="10" borderId="18" xfId="0" applyNumberFormat="1" applyFont="1" applyFill="1" applyBorder="1" applyAlignment="1">
      <alignment horizontal="center" vertical="center"/>
    </xf>
    <xf numFmtId="0" fontId="11" fillId="0" borderId="51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9" fontId="11" fillId="0" borderId="65" xfId="0" applyNumberFormat="1" applyFont="1" applyBorder="1" applyAlignment="1">
      <alignment horizontal="center" vertical="center"/>
    </xf>
    <xf numFmtId="0" fontId="17" fillId="0" borderId="0" xfId="0" applyNumberFormat="1" applyFont="1" applyAlignment="1">
      <alignment vertical="center"/>
    </xf>
    <xf numFmtId="0" fontId="8" fillId="0" borderId="18" xfId="0" applyNumberFormat="1" applyFont="1" applyBorder="1" applyAlignment="1">
      <alignment horizontal="center" vertical="center"/>
    </xf>
    <xf numFmtId="1" fontId="13" fillId="0" borderId="18" xfId="0" applyNumberFormat="1" applyFont="1" applyBorder="1" applyAlignment="1">
      <alignment horizontal="center" vertical="center"/>
    </xf>
    <xf numFmtId="0" fontId="20" fillId="0" borderId="0" xfId="0" applyNumberFormat="1" applyFont="1"/>
    <xf numFmtId="10" fontId="13" fillId="0" borderId="18" xfId="0" applyNumberFormat="1" applyFont="1" applyBorder="1" applyAlignment="1">
      <alignment horizontal="center" vertical="center"/>
    </xf>
    <xf numFmtId="0" fontId="21" fillId="0" borderId="0" xfId="0" applyNumberFormat="1" applyFont="1"/>
    <xf numFmtId="0" fontId="13" fillId="2" borderId="18" xfId="0" applyNumberFormat="1" applyFont="1" applyFill="1" applyBorder="1" applyAlignment="1">
      <alignment horizontal="center" vertical="center"/>
    </xf>
    <xf numFmtId="0" fontId="14" fillId="13" borderId="69" xfId="0" applyNumberFormat="1" applyFont="1" applyFill="1" applyBorder="1" applyAlignment="1">
      <alignment horizontal="center"/>
    </xf>
    <xf numFmtId="0" fontId="14" fillId="13" borderId="81" xfId="0" applyNumberFormat="1" applyFont="1" applyFill="1" applyBorder="1" applyAlignment="1">
      <alignment horizontal="center"/>
    </xf>
    <xf numFmtId="0" fontId="14" fillId="13" borderId="20" xfId="0" applyNumberFormat="1" applyFont="1" applyFill="1" applyBorder="1" applyAlignment="1">
      <alignment horizontal="center"/>
    </xf>
    <xf numFmtId="0" fontId="22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right"/>
    </xf>
    <xf numFmtId="0" fontId="23" fillId="0" borderId="70" xfId="0" applyNumberFormat="1" applyFont="1" applyBorder="1"/>
    <xf numFmtId="1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24" fillId="0" borderId="0" xfId="0" applyNumberFormat="1" applyFont="1"/>
    <xf numFmtId="0" fontId="14" fillId="0" borderId="74" xfId="0" applyNumberFormat="1" applyFont="1" applyBorder="1" applyAlignment="1">
      <alignment horizontal="center" vertical="center"/>
    </xf>
    <xf numFmtId="0" fontId="14" fillId="0" borderId="4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9" borderId="18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9" fontId="9" fillId="0" borderId="0" xfId="0" applyNumberFormat="1" applyFont="1" applyAlignment="1">
      <alignment vertical="center"/>
    </xf>
    <xf numFmtId="1" fontId="2" fillId="0" borderId="38" xfId="0" applyNumberFormat="1" applyFont="1" applyBorder="1" applyAlignment="1">
      <alignment horizontal="center" vertical="center"/>
    </xf>
    <xf numFmtId="1" fontId="2" fillId="0" borderId="38" xfId="0" applyNumberFormat="1" applyFont="1" applyBorder="1"/>
    <xf numFmtId="1" fontId="3" fillId="6" borderId="82" xfId="0" applyNumberFormat="1" applyFont="1" applyFill="1" applyBorder="1" applyAlignment="1">
      <alignment horizontal="center" vertical="center"/>
    </xf>
    <xf numFmtId="2" fontId="2" fillId="6" borderId="7" xfId="0" applyNumberFormat="1" applyFont="1" applyFill="1" applyBorder="1" applyAlignment="1">
      <alignment horizontal="center" vertical="center"/>
    </xf>
    <xf numFmtId="2" fontId="2" fillId="6" borderId="8" xfId="0" applyNumberFormat="1" applyFont="1" applyFill="1" applyBorder="1" applyAlignment="1">
      <alignment horizontal="center" vertical="center"/>
    </xf>
    <xf numFmtId="1" fontId="2" fillId="6" borderId="10" xfId="0" applyNumberFormat="1" applyFont="1" applyFill="1" applyBorder="1" applyAlignment="1">
      <alignment horizontal="center" vertical="center"/>
    </xf>
    <xf numFmtId="9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 applyAlignment="1"/>
    <xf numFmtId="164" fontId="1" fillId="0" borderId="18" xfId="0" applyNumberFormat="1" applyFont="1" applyBorder="1" applyAlignment="1">
      <alignment horizontal="center"/>
    </xf>
    <xf numFmtId="1" fontId="0" fillId="0" borderId="0" xfId="0" applyNumberFormat="1" applyFont="1" applyAlignment="1"/>
    <xf numFmtId="2" fontId="10" fillId="2" borderId="62" xfId="0" applyNumberFormat="1" applyFont="1" applyFill="1" applyBorder="1" applyAlignment="1"/>
    <xf numFmtId="2" fontId="10" fillId="2" borderId="62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0" fontId="3" fillId="0" borderId="18" xfId="0" applyNumberFormat="1" applyFont="1" applyBorder="1" applyAlignment="1">
      <alignment vertical="top"/>
    </xf>
    <xf numFmtId="1" fontId="2" fillId="0" borderId="6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2" fontId="2" fillId="2" borderId="46" xfId="0" applyNumberFormat="1" applyFont="1" applyFill="1" applyBorder="1" applyAlignment="1">
      <alignment horizontal="center" vertical="center"/>
    </xf>
    <xf numFmtId="2" fontId="2" fillId="2" borderId="47" xfId="0" applyNumberFormat="1" applyFont="1" applyFill="1" applyBorder="1" applyAlignment="1">
      <alignment horizontal="center" vertical="center"/>
    </xf>
    <xf numFmtId="2" fontId="10" fillId="2" borderId="45" xfId="0" applyNumberFormat="1" applyFont="1" applyFill="1" applyBorder="1" applyAlignment="1"/>
    <xf numFmtId="2" fontId="10" fillId="2" borderId="74" xfId="0" applyNumberFormat="1" applyFont="1" applyFill="1" applyBorder="1" applyAlignment="1"/>
    <xf numFmtId="2" fontId="2" fillId="2" borderId="66" xfId="0" applyNumberFormat="1" applyFont="1" applyFill="1" applyBorder="1" applyAlignment="1">
      <alignment horizontal="center" vertical="center"/>
    </xf>
    <xf numFmtId="2" fontId="2" fillId="2" borderId="75" xfId="0" applyNumberFormat="1" applyFont="1" applyFill="1" applyBorder="1" applyAlignment="1">
      <alignment horizontal="center" vertical="center"/>
    </xf>
    <xf numFmtId="0" fontId="2" fillId="0" borderId="69" xfId="0" applyNumberFormat="1" applyFont="1" applyBorder="1" applyAlignment="1">
      <alignment vertical="top"/>
    </xf>
    <xf numFmtId="2" fontId="2" fillId="0" borderId="74" xfId="0" applyNumberFormat="1" applyFont="1" applyBorder="1" applyAlignment="1">
      <alignment horizontal="center" vertical="center"/>
    </xf>
    <xf numFmtId="2" fontId="2" fillId="0" borderId="46" xfId="0" applyNumberFormat="1" applyFont="1" applyBorder="1" applyAlignment="1">
      <alignment horizontal="center" vertical="center"/>
    </xf>
    <xf numFmtId="9" fontId="2" fillId="0" borderId="58" xfId="0" applyNumberFormat="1" applyFont="1" applyBorder="1" applyAlignment="1">
      <alignment horizontal="center" vertical="center"/>
    </xf>
    <xf numFmtId="1" fontId="2" fillId="0" borderId="56" xfId="0" applyNumberFormat="1" applyFont="1" applyBorder="1" applyAlignment="1">
      <alignment horizontal="center" vertical="center"/>
    </xf>
    <xf numFmtId="1" fontId="2" fillId="0" borderId="84" xfId="0" applyNumberFormat="1" applyFont="1" applyBorder="1" applyAlignment="1">
      <alignment horizontal="center" vertical="center"/>
    </xf>
    <xf numFmtId="1" fontId="2" fillId="0" borderId="60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9" fontId="2" fillId="0" borderId="63" xfId="0" applyNumberFormat="1" applyFont="1" applyBorder="1" applyAlignment="1">
      <alignment horizontal="center" vertical="center"/>
    </xf>
    <xf numFmtId="1" fontId="2" fillId="0" borderId="66" xfId="0" applyNumberFormat="1" applyFont="1" applyBorder="1" applyAlignment="1">
      <alignment horizontal="center" vertical="center"/>
    </xf>
    <xf numFmtId="1" fontId="2" fillId="0" borderId="83" xfId="0" applyNumberFormat="1" applyFont="1" applyBorder="1"/>
    <xf numFmtId="9" fontId="2" fillId="0" borderId="24" xfId="0" applyNumberFormat="1" applyFont="1" applyBorder="1" applyAlignment="1">
      <alignment horizontal="center" vertical="center"/>
    </xf>
    <xf numFmtId="9" fontId="2" fillId="0" borderId="62" xfId="0" applyNumberFormat="1" applyFont="1" applyBorder="1" applyAlignment="1">
      <alignment horizontal="center" vertical="center"/>
    </xf>
    <xf numFmtId="9" fontId="2" fillId="0" borderId="66" xfId="0" applyNumberFormat="1" applyFont="1" applyBorder="1" applyAlignment="1">
      <alignment horizontal="center" vertical="center"/>
    </xf>
    <xf numFmtId="9" fontId="2" fillId="0" borderId="75" xfId="0" applyNumberFormat="1" applyFont="1" applyBorder="1" applyAlignment="1">
      <alignment horizontal="center" vertical="center"/>
    </xf>
    <xf numFmtId="2" fontId="2" fillId="2" borderId="74" xfId="0" applyNumberFormat="1" applyFont="1" applyFill="1" applyBorder="1" applyAlignment="1">
      <alignment horizontal="center" vertical="center"/>
    </xf>
    <xf numFmtId="2" fontId="2" fillId="2" borderId="83" xfId="0" applyNumberFormat="1" applyFont="1" applyFill="1" applyBorder="1" applyAlignment="1">
      <alignment horizontal="center" vertical="center"/>
    </xf>
    <xf numFmtId="2" fontId="2" fillId="2" borderId="85" xfId="0" applyNumberFormat="1" applyFont="1" applyFill="1" applyBorder="1" applyAlignment="1">
      <alignment horizontal="center" vertical="center"/>
    </xf>
    <xf numFmtId="2" fontId="10" fillId="2" borderId="83" xfId="0" applyNumberFormat="1" applyFont="1" applyFill="1" applyBorder="1" applyAlignment="1"/>
    <xf numFmtId="2" fontId="2" fillId="2" borderId="86" xfId="0" applyNumberFormat="1" applyFont="1" applyFill="1" applyBorder="1" applyAlignment="1">
      <alignment horizontal="center" vertical="center"/>
    </xf>
    <xf numFmtId="2" fontId="2" fillId="2" borderId="64" xfId="0" applyNumberFormat="1" applyFont="1" applyFill="1" applyBorder="1" applyAlignment="1">
      <alignment horizontal="center" vertical="center"/>
    </xf>
    <xf numFmtId="1" fontId="5" fillId="0" borderId="83" xfId="0" applyNumberFormat="1" applyFont="1" applyBorder="1"/>
    <xf numFmtId="1" fontId="1" fillId="2" borderId="83" xfId="0" applyNumberFormat="1" applyFont="1" applyFill="1" applyBorder="1" applyAlignment="1">
      <alignment horizontal="center" vertical="center"/>
    </xf>
    <xf numFmtId="1" fontId="1" fillId="0" borderId="83" xfId="0" applyNumberFormat="1" applyFont="1" applyBorder="1"/>
    <xf numFmtId="1" fontId="1" fillId="2" borderId="83" xfId="0" applyNumberFormat="1" applyFont="1" applyFill="1" applyBorder="1"/>
    <xf numFmtId="1" fontId="5" fillId="5" borderId="83" xfId="0" applyNumberFormat="1" applyFont="1" applyFill="1" applyBorder="1" applyAlignment="1">
      <alignment horizontal="center" vertical="center" wrapText="1"/>
    </xf>
    <xf numFmtId="1" fontId="5" fillId="0" borderId="83" xfId="0" applyNumberFormat="1" applyFont="1" applyBorder="1" applyAlignment="1">
      <alignment horizontal="center" vertical="center" wrapText="1"/>
    </xf>
    <xf numFmtId="1" fontId="5" fillId="0" borderId="83" xfId="0" applyNumberFormat="1" applyFont="1" applyBorder="1" applyAlignment="1">
      <alignment vertical="center" wrapText="1"/>
    </xf>
    <xf numFmtId="1" fontId="6" fillId="0" borderId="83" xfId="0" applyNumberFormat="1" applyFont="1" applyBorder="1" applyAlignment="1">
      <alignment horizontal="center" vertical="center"/>
    </xf>
    <xf numFmtId="1" fontId="1" fillId="0" borderId="83" xfId="0" applyNumberFormat="1" applyFont="1" applyBorder="1" applyAlignment="1">
      <alignment horizontal="center"/>
    </xf>
    <xf numFmtId="49" fontId="1" fillId="0" borderId="83" xfId="0" applyNumberFormat="1" applyFont="1" applyBorder="1" applyAlignment="1">
      <alignment vertical="top"/>
    </xf>
    <xf numFmtId="0" fontId="2" fillId="0" borderId="83" xfId="0" applyNumberFormat="1" applyFont="1" applyBorder="1" applyAlignment="1">
      <alignment vertical="top"/>
    </xf>
    <xf numFmtId="2" fontId="1" fillId="2" borderId="83" xfId="0" applyNumberFormat="1" applyFont="1" applyFill="1" applyBorder="1" applyAlignment="1">
      <alignment horizontal="center" vertical="center" wrapText="1"/>
    </xf>
    <xf numFmtId="2" fontId="1" fillId="0" borderId="83" xfId="0" applyNumberFormat="1" applyFont="1" applyBorder="1" applyAlignment="1">
      <alignment horizontal="center" vertical="center" wrapText="1"/>
    </xf>
    <xf numFmtId="2" fontId="9" fillId="0" borderId="83" xfId="0" applyNumberFormat="1" applyFont="1" applyBorder="1" applyAlignment="1">
      <alignment horizontal="center" vertical="center"/>
    </xf>
    <xf numFmtId="2" fontId="1" fillId="0" borderId="83" xfId="0" applyNumberFormat="1" applyFont="1" applyBorder="1" applyAlignment="1">
      <alignment horizontal="center" vertical="center"/>
    </xf>
    <xf numFmtId="1" fontId="1" fillId="0" borderId="83" xfId="0" applyNumberFormat="1" applyFont="1" applyBorder="1" applyAlignment="1">
      <alignment horizontal="center" vertical="center"/>
    </xf>
    <xf numFmtId="9" fontId="1" fillId="5" borderId="83" xfId="0" applyNumberFormat="1" applyFont="1" applyFill="1" applyBorder="1" applyAlignment="1">
      <alignment horizontal="center" vertical="center"/>
    </xf>
    <xf numFmtId="1" fontId="1" fillId="5" borderId="83" xfId="0" applyNumberFormat="1" applyFont="1" applyFill="1" applyBorder="1" applyAlignment="1">
      <alignment horizontal="center" vertical="center"/>
    </xf>
    <xf numFmtId="1" fontId="1" fillId="0" borderId="83" xfId="0" applyNumberFormat="1" applyFont="1" applyBorder="1" applyAlignment="1">
      <alignment horizontal="center" vertical="center" wrapText="1"/>
    </xf>
    <xf numFmtId="0" fontId="3" fillId="0" borderId="83" xfId="0" applyNumberFormat="1" applyFont="1" applyBorder="1" applyAlignment="1">
      <alignment vertical="top"/>
    </xf>
    <xf numFmtId="1" fontId="3" fillId="0" borderId="60" xfId="0" applyNumberFormat="1" applyFont="1" applyBorder="1"/>
    <xf numFmtId="0" fontId="4" fillId="0" borderId="86" xfId="0" applyNumberFormat="1" applyFont="1" applyBorder="1" applyAlignment="1"/>
    <xf numFmtId="0" fontId="4" fillId="0" borderId="83" xfId="0" applyNumberFormat="1" applyFont="1" applyBorder="1" applyAlignment="1"/>
    <xf numFmtId="2" fontId="2" fillId="2" borderId="72" xfId="0" applyNumberFormat="1" applyFont="1" applyFill="1" applyBorder="1" applyAlignment="1">
      <alignment horizontal="center" vertical="center"/>
    </xf>
    <xf numFmtId="2" fontId="2" fillId="2" borderId="87" xfId="0" applyNumberFormat="1" applyFont="1" applyFill="1" applyBorder="1" applyAlignment="1">
      <alignment horizontal="center" vertical="center"/>
    </xf>
    <xf numFmtId="2" fontId="2" fillId="2" borderId="70" xfId="0" applyNumberFormat="1" applyFont="1" applyFill="1" applyBorder="1" applyAlignment="1">
      <alignment horizontal="center" vertical="center"/>
    </xf>
    <xf numFmtId="2" fontId="2" fillId="2" borderId="81" xfId="0" applyNumberFormat="1" applyFont="1" applyFill="1" applyBorder="1" applyAlignment="1">
      <alignment horizontal="center" vertical="center"/>
    </xf>
    <xf numFmtId="1" fontId="2" fillId="6" borderId="30" xfId="0" applyNumberFormat="1" applyFont="1" applyFill="1" applyBorder="1" applyAlignment="1">
      <alignment horizontal="center" vertical="center"/>
    </xf>
    <xf numFmtId="1" fontId="2" fillId="0" borderId="40" xfId="0" applyNumberFormat="1" applyFont="1" applyBorder="1" applyAlignment="1">
      <alignment horizontal="center"/>
    </xf>
    <xf numFmtId="1" fontId="2" fillId="0" borderId="48" xfId="0" applyNumberFormat="1" applyFont="1" applyBorder="1" applyAlignment="1">
      <alignment horizontal="center" vertical="center"/>
    </xf>
    <xf numFmtId="1" fontId="2" fillId="0" borderId="88" xfId="0" applyNumberFormat="1" applyFont="1" applyBorder="1" applyAlignment="1">
      <alignment horizontal="center" vertical="center"/>
    </xf>
    <xf numFmtId="1" fontId="2" fillId="0" borderId="89" xfId="0" applyNumberFormat="1" applyFont="1" applyBorder="1" applyAlignment="1">
      <alignment horizontal="center" vertical="center"/>
    </xf>
    <xf numFmtId="1" fontId="2" fillId="0" borderId="90" xfId="0" applyNumberFormat="1" applyFont="1" applyBorder="1" applyAlignment="1">
      <alignment horizontal="center" vertical="center"/>
    </xf>
    <xf numFmtId="0" fontId="4" fillId="0" borderId="85" xfId="0" applyNumberFormat="1" applyFont="1" applyBorder="1" applyAlignment="1"/>
    <xf numFmtId="1" fontId="3" fillId="0" borderId="86" xfId="0" applyNumberFormat="1" applyFont="1" applyBorder="1" applyAlignment="1"/>
    <xf numFmtId="2" fontId="2" fillId="2" borderId="95" xfId="0" applyNumberFormat="1" applyFont="1" applyFill="1" applyBorder="1" applyAlignment="1">
      <alignment horizontal="center" vertical="center"/>
    </xf>
    <xf numFmtId="1" fontId="10" fillId="6" borderId="7" xfId="0" applyNumberFormat="1" applyFont="1" applyFill="1" applyBorder="1" applyAlignment="1"/>
    <xf numFmtId="1" fontId="10" fillId="6" borderId="1" xfId="0" applyNumberFormat="1" applyFont="1" applyFill="1" applyBorder="1" applyAlignment="1"/>
    <xf numFmtId="2" fontId="2" fillId="2" borderId="96" xfId="0" applyNumberFormat="1" applyFont="1" applyFill="1" applyBorder="1" applyAlignment="1">
      <alignment horizontal="center" vertical="center"/>
    </xf>
    <xf numFmtId="2" fontId="2" fillId="2" borderId="97" xfId="0" applyNumberFormat="1" applyFont="1" applyFill="1" applyBorder="1" applyAlignment="1">
      <alignment horizontal="center" vertical="center"/>
    </xf>
    <xf numFmtId="2" fontId="2" fillId="2" borderId="98" xfId="0" applyNumberFormat="1" applyFont="1" applyFill="1" applyBorder="1" applyAlignment="1">
      <alignment horizontal="center" vertical="center"/>
    </xf>
    <xf numFmtId="2" fontId="2" fillId="2" borderId="99" xfId="0" applyNumberFormat="1" applyFont="1" applyFill="1" applyBorder="1" applyAlignment="1">
      <alignment horizontal="center" vertical="center"/>
    </xf>
    <xf numFmtId="1" fontId="2" fillId="0" borderId="100" xfId="0" applyNumberFormat="1" applyFont="1" applyBorder="1" applyAlignment="1">
      <alignment horizontal="center"/>
    </xf>
    <xf numFmtId="0" fontId="25" fillId="0" borderId="91" xfId="0" applyNumberFormat="1" applyFont="1" applyBorder="1" applyAlignment="1"/>
    <xf numFmtId="2" fontId="2" fillId="2" borderId="101" xfId="0" applyNumberFormat="1" applyFont="1" applyFill="1" applyBorder="1" applyAlignment="1">
      <alignment horizontal="center" vertical="center"/>
    </xf>
    <xf numFmtId="2" fontId="10" fillId="2" borderId="61" xfId="0" applyNumberFormat="1" applyFont="1" applyFill="1" applyBorder="1" applyAlignment="1"/>
    <xf numFmtId="2" fontId="10" fillId="2" borderId="102" xfId="0" applyNumberFormat="1" applyFont="1" applyFill="1" applyBorder="1" applyAlignment="1"/>
    <xf numFmtId="1" fontId="1" fillId="2" borderId="83" xfId="0" applyNumberFormat="1" applyFont="1" applyFill="1" applyBorder="1" applyAlignment="1">
      <alignment horizontal="center" vertical="center"/>
    </xf>
    <xf numFmtId="0" fontId="4" fillId="0" borderId="83" xfId="0" applyNumberFormat="1" applyFont="1" applyBorder="1"/>
    <xf numFmtId="1" fontId="5" fillId="5" borderId="83" xfId="0" applyNumberFormat="1" applyFont="1" applyFill="1" applyBorder="1" applyAlignment="1">
      <alignment horizontal="center" vertical="center"/>
    </xf>
    <xf numFmtId="1" fontId="1" fillId="2" borderId="71" xfId="0" applyNumberFormat="1" applyFont="1" applyFill="1" applyBorder="1" applyAlignment="1">
      <alignment horizontal="left"/>
    </xf>
    <xf numFmtId="0" fontId="4" fillId="0" borderId="72" xfId="0" applyNumberFormat="1" applyFont="1" applyBorder="1"/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3" fillId="3" borderId="34" xfId="0" applyNumberFormat="1" applyFont="1" applyFill="1" applyBorder="1" applyAlignment="1">
      <alignment horizontal="center"/>
    </xf>
    <xf numFmtId="0" fontId="4" fillId="0" borderId="33" xfId="0" applyNumberFormat="1" applyFont="1" applyBorder="1"/>
    <xf numFmtId="0" fontId="4" fillId="0" borderId="31" xfId="0" applyNumberFormat="1" applyFont="1" applyBorder="1"/>
    <xf numFmtId="1" fontId="3" fillId="0" borderId="40" xfId="0" applyNumberFormat="1" applyFont="1" applyBorder="1" applyAlignment="1">
      <alignment horizontal="center"/>
    </xf>
    <xf numFmtId="0" fontId="4" fillId="0" borderId="40" xfId="0" applyNumberFormat="1" applyFont="1" applyBorder="1"/>
    <xf numFmtId="0" fontId="4" fillId="0" borderId="41" xfId="0" applyNumberFormat="1" applyFont="1" applyBorder="1"/>
    <xf numFmtId="1" fontId="3" fillId="0" borderId="3" xfId="0" applyNumberFormat="1" applyFont="1" applyBorder="1" applyAlignment="1">
      <alignment horizontal="center" vertical="center" wrapText="1"/>
    </xf>
    <xf numFmtId="0" fontId="4" fillId="0" borderId="5" xfId="0" applyNumberFormat="1" applyFont="1" applyBorder="1"/>
    <xf numFmtId="0" fontId="4" fillId="0" borderId="6" xfId="0" applyNumberFormat="1" applyFont="1" applyBorder="1"/>
    <xf numFmtId="0" fontId="4" fillId="0" borderId="38" xfId="0" applyNumberFormat="1" applyFont="1" applyBorder="1"/>
    <xf numFmtId="0" fontId="4" fillId="0" borderId="39" xfId="0" applyNumberFormat="1" applyFont="1" applyBorder="1"/>
    <xf numFmtId="0" fontId="4" fillId="0" borderId="42" xfId="0" applyNumberFormat="1" applyFont="1" applyBorder="1"/>
    <xf numFmtId="1" fontId="3" fillId="0" borderId="92" xfId="0" applyNumberFormat="1" applyFont="1" applyBorder="1" applyAlignment="1">
      <alignment horizontal="center"/>
    </xf>
    <xf numFmtId="0" fontId="4" fillId="0" borderId="93" xfId="0" applyNumberFormat="1" applyFont="1" applyBorder="1"/>
    <xf numFmtId="0" fontId="4" fillId="0" borderId="94" xfId="0" applyNumberFormat="1" applyFont="1" applyBorder="1"/>
    <xf numFmtId="1" fontId="2" fillId="0" borderId="0" xfId="0" applyNumberFormat="1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6" borderId="82" xfId="0" applyNumberFormat="1" applyFont="1" applyFill="1" applyBorder="1" applyAlignment="1">
      <alignment horizontal="center" vertical="center"/>
    </xf>
    <xf numFmtId="1" fontId="3" fillId="6" borderId="31" xfId="0" applyNumberFormat="1" applyFont="1" applyFill="1" applyBorder="1" applyAlignment="1">
      <alignment horizontal="center" vertical="center"/>
    </xf>
    <xf numFmtId="1" fontId="2" fillId="6" borderId="59" xfId="0" applyNumberFormat="1" applyFont="1" applyFill="1" applyBorder="1" applyAlignment="1">
      <alignment horizontal="center" vertical="center"/>
    </xf>
    <xf numFmtId="0" fontId="4" fillId="0" borderId="60" xfId="0" applyNumberFormat="1" applyFont="1" applyBorder="1"/>
    <xf numFmtId="0" fontId="4" fillId="0" borderId="61" xfId="0" applyNumberFormat="1" applyFont="1" applyBorder="1"/>
    <xf numFmtId="1" fontId="3" fillId="0" borderId="82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2" fillId="6" borderId="55" xfId="0" applyNumberFormat="1" applyFont="1" applyFill="1" applyBorder="1" applyAlignment="1">
      <alignment horizontal="center" vertical="center"/>
    </xf>
    <xf numFmtId="1" fontId="3" fillId="4" borderId="34" xfId="0" applyNumberFormat="1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3" fillId="0" borderId="34" xfId="0" applyNumberFormat="1" applyFont="1" applyBorder="1" applyAlignment="1">
      <alignment horizontal="center"/>
    </xf>
    <xf numFmtId="0" fontId="13" fillId="0" borderId="35" xfId="0" applyNumberFormat="1" applyFont="1" applyBorder="1" applyAlignment="1">
      <alignment horizontal="center" vertical="center"/>
    </xf>
    <xf numFmtId="0" fontId="4" fillId="0" borderId="36" xfId="0" applyNumberFormat="1" applyFont="1" applyBorder="1"/>
    <xf numFmtId="0" fontId="4" fillId="0" borderId="37" xfId="0" applyNumberFormat="1" applyFont="1" applyBorder="1"/>
    <xf numFmtId="10" fontId="13" fillId="0" borderId="35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6" borderId="35" xfId="0" applyNumberFormat="1" applyFont="1" applyFill="1" applyBorder="1" applyAlignment="1">
      <alignment horizontal="center" vertical="center"/>
    </xf>
    <xf numFmtId="0" fontId="13" fillId="0" borderId="44" xfId="0" applyNumberFormat="1" applyFont="1" applyBorder="1" applyAlignment="1">
      <alignment horizontal="center" vertical="center" wrapText="1"/>
    </xf>
    <xf numFmtId="0" fontId="4" fillId="0" borderId="73" xfId="0" applyNumberFormat="1" applyFont="1" applyBorder="1"/>
    <xf numFmtId="0" fontId="4" fillId="0" borderId="43" xfId="0" applyNumberFormat="1" applyFont="1" applyBorder="1"/>
    <xf numFmtId="0" fontId="4" fillId="0" borderId="47" xfId="0" applyNumberFormat="1" applyFont="1" applyBorder="1"/>
    <xf numFmtId="0" fontId="4" fillId="0" borderId="74" xfId="0" applyNumberFormat="1" applyFont="1" applyBorder="1"/>
    <xf numFmtId="0" fontId="4" fillId="0" borderId="75" xfId="0" applyNumberFormat="1" applyFont="1" applyBorder="1"/>
    <xf numFmtId="0" fontId="4" fillId="0" borderId="70" xfId="0" applyNumberFormat="1" applyFont="1" applyBorder="1"/>
    <xf numFmtId="0" fontId="4" fillId="0" borderId="64" xfId="0" applyNumberFormat="1" applyFont="1" applyBorder="1"/>
    <xf numFmtId="0" fontId="13" fillId="2" borderId="35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  <xf numFmtId="0" fontId="15" fillId="0" borderId="35" xfId="0" applyNumberFormat="1" applyFont="1" applyBorder="1" applyAlignment="1">
      <alignment horizontal="center" vertical="center"/>
    </xf>
    <xf numFmtId="0" fontId="12" fillId="9" borderId="35" xfId="0" applyNumberFormat="1" applyFont="1" applyFill="1" applyBorder="1" applyAlignment="1">
      <alignment horizontal="center" vertical="center"/>
    </xf>
    <xf numFmtId="1" fontId="9" fillId="10" borderId="35" xfId="0" applyNumberFormat="1" applyFont="1" applyFill="1" applyBorder="1" applyAlignment="1">
      <alignment horizontal="center" vertical="center"/>
    </xf>
    <xf numFmtId="9" fontId="9" fillId="10" borderId="35" xfId="0" applyNumberFormat="1" applyFont="1" applyFill="1" applyBorder="1" applyAlignment="1">
      <alignment horizontal="center" vertical="center"/>
    </xf>
    <xf numFmtId="0" fontId="11" fillId="9" borderId="35" xfId="0" applyNumberFormat="1" applyFont="1" applyFill="1" applyBorder="1" applyAlignment="1">
      <alignment horizontal="center" vertical="center"/>
    </xf>
    <xf numFmtId="1" fontId="11" fillId="4" borderId="35" xfId="0" applyNumberFormat="1" applyFont="1" applyFill="1" applyBorder="1" applyAlignment="1">
      <alignment horizontal="center" vertical="center"/>
    </xf>
    <xf numFmtId="1" fontId="11" fillId="9" borderId="35" xfId="0" applyNumberFormat="1" applyFont="1" applyFill="1" applyBorder="1" applyAlignment="1">
      <alignment horizontal="center" vertical="center"/>
    </xf>
    <xf numFmtId="0" fontId="14" fillId="10" borderId="35" xfId="0" applyNumberFormat="1" applyFont="1" applyFill="1" applyBorder="1" applyAlignment="1">
      <alignment horizontal="center" vertical="center"/>
    </xf>
    <xf numFmtId="0" fontId="11" fillId="4" borderId="35" xfId="0" applyNumberFormat="1" applyFont="1" applyFill="1" applyBorder="1" applyAlignment="1">
      <alignment horizontal="center" vertical="center"/>
    </xf>
    <xf numFmtId="0" fontId="13" fillId="2" borderId="35" xfId="0" applyNumberFormat="1" applyFont="1" applyFill="1" applyBorder="1" applyAlignment="1">
      <alignment horizontal="center" vertical="center" wrapText="1"/>
    </xf>
    <xf numFmtId="164" fontId="11" fillId="10" borderId="35" xfId="0" applyNumberFormat="1" applyFont="1" applyFill="1" applyBorder="1" applyAlignment="1">
      <alignment horizontal="center" vertical="center"/>
    </xf>
    <xf numFmtId="0" fontId="11" fillId="10" borderId="35" xfId="0" applyNumberFormat="1" applyFont="1" applyFill="1" applyBorder="1" applyAlignment="1">
      <alignment horizontal="center" vertical="center"/>
    </xf>
    <xf numFmtId="0" fontId="6" fillId="11" borderId="35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center" vertical="center"/>
    </xf>
    <xf numFmtId="0" fontId="6" fillId="11" borderId="75" xfId="0" applyNumberFormat="1" applyFont="1" applyFill="1" applyBorder="1" applyAlignment="1">
      <alignment horizontal="center" vertical="center"/>
    </xf>
    <xf numFmtId="0" fontId="6" fillId="11" borderId="70" xfId="0" applyNumberFormat="1" applyFont="1" applyFill="1" applyBorder="1" applyAlignment="1">
      <alignment horizontal="center" vertical="center"/>
    </xf>
    <xf numFmtId="0" fontId="8" fillId="0" borderId="35" xfId="0" applyNumberFormat="1" applyFont="1" applyBorder="1" applyAlignment="1">
      <alignment horizontal="center" vertical="center"/>
    </xf>
    <xf numFmtId="10" fontId="13" fillId="0" borderId="22" xfId="0" applyNumberFormat="1" applyFont="1" applyBorder="1" applyAlignment="1">
      <alignment horizontal="center" vertical="center"/>
    </xf>
    <xf numFmtId="0" fontId="4" fillId="0" borderId="46" xfId="0" applyNumberFormat="1" applyFont="1" applyBorder="1"/>
    <xf numFmtId="0" fontId="4" fillId="0" borderId="66" xfId="0" applyNumberFormat="1" applyFont="1" applyBorder="1"/>
    <xf numFmtId="0" fontId="13" fillId="2" borderId="22" xfId="0" applyNumberFormat="1" applyFont="1" applyFill="1" applyBorder="1" applyAlignment="1">
      <alignment horizontal="center" vertical="center"/>
    </xf>
    <xf numFmtId="0" fontId="14" fillId="13" borderId="69" xfId="0" applyNumberFormat="1" applyFont="1" applyFill="1" applyBorder="1" applyAlignment="1">
      <alignment horizontal="center"/>
    </xf>
    <xf numFmtId="0" fontId="4" fillId="0" borderId="81" xfId="0" applyNumberFormat="1" applyFont="1" applyBorder="1"/>
    <xf numFmtId="0" fontId="14" fillId="13" borderId="35" xfId="0" applyNumberFormat="1" applyFont="1" applyFill="1" applyBorder="1" applyAlignment="1">
      <alignment horizontal="center"/>
    </xf>
    <xf numFmtId="0" fontId="14" fillId="13" borderId="35" xfId="0" applyNumberFormat="1" applyFont="1" applyFill="1" applyBorder="1" applyAlignment="1">
      <alignment horizontal="center" vertical="center"/>
    </xf>
    <xf numFmtId="0" fontId="16" fillId="0" borderId="34" xfId="0" applyNumberFormat="1" applyFont="1" applyBorder="1" applyAlignment="1">
      <alignment horizontal="center" vertical="center"/>
    </xf>
    <xf numFmtId="0" fontId="11" fillId="0" borderId="77" xfId="0" applyNumberFormat="1" applyFont="1" applyBorder="1" applyAlignment="1">
      <alignment horizontal="center" vertical="center"/>
    </xf>
    <xf numFmtId="0" fontId="4" fillId="0" borderId="68" xfId="0" applyNumberFormat="1" applyFont="1" applyBorder="1"/>
    <xf numFmtId="0" fontId="11" fillId="0" borderId="34" xfId="0" applyNumberFormat="1" applyFont="1" applyBorder="1" applyAlignment="1">
      <alignment horizontal="center" vertical="center"/>
    </xf>
    <xf numFmtId="0" fontId="4" fillId="0" borderId="30" xfId="0" applyNumberFormat="1" applyFont="1" applyBorder="1"/>
    <xf numFmtId="0" fontId="14" fillId="13" borderId="69" xfId="0" applyNumberFormat="1" applyFont="1" applyFill="1" applyBorder="1" applyAlignment="1">
      <alignment horizontal="center" wrapText="1"/>
    </xf>
    <xf numFmtId="0" fontId="19" fillId="13" borderId="35" xfId="0" applyNumberFormat="1" applyFont="1" applyFill="1" applyBorder="1" applyAlignment="1">
      <alignment horizontal="center" vertical="center"/>
    </xf>
    <xf numFmtId="9" fontId="14" fillId="0" borderId="78" xfId="0" applyNumberFormat="1" applyFont="1" applyBorder="1" applyAlignment="1">
      <alignment horizontal="center" vertical="center" wrapText="1"/>
    </xf>
    <xf numFmtId="0" fontId="4" fillId="0" borderId="79" xfId="0" applyNumberFormat="1" applyFont="1" applyBorder="1"/>
    <xf numFmtId="0" fontId="4" fillId="0" borderId="80" xfId="0" applyNumberFormat="1" applyFont="1" applyBorder="1"/>
    <xf numFmtId="0" fontId="18" fillId="0" borderId="7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GradeSheet!$G$41:$G$52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GradeSheet!$H$41:$H$52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92-4EA2-85FB-6CCBD20F0B9E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54560"/>
        <c:axId val="159156096"/>
      </c:barChart>
      <c:catAx>
        <c:axId val="1591545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9156096"/>
        <c:crosses val="autoZero"/>
        <c:auto val="1"/>
        <c:lblAlgn val="ctr"/>
        <c:lblOffset val="100"/>
        <c:noMultiLvlLbl val="1"/>
      </c:catAx>
      <c:valAx>
        <c:axId val="159156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915456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0"/>
              <a:t>CO Attainment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CourseSummary!$H$58:$L$58</c:f>
              <c:strCache>
                <c:ptCount val="5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</c:strCache>
            </c:strRef>
          </c:cat>
          <c:val>
            <c:numRef>
              <c:f>CourseSummary!$H$59:$L$59</c:f>
              <c:numCache>
                <c:formatCode>0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77-4A23-B72B-5FC9CE717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035136"/>
        <c:axId val="179033216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CourseSummary!$H$58:$L$58</c:f>
              <c:strCache>
                <c:ptCount val="5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</c:strCache>
            </c:strRef>
          </c:cat>
          <c:val>
            <c:numRef>
              <c:f>CourseSummary!$H$60:$L$60</c:f>
              <c:numCache>
                <c:formatCode>0%</c:formatCode>
                <c:ptCount val="5"/>
                <c:pt idx="0">
                  <c:v>0.31200000000000006</c:v>
                </c:pt>
                <c:pt idx="1">
                  <c:v>0.27538461538461539</c:v>
                </c:pt>
                <c:pt idx="2">
                  <c:v>0.54608695652173911</c:v>
                </c:pt>
                <c:pt idx="3">
                  <c:v>0.43636363636363634</c:v>
                </c:pt>
                <c:pt idx="4">
                  <c:v>0.43636363636363634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77-4A23-B72B-5FC9CE717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92000"/>
        <c:axId val="178590464"/>
      </c:barChart>
      <c:valAx>
        <c:axId val="179033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Average Score </a:t>
                </a:r>
              </a:p>
            </c:rich>
          </c:tx>
          <c:layout>
            <c:manualLayout>
              <c:xMode val="edge"/>
              <c:yMode val="edge"/>
              <c:x val="0.11366761542930465"/>
              <c:y val="0.32021056558470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9035136"/>
        <c:crosses val="max"/>
        <c:crossBetween val="between"/>
      </c:valAx>
      <c:catAx>
        <c:axId val="179035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033216"/>
        <c:crosses val="autoZero"/>
        <c:auto val="1"/>
        <c:lblAlgn val="ctr"/>
        <c:lblOffset val="100"/>
        <c:noMultiLvlLbl val="0"/>
      </c:catAx>
      <c:valAx>
        <c:axId val="1785904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cross"/>
        <c:minorTickMark val="in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8592000"/>
        <c:crosses val="autoZero"/>
        <c:crossBetween val="between"/>
        <c:majorUnit val="0.2"/>
      </c:valAx>
      <c:catAx>
        <c:axId val="1785920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85904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rgbClr val="595959">
                <a:alpha val="78039"/>
              </a:srgb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Number of Students</c:v>
          </c:tx>
          <c:spPr>
            <a:noFill/>
            <a:ln>
              <a:noFill/>
            </a:ln>
          </c:spPr>
          <c:invertIfNegative val="1"/>
          <c:cat>
            <c:strRef>
              <c:f>CO_PO_AttainmentAnalysis!$BG$13:$BR$13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CO_PO_AttainmentAnalysis!$BG$44:$BR$44</c:f>
              <c:numCache>
                <c:formatCode>0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4</c:v>
                </c:pt>
                <c:pt idx="4">
                  <c:v>10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45696"/>
        <c:axId val="178627712"/>
      </c:barChart>
      <c:barChart>
        <c:barDir val="col"/>
        <c:grouping val="clustered"/>
        <c:varyColors val="1"/>
        <c:ser>
          <c:idx val="1"/>
          <c:order val="1"/>
          <c:tx>
            <c:v>Average Score</c:v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CO_PO_AttainmentAnalysis!$AU$44:$BF$44</c:f>
              <c:numCache>
                <c:formatCode>0%</c:formatCode>
                <c:ptCount val="12"/>
                <c:pt idx="0">
                  <c:v>0.37184838350055749</c:v>
                </c:pt>
                <c:pt idx="1">
                  <c:v>0.49422249248336214</c:v>
                </c:pt>
                <c:pt idx="2">
                  <c:v>0.57354267310789053</c:v>
                </c:pt>
                <c:pt idx="3">
                  <c:v>0.49679739423217689</c:v>
                </c:pt>
                <c:pt idx="4">
                  <c:v>0.57354267310789053</c:v>
                </c:pt>
                <c:pt idx="5">
                  <c:v>0.6007407407407408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079-4E73-87F2-6DA249B17BCB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629632"/>
        <c:axId val="178643712"/>
      </c:barChart>
      <c:catAx>
        <c:axId val="178445696"/>
        <c:scaling>
          <c:orientation val="minMax"/>
        </c:scaling>
        <c:delete val="0"/>
        <c:axPos val="b"/>
        <c:numFmt formatCode="General" sourceLinked="1"/>
        <c:majorTickMark val="out"/>
        <c:minorTickMark val="cross"/>
        <c:tickLblPos val="nextTo"/>
        <c:crossAx val="178627712"/>
        <c:crosses val="autoZero"/>
        <c:auto val="1"/>
        <c:lblAlgn val="ctr"/>
        <c:lblOffset val="100"/>
        <c:noMultiLvlLbl val="1"/>
      </c:catAx>
      <c:valAx>
        <c:axId val="178627712"/>
        <c:scaling>
          <c:orientation val="minMax"/>
        </c:scaling>
        <c:delete val="1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out"/>
        <c:minorTickMark val="cross"/>
        <c:tickLblPos val="nextTo"/>
        <c:crossAx val="178445696"/>
        <c:crosses val="autoZero"/>
        <c:crossBetween val="between"/>
      </c:valAx>
      <c:catAx>
        <c:axId val="178629632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crossAx val="178643712"/>
        <c:crosses val="autoZero"/>
        <c:auto val="1"/>
        <c:lblAlgn val="ctr"/>
        <c:lblOffset val="100"/>
        <c:noMultiLvlLbl val="1"/>
      </c:catAx>
      <c:valAx>
        <c:axId val="1786437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out"/>
        <c:minorTickMark val="cross"/>
        <c:tickLblPos val="nextTo"/>
        <c:spPr>
          <a:ln w="47625">
            <a:noFill/>
          </a:ln>
        </c:spPr>
        <c:crossAx val="178629632"/>
        <c:crosses val="max"/>
        <c:crossBetween val="between"/>
        <c:majorUnit val="0.2"/>
        <c:minorUnit val="0.04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  <c:dispBlanksAs val="zero"/>
    <c:showDLblsOverMax val="1"/>
  </c:chart>
  <c:spPr>
    <a:solidFill>
      <a:schemeClr val="bg1"/>
    </a:solidFill>
  </c:spPr>
  <c:txPr>
    <a:bodyPr/>
    <a:lstStyle/>
    <a:p>
      <a:pPr algn="ctr" rtl="0">
        <a:defRPr lang="en-US" sz="9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Arial Narrow" panose="020B0606020202030204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0"/>
              <a:t>Grade</a:t>
            </a:r>
            <a:r>
              <a:rPr lang="en-US" b="0" baseline="0"/>
              <a:t> Distribution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Students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DE-4C8D-A21F-E1E45F78D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187072"/>
        <c:axId val="179185152"/>
      </c:barChart>
      <c:barChart>
        <c:barDir val="col"/>
        <c:grouping val="clustered"/>
        <c:varyColors val="0"/>
        <c:ser>
          <c:idx val="1"/>
          <c:order val="1"/>
          <c:tx>
            <c:v>Percentage of Students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3.5714285714285712E-2</c:v>
                </c:pt>
                <c:pt idx="3">
                  <c:v>0.10714285714285714</c:v>
                </c:pt>
                <c:pt idx="4">
                  <c:v>0.10714285714285714</c:v>
                </c:pt>
                <c:pt idx="5">
                  <c:v>0.21428571428571427</c:v>
                </c:pt>
                <c:pt idx="6">
                  <c:v>7.1428571428571425E-2</c:v>
                </c:pt>
                <c:pt idx="7">
                  <c:v>0.10714285714285714</c:v>
                </c:pt>
                <c:pt idx="8">
                  <c:v>3.5714285714285712E-2</c:v>
                </c:pt>
                <c:pt idx="9">
                  <c:v>0.21428571428571427</c:v>
                </c:pt>
                <c:pt idx="10">
                  <c:v>3.5714285714285712E-2</c:v>
                </c:pt>
                <c:pt idx="11">
                  <c:v>7.1428571428571425E-2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DE-4C8D-A21F-E1E45F78D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194496"/>
        <c:axId val="179192960"/>
      </c:barChart>
      <c:valAx>
        <c:axId val="179185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Percentage of Students</a:t>
                </a:r>
              </a:p>
            </c:rich>
          </c:tx>
          <c:layout>
            <c:manualLayout>
              <c:xMode val="edge"/>
              <c:yMode val="edge"/>
              <c:x val="0.1355415573053369"/>
              <c:y val="0.248051910177900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9187072"/>
        <c:crosses val="max"/>
        <c:crossBetween val="between"/>
      </c:valAx>
      <c:catAx>
        <c:axId val="1791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9185152"/>
        <c:crosses val="autoZero"/>
        <c:auto val="1"/>
        <c:lblAlgn val="ctr"/>
        <c:lblOffset val="100"/>
        <c:noMultiLvlLbl val="0"/>
      </c:catAx>
      <c:valAx>
        <c:axId val="17919296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cross"/>
        <c:minorTickMark val="in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9194496"/>
        <c:crosses val="autoZero"/>
        <c:crossBetween val="between"/>
        <c:majorUnit val="0.2"/>
      </c:valAx>
      <c:catAx>
        <c:axId val="1791944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919296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595959">
                <a:alpha val="78039"/>
              </a:srgb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>
      <c:oddHeader>&amp;L&amp;"-,Bold"Department of EEE, ULAB&amp;C&amp;"Arial Narrow,Bold"Course Summary&amp;R&amp;"-,Bold"Page &amp;P of &amp;N</c:oddHeader>
    </c:headerFooter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39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62</xdr:row>
      <xdr:rowOff>0</xdr:rowOff>
    </xdr:from>
    <xdr:to>
      <xdr:col>14</xdr:col>
      <xdr:colOff>0</xdr:colOff>
      <xdr:row>75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66675</xdr:colOff>
      <xdr:row>76</xdr:row>
      <xdr:rowOff>95250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</xdr:col>
      <xdr:colOff>47625</xdr:colOff>
      <xdr:row>6</xdr:row>
      <xdr:rowOff>19050</xdr:rowOff>
    </xdr:from>
    <xdr:to>
      <xdr:col>16</xdr:col>
      <xdr:colOff>409575</xdr:colOff>
      <xdr:row>19</xdr:row>
      <xdr:rowOff>104775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209550</xdr:colOff>
      <xdr:row>66</xdr:row>
      <xdr:rowOff>161925</xdr:rowOff>
    </xdr:from>
    <xdr:to>
      <xdr:col>11</xdr:col>
      <xdr:colOff>219075</xdr:colOff>
      <xdr:row>66</xdr:row>
      <xdr:rowOff>171450</xdr:rowOff>
    </xdr:to>
    <xdr:cxnSp macro="">
      <xdr:nvCxnSpPr>
        <xdr:cNvPr id="18" name="Straight Connector 17"/>
        <xdr:cNvCxnSpPr/>
      </xdr:nvCxnSpPr>
      <xdr:spPr>
        <a:xfrm flipH="1" flipV="1">
          <a:off x="1638300" y="13954125"/>
          <a:ext cx="41338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81</xdr:row>
      <xdr:rowOff>19050</xdr:rowOff>
    </xdr:from>
    <xdr:to>
      <xdr:col>12</xdr:col>
      <xdr:colOff>9525</xdr:colOff>
      <xdr:row>81</xdr:row>
      <xdr:rowOff>38100</xdr:rowOff>
    </xdr:to>
    <xdr:cxnSp macro="">
      <xdr:nvCxnSpPr>
        <xdr:cNvPr id="4" name="Straight Connector 3"/>
        <xdr:cNvCxnSpPr/>
      </xdr:nvCxnSpPr>
      <xdr:spPr>
        <a:xfrm flipH="1" flipV="1">
          <a:off x="1438275" y="16954500"/>
          <a:ext cx="36576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0.91386</cdr:x>
      <cdr:y>0.32958</cdr:y>
    </cdr:from>
    <cdr:to>
      <cdr:x>0.99031</cdr:x>
      <cdr:y>0.41656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09871" y="912176"/>
          <a:ext cx="419104" cy="2407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  <a:latin typeface="Arial Narrow" pitchFamily="34" charset="0"/>
            </a:rPr>
            <a:t>65%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0.1185</cdr:x>
      <cdr:y>0.31494</cdr:y>
    </cdr:from>
    <cdr:to>
      <cdr:x>0.19182</cdr:x>
      <cdr:y>0.40209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7885" y="869948"/>
          <a:ext cx="444165" cy="240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FF0000"/>
              </a:solidFill>
              <a:latin typeface="Arial Narrow" pitchFamily="34" charset="0"/>
            </a:rPr>
            <a:t>65%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11"/>
  <sheetViews>
    <sheetView topLeftCell="A7" zoomScale="90" zoomScaleNormal="90" workbookViewId="0">
      <selection activeCell="AE13" sqref="AE13"/>
    </sheetView>
  </sheetViews>
  <sheetFormatPr defaultColWidth="14.42578125" defaultRowHeight="15" customHeight="1" x14ac:dyDescent="0.2"/>
  <cols>
    <col min="1" max="1" width="9.140625" customWidth="1"/>
    <col min="2" max="2" width="19" customWidth="1"/>
    <col min="3" max="3" width="36.85546875" customWidth="1"/>
    <col min="4" max="4" width="19.140625" customWidth="1"/>
    <col min="5" max="5" width="20.42578125" hidden="1" customWidth="1"/>
    <col min="6" max="6" width="18.5703125" customWidth="1"/>
    <col min="7" max="7" width="18.85546875" customWidth="1"/>
    <col min="8" max="8" width="19" customWidth="1"/>
    <col min="9" max="10" width="17.85546875" customWidth="1"/>
    <col min="11" max="11" width="19.5703125" customWidth="1"/>
    <col min="12" max="12" width="20.5703125" customWidth="1"/>
    <col min="13" max="13" width="19.5703125" customWidth="1"/>
    <col min="14" max="14" width="8.42578125" hidden="1" customWidth="1"/>
    <col min="15" max="15" width="7.140625" hidden="1" customWidth="1"/>
    <col min="16" max="16" width="17.85546875" hidden="1" customWidth="1"/>
    <col min="17" max="17" width="9.85546875" hidden="1" customWidth="1"/>
    <col min="18" max="18" width="10.140625" hidden="1" customWidth="1"/>
    <col min="19" max="19" width="9.85546875" hidden="1" customWidth="1"/>
    <col min="20" max="20" width="16.7109375" hidden="1" customWidth="1"/>
    <col min="21" max="21" width="10.140625" hidden="1" customWidth="1"/>
    <col min="22" max="23" width="9.7109375" hidden="1" customWidth="1"/>
    <col min="24" max="24" width="32.7109375" hidden="1" customWidth="1"/>
    <col min="25" max="25" width="15.85546875" hidden="1" customWidth="1"/>
    <col min="26" max="26" width="9.140625" hidden="1" customWidth="1"/>
    <col min="27" max="28" width="9.140625" customWidth="1"/>
  </cols>
  <sheetData>
    <row r="1" spans="1:28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s="4"/>
      <c r="B2" s="4"/>
      <c r="C2" s="4"/>
      <c r="D2" s="4"/>
      <c r="E2" s="4"/>
      <c r="F2" s="4"/>
      <c r="G2" s="231" t="s">
        <v>49</v>
      </c>
      <c r="H2" s="278" t="s">
        <v>163</v>
      </c>
      <c r="I2" s="279"/>
      <c r="J2" s="279"/>
      <c r="K2" s="231" t="s">
        <v>51</v>
      </c>
      <c r="L2" s="232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5">
      <c r="A3" s="4"/>
      <c r="B3" s="4"/>
      <c r="C3" s="4"/>
      <c r="D3" s="4"/>
      <c r="E3" s="4"/>
      <c r="F3" s="4"/>
      <c r="G3" s="231" t="s">
        <v>52</v>
      </c>
      <c r="H3" s="278" t="s">
        <v>164</v>
      </c>
      <c r="I3" s="279"/>
      <c r="J3" s="279"/>
      <c r="K3" s="231" t="s">
        <v>53</v>
      </c>
      <c r="L3" s="232" t="s">
        <v>216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25">
      <c r="A4" s="4"/>
      <c r="B4" s="4"/>
      <c r="C4" s="4"/>
      <c r="D4" s="4"/>
      <c r="E4" s="4"/>
      <c r="F4" s="4"/>
      <c r="G4" s="231" t="s">
        <v>54</v>
      </c>
      <c r="H4" s="278">
        <v>3</v>
      </c>
      <c r="I4" s="279"/>
      <c r="J4" s="279"/>
      <c r="K4" s="233"/>
      <c r="L4" s="23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25">
      <c r="A5" s="4"/>
      <c r="B5" s="4"/>
      <c r="C5" s="4"/>
      <c r="D5" s="4"/>
      <c r="E5" s="4"/>
      <c r="F5" s="4"/>
      <c r="G5" s="231" t="s">
        <v>55</v>
      </c>
      <c r="H5" s="278" t="s">
        <v>165</v>
      </c>
      <c r="I5" s="279"/>
      <c r="J5" s="279"/>
      <c r="K5" s="233"/>
      <c r="L5" s="23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25">
      <c r="A7" s="280" t="str">
        <f>CONCATENATE("Grade Sheet of ",GradeSheet!$H$2, " [",GradeSheet!$H$3, "] ", "(Section ",GradeSheet!$L$2, ") ", "[Semester - ",GradeSheet!$L$3,"]" )</f>
        <v>Grade Sheet of CSE 305 [Algorithms] (Section 1) [Semester - Summer 2019]</v>
      </c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x14ac:dyDescent="0.25">
      <c r="N8" s="4"/>
      <c r="O8" s="4"/>
      <c r="P8" s="50" t="s">
        <v>46</v>
      </c>
      <c r="Q8" s="51" t="s">
        <v>56</v>
      </c>
      <c r="R8" s="51" t="s">
        <v>57</v>
      </c>
      <c r="S8" s="52" t="s">
        <v>58</v>
      </c>
      <c r="T8" s="52" t="s">
        <v>59</v>
      </c>
      <c r="U8" s="53" t="s">
        <v>60</v>
      </c>
      <c r="V8" s="53" t="s">
        <v>45</v>
      </c>
      <c r="W8" s="53" t="s">
        <v>62</v>
      </c>
      <c r="X8" s="4"/>
      <c r="Y8" s="4"/>
      <c r="Z8" s="4"/>
      <c r="AA8" s="4"/>
      <c r="AB8" s="4"/>
    </row>
    <row r="9" spans="1:28" ht="31.5" customHeight="1" x14ac:dyDescent="0.2">
      <c r="A9" s="237" t="s">
        <v>63</v>
      </c>
      <c r="B9" s="238" t="s">
        <v>65</v>
      </c>
      <c r="C9" s="238" t="s">
        <v>66</v>
      </c>
      <c r="D9" s="235" t="str">
        <f>CONCATENATE("Attendance (",GradeSheet!$C$41, ")")</f>
        <v>Attendance (10)</v>
      </c>
      <c r="E9" s="235" t="str">
        <f>CONCATENATE("Presentation (",GradeSheet!$C$42, ")")</f>
        <v>Presentation (0)</v>
      </c>
      <c r="F9" s="238" t="str">
        <f>CONCATENATE("Quiz (",GradeSheet!$C$43, ")")</f>
        <v>Quiz (10)</v>
      </c>
      <c r="G9" s="236" t="str">
        <f>CONCATENATE("Assignment (",GradeSheet!$C$44, ")")</f>
        <v>Assignment (10)</v>
      </c>
      <c r="H9" s="238" t="str">
        <f>CONCATENATE("Midterm (",GradeSheet!$C$45, ")")</f>
        <v>Midterm (20)</v>
      </c>
      <c r="I9" s="238" t="str">
        <f>CONCATENATE("Project (",GradeSheet!$C$46, ")")</f>
        <v>Project (10)</v>
      </c>
      <c r="J9" s="238" t="str">
        <f>CONCATENATE("Final (",GradeSheet!$C$47, ")")</f>
        <v>Final (40)</v>
      </c>
      <c r="K9" s="235" t="s">
        <v>69</v>
      </c>
      <c r="L9" s="235" t="s">
        <v>70</v>
      </c>
      <c r="M9" s="235" t="s">
        <v>71</v>
      </c>
      <c r="N9" s="56"/>
      <c r="O9" s="56"/>
      <c r="P9" s="58">
        <v>0</v>
      </c>
      <c r="Q9" s="58">
        <v>10</v>
      </c>
      <c r="R9" s="58">
        <v>10</v>
      </c>
      <c r="S9" s="58">
        <v>10</v>
      </c>
      <c r="T9" s="58">
        <v>10</v>
      </c>
      <c r="U9" s="58">
        <v>20</v>
      </c>
      <c r="V9" s="60">
        <v>10</v>
      </c>
      <c r="W9" s="58">
        <v>40</v>
      </c>
      <c r="X9" s="62" t="s">
        <v>66</v>
      </c>
      <c r="Y9" s="54" t="s">
        <v>65</v>
      </c>
      <c r="Z9" s="56"/>
      <c r="AA9" s="56"/>
      <c r="AB9" s="56"/>
    </row>
    <row r="10" spans="1:28" ht="15.75" customHeight="1" x14ac:dyDescent="0.25">
      <c r="A10" s="239">
        <v>1</v>
      </c>
      <c r="B10" s="240" t="s">
        <v>167</v>
      </c>
      <c r="C10" s="241" t="s">
        <v>168</v>
      </c>
      <c r="D10" s="242">
        <v>6</v>
      </c>
      <c r="E10" s="243">
        <f>IF($P$9=0,0,(P10/GradeSheet!$P$9)*GradeSheet!$C$41)</f>
        <v>0</v>
      </c>
      <c r="F10" s="244">
        <f>(MAX(LARGE(Q10:R10,1),LARGE(Q10:R10,2)))</f>
        <v>0</v>
      </c>
      <c r="G10" s="244">
        <f>IF($T$9=0,0,(T10/GradeSheet!$T$9)*GradeSheet!$C$44)</f>
        <v>0</v>
      </c>
      <c r="H10" s="245">
        <f>(U10/GradeSheet!$U$9)*GradeSheet!$C$45</f>
        <v>3</v>
      </c>
      <c r="I10" s="245">
        <f>IF($V$9= 0,0,(V10/GradeSheet!$V$9)*GradeSheet!$C$46)</f>
        <v>0</v>
      </c>
      <c r="J10" s="245">
        <f>(W10/GradeSheet!$W$9)*GradeSheet!$C$47</f>
        <v>0</v>
      </c>
      <c r="K10" s="246">
        <f t="shared" ref="K10:K37" si="0">ROUNDUP(SUM(D10:J10),0)</f>
        <v>9</v>
      </c>
      <c r="L10" s="247">
        <f t="shared" ref="L10:L37" si="1">K10/100</f>
        <v>0.09</v>
      </c>
      <c r="M10" s="248" t="str">
        <f>VLOOKUP(K10,GradingPolicy!$B$2:$C$11,2)</f>
        <v>F (Fail)</v>
      </c>
      <c r="N10" s="4"/>
      <c r="O10" s="4"/>
      <c r="P10" s="85"/>
      <c r="Q10" s="86">
        <v>0</v>
      </c>
      <c r="R10" s="85">
        <v>0</v>
      </c>
      <c r="S10" s="85"/>
      <c r="T10" s="85">
        <v>0</v>
      </c>
      <c r="U10" s="85">
        <v>3</v>
      </c>
      <c r="V10" s="90">
        <v>0</v>
      </c>
      <c r="W10" s="85"/>
      <c r="X10" s="65" t="s">
        <v>168</v>
      </c>
      <c r="Y10" s="64" t="s">
        <v>167</v>
      </c>
      <c r="Z10" s="4"/>
      <c r="AA10" s="4"/>
      <c r="AB10" s="4"/>
    </row>
    <row r="11" spans="1:28" s="198" customFormat="1" ht="15.75" customHeight="1" x14ac:dyDescent="0.25">
      <c r="A11" s="239">
        <v>2</v>
      </c>
      <c r="B11" s="240" t="s">
        <v>217</v>
      </c>
      <c r="C11" s="241" t="s">
        <v>218</v>
      </c>
      <c r="D11" s="242">
        <v>9</v>
      </c>
      <c r="E11" s="243">
        <v>0</v>
      </c>
      <c r="F11" s="244">
        <f t="shared" ref="F11:F37" si="2">(MAX(LARGE(Q11:R11,1),LARGE(Q11:R11,2)))</f>
        <v>7</v>
      </c>
      <c r="G11" s="244">
        <f>IF($T$9=0,0,(T11/GradeSheet!$T$9)*GradeSheet!$C$44)</f>
        <v>10</v>
      </c>
      <c r="H11" s="245">
        <f>(U11/GradeSheet!$U$9)*GradeSheet!$C$45</f>
        <v>7</v>
      </c>
      <c r="I11" s="245">
        <f>IF($V$9= 0,0,(V11/GradeSheet!$V$9)*GradeSheet!$C$46)</f>
        <v>8</v>
      </c>
      <c r="J11" s="245">
        <f>(W11/GradeSheet!$W$9)*GradeSheet!$C$47</f>
        <v>9</v>
      </c>
      <c r="K11" s="246">
        <f t="shared" si="0"/>
        <v>50</v>
      </c>
      <c r="L11" s="247">
        <f t="shared" si="1"/>
        <v>0.5</v>
      </c>
      <c r="M11" s="248" t="str">
        <f>VLOOKUP(K11,GradingPolicy!$B$2:$C$11,2)</f>
        <v>D (Plain)</v>
      </c>
      <c r="N11" s="4"/>
      <c r="O11" s="4"/>
      <c r="P11" s="90"/>
      <c r="Q11" s="86">
        <v>5</v>
      </c>
      <c r="R11" s="90">
        <v>7</v>
      </c>
      <c r="S11" s="90"/>
      <c r="T11" s="90">
        <v>10</v>
      </c>
      <c r="U11" s="90">
        <v>7</v>
      </c>
      <c r="V11" s="90">
        <v>8</v>
      </c>
      <c r="W11" s="90">
        <v>9</v>
      </c>
      <c r="X11" s="65" t="s">
        <v>218</v>
      </c>
      <c r="Y11" s="64" t="s">
        <v>217</v>
      </c>
      <c r="Z11" s="4"/>
      <c r="AA11" s="4"/>
      <c r="AB11" s="4"/>
    </row>
    <row r="12" spans="1:28" ht="15.75" customHeight="1" x14ac:dyDescent="0.25">
      <c r="A12" s="249">
        <v>3</v>
      </c>
      <c r="B12" s="240" t="s">
        <v>169</v>
      </c>
      <c r="C12" s="241" t="s">
        <v>170</v>
      </c>
      <c r="D12" s="242">
        <v>10</v>
      </c>
      <c r="E12" s="243">
        <f>IF($P$9=0,0,(P12/GradeSheet!$P$9)*GradeSheet!$C$41)</f>
        <v>0</v>
      </c>
      <c r="F12" s="244">
        <f t="shared" si="2"/>
        <v>7</v>
      </c>
      <c r="G12" s="244">
        <f>IF($T$9=0,0,(T12/GradeSheet!$T$9)*GradeSheet!$C$44)</f>
        <v>10</v>
      </c>
      <c r="H12" s="245">
        <f>(U12/GradeSheet!$U$9)*GradeSheet!$C$45</f>
        <v>10</v>
      </c>
      <c r="I12" s="245">
        <f>IF($V$9= 0,0,(V12/GradeSheet!$V$9)*GradeSheet!$C$46)</f>
        <v>8</v>
      </c>
      <c r="J12" s="245">
        <f>(W12/GradeSheet!$W$9)*GradeSheet!$C$47</f>
        <v>12</v>
      </c>
      <c r="K12" s="246">
        <f t="shared" si="0"/>
        <v>57</v>
      </c>
      <c r="L12" s="247">
        <f t="shared" si="1"/>
        <v>0.56999999999999995</v>
      </c>
      <c r="M12" s="248" t="str">
        <f>VLOOKUP(K12,GradingPolicy!$B$2:$C$11,2)</f>
        <v>C (Plain)</v>
      </c>
      <c r="N12" s="4"/>
      <c r="O12" s="4"/>
      <c r="P12" s="85"/>
      <c r="Q12" s="86">
        <v>0</v>
      </c>
      <c r="R12" s="85">
        <v>7</v>
      </c>
      <c r="S12" s="85"/>
      <c r="T12" s="85">
        <v>10</v>
      </c>
      <c r="U12" s="85">
        <v>10</v>
      </c>
      <c r="V12" s="90">
        <v>8</v>
      </c>
      <c r="W12" s="85">
        <v>12</v>
      </c>
      <c r="X12" s="65" t="s">
        <v>170</v>
      </c>
      <c r="Y12" s="64" t="s">
        <v>169</v>
      </c>
      <c r="Z12" s="4"/>
      <c r="AA12" s="4"/>
      <c r="AB12" s="4"/>
    </row>
    <row r="13" spans="1:28" ht="15.75" customHeight="1" x14ac:dyDescent="0.25">
      <c r="A13" s="239">
        <v>4</v>
      </c>
      <c r="B13" s="240" t="s">
        <v>171</v>
      </c>
      <c r="C13" s="241" t="s">
        <v>172</v>
      </c>
      <c r="D13" s="242">
        <v>9</v>
      </c>
      <c r="E13" s="243">
        <f>IF($P$9=0,0,(P13/GradeSheet!$P$9)*GradeSheet!$C$41)</f>
        <v>0</v>
      </c>
      <c r="F13" s="244">
        <f t="shared" si="2"/>
        <v>1</v>
      </c>
      <c r="G13" s="244">
        <f>IF($T$9=0,0,(T13/GradeSheet!$T$9)*GradeSheet!$C$44)</f>
        <v>10</v>
      </c>
      <c r="H13" s="245">
        <f>(U13/GradeSheet!$U$9)*GradeSheet!$C$45</f>
        <v>1</v>
      </c>
      <c r="I13" s="245">
        <f>IF($V$9= 0,0,(V13/GradeSheet!$V$9)*GradeSheet!$C$46)</f>
        <v>8</v>
      </c>
      <c r="J13" s="245">
        <f>(W13/GradeSheet!$W$9)*GradeSheet!$C$47</f>
        <v>7</v>
      </c>
      <c r="K13" s="246">
        <f t="shared" si="0"/>
        <v>36</v>
      </c>
      <c r="L13" s="247">
        <f t="shared" si="1"/>
        <v>0.36</v>
      </c>
      <c r="M13" s="248" t="str">
        <f>VLOOKUP(K13,GradingPolicy!$B$2:$C$11,2)</f>
        <v>F (Fail)</v>
      </c>
      <c r="N13" s="4"/>
      <c r="O13" s="4"/>
      <c r="P13" s="85"/>
      <c r="Q13" s="86">
        <v>1</v>
      </c>
      <c r="R13" s="85">
        <v>0</v>
      </c>
      <c r="S13" s="85"/>
      <c r="T13" s="85">
        <v>10</v>
      </c>
      <c r="U13" s="85">
        <v>1</v>
      </c>
      <c r="V13" s="85">
        <v>8</v>
      </c>
      <c r="W13" s="85">
        <v>7</v>
      </c>
      <c r="X13" s="65" t="s">
        <v>172</v>
      </c>
      <c r="Y13" s="64" t="s">
        <v>171</v>
      </c>
      <c r="Z13" s="4"/>
      <c r="AA13" s="4"/>
      <c r="AB13" s="4"/>
    </row>
    <row r="14" spans="1:28" s="193" customFormat="1" ht="15.75" customHeight="1" x14ac:dyDescent="0.25">
      <c r="A14" s="239">
        <v>5</v>
      </c>
      <c r="B14" s="240" t="s">
        <v>173</v>
      </c>
      <c r="C14" s="241" t="s">
        <v>174</v>
      </c>
      <c r="D14" s="242">
        <v>9</v>
      </c>
      <c r="E14" s="243">
        <f>IF($P$9=0,0,(P14/GradeSheet!$P$9)*GradeSheet!$C$41)</f>
        <v>0</v>
      </c>
      <c r="F14" s="244">
        <f t="shared" si="2"/>
        <v>10</v>
      </c>
      <c r="G14" s="244">
        <f>IF($T$9=0,0,(T14/GradeSheet!$T$9)*GradeSheet!$C$44)</f>
        <v>10</v>
      </c>
      <c r="H14" s="245">
        <f>(U14/GradeSheet!$U$9)*GradeSheet!$C$45</f>
        <v>12</v>
      </c>
      <c r="I14" s="245">
        <f>IF($V$9= 0,0,(V14/GradeSheet!$V$9)*GradeSheet!$C$46)</f>
        <v>9</v>
      </c>
      <c r="J14" s="245">
        <f>(W14/GradeSheet!$W$9)*GradeSheet!$C$47</f>
        <v>30</v>
      </c>
      <c r="K14" s="246">
        <f t="shared" si="0"/>
        <v>80</v>
      </c>
      <c r="L14" s="247">
        <f t="shared" si="1"/>
        <v>0.8</v>
      </c>
      <c r="M14" s="248" t="str">
        <f>VLOOKUP(K14,GradingPolicy!$B$2:$C$11,2)</f>
        <v>A- (Minus)</v>
      </c>
      <c r="N14" s="4"/>
      <c r="O14" s="4"/>
      <c r="P14" s="90"/>
      <c r="Q14" s="86">
        <v>10</v>
      </c>
      <c r="R14" s="90">
        <v>10</v>
      </c>
      <c r="S14" s="90"/>
      <c r="T14" s="90">
        <v>10</v>
      </c>
      <c r="U14" s="90">
        <v>12</v>
      </c>
      <c r="V14" s="90">
        <v>9</v>
      </c>
      <c r="W14" s="90">
        <v>30</v>
      </c>
      <c r="X14" s="65" t="s">
        <v>174</v>
      </c>
      <c r="Y14" s="64" t="s">
        <v>173</v>
      </c>
      <c r="Z14" s="4"/>
      <c r="AA14" s="4"/>
      <c r="AB14" s="4"/>
    </row>
    <row r="15" spans="1:28" s="193" customFormat="1" ht="15.75" customHeight="1" x14ac:dyDescent="0.25">
      <c r="A15" s="249">
        <v>6</v>
      </c>
      <c r="B15" s="240" t="s">
        <v>175</v>
      </c>
      <c r="C15" s="250" t="s">
        <v>176</v>
      </c>
      <c r="D15" s="242">
        <v>8</v>
      </c>
      <c r="E15" s="243">
        <f>IF($P$9=0,0,(P15/GradeSheet!$P$9)*GradeSheet!$C$41)</f>
        <v>0</v>
      </c>
      <c r="F15" s="244">
        <f t="shared" si="2"/>
        <v>0</v>
      </c>
      <c r="G15" s="244">
        <f>IF($T$9=0,0,(T15/GradeSheet!$T$9)*GradeSheet!$C$44)</f>
        <v>10</v>
      </c>
      <c r="H15" s="245">
        <f>(U15/GradeSheet!$U$9)*GradeSheet!$C$45</f>
        <v>14</v>
      </c>
      <c r="I15" s="245">
        <f>IF($V$9= 0,0,(V15/GradeSheet!$V$9)*GradeSheet!$C$46)</f>
        <v>7</v>
      </c>
      <c r="J15" s="245">
        <f>(W15/GradeSheet!$W$9)*GradeSheet!$C$47</f>
        <v>2</v>
      </c>
      <c r="K15" s="246">
        <f t="shared" si="0"/>
        <v>41</v>
      </c>
      <c r="L15" s="247">
        <f t="shared" si="1"/>
        <v>0.41</v>
      </c>
      <c r="M15" s="248" t="str">
        <f>VLOOKUP(K15,GradingPolicy!$B$2:$C$11,2)</f>
        <v>F (Fail)</v>
      </c>
      <c r="N15" s="4"/>
      <c r="O15" s="4"/>
      <c r="P15" s="90"/>
      <c r="Q15" s="86">
        <v>0</v>
      </c>
      <c r="R15" s="90">
        <v>0</v>
      </c>
      <c r="S15" s="90"/>
      <c r="T15" s="90">
        <v>10</v>
      </c>
      <c r="U15" s="90">
        <v>14</v>
      </c>
      <c r="V15" s="90">
        <v>7</v>
      </c>
      <c r="W15" s="90">
        <v>2</v>
      </c>
      <c r="X15" s="201" t="s">
        <v>176</v>
      </c>
      <c r="Y15" s="64" t="s">
        <v>175</v>
      </c>
      <c r="Z15" s="4"/>
      <c r="AA15" s="4"/>
      <c r="AB15" s="4"/>
    </row>
    <row r="16" spans="1:28" s="193" customFormat="1" ht="15.75" customHeight="1" x14ac:dyDescent="0.25">
      <c r="A16" s="239">
        <v>7</v>
      </c>
      <c r="B16" s="240" t="s">
        <v>177</v>
      </c>
      <c r="C16" s="241" t="s">
        <v>178</v>
      </c>
      <c r="D16" s="242">
        <v>9</v>
      </c>
      <c r="E16" s="243">
        <f>IF($P$9=0,0,(P16/GradeSheet!$P$9)*GradeSheet!$C$41)</f>
        <v>0</v>
      </c>
      <c r="F16" s="244">
        <f t="shared" si="2"/>
        <v>8</v>
      </c>
      <c r="G16" s="244">
        <f>IF($T$9=0,0,(T16/GradeSheet!$T$9)*GradeSheet!$C$44)</f>
        <v>10</v>
      </c>
      <c r="H16" s="245">
        <f>(U16/GradeSheet!$U$9)*GradeSheet!$C$45</f>
        <v>8</v>
      </c>
      <c r="I16" s="245">
        <f>IF($V$9= 0,0,(V16/GradeSheet!$V$9)*GradeSheet!$C$46)</f>
        <v>9</v>
      </c>
      <c r="J16" s="245">
        <f>(W16/GradeSheet!$W$9)*GradeSheet!$C$47</f>
        <v>16</v>
      </c>
      <c r="K16" s="246">
        <f>ROUNDUP(SUM(D16:J16),0)</f>
        <v>60</v>
      </c>
      <c r="L16" s="247">
        <f>K16/100</f>
        <v>0.6</v>
      </c>
      <c r="M16" s="248" t="str">
        <f>VLOOKUP(K16,GradingPolicy!$B$2:$C$11,2)</f>
        <v>C+ (Plus)</v>
      </c>
      <c r="N16" s="4"/>
      <c r="O16" s="4"/>
      <c r="P16" s="90"/>
      <c r="Q16" s="86">
        <v>1</v>
      </c>
      <c r="R16" s="90">
        <v>8</v>
      </c>
      <c r="S16" s="90"/>
      <c r="T16" s="90">
        <v>10</v>
      </c>
      <c r="U16" s="90">
        <v>8</v>
      </c>
      <c r="V16" s="90">
        <v>9</v>
      </c>
      <c r="W16" s="90">
        <v>16</v>
      </c>
      <c r="X16" s="65" t="s">
        <v>178</v>
      </c>
      <c r="Y16" s="64" t="s">
        <v>177</v>
      </c>
      <c r="Z16" s="4"/>
      <c r="AA16" s="4"/>
      <c r="AB16" s="4"/>
    </row>
    <row r="17" spans="1:28" s="198" customFormat="1" ht="15.75" customHeight="1" x14ac:dyDescent="0.25">
      <c r="A17" s="239">
        <v>8</v>
      </c>
      <c r="B17" s="240" t="s">
        <v>219</v>
      </c>
      <c r="C17" s="250" t="s">
        <v>220</v>
      </c>
      <c r="D17" s="242">
        <v>6</v>
      </c>
      <c r="E17" s="243">
        <v>0</v>
      </c>
      <c r="F17" s="244">
        <f t="shared" si="2"/>
        <v>4</v>
      </c>
      <c r="G17" s="244">
        <f>IF($T$9=0,0,(T17/GradeSheet!$T$9)*GradeSheet!$C$44)</f>
        <v>0</v>
      </c>
      <c r="H17" s="245">
        <f>(U17/GradeSheet!$U$9)*GradeSheet!$C$45</f>
        <v>0</v>
      </c>
      <c r="I17" s="245">
        <f>IF($V$9= 0,0,(V17/GradeSheet!$V$9)*GradeSheet!$C$46)</f>
        <v>8</v>
      </c>
      <c r="J17" s="245">
        <f>(W17/GradeSheet!$W$9)*GradeSheet!$C$47</f>
        <v>7</v>
      </c>
      <c r="K17" s="246">
        <f>ROUNDUP(SUM(D17:J17),0)</f>
        <v>25</v>
      </c>
      <c r="L17" s="247">
        <f>K17/100</f>
        <v>0.25</v>
      </c>
      <c r="M17" s="248" t="str">
        <f>VLOOKUP(K17,GradingPolicy!$B$2:$C$11,2)</f>
        <v>F (Fail)</v>
      </c>
      <c r="N17" s="4"/>
      <c r="O17" s="4"/>
      <c r="P17" s="90"/>
      <c r="Q17" s="86">
        <v>0</v>
      </c>
      <c r="R17" s="90">
        <v>4</v>
      </c>
      <c r="S17" s="90"/>
      <c r="T17" s="90">
        <v>0</v>
      </c>
      <c r="U17" s="90">
        <v>0</v>
      </c>
      <c r="V17" s="90">
        <v>8</v>
      </c>
      <c r="W17" s="90">
        <v>7</v>
      </c>
      <c r="X17" s="201" t="s">
        <v>220</v>
      </c>
      <c r="Y17" s="64" t="s">
        <v>219</v>
      </c>
      <c r="Z17" s="4"/>
      <c r="AA17" s="4"/>
      <c r="AB17" s="4"/>
    </row>
    <row r="18" spans="1:28" ht="15.75" customHeight="1" x14ac:dyDescent="0.25">
      <c r="A18" s="239">
        <v>9</v>
      </c>
      <c r="B18" s="240" t="s">
        <v>179</v>
      </c>
      <c r="C18" s="241" t="s">
        <v>160</v>
      </c>
      <c r="D18" s="242">
        <v>8</v>
      </c>
      <c r="E18" s="243">
        <f>IF($P$9=0,0,(P18/GradeSheet!$P$9)*GradeSheet!$C$41)</f>
        <v>0</v>
      </c>
      <c r="F18" s="244">
        <f t="shared" si="2"/>
        <v>4</v>
      </c>
      <c r="G18" s="244">
        <f>IF($T$9=0,0,(T18/GradeSheet!$T$9)*GradeSheet!$C$44)</f>
        <v>0</v>
      </c>
      <c r="H18" s="245">
        <f>(U18/GradeSheet!$U$9)*GradeSheet!$C$45</f>
        <v>8</v>
      </c>
      <c r="I18" s="245">
        <f>IF($V$9= 0,0,(V18/GradeSheet!$V$9)*GradeSheet!$C$46)</f>
        <v>8</v>
      </c>
      <c r="J18" s="245">
        <f>(W18/GradeSheet!$W$9)*GradeSheet!$C$47</f>
        <v>9</v>
      </c>
      <c r="K18" s="246">
        <f t="shared" si="0"/>
        <v>37</v>
      </c>
      <c r="L18" s="247">
        <f t="shared" si="1"/>
        <v>0.37</v>
      </c>
      <c r="M18" s="248" t="str">
        <f>VLOOKUP(K18,GradingPolicy!$B$2:$C$11,2)</f>
        <v>F (Fail)</v>
      </c>
      <c r="N18" s="4"/>
      <c r="O18" s="4"/>
      <c r="P18" s="85"/>
      <c r="Q18" s="86">
        <v>4</v>
      </c>
      <c r="R18" s="85">
        <v>0</v>
      </c>
      <c r="S18" s="85"/>
      <c r="T18" s="85">
        <v>0</v>
      </c>
      <c r="U18" s="85">
        <v>8</v>
      </c>
      <c r="V18" s="90">
        <v>8</v>
      </c>
      <c r="W18" s="85">
        <v>9</v>
      </c>
      <c r="X18" s="65" t="s">
        <v>160</v>
      </c>
      <c r="Y18" s="64" t="s">
        <v>179</v>
      </c>
      <c r="Z18" s="4"/>
      <c r="AA18" s="4"/>
      <c r="AB18" s="4"/>
    </row>
    <row r="19" spans="1:28" ht="15.75" customHeight="1" x14ac:dyDescent="0.25">
      <c r="A19" s="249">
        <v>10</v>
      </c>
      <c r="B19" s="240" t="s">
        <v>180</v>
      </c>
      <c r="C19" s="241" t="s">
        <v>181</v>
      </c>
      <c r="D19" s="242">
        <v>2</v>
      </c>
      <c r="E19" s="243">
        <f>IF($P$9=0,0,(P19/GradeSheet!$P$9)*GradeSheet!$C$41)</f>
        <v>0</v>
      </c>
      <c r="F19" s="244">
        <f t="shared" si="2"/>
        <v>0</v>
      </c>
      <c r="G19" s="244">
        <f>IF($T$9=0,0,(T19/GradeSheet!$T$9)*GradeSheet!$C$44)</f>
        <v>10</v>
      </c>
      <c r="H19" s="245">
        <f>(U19/GradeSheet!$U$9)*GradeSheet!$C$45</f>
        <v>0</v>
      </c>
      <c r="I19" s="245">
        <f>IF($V$9= 0,0,(V19/GradeSheet!$V$9)*GradeSheet!$C$46)</f>
        <v>0</v>
      </c>
      <c r="J19" s="245">
        <f>(W19/GradeSheet!$W$9)*GradeSheet!$C$47</f>
        <v>0</v>
      </c>
      <c r="K19" s="246">
        <f t="shared" si="0"/>
        <v>12</v>
      </c>
      <c r="L19" s="247">
        <f t="shared" si="1"/>
        <v>0.12</v>
      </c>
      <c r="M19" s="248" t="s">
        <v>74</v>
      </c>
      <c r="N19" s="4"/>
      <c r="O19" s="4"/>
      <c r="P19" s="85"/>
      <c r="Q19" s="86">
        <v>0</v>
      </c>
      <c r="R19" s="85">
        <v>0</v>
      </c>
      <c r="S19" s="85"/>
      <c r="T19" s="85">
        <v>10</v>
      </c>
      <c r="U19" s="85">
        <v>0</v>
      </c>
      <c r="V19" s="90">
        <v>0</v>
      </c>
      <c r="W19" s="85"/>
      <c r="X19" s="65" t="s">
        <v>181</v>
      </c>
      <c r="Y19" s="64" t="s">
        <v>180</v>
      </c>
      <c r="Z19" s="4"/>
      <c r="AA19" s="4"/>
      <c r="AB19" s="4"/>
    </row>
    <row r="20" spans="1:28" ht="15.75" customHeight="1" x14ac:dyDescent="0.25">
      <c r="A20" s="239">
        <v>11</v>
      </c>
      <c r="B20" s="240" t="s">
        <v>182</v>
      </c>
      <c r="C20" s="241" t="s">
        <v>161</v>
      </c>
      <c r="D20" s="242">
        <v>9</v>
      </c>
      <c r="E20" s="243">
        <f>IF($P$9=0,0,(P20/GradeSheet!$P$9)*GradeSheet!$C$41)</f>
        <v>0</v>
      </c>
      <c r="F20" s="244">
        <f t="shared" si="2"/>
        <v>2</v>
      </c>
      <c r="G20" s="244">
        <f>IF($T$9=0,0,(T20/GradeSheet!$T$9)*GradeSheet!$C$44)</f>
        <v>10</v>
      </c>
      <c r="H20" s="245">
        <f>(U20/GradeSheet!$U$9)*GradeSheet!$C$45</f>
        <v>14</v>
      </c>
      <c r="I20" s="245">
        <f>IF($V$9= 0,0,(V20/GradeSheet!$V$9)*GradeSheet!$C$46)</f>
        <v>8</v>
      </c>
      <c r="J20" s="245">
        <f>(W20/GradeSheet!$W$9)*GradeSheet!$C$47</f>
        <v>0</v>
      </c>
      <c r="K20" s="246">
        <f t="shared" si="0"/>
        <v>43</v>
      </c>
      <c r="L20" s="247">
        <f t="shared" si="1"/>
        <v>0.43</v>
      </c>
      <c r="M20" s="248" t="s">
        <v>222</v>
      </c>
      <c r="N20" s="4"/>
      <c r="O20" s="4"/>
      <c r="P20" s="85"/>
      <c r="Q20" s="86">
        <v>0</v>
      </c>
      <c r="R20" s="85">
        <v>2</v>
      </c>
      <c r="S20" s="85"/>
      <c r="T20" s="85">
        <v>10</v>
      </c>
      <c r="U20" s="85">
        <v>14</v>
      </c>
      <c r="V20" s="90">
        <v>8</v>
      </c>
      <c r="W20" s="85"/>
      <c r="X20" s="65" t="s">
        <v>161</v>
      </c>
      <c r="Y20" s="64" t="s">
        <v>182</v>
      </c>
      <c r="Z20" s="4"/>
      <c r="AA20" s="4"/>
      <c r="AB20" s="4"/>
    </row>
    <row r="21" spans="1:28" ht="15.75" customHeight="1" x14ac:dyDescent="0.25">
      <c r="A21" s="239">
        <v>12</v>
      </c>
      <c r="B21" s="240" t="s">
        <v>183</v>
      </c>
      <c r="C21" s="241" t="s">
        <v>162</v>
      </c>
      <c r="D21" s="242">
        <v>9</v>
      </c>
      <c r="E21" s="243">
        <f>IF($P$9=0,0,(P21/GradeSheet!$P$9)*GradeSheet!$C$41)</f>
        <v>0</v>
      </c>
      <c r="F21" s="244">
        <f t="shared" si="2"/>
        <v>8</v>
      </c>
      <c r="G21" s="244">
        <f>IF($T$9=0,0,(T21/GradeSheet!$T$9)*GradeSheet!$C$44)</f>
        <v>10</v>
      </c>
      <c r="H21" s="245">
        <f>(U21/GradeSheet!$U$9)*GradeSheet!$C$45</f>
        <v>8.5</v>
      </c>
      <c r="I21" s="245">
        <f>IF($V$9= 0,0,(V21/GradeSheet!$V$9)*GradeSheet!$C$46)</f>
        <v>8</v>
      </c>
      <c r="J21" s="245">
        <f>(W21/GradeSheet!$W$9)*GradeSheet!$C$47</f>
        <v>16</v>
      </c>
      <c r="K21" s="246">
        <f t="shared" si="0"/>
        <v>60</v>
      </c>
      <c r="L21" s="247">
        <f t="shared" si="1"/>
        <v>0.6</v>
      </c>
      <c r="M21" s="248" t="str">
        <f>VLOOKUP(K21,GradingPolicy!$B$2:$C$11,2)</f>
        <v>C+ (Plus)</v>
      </c>
      <c r="N21" s="4"/>
      <c r="O21" s="4"/>
      <c r="P21" s="85"/>
      <c r="Q21" s="86">
        <v>2.5</v>
      </c>
      <c r="R21" s="85">
        <v>8</v>
      </c>
      <c r="S21" s="85"/>
      <c r="T21" s="85">
        <v>10</v>
      </c>
      <c r="U21" s="85">
        <v>8.5</v>
      </c>
      <c r="V21" s="90">
        <v>8</v>
      </c>
      <c r="W21" s="85">
        <v>16</v>
      </c>
      <c r="X21" s="65" t="s">
        <v>162</v>
      </c>
      <c r="Y21" s="64" t="s">
        <v>183</v>
      </c>
      <c r="Z21" s="4"/>
      <c r="AA21" s="4"/>
      <c r="AB21" s="4"/>
    </row>
    <row r="22" spans="1:28" ht="15.75" customHeight="1" x14ac:dyDescent="0.25">
      <c r="A22" s="249">
        <v>13</v>
      </c>
      <c r="B22" s="240" t="s">
        <v>184</v>
      </c>
      <c r="C22" s="241" t="s">
        <v>185</v>
      </c>
      <c r="D22" s="242">
        <v>10</v>
      </c>
      <c r="E22" s="243">
        <f>IF($P$9=0,0,(P22/GradeSheet!$P$9)*GradeSheet!$C$41)</f>
        <v>0</v>
      </c>
      <c r="F22" s="244">
        <f t="shared" si="2"/>
        <v>9</v>
      </c>
      <c r="G22" s="244">
        <f>IF($T$9=0,0,(T22/GradeSheet!$T$9)*GradeSheet!$C$44)</f>
        <v>10</v>
      </c>
      <c r="H22" s="245">
        <f>(U22/GradeSheet!$U$9)*GradeSheet!$C$45</f>
        <v>8</v>
      </c>
      <c r="I22" s="245">
        <f>IF($V$9= 0,0,(V22/GradeSheet!$V$9)*GradeSheet!$C$46)</f>
        <v>9</v>
      </c>
      <c r="J22" s="245">
        <f>(W22/GradeSheet!$W$9)*GradeSheet!$C$47</f>
        <v>31</v>
      </c>
      <c r="K22" s="246">
        <f t="shared" si="0"/>
        <v>77</v>
      </c>
      <c r="L22" s="247">
        <f t="shared" si="1"/>
        <v>0.77</v>
      </c>
      <c r="M22" s="248" t="str">
        <f>VLOOKUP(K22,GradingPolicy!$B$2:$C$11,2)</f>
        <v>B+ (Plus)</v>
      </c>
      <c r="N22" s="4"/>
      <c r="O22" s="4"/>
      <c r="P22" s="85"/>
      <c r="Q22" s="86">
        <v>7</v>
      </c>
      <c r="R22" s="85">
        <v>9</v>
      </c>
      <c r="S22" s="85"/>
      <c r="T22" s="85">
        <v>10</v>
      </c>
      <c r="U22" s="85">
        <v>8</v>
      </c>
      <c r="V22" s="90">
        <v>9</v>
      </c>
      <c r="W22" s="85">
        <v>31</v>
      </c>
      <c r="X22" s="65" t="s">
        <v>185</v>
      </c>
      <c r="Y22" s="64" t="s">
        <v>184</v>
      </c>
      <c r="Z22" s="4"/>
      <c r="AA22" s="4"/>
      <c r="AB22" s="4"/>
    </row>
    <row r="23" spans="1:28" ht="15.75" customHeight="1" x14ac:dyDescent="0.25">
      <c r="A23" s="239">
        <v>14</v>
      </c>
      <c r="B23" s="240" t="s">
        <v>186</v>
      </c>
      <c r="C23" s="241" t="s">
        <v>187</v>
      </c>
      <c r="D23" s="242">
        <v>10</v>
      </c>
      <c r="E23" s="243">
        <f>IF($P$9=0,0,(P23/GradeSheet!$P$9)*GradeSheet!$C$41)</f>
        <v>0</v>
      </c>
      <c r="F23" s="244">
        <f t="shared" si="2"/>
        <v>7</v>
      </c>
      <c r="G23" s="244">
        <f>IF($T$9=0,0,(T23/GradeSheet!$T$9)*GradeSheet!$C$44)</f>
        <v>8</v>
      </c>
      <c r="H23" s="245">
        <f>(U23/GradeSheet!$U$9)*GradeSheet!$C$45</f>
        <v>10</v>
      </c>
      <c r="I23" s="245">
        <f>IF($V$9= 0,0,(V23/GradeSheet!$V$9)*GradeSheet!$C$46)</f>
        <v>8</v>
      </c>
      <c r="J23" s="245">
        <f>(W23/GradeSheet!$W$9)*GradeSheet!$C$47</f>
        <v>22</v>
      </c>
      <c r="K23" s="246">
        <f t="shared" si="0"/>
        <v>65</v>
      </c>
      <c r="L23" s="247">
        <f t="shared" si="1"/>
        <v>0.65</v>
      </c>
      <c r="M23" s="248" t="str">
        <f>VLOOKUP(K23,GradingPolicy!$B$2:$C$11,2)</f>
        <v>B- (Minus)</v>
      </c>
      <c r="N23" s="4"/>
      <c r="O23" s="4"/>
      <c r="P23" s="85"/>
      <c r="Q23" s="86">
        <v>3</v>
      </c>
      <c r="R23" s="85">
        <v>7</v>
      </c>
      <c r="S23" s="85"/>
      <c r="T23" s="85">
        <v>8</v>
      </c>
      <c r="U23" s="85">
        <v>10</v>
      </c>
      <c r="V23" s="90">
        <v>8</v>
      </c>
      <c r="W23" s="85">
        <v>22</v>
      </c>
      <c r="X23" s="65" t="s">
        <v>187</v>
      </c>
      <c r="Y23" s="64" t="s">
        <v>186</v>
      </c>
      <c r="Z23" s="4"/>
      <c r="AA23" s="4"/>
      <c r="AB23" s="4"/>
    </row>
    <row r="24" spans="1:28" ht="15.75" customHeight="1" x14ac:dyDescent="0.25">
      <c r="A24" s="239">
        <v>15</v>
      </c>
      <c r="B24" s="240" t="s">
        <v>221</v>
      </c>
      <c r="C24" s="241" t="s">
        <v>188</v>
      </c>
      <c r="D24" s="242">
        <v>9</v>
      </c>
      <c r="E24" s="243">
        <f>IF($P$9=0,0,(P24/GradeSheet!$P$9)*GradeSheet!$C$41)</f>
        <v>0</v>
      </c>
      <c r="F24" s="244">
        <f t="shared" si="2"/>
        <v>9</v>
      </c>
      <c r="G24" s="244">
        <f>IF($T$9=0,0,(T24/GradeSheet!$T$9)*GradeSheet!$C$44)</f>
        <v>10</v>
      </c>
      <c r="H24" s="245">
        <f>(U24/GradeSheet!$U$9)*GradeSheet!$C$45</f>
        <v>10</v>
      </c>
      <c r="I24" s="245">
        <f>IF($V$9= 0,0,(V24/GradeSheet!$V$9)*GradeSheet!$C$46)</f>
        <v>8</v>
      </c>
      <c r="J24" s="245">
        <f>(W24/GradeSheet!$W$9)*GradeSheet!$C$47</f>
        <v>19</v>
      </c>
      <c r="K24" s="246">
        <f t="shared" si="0"/>
        <v>65</v>
      </c>
      <c r="L24" s="247">
        <f t="shared" si="1"/>
        <v>0.65</v>
      </c>
      <c r="M24" s="248" t="str">
        <f>VLOOKUP(K24,GradingPolicy!$B$2:$C$11,2)</f>
        <v>B- (Minus)</v>
      </c>
      <c r="N24" s="4"/>
      <c r="O24" s="4"/>
      <c r="P24" s="85"/>
      <c r="Q24" s="86">
        <v>1</v>
      </c>
      <c r="R24" s="85">
        <v>9</v>
      </c>
      <c r="S24" s="85"/>
      <c r="T24" s="85">
        <v>10</v>
      </c>
      <c r="U24" s="85">
        <v>10</v>
      </c>
      <c r="V24" s="90">
        <v>8</v>
      </c>
      <c r="W24" s="85">
        <v>19</v>
      </c>
      <c r="X24" s="65" t="s">
        <v>188</v>
      </c>
      <c r="Y24" s="64" t="s">
        <v>221</v>
      </c>
      <c r="Z24" s="4"/>
      <c r="AA24" s="4"/>
      <c r="AB24" s="4"/>
    </row>
    <row r="25" spans="1:28" ht="15.75" customHeight="1" x14ac:dyDescent="0.25">
      <c r="A25" s="249">
        <v>16</v>
      </c>
      <c r="B25" s="240" t="s">
        <v>189</v>
      </c>
      <c r="C25" s="241" t="s">
        <v>190</v>
      </c>
      <c r="D25" s="242">
        <v>8</v>
      </c>
      <c r="E25" s="243">
        <f>IF($P$9=0,0,(P25/GradeSheet!$P$9)*GradeSheet!$C$41)</f>
        <v>0</v>
      </c>
      <c r="F25" s="244">
        <f t="shared" si="2"/>
        <v>9</v>
      </c>
      <c r="G25" s="244">
        <f>IF($T$9=0,0,(T25/GradeSheet!$T$9)*GradeSheet!$C$44)</f>
        <v>8</v>
      </c>
      <c r="H25" s="245">
        <f>(U25/GradeSheet!$U$9)*GradeSheet!$C$45</f>
        <v>5</v>
      </c>
      <c r="I25" s="245">
        <f>IF($V$9= 0,0,(V25/GradeSheet!$V$9)*GradeSheet!$C$46)</f>
        <v>8</v>
      </c>
      <c r="J25" s="245">
        <f>(W25/GradeSheet!$W$9)*GradeSheet!$C$47</f>
        <v>6</v>
      </c>
      <c r="K25" s="246">
        <f t="shared" si="0"/>
        <v>44</v>
      </c>
      <c r="L25" s="247">
        <f t="shared" si="1"/>
        <v>0.44</v>
      </c>
      <c r="M25" s="248" t="str">
        <f>VLOOKUP(K25,GradingPolicy!$B$2:$C$11,2)</f>
        <v>F (Fail)</v>
      </c>
      <c r="N25" s="4"/>
      <c r="O25" s="4"/>
      <c r="P25" s="85"/>
      <c r="Q25" s="86">
        <v>4</v>
      </c>
      <c r="R25" s="85">
        <v>9</v>
      </c>
      <c r="S25" s="85"/>
      <c r="T25" s="85">
        <v>8</v>
      </c>
      <c r="U25" s="85">
        <v>5</v>
      </c>
      <c r="V25" s="90">
        <v>8</v>
      </c>
      <c r="W25" s="85">
        <v>6</v>
      </c>
      <c r="X25" s="65" t="s">
        <v>190</v>
      </c>
      <c r="Y25" s="64" t="s">
        <v>189</v>
      </c>
      <c r="Z25" s="4"/>
      <c r="AA25" s="4"/>
      <c r="AB25" s="4"/>
    </row>
    <row r="26" spans="1:28" ht="15.75" customHeight="1" x14ac:dyDescent="0.25">
      <c r="A26" s="239">
        <v>17</v>
      </c>
      <c r="B26" s="240" t="s">
        <v>191</v>
      </c>
      <c r="C26" s="241" t="s">
        <v>192</v>
      </c>
      <c r="D26" s="242">
        <v>10</v>
      </c>
      <c r="E26" s="243">
        <f>IF($P$9=0,0,(P26/GradeSheet!$P$9)*GradeSheet!$C$41)</f>
        <v>0</v>
      </c>
      <c r="F26" s="244">
        <f t="shared" si="2"/>
        <v>10</v>
      </c>
      <c r="G26" s="244">
        <f>IF($T$9=0,0,(T26/GradeSheet!$T$9)*GradeSheet!$C$44)</f>
        <v>10</v>
      </c>
      <c r="H26" s="245">
        <f>(U26/GradeSheet!$U$9)*GradeSheet!$C$45</f>
        <v>10</v>
      </c>
      <c r="I26" s="245">
        <f>IF($V$9= 0,0,(V26/GradeSheet!$V$9)*GradeSheet!$C$46)</f>
        <v>9</v>
      </c>
      <c r="J26" s="245">
        <f>(W26/GradeSheet!$W$9)*GradeSheet!$C$47</f>
        <v>26</v>
      </c>
      <c r="K26" s="246">
        <f t="shared" si="0"/>
        <v>75</v>
      </c>
      <c r="L26" s="247">
        <f t="shared" si="1"/>
        <v>0.75</v>
      </c>
      <c r="M26" s="248" t="str">
        <f>VLOOKUP(K26,GradingPolicy!$B$2:$C$11,2)</f>
        <v>B+ (Plus)</v>
      </c>
      <c r="N26" s="4"/>
      <c r="O26" s="4"/>
      <c r="P26" s="85"/>
      <c r="Q26" s="86">
        <v>10</v>
      </c>
      <c r="R26" s="85">
        <v>9</v>
      </c>
      <c r="S26" s="85"/>
      <c r="T26" s="85">
        <v>10</v>
      </c>
      <c r="U26" s="85">
        <v>10</v>
      </c>
      <c r="V26" s="90">
        <v>9</v>
      </c>
      <c r="W26" s="85">
        <v>26</v>
      </c>
      <c r="X26" s="65" t="s">
        <v>192</v>
      </c>
      <c r="Y26" s="64" t="s">
        <v>191</v>
      </c>
      <c r="Z26" s="4"/>
      <c r="AA26" s="4"/>
      <c r="AB26" s="4"/>
    </row>
    <row r="27" spans="1:28" ht="15.75" customHeight="1" x14ac:dyDescent="0.25">
      <c r="A27" s="239">
        <v>18</v>
      </c>
      <c r="B27" s="240" t="s">
        <v>194</v>
      </c>
      <c r="C27" s="241" t="s">
        <v>195</v>
      </c>
      <c r="D27" s="242">
        <v>2</v>
      </c>
      <c r="E27" s="243">
        <f>IF($P$9=0,0,(P27/GradeSheet!$P$9)*GradeSheet!$C$41)</f>
        <v>0</v>
      </c>
      <c r="F27" s="244">
        <f t="shared" si="2"/>
        <v>0</v>
      </c>
      <c r="G27" s="244">
        <f>IF($T$9=0,0,(T27/GradeSheet!$T$9)*GradeSheet!$C$44)</f>
        <v>9</v>
      </c>
      <c r="H27" s="245">
        <f>(U27/GradeSheet!$U$9)*GradeSheet!$C$45</f>
        <v>0</v>
      </c>
      <c r="I27" s="245">
        <f>IF($V$9= 0,0,(V27/GradeSheet!$V$9)*GradeSheet!$C$46)</f>
        <v>0</v>
      </c>
      <c r="J27" s="245">
        <f>(W27/GradeSheet!$W$9)*GradeSheet!$C$47</f>
        <v>0</v>
      </c>
      <c r="K27" s="246">
        <f t="shared" si="0"/>
        <v>11</v>
      </c>
      <c r="L27" s="247">
        <f t="shared" si="1"/>
        <v>0.11</v>
      </c>
      <c r="M27" s="248" t="s">
        <v>74</v>
      </c>
      <c r="N27" s="4"/>
      <c r="O27" s="4"/>
      <c r="P27" s="85"/>
      <c r="Q27" s="86">
        <v>0</v>
      </c>
      <c r="R27" s="85">
        <v>0</v>
      </c>
      <c r="S27" s="85"/>
      <c r="T27" s="85">
        <v>9</v>
      </c>
      <c r="U27" s="85">
        <v>0</v>
      </c>
      <c r="V27" s="90">
        <v>0</v>
      </c>
      <c r="W27" s="85"/>
      <c r="X27" s="65" t="s">
        <v>195</v>
      </c>
      <c r="Y27" s="64" t="s">
        <v>194</v>
      </c>
      <c r="Z27" s="4"/>
      <c r="AA27" s="4"/>
      <c r="AB27" s="4"/>
    </row>
    <row r="28" spans="1:28" ht="15.75" customHeight="1" x14ac:dyDescent="0.25">
      <c r="A28" s="249">
        <v>19</v>
      </c>
      <c r="B28" s="240" t="s">
        <v>196</v>
      </c>
      <c r="C28" s="241" t="s">
        <v>197</v>
      </c>
      <c r="D28" s="242">
        <v>10</v>
      </c>
      <c r="E28" s="243">
        <f>IF($P$9=0,0,(P28/GradeSheet!$P$9)*GradeSheet!$C$41)</f>
        <v>0</v>
      </c>
      <c r="F28" s="244">
        <f t="shared" si="2"/>
        <v>10</v>
      </c>
      <c r="G28" s="244">
        <f>IF($T$9=0,0,(T28/GradeSheet!$T$9)*GradeSheet!$C$44)</f>
        <v>10</v>
      </c>
      <c r="H28" s="245">
        <f>(U28/GradeSheet!$U$9)*GradeSheet!$C$45</f>
        <v>7</v>
      </c>
      <c r="I28" s="245">
        <f>IF($V$9= 0,0,(V28/GradeSheet!$V$9)*GradeSheet!$C$46)</f>
        <v>8</v>
      </c>
      <c r="J28" s="245">
        <f>(W28/GradeSheet!$W$9)*GradeSheet!$C$47</f>
        <v>20</v>
      </c>
      <c r="K28" s="246">
        <f t="shared" si="0"/>
        <v>65</v>
      </c>
      <c r="L28" s="247">
        <f t="shared" si="1"/>
        <v>0.65</v>
      </c>
      <c r="M28" s="248" t="str">
        <f>VLOOKUP(K28,GradingPolicy!$B$2:$C$11,2)</f>
        <v>B- (Minus)</v>
      </c>
      <c r="N28" s="4"/>
      <c r="O28" s="4"/>
      <c r="P28" s="85"/>
      <c r="Q28" s="86">
        <v>5</v>
      </c>
      <c r="R28" s="85">
        <v>10</v>
      </c>
      <c r="S28" s="85"/>
      <c r="T28" s="85">
        <v>10</v>
      </c>
      <c r="U28" s="85">
        <v>7</v>
      </c>
      <c r="V28" s="90">
        <v>8</v>
      </c>
      <c r="W28" s="85">
        <v>20</v>
      </c>
      <c r="X28" s="65" t="s">
        <v>197</v>
      </c>
      <c r="Y28" s="64" t="s">
        <v>196</v>
      </c>
      <c r="Z28" s="4"/>
      <c r="AA28" s="4"/>
      <c r="AB28" s="4"/>
    </row>
    <row r="29" spans="1:28" ht="15.75" customHeight="1" x14ac:dyDescent="0.25">
      <c r="A29" s="239">
        <v>20</v>
      </c>
      <c r="B29" s="240" t="s">
        <v>198</v>
      </c>
      <c r="C29" s="241" t="s">
        <v>199</v>
      </c>
      <c r="D29" s="242">
        <v>10</v>
      </c>
      <c r="E29" s="243">
        <f>IF($P$9=0,0,(P29/GradeSheet!$P$9)*GradeSheet!$C$41)</f>
        <v>0</v>
      </c>
      <c r="F29" s="244">
        <f t="shared" si="2"/>
        <v>9</v>
      </c>
      <c r="G29" s="244">
        <f>IF($T$9=0,0,(T29/GradeSheet!$T$9)*GradeSheet!$C$44)</f>
        <v>10</v>
      </c>
      <c r="H29" s="245">
        <f>(U29/GradeSheet!$U$9)*GradeSheet!$C$45</f>
        <v>6</v>
      </c>
      <c r="I29" s="245">
        <f>IF($V$9= 0,0,(V29/GradeSheet!$V$9)*GradeSheet!$C$46)</f>
        <v>8</v>
      </c>
      <c r="J29" s="245">
        <f>(W29/GradeSheet!$W$9)*GradeSheet!$C$47</f>
        <v>24</v>
      </c>
      <c r="K29" s="246">
        <f t="shared" si="0"/>
        <v>67</v>
      </c>
      <c r="L29" s="247">
        <f t="shared" si="1"/>
        <v>0.67</v>
      </c>
      <c r="M29" s="248" t="str">
        <f>VLOOKUP(K29,GradingPolicy!$B$2:$C$11,2)</f>
        <v>B- (Minus)</v>
      </c>
      <c r="N29" s="4"/>
      <c r="O29" s="4"/>
      <c r="P29" s="85"/>
      <c r="Q29" s="86">
        <v>2</v>
      </c>
      <c r="R29" s="85">
        <v>9</v>
      </c>
      <c r="S29" s="85"/>
      <c r="T29" s="85">
        <v>10</v>
      </c>
      <c r="U29" s="85">
        <v>6</v>
      </c>
      <c r="V29" s="90">
        <v>8</v>
      </c>
      <c r="W29" s="85">
        <v>24</v>
      </c>
      <c r="X29" s="65" t="s">
        <v>199</v>
      </c>
      <c r="Y29" s="64" t="s">
        <v>198</v>
      </c>
      <c r="Z29" s="4"/>
      <c r="AA29" s="4"/>
      <c r="AB29" s="4"/>
    </row>
    <row r="30" spans="1:28" ht="15.75" customHeight="1" x14ac:dyDescent="0.25">
      <c r="A30" s="239">
        <v>21</v>
      </c>
      <c r="B30" s="240" t="s">
        <v>200</v>
      </c>
      <c r="C30" s="241" t="s">
        <v>201</v>
      </c>
      <c r="D30" s="242">
        <v>10</v>
      </c>
      <c r="E30" s="243">
        <f>IF($P$9=0,0,(P30/GradeSheet!$P$9)*GradeSheet!$C$41)</f>
        <v>0</v>
      </c>
      <c r="F30" s="244">
        <f t="shared" si="2"/>
        <v>9</v>
      </c>
      <c r="G30" s="244">
        <f>IF($T$9=0,0,(T30/GradeSheet!$T$9)*GradeSheet!$C$44)</f>
        <v>10</v>
      </c>
      <c r="H30" s="245">
        <f>(U30/GradeSheet!$U$9)*GradeSheet!$C$45</f>
        <v>8</v>
      </c>
      <c r="I30" s="245">
        <f>IF($V$9= 0,0,(V30/GradeSheet!$V$9)*GradeSheet!$C$46)</f>
        <v>8</v>
      </c>
      <c r="J30" s="245">
        <f>(W30/GradeSheet!$W$9)*GradeSheet!$C$47</f>
        <v>20</v>
      </c>
      <c r="K30" s="246">
        <f t="shared" si="0"/>
        <v>65</v>
      </c>
      <c r="L30" s="247">
        <f t="shared" si="1"/>
        <v>0.65</v>
      </c>
      <c r="M30" s="248" t="str">
        <f>VLOOKUP(K30,GradingPolicy!$B$2:$C$11,2)</f>
        <v>B- (Minus)</v>
      </c>
      <c r="N30" s="4"/>
      <c r="O30" s="4"/>
      <c r="P30" s="85"/>
      <c r="Q30" s="86">
        <v>5</v>
      </c>
      <c r="R30" s="85">
        <v>9</v>
      </c>
      <c r="S30" s="85"/>
      <c r="T30" s="85">
        <v>10</v>
      </c>
      <c r="U30" s="85">
        <v>8</v>
      </c>
      <c r="V30" s="90">
        <v>8</v>
      </c>
      <c r="W30" s="85">
        <v>20</v>
      </c>
      <c r="X30" s="65" t="s">
        <v>201</v>
      </c>
      <c r="Y30" s="64" t="s">
        <v>200</v>
      </c>
      <c r="Z30" s="4"/>
      <c r="AA30" s="4"/>
      <c r="AB30" s="4"/>
    </row>
    <row r="31" spans="1:28" ht="15.75" customHeight="1" x14ac:dyDescent="0.25">
      <c r="A31" s="249">
        <v>22</v>
      </c>
      <c r="B31" s="240" t="s">
        <v>202</v>
      </c>
      <c r="C31" s="241" t="s">
        <v>203</v>
      </c>
      <c r="D31" s="242">
        <v>10</v>
      </c>
      <c r="E31" s="243">
        <f>IF($P$9=0,0,(P31/GradeSheet!$P$9)*GradeSheet!$C$41)</f>
        <v>0</v>
      </c>
      <c r="F31" s="244">
        <f t="shared" si="2"/>
        <v>9</v>
      </c>
      <c r="G31" s="244">
        <f>IF($T$9=0,0,(T31/GradeSheet!$T$9)*GradeSheet!$C$44)</f>
        <v>10</v>
      </c>
      <c r="H31" s="245">
        <f>(U31/GradeSheet!$U$9)*GradeSheet!$C$45</f>
        <v>8.5</v>
      </c>
      <c r="I31" s="245">
        <f>IF($V$9= 0,0,(V31/GradeSheet!$V$9)*GradeSheet!$C$46)</f>
        <v>8</v>
      </c>
      <c r="J31" s="245">
        <f>(W31/GradeSheet!$W$9)*GradeSheet!$C$47</f>
        <v>24</v>
      </c>
      <c r="K31" s="246">
        <f t="shared" si="0"/>
        <v>70</v>
      </c>
      <c r="L31" s="247">
        <f t="shared" si="1"/>
        <v>0.7</v>
      </c>
      <c r="M31" s="248" t="str">
        <f>VLOOKUP(K31,GradingPolicy!$B$2:$C$11,2)</f>
        <v>B (Plain)</v>
      </c>
      <c r="N31" s="4"/>
      <c r="O31" s="4"/>
      <c r="P31" s="85"/>
      <c r="Q31" s="86">
        <v>3</v>
      </c>
      <c r="R31" s="85">
        <v>9</v>
      </c>
      <c r="S31" s="85"/>
      <c r="T31" s="85">
        <v>10</v>
      </c>
      <c r="U31" s="85">
        <v>8.5</v>
      </c>
      <c r="V31" s="90">
        <v>8</v>
      </c>
      <c r="W31" s="85">
        <v>24</v>
      </c>
      <c r="X31" s="65" t="s">
        <v>203</v>
      </c>
      <c r="Y31" s="64" t="s">
        <v>202</v>
      </c>
      <c r="Z31" s="4"/>
      <c r="AA31" s="4"/>
      <c r="AB31" s="4"/>
    </row>
    <row r="32" spans="1:28" s="195" customFormat="1" ht="15.75" customHeight="1" x14ac:dyDescent="0.25">
      <c r="A32" s="249">
        <v>23</v>
      </c>
      <c r="B32" s="240" t="s">
        <v>204</v>
      </c>
      <c r="C32" s="241" t="s">
        <v>205</v>
      </c>
      <c r="D32" s="242">
        <v>10</v>
      </c>
      <c r="E32" s="243">
        <f>IF($P$9=0,0,(P32/GradeSheet!$P$9)*GradeSheet!$C$41)</f>
        <v>0</v>
      </c>
      <c r="F32" s="244">
        <f t="shared" si="2"/>
        <v>8</v>
      </c>
      <c r="G32" s="244">
        <f>IF($T$9=0,0,(T32/GradeSheet!$T$9)*GradeSheet!$C$44)</f>
        <v>10</v>
      </c>
      <c r="H32" s="245">
        <f>(U32/GradeSheet!$U$9)*GradeSheet!$C$45</f>
        <v>11</v>
      </c>
      <c r="I32" s="245">
        <f>IF($V$9= 0,0,(V32/GradeSheet!$V$9)*GradeSheet!$C$46)</f>
        <v>8</v>
      </c>
      <c r="J32" s="245">
        <f>(W32/GradeSheet!$W$9)*GradeSheet!$C$47</f>
        <v>23</v>
      </c>
      <c r="K32" s="246">
        <f t="shared" si="0"/>
        <v>70</v>
      </c>
      <c r="L32" s="247">
        <f t="shared" si="1"/>
        <v>0.7</v>
      </c>
      <c r="M32" s="248" t="str">
        <f>VLOOKUP(K32,GradingPolicy!$B$2:$C$11,2)</f>
        <v>B (Plain)</v>
      </c>
      <c r="N32" s="4"/>
      <c r="O32" s="4"/>
      <c r="P32" s="90"/>
      <c r="Q32" s="86">
        <v>3</v>
      </c>
      <c r="R32" s="90">
        <v>8</v>
      </c>
      <c r="S32" s="90"/>
      <c r="T32" s="90">
        <v>10</v>
      </c>
      <c r="U32" s="90">
        <v>11</v>
      </c>
      <c r="V32" s="90">
        <v>8</v>
      </c>
      <c r="W32" s="90">
        <v>23</v>
      </c>
      <c r="X32" s="65" t="s">
        <v>205</v>
      </c>
      <c r="Y32" s="64" t="s">
        <v>204</v>
      </c>
      <c r="Z32" s="4"/>
      <c r="AA32" s="4"/>
      <c r="AB32" s="4"/>
    </row>
    <row r="33" spans="1:28" s="195" customFormat="1" ht="15.75" customHeight="1" x14ac:dyDescent="0.25">
      <c r="A33" s="239">
        <v>24</v>
      </c>
      <c r="B33" s="240" t="s">
        <v>208</v>
      </c>
      <c r="C33" s="241" t="s">
        <v>209</v>
      </c>
      <c r="D33" s="242">
        <v>9</v>
      </c>
      <c r="E33" s="243">
        <f>IF($P$9=0,0,(P33/GradeSheet!$P$9)*GradeSheet!$C$41)</f>
        <v>0</v>
      </c>
      <c r="F33" s="244">
        <f t="shared" si="2"/>
        <v>6</v>
      </c>
      <c r="G33" s="244">
        <f>IF($T$9=0,0,(T33/GradeSheet!$T$9)*GradeSheet!$C$44)</f>
        <v>9</v>
      </c>
      <c r="H33" s="245">
        <f>(U33/GradeSheet!$U$9)*GradeSheet!$C$45</f>
        <v>15</v>
      </c>
      <c r="I33" s="245">
        <f>IF($V$9= 0,0,(V33/GradeSheet!$V$9)*GradeSheet!$C$46)</f>
        <v>8</v>
      </c>
      <c r="J33" s="245">
        <f>(W33/GradeSheet!$W$9)*GradeSheet!$C$47</f>
        <v>20</v>
      </c>
      <c r="K33" s="246">
        <f t="shared" si="0"/>
        <v>67</v>
      </c>
      <c r="L33" s="247">
        <f t="shared" si="1"/>
        <v>0.67</v>
      </c>
      <c r="M33" s="248" t="str">
        <f>VLOOKUP(K33,GradingPolicy!$B$2:$C$11,2)</f>
        <v>B- (Minus)</v>
      </c>
      <c r="N33" s="4"/>
      <c r="O33" s="4"/>
      <c r="P33" s="90"/>
      <c r="Q33" s="86">
        <v>0</v>
      </c>
      <c r="R33" s="90">
        <v>6</v>
      </c>
      <c r="S33" s="90"/>
      <c r="T33" s="90">
        <v>9</v>
      </c>
      <c r="U33" s="90">
        <v>15</v>
      </c>
      <c r="V33" s="90">
        <v>8</v>
      </c>
      <c r="W33" s="90">
        <v>20</v>
      </c>
      <c r="X33" s="65" t="s">
        <v>209</v>
      </c>
      <c r="Y33" s="64" t="s">
        <v>208</v>
      </c>
      <c r="Z33" s="4"/>
      <c r="AA33" s="4"/>
      <c r="AB33" s="4"/>
    </row>
    <row r="34" spans="1:28" s="195" customFormat="1" ht="15.75" customHeight="1" x14ac:dyDescent="0.25">
      <c r="A34" s="239">
        <v>25</v>
      </c>
      <c r="B34" s="240" t="s">
        <v>206</v>
      </c>
      <c r="C34" s="241" t="s">
        <v>207</v>
      </c>
      <c r="D34" s="242">
        <v>10</v>
      </c>
      <c r="E34" s="243">
        <f>IF($P$9=0,0,(P34/GradeSheet!$P$9)*GradeSheet!$C$41)</f>
        <v>0</v>
      </c>
      <c r="F34" s="244">
        <f t="shared" si="2"/>
        <v>8</v>
      </c>
      <c r="G34" s="244">
        <f>IF($T$9=0,0,(T34/GradeSheet!$T$9)*GradeSheet!$C$44)</f>
        <v>10</v>
      </c>
      <c r="H34" s="245">
        <f>(U34/GradeSheet!$U$9)*GradeSheet!$C$45</f>
        <v>11</v>
      </c>
      <c r="I34" s="245">
        <f>IF($V$9= 0,0,(V34/GradeSheet!$V$9)*GradeSheet!$C$46)</f>
        <v>9</v>
      </c>
      <c r="J34" s="245">
        <f>(W34/GradeSheet!$W$9)*GradeSheet!$C$47</f>
        <v>29</v>
      </c>
      <c r="K34" s="246">
        <f t="shared" si="0"/>
        <v>77</v>
      </c>
      <c r="L34" s="247">
        <f t="shared" si="1"/>
        <v>0.77</v>
      </c>
      <c r="M34" s="248" t="str">
        <f>VLOOKUP(K34,GradingPolicy!$B$2:$C$11,2)</f>
        <v>B+ (Plus)</v>
      </c>
      <c r="N34" s="4"/>
      <c r="O34" s="4"/>
      <c r="P34" s="90"/>
      <c r="Q34" s="86">
        <v>7</v>
      </c>
      <c r="R34" s="90">
        <v>8</v>
      </c>
      <c r="S34" s="90"/>
      <c r="T34" s="90">
        <v>10</v>
      </c>
      <c r="U34" s="90">
        <v>11</v>
      </c>
      <c r="V34" s="90">
        <v>9</v>
      </c>
      <c r="W34" s="90">
        <v>29</v>
      </c>
      <c r="X34" s="65" t="s">
        <v>207</v>
      </c>
      <c r="Y34" s="64" t="s">
        <v>206</v>
      </c>
      <c r="Z34" s="4"/>
      <c r="AA34" s="4"/>
      <c r="AB34" s="4"/>
    </row>
    <row r="35" spans="1:28" s="195" customFormat="1" ht="15.75" customHeight="1" x14ac:dyDescent="0.25">
      <c r="A35" s="249">
        <v>26</v>
      </c>
      <c r="B35" s="240" t="s">
        <v>210</v>
      </c>
      <c r="C35" s="241" t="s">
        <v>211</v>
      </c>
      <c r="D35" s="242">
        <v>9</v>
      </c>
      <c r="E35" s="243">
        <f>IF($P$9=0,0,(P35/GradeSheet!$P$9)*GradeSheet!$C$41)</f>
        <v>0</v>
      </c>
      <c r="F35" s="244">
        <f t="shared" si="2"/>
        <v>9</v>
      </c>
      <c r="G35" s="244">
        <f>IF($T$9=0,0,(T35/GradeSheet!$T$9)*GradeSheet!$C$44)</f>
        <v>10</v>
      </c>
      <c r="H35" s="245">
        <f>(U35/GradeSheet!$U$9)*GradeSheet!$C$45</f>
        <v>9</v>
      </c>
      <c r="I35" s="245">
        <f>IF($V$9= 0,0,(V35/GradeSheet!$V$9)*GradeSheet!$C$46)</f>
        <v>8</v>
      </c>
      <c r="J35" s="245">
        <f>(W35/GradeSheet!$W$9)*GradeSheet!$C$47</f>
        <v>11</v>
      </c>
      <c r="K35" s="246">
        <f t="shared" si="0"/>
        <v>56</v>
      </c>
      <c r="L35" s="247">
        <f t="shared" si="1"/>
        <v>0.56000000000000005</v>
      </c>
      <c r="M35" s="248" t="str">
        <f>VLOOKUP(K35,GradingPolicy!$B$2:$C$11,2)</f>
        <v>C (Plain)</v>
      </c>
      <c r="N35" s="4"/>
      <c r="O35" s="4"/>
      <c r="P35" s="90"/>
      <c r="Q35" s="86">
        <v>3</v>
      </c>
      <c r="R35" s="90">
        <v>9</v>
      </c>
      <c r="S35" s="90"/>
      <c r="T35" s="90">
        <v>10</v>
      </c>
      <c r="U35" s="90">
        <v>9</v>
      </c>
      <c r="V35" s="90">
        <v>8</v>
      </c>
      <c r="W35" s="90">
        <v>11</v>
      </c>
      <c r="X35" s="65" t="s">
        <v>211</v>
      </c>
      <c r="Y35" s="64" t="s">
        <v>210</v>
      </c>
      <c r="Z35" s="4"/>
      <c r="AA35" s="4"/>
      <c r="AB35" s="4"/>
    </row>
    <row r="36" spans="1:28" s="195" customFormat="1" ht="15.75" customHeight="1" x14ac:dyDescent="0.25">
      <c r="A36" s="249">
        <v>27</v>
      </c>
      <c r="B36" s="240" t="s">
        <v>212</v>
      </c>
      <c r="C36" s="241" t="s">
        <v>213</v>
      </c>
      <c r="D36" s="242">
        <v>7</v>
      </c>
      <c r="E36" s="243">
        <f>IF($P$9=0,0,(P36/GradeSheet!$P$9)*GradeSheet!$C$41)</f>
        <v>0</v>
      </c>
      <c r="F36" s="244">
        <f t="shared" si="2"/>
        <v>8</v>
      </c>
      <c r="G36" s="244">
        <f>IF($T$9=0,0,(T36/GradeSheet!$T$9)*GradeSheet!$C$44)</f>
        <v>9</v>
      </c>
      <c r="H36" s="245">
        <f>(U36/GradeSheet!$U$9)*GradeSheet!$C$45</f>
        <v>7</v>
      </c>
      <c r="I36" s="245">
        <f>IF($V$9= 0,0,(V36/GradeSheet!$V$9)*GradeSheet!$C$46)</f>
        <v>8</v>
      </c>
      <c r="J36" s="245">
        <f>(W36/GradeSheet!$W$9)*GradeSheet!$C$47</f>
        <v>18</v>
      </c>
      <c r="K36" s="246">
        <f t="shared" si="0"/>
        <v>57</v>
      </c>
      <c r="L36" s="247">
        <f t="shared" si="1"/>
        <v>0.56999999999999995</v>
      </c>
      <c r="M36" s="248" t="str">
        <f>VLOOKUP(K36,GradingPolicy!$B$2:$C$11,2)</f>
        <v>C (Plain)</v>
      </c>
      <c r="N36" s="4"/>
      <c r="O36" s="4"/>
      <c r="P36" s="90"/>
      <c r="Q36" s="86">
        <v>0</v>
      </c>
      <c r="R36" s="90">
        <v>8</v>
      </c>
      <c r="S36" s="90"/>
      <c r="T36" s="90">
        <v>9</v>
      </c>
      <c r="U36" s="90">
        <v>7</v>
      </c>
      <c r="V36" s="90">
        <v>8</v>
      </c>
      <c r="W36" s="90">
        <v>18</v>
      </c>
      <c r="X36" s="65" t="s">
        <v>213</v>
      </c>
      <c r="Y36" s="64" t="s">
        <v>212</v>
      </c>
      <c r="Z36" s="4"/>
      <c r="AA36" s="4"/>
      <c r="AB36" s="4"/>
    </row>
    <row r="37" spans="1:28" s="195" customFormat="1" ht="15.75" customHeight="1" x14ac:dyDescent="0.25">
      <c r="A37" s="239">
        <v>28</v>
      </c>
      <c r="B37" s="240" t="s">
        <v>214</v>
      </c>
      <c r="C37" s="241" t="s">
        <v>215</v>
      </c>
      <c r="D37" s="242">
        <v>9</v>
      </c>
      <c r="E37" s="243">
        <f>IF($P$9=0,0,(P37/GradeSheet!$P$9)*GradeSheet!$C$41)</f>
        <v>0</v>
      </c>
      <c r="F37" s="244">
        <f t="shared" si="2"/>
        <v>9</v>
      </c>
      <c r="G37" s="244">
        <f>IF($T$9=0,0,(T37/GradeSheet!$T$9)*GradeSheet!$C$44)</f>
        <v>9</v>
      </c>
      <c r="H37" s="245">
        <f>(U37/GradeSheet!$U$9)*GradeSheet!$C$45</f>
        <v>11.5</v>
      </c>
      <c r="I37" s="245">
        <f>IF($V$9= 0,0,(V37/GradeSheet!$V$9)*GradeSheet!$C$46)</f>
        <v>9</v>
      </c>
      <c r="J37" s="245">
        <f>(W37/GradeSheet!$W$9)*GradeSheet!$C$47</f>
        <v>25</v>
      </c>
      <c r="K37" s="246">
        <f t="shared" si="0"/>
        <v>73</v>
      </c>
      <c r="L37" s="247">
        <f t="shared" si="1"/>
        <v>0.73</v>
      </c>
      <c r="M37" s="248" t="str">
        <f>VLOOKUP(K37,GradingPolicy!$B$2:$C$11,2)</f>
        <v>B (Plain)</v>
      </c>
      <c r="N37" s="4"/>
      <c r="O37" s="4"/>
      <c r="P37" s="90"/>
      <c r="Q37" s="86">
        <v>6</v>
      </c>
      <c r="R37" s="90">
        <v>9</v>
      </c>
      <c r="S37" s="90"/>
      <c r="T37" s="90">
        <v>9</v>
      </c>
      <c r="U37" s="90">
        <v>11.5</v>
      </c>
      <c r="V37" s="90">
        <v>9</v>
      </c>
      <c r="W37" s="90">
        <v>25</v>
      </c>
      <c r="X37" s="65" t="s">
        <v>215</v>
      </c>
      <c r="Y37" s="64" t="s">
        <v>214</v>
      </c>
      <c r="Z37" s="4"/>
      <c r="AA37" s="4"/>
      <c r="AB37" s="4"/>
    </row>
    <row r="38" spans="1:28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25">
      <c r="A40" s="4"/>
      <c r="B40" s="50" t="s">
        <v>76</v>
      </c>
      <c r="C40" s="50" t="s">
        <v>77</v>
      </c>
      <c r="D40" s="122"/>
      <c r="E40" s="122"/>
      <c r="F40" s="123" t="s">
        <v>0</v>
      </c>
      <c r="G40" s="123" t="s">
        <v>2</v>
      </c>
      <c r="H40" s="53" t="s">
        <v>78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25">
      <c r="A41" s="4"/>
      <c r="B41" s="63" t="s">
        <v>79</v>
      </c>
      <c r="C41" s="125">
        <v>10</v>
      </c>
      <c r="D41" s="126"/>
      <c r="E41" s="126"/>
      <c r="F41" s="127" t="s">
        <v>25</v>
      </c>
      <c r="G41" s="128" t="s">
        <v>80</v>
      </c>
      <c r="H41" s="83">
        <f>COUNTIF(M10:M37, "A+ (Plus)")</f>
        <v>0</v>
      </c>
      <c r="I41" s="4"/>
      <c r="J41" s="4"/>
      <c r="K41" s="4"/>
      <c r="L41" s="4"/>
      <c r="M41" s="4"/>
      <c r="N41" s="4"/>
      <c r="O41" s="129" t="s">
        <v>81</v>
      </c>
      <c r="P41" s="80">
        <f>MAX(P10:P31)</f>
        <v>0</v>
      </c>
      <c r="Q41" s="194">
        <f>MAX(Q10:Q37)</f>
        <v>10</v>
      </c>
      <c r="R41" s="194">
        <f>MAX(R10:R37)</f>
        <v>10</v>
      </c>
      <c r="S41" s="194">
        <f>MAX(S10:S31)</f>
        <v>0</v>
      </c>
      <c r="T41" s="194">
        <f>MAX(T10:T37)</f>
        <v>10</v>
      </c>
      <c r="U41" s="194">
        <f>MAX(U10:U37)</f>
        <v>15</v>
      </c>
      <c r="V41" s="194">
        <f>MAX(V10:V37)</f>
        <v>9</v>
      </c>
      <c r="W41" s="194">
        <f>MAX(W10:W37)</f>
        <v>31</v>
      </c>
      <c r="X41" s="4"/>
      <c r="Y41" s="4"/>
      <c r="Z41" s="4"/>
      <c r="AA41" s="4"/>
      <c r="AB41" s="4"/>
    </row>
    <row r="42" spans="1:28" ht="15.75" customHeight="1" x14ac:dyDescent="0.25">
      <c r="A42" s="4"/>
      <c r="B42" s="83" t="s">
        <v>46</v>
      </c>
      <c r="C42" s="49">
        <v>0</v>
      </c>
      <c r="D42" s="126"/>
      <c r="E42" s="126"/>
      <c r="F42" s="127" t="s">
        <v>22</v>
      </c>
      <c r="G42" s="83" t="s">
        <v>82</v>
      </c>
      <c r="H42" s="83">
        <f>COUNTIF(M10:M37, "A (Plain)")</f>
        <v>0</v>
      </c>
      <c r="I42" s="4"/>
      <c r="J42" s="4"/>
      <c r="K42" s="4"/>
      <c r="L42" s="4"/>
      <c r="M42" s="4"/>
      <c r="N42" s="4"/>
      <c r="O42" s="129" t="s">
        <v>83</v>
      </c>
      <c r="P42" s="80" t="e">
        <f>AVERAGE(P10:P31)</f>
        <v>#DIV/0!</v>
      </c>
      <c r="Q42" s="80">
        <f>AVERAGE(Q10:Q37)</f>
        <v>2.9464285714285716</v>
      </c>
      <c r="R42" s="80">
        <f>AVERAGE(R10:R37)</f>
        <v>6.2142857142857144</v>
      </c>
      <c r="S42" s="80" t="e">
        <f>AVERAGE(S10:S31)</f>
        <v>#DIV/0!</v>
      </c>
      <c r="T42" s="80">
        <f>AVERAGE(T10:T37)</f>
        <v>8.6428571428571423</v>
      </c>
      <c r="U42" s="80">
        <f>AVERAGE(U10:U37)</f>
        <v>7.9464285714285712</v>
      </c>
      <c r="V42" s="80">
        <f>AVERAGE(V10:V37)</f>
        <v>7.3214285714285712</v>
      </c>
      <c r="W42" s="80">
        <f>AVERAGE(W10:W37)</f>
        <v>17.75</v>
      </c>
      <c r="X42" s="4"/>
      <c r="Y42" s="4"/>
      <c r="Z42" s="4"/>
      <c r="AA42" s="4"/>
      <c r="AB42" s="4"/>
    </row>
    <row r="43" spans="1:28" ht="15.75" customHeight="1" x14ac:dyDescent="0.25">
      <c r="A43" s="4"/>
      <c r="B43" s="63" t="s">
        <v>84</v>
      </c>
      <c r="C43" s="125">
        <v>10</v>
      </c>
      <c r="D43" s="126"/>
      <c r="E43" s="126"/>
      <c r="F43" s="127" t="s">
        <v>20</v>
      </c>
      <c r="G43" s="83" t="s">
        <v>85</v>
      </c>
      <c r="H43" s="83">
        <f>COUNTIF(M10:M37, "A- (Minus)")</f>
        <v>1</v>
      </c>
      <c r="I43" s="4"/>
      <c r="J43" s="4"/>
      <c r="K43" s="4"/>
      <c r="L43" s="4"/>
      <c r="M43" s="4"/>
      <c r="N43" s="4"/>
      <c r="O43" s="129" t="s">
        <v>86</v>
      </c>
      <c r="P43" s="80">
        <f t="shared" ref="P43:S43" si="3">MIN(P10:P31)</f>
        <v>0</v>
      </c>
      <c r="Q43" s="194">
        <f>MIN(Q10:Q37)</f>
        <v>0</v>
      </c>
      <c r="R43" s="194">
        <f>MIN(R10:R37)</f>
        <v>0</v>
      </c>
      <c r="S43" s="194">
        <f t="shared" si="3"/>
        <v>0</v>
      </c>
      <c r="T43" s="194">
        <f>MIN(T10:T37)</f>
        <v>0</v>
      </c>
      <c r="U43" s="194">
        <f>MIN(U10:U37)</f>
        <v>0</v>
      </c>
      <c r="V43" s="194">
        <f>MIN(V10:V37)</f>
        <v>0</v>
      </c>
      <c r="W43" s="194">
        <f>MIN(W10:W37)</f>
        <v>2</v>
      </c>
      <c r="X43" s="4"/>
      <c r="Y43" s="4"/>
      <c r="Z43" s="4"/>
      <c r="AA43" s="4"/>
      <c r="AB43" s="4"/>
    </row>
    <row r="44" spans="1:28" ht="15.75" customHeight="1" x14ac:dyDescent="0.25">
      <c r="A44" s="4"/>
      <c r="B44" s="63" t="s">
        <v>59</v>
      </c>
      <c r="C44" s="125">
        <v>10</v>
      </c>
      <c r="D44" s="126"/>
      <c r="E44" s="126"/>
      <c r="F44" s="127" t="s">
        <v>17</v>
      </c>
      <c r="G44" s="83" t="s">
        <v>87</v>
      </c>
      <c r="H44" s="83">
        <f>COUNTIF(M10:M37, "B+ (Plus)")</f>
        <v>3</v>
      </c>
      <c r="I44" s="4"/>
      <c r="J44" s="4"/>
      <c r="K44" s="4"/>
      <c r="L44" s="4"/>
      <c r="M44" s="4"/>
      <c r="N44" s="4"/>
      <c r="O44" s="4"/>
      <c r="P44" s="4"/>
      <c r="Q44" s="130"/>
      <c r="R44" s="130"/>
      <c r="S44" s="130"/>
      <c r="T44" s="130"/>
      <c r="U44" s="130"/>
      <c r="V44" s="130"/>
      <c r="W44" s="130"/>
      <c r="X44" s="4"/>
      <c r="Y44" s="4"/>
      <c r="Z44" s="4"/>
      <c r="AA44" s="4"/>
      <c r="AB44" s="4"/>
    </row>
    <row r="45" spans="1:28" ht="15.75" customHeight="1" x14ac:dyDescent="0.25">
      <c r="A45" s="4"/>
      <c r="B45" s="63" t="s">
        <v>43</v>
      </c>
      <c r="C45" s="131">
        <v>20</v>
      </c>
      <c r="D45" s="126"/>
      <c r="E45" s="126"/>
      <c r="F45" s="127" t="s">
        <v>15</v>
      </c>
      <c r="G45" s="83" t="s">
        <v>88</v>
      </c>
      <c r="H45" s="83">
        <f>COUNTIF(M10:M37, "B (Plain)")</f>
        <v>3</v>
      </c>
      <c r="I45" s="4"/>
      <c r="J45" s="4"/>
      <c r="K45" s="4"/>
      <c r="L45" s="4"/>
      <c r="M45" s="4"/>
      <c r="N45" s="4"/>
      <c r="O45" s="4"/>
      <c r="P45" s="4"/>
      <c r="Q45" s="130"/>
      <c r="R45" s="130"/>
      <c r="S45" s="130"/>
      <c r="T45" s="130"/>
      <c r="U45" s="130"/>
      <c r="V45" s="130"/>
      <c r="W45" s="130"/>
      <c r="X45" s="4"/>
      <c r="Y45" s="4"/>
      <c r="Z45" s="4"/>
      <c r="AA45" s="4"/>
      <c r="AB45" s="4"/>
    </row>
    <row r="46" spans="1:28" ht="15.75" customHeight="1" x14ac:dyDescent="0.25">
      <c r="A46" s="4"/>
      <c r="B46" s="63" t="s">
        <v>45</v>
      </c>
      <c r="C46" s="131">
        <v>10</v>
      </c>
      <c r="D46" s="126"/>
      <c r="E46" s="126"/>
      <c r="F46" s="127" t="s">
        <v>13</v>
      </c>
      <c r="G46" s="83" t="s">
        <v>89</v>
      </c>
      <c r="H46" s="83">
        <f>COUNTIF($M$10:$M$37, "B- (Minus)")</f>
        <v>6</v>
      </c>
      <c r="I46" s="4"/>
      <c r="J46" s="4"/>
      <c r="K46" s="4"/>
      <c r="L46" s="4"/>
      <c r="M46" s="4"/>
      <c r="N46" s="4"/>
      <c r="O46" s="4"/>
      <c r="P46" s="4"/>
      <c r="Q46" s="130"/>
      <c r="R46" s="130"/>
      <c r="S46" s="130"/>
      <c r="T46" s="130"/>
      <c r="U46" s="130"/>
      <c r="V46" s="130"/>
      <c r="W46" s="130"/>
      <c r="X46" s="4"/>
      <c r="Y46" s="4"/>
      <c r="Z46" s="4"/>
      <c r="AA46" s="4"/>
      <c r="AB46" s="4"/>
    </row>
    <row r="47" spans="1:28" ht="15.75" customHeight="1" x14ac:dyDescent="0.25">
      <c r="A47" s="4"/>
      <c r="B47" s="63" t="s">
        <v>44</v>
      </c>
      <c r="C47" s="125">
        <v>40</v>
      </c>
      <c r="D47" s="126"/>
      <c r="E47" s="126"/>
      <c r="F47" s="127" t="s">
        <v>10</v>
      </c>
      <c r="G47" s="83" t="s">
        <v>90</v>
      </c>
      <c r="H47" s="83">
        <f>COUNTIF(M10:M37, "C+ (Plus)")</f>
        <v>2</v>
      </c>
      <c r="I47" s="4"/>
      <c r="J47" s="4"/>
      <c r="K47" s="4"/>
      <c r="L47" s="4"/>
      <c r="M47" s="4"/>
      <c r="N47" s="4"/>
      <c r="O47" s="4"/>
      <c r="P47" s="4"/>
      <c r="Q47" s="130"/>
      <c r="R47" s="130"/>
      <c r="S47" s="130"/>
      <c r="T47" s="130"/>
      <c r="U47" s="130"/>
      <c r="V47" s="130"/>
      <c r="W47" s="130"/>
      <c r="X47" s="4"/>
      <c r="Y47" s="4"/>
      <c r="Z47" s="4"/>
      <c r="AA47" s="4"/>
      <c r="AB47" s="4"/>
    </row>
    <row r="48" spans="1:28" ht="15.75" customHeight="1" x14ac:dyDescent="0.25">
      <c r="A48" s="4"/>
      <c r="B48" s="63" t="s">
        <v>47</v>
      </c>
      <c r="C48" s="63">
        <f>SUM(C41:C47)</f>
        <v>100</v>
      </c>
      <c r="D48" s="133"/>
      <c r="E48" s="133"/>
      <c r="F48" s="127" t="s">
        <v>8</v>
      </c>
      <c r="G48" s="83" t="s">
        <v>91</v>
      </c>
      <c r="H48" s="83">
        <f>COUNTIF(M10:M37, "C (Plain)")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25">
      <c r="A49" s="4"/>
      <c r="B49" s="4"/>
      <c r="C49" s="4"/>
      <c r="D49" s="4"/>
      <c r="E49" s="4"/>
      <c r="F49" s="127" t="s">
        <v>6</v>
      </c>
      <c r="G49" s="83" t="s">
        <v>92</v>
      </c>
      <c r="H49" s="83">
        <f>COUNTIF(M10:M37, "D (Plain)")</f>
        <v>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5">
      <c r="A50" s="4"/>
      <c r="B50" s="4"/>
      <c r="C50" s="4"/>
      <c r="D50" s="4"/>
      <c r="E50" s="4"/>
      <c r="F50" s="127" t="s">
        <v>3</v>
      </c>
      <c r="G50" s="83" t="s">
        <v>93</v>
      </c>
      <c r="H50" s="83">
        <f>COUNTIF(M10:M37, "F (Fail)")</f>
        <v>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5">
      <c r="A51" s="4"/>
      <c r="B51" s="4"/>
      <c r="C51" s="4"/>
      <c r="D51" s="4"/>
      <c r="E51" s="4"/>
      <c r="F51" s="135" t="s">
        <v>94</v>
      </c>
      <c r="G51" s="83" t="s">
        <v>95</v>
      </c>
      <c r="H51" s="83">
        <f>COUNTIF(M10:M37, "I (Incomplete)")</f>
        <v>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5">
      <c r="A52" s="4"/>
      <c r="B52" s="283" t="str">
        <f>GradeSheet!$H$5</f>
        <v>Mohammad Shahriar Rahman, PhD</v>
      </c>
      <c r="C52" s="284"/>
      <c r="D52" s="4"/>
      <c r="E52" s="4"/>
      <c r="F52" s="135" t="s">
        <v>96</v>
      </c>
      <c r="G52" s="83" t="s">
        <v>97</v>
      </c>
      <c r="H52" s="83">
        <f>COUNTIF(M10:M37, "W (Withdrawn)")</f>
        <v>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25">
      <c r="A53" s="4"/>
      <c r="B53" s="281" t="s">
        <v>166</v>
      </c>
      <c r="C53" s="282"/>
      <c r="D53" s="4"/>
      <c r="E53" s="4"/>
      <c r="F53" s="135" t="s">
        <v>98</v>
      </c>
      <c r="G53" s="135"/>
      <c r="H53" s="83">
        <f>SUM(H41:H52)</f>
        <v>28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25">
      <c r="A54" s="4"/>
      <c r="B54" s="281" t="s">
        <v>159</v>
      </c>
      <c r="C54" s="282"/>
      <c r="D54" s="4"/>
      <c r="E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6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2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2"/>
    <row r="256" spans="1:2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8">
    <mergeCell ref="H3:J3"/>
    <mergeCell ref="H2:J2"/>
    <mergeCell ref="A7:M7"/>
    <mergeCell ref="B54:C54"/>
    <mergeCell ref="B52:C52"/>
    <mergeCell ref="B53:C53"/>
    <mergeCell ref="H5:J5"/>
    <mergeCell ref="H4:J4"/>
  </mergeCells>
  <pageMargins left="0.75" right="0.75" top="1" bottom="1" header="0" footer="0"/>
  <pageSetup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 x14ac:dyDescent="0.2"/>
  <cols>
    <col min="1" max="1" width="18.7109375" customWidth="1"/>
    <col min="2" max="2" width="16.42578125" customWidth="1"/>
    <col min="3" max="3" width="16.7109375" customWidth="1"/>
    <col min="4" max="23" width="9.14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5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5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5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25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 x14ac:dyDescent="0.25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25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5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5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5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5">
      <c r="A11" s="13" t="s">
        <v>25</v>
      </c>
      <c r="B11" s="15">
        <v>95</v>
      </c>
      <c r="C11" s="17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11"/>
  <sheetViews>
    <sheetView tabSelected="1" view="pageLayout" topLeftCell="AS130" zoomScale="80" zoomScaleNormal="100" zoomScalePageLayoutView="80" workbookViewId="0">
      <selection activeCell="M52" sqref="M52"/>
    </sheetView>
  </sheetViews>
  <sheetFormatPr defaultColWidth="14.42578125" defaultRowHeight="15" customHeight="1" x14ac:dyDescent="0.2"/>
  <cols>
    <col min="1" max="1" width="9.140625" customWidth="1"/>
    <col min="2" max="2" width="15.7109375" customWidth="1"/>
    <col min="3" max="3" width="37.42578125" customWidth="1"/>
    <col min="4" max="4" width="7.140625" customWidth="1"/>
    <col min="5" max="8" width="7.42578125" customWidth="1"/>
    <col min="9" max="9" width="7.42578125" hidden="1" customWidth="1"/>
    <col min="10" max="14" width="7.42578125" customWidth="1"/>
    <col min="15" max="19" width="7.42578125" hidden="1" customWidth="1"/>
    <col min="20" max="20" width="7.42578125" customWidth="1"/>
    <col min="21" max="22" width="7.42578125" hidden="1" customWidth="1"/>
    <col min="23" max="23" width="7.7109375" hidden="1" customWidth="1"/>
    <col min="24" max="27" width="7.42578125" hidden="1" customWidth="1"/>
    <col min="28" max="29" width="7.7109375" customWidth="1"/>
    <col min="30" max="33" width="7.42578125" customWidth="1"/>
    <col min="34" max="34" width="9.7109375" bestFit="1" customWidth="1"/>
    <col min="35" max="35" width="7.85546875" customWidth="1"/>
    <col min="36" max="39" width="7.42578125" customWidth="1"/>
    <col min="40" max="42" width="9.140625" customWidth="1"/>
    <col min="43" max="45" width="10.42578125" customWidth="1"/>
    <col min="46" max="46" width="8.7109375" customWidth="1"/>
    <col min="47" max="47" width="10.140625" customWidth="1"/>
    <col min="48" max="58" width="9.140625" customWidth="1"/>
    <col min="59" max="59" width="9.7109375" customWidth="1"/>
    <col min="60" max="70" width="9.140625" customWidth="1"/>
  </cols>
  <sheetData>
    <row r="1" spans="1:16384" ht="15.75" thickBot="1" x14ac:dyDescent="0.3">
      <c r="A1" s="3"/>
      <c r="B1" s="3"/>
      <c r="C1" s="300"/>
      <c r="D1" s="284"/>
      <c r="E1" s="284"/>
      <c r="F1" s="284"/>
      <c r="G1" s="284"/>
      <c r="H1" s="284"/>
      <c r="I1" s="28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01" t="s">
        <v>4</v>
      </c>
      <c r="AV1" s="292"/>
      <c r="AW1" s="292"/>
      <c r="AX1" s="292"/>
      <c r="AY1" s="292"/>
      <c r="AZ1" s="292"/>
      <c r="BA1" s="292"/>
      <c r="BB1" s="292"/>
      <c r="BC1" s="292"/>
      <c r="BD1" s="292"/>
      <c r="BE1" s="292"/>
      <c r="BF1" s="292"/>
      <c r="BG1" s="29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16384" ht="15.75" thickBot="1" x14ac:dyDescent="0.3">
      <c r="A2" s="3"/>
      <c r="B2" s="3"/>
      <c r="C2" s="9" t="s">
        <v>12</v>
      </c>
      <c r="D2" s="10" t="s">
        <v>19</v>
      </c>
      <c r="E2" s="12" t="s">
        <v>23</v>
      </c>
      <c r="F2" s="12" t="s">
        <v>26</v>
      </c>
      <c r="G2" s="14" t="s">
        <v>27</v>
      </c>
      <c r="H2" s="14" t="s">
        <v>28</v>
      </c>
      <c r="I2" s="14" t="s">
        <v>29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U2" s="16"/>
      <c r="AV2" s="10" t="s">
        <v>31</v>
      </c>
      <c r="AW2" s="12" t="s">
        <v>32</v>
      </c>
      <c r="AX2" s="12" t="s">
        <v>33</v>
      </c>
      <c r="AY2" s="12" t="s">
        <v>34</v>
      </c>
      <c r="AZ2" s="12" t="s">
        <v>35</v>
      </c>
      <c r="BA2" s="12" t="s">
        <v>36</v>
      </c>
      <c r="BB2" s="12" t="s">
        <v>37</v>
      </c>
      <c r="BC2" s="12" t="s">
        <v>38</v>
      </c>
      <c r="BD2" s="12" t="s">
        <v>39</v>
      </c>
      <c r="BE2" s="12" t="s">
        <v>40</v>
      </c>
      <c r="BF2" s="12" t="s">
        <v>41</v>
      </c>
      <c r="BG2" s="14" t="s">
        <v>42</v>
      </c>
      <c r="BH2" s="3"/>
      <c r="BI2" s="3"/>
      <c r="BJ2" s="3"/>
      <c r="BK2" s="3"/>
      <c r="BL2" s="3"/>
      <c r="BM2" s="3"/>
      <c r="BN2" s="3"/>
      <c r="BO2" s="3"/>
      <c r="BP2" s="3"/>
    </row>
    <row r="3" spans="1:16384" x14ac:dyDescent="0.25">
      <c r="A3" s="3"/>
      <c r="B3" s="3"/>
      <c r="C3" s="18" t="s">
        <v>43</v>
      </c>
      <c r="D3" s="19">
        <v>5</v>
      </c>
      <c r="E3" s="20">
        <v>5</v>
      </c>
      <c r="F3" s="20">
        <v>5</v>
      </c>
      <c r="G3" s="21">
        <v>5</v>
      </c>
      <c r="H3" s="21"/>
      <c r="I3" s="2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U3" s="22" t="s">
        <v>19</v>
      </c>
      <c r="AV3" s="23">
        <v>1</v>
      </c>
      <c r="AW3" s="20">
        <v>0</v>
      </c>
      <c r="AX3" s="20">
        <v>0</v>
      </c>
      <c r="AY3" s="20">
        <v>1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1">
        <v>0</v>
      </c>
      <c r="BH3" s="3"/>
      <c r="BI3" s="3"/>
      <c r="BJ3" s="3"/>
      <c r="BK3" s="3"/>
      <c r="BL3" s="3"/>
      <c r="BM3" s="3"/>
      <c r="BN3" s="3"/>
      <c r="BO3" s="3"/>
      <c r="BP3" s="3"/>
    </row>
    <row r="4" spans="1:16384" x14ac:dyDescent="0.25">
      <c r="A4" s="3"/>
      <c r="B4" s="3"/>
      <c r="C4" s="24" t="s">
        <v>44</v>
      </c>
      <c r="D4" s="25"/>
      <c r="E4" s="26">
        <v>8</v>
      </c>
      <c r="F4" s="26">
        <v>18</v>
      </c>
      <c r="G4" s="27">
        <v>6</v>
      </c>
      <c r="H4" s="27">
        <v>8</v>
      </c>
      <c r="I4" s="2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U4" s="28" t="s">
        <v>23</v>
      </c>
      <c r="AV4" s="29">
        <v>1</v>
      </c>
      <c r="AW4" s="26">
        <v>1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7">
        <v>0</v>
      </c>
      <c r="BH4" s="3"/>
      <c r="BI4" s="3"/>
      <c r="BJ4" s="3"/>
      <c r="BK4" s="3"/>
      <c r="BL4" s="3"/>
      <c r="BM4" s="3"/>
      <c r="BN4" s="3"/>
      <c r="BO4" s="3"/>
      <c r="BP4" s="3"/>
    </row>
    <row r="5" spans="1:16384" x14ac:dyDescent="0.25">
      <c r="A5" s="3"/>
      <c r="B5" s="3"/>
      <c r="C5" s="30" t="s">
        <v>45</v>
      </c>
      <c r="D5" s="31"/>
      <c r="E5" s="32"/>
      <c r="F5" s="32"/>
      <c r="G5" s="33"/>
      <c r="H5" s="33">
        <v>10</v>
      </c>
      <c r="I5" s="3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U5" s="28" t="s">
        <v>26</v>
      </c>
      <c r="AV5" s="29">
        <v>1</v>
      </c>
      <c r="AW5" s="26">
        <v>1</v>
      </c>
      <c r="AX5" s="26">
        <v>1</v>
      </c>
      <c r="AY5" s="26">
        <v>1</v>
      </c>
      <c r="AZ5" s="26">
        <v>1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7">
        <v>0</v>
      </c>
      <c r="BH5" s="3"/>
      <c r="BI5" s="3"/>
      <c r="BJ5" s="3"/>
      <c r="BK5" s="3"/>
      <c r="BL5" s="3"/>
      <c r="BM5" s="3"/>
      <c r="BN5" s="3"/>
      <c r="BO5" s="3"/>
      <c r="BP5" s="3"/>
    </row>
    <row r="6" spans="1:16384" ht="15.75" thickBot="1" x14ac:dyDescent="0.3">
      <c r="A6" s="3"/>
      <c r="B6" s="3"/>
      <c r="C6" s="30" t="s">
        <v>46</v>
      </c>
      <c r="D6" s="34"/>
      <c r="E6" s="35"/>
      <c r="F6" s="35"/>
      <c r="G6" s="36"/>
      <c r="H6" s="36"/>
      <c r="I6" s="3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U6" s="28" t="s">
        <v>27</v>
      </c>
      <c r="AV6" s="37">
        <v>0</v>
      </c>
      <c r="AW6" s="38">
        <v>1</v>
      </c>
      <c r="AX6" s="38">
        <v>0</v>
      </c>
      <c r="AY6" s="38">
        <v>1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9">
        <v>0</v>
      </c>
      <c r="BH6" s="3"/>
      <c r="BI6" s="3"/>
      <c r="BJ6" s="3"/>
      <c r="BK6" s="3"/>
      <c r="BL6" s="3"/>
      <c r="BM6" s="3"/>
      <c r="BN6" s="3"/>
      <c r="BO6" s="3"/>
      <c r="BP6" s="3"/>
    </row>
    <row r="7" spans="1:16384" ht="15.75" thickBot="1" x14ac:dyDescent="0.3">
      <c r="A7" s="3"/>
      <c r="B7" s="3"/>
      <c r="C7" s="9" t="s">
        <v>47</v>
      </c>
      <c r="D7" s="10">
        <f t="shared" ref="D7:I7" si="0">SUM(D3:D6)</f>
        <v>5</v>
      </c>
      <c r="E7" s="40">
        <f t="shared" si="0"/>
        <v>13</v>
      </c>
      <c r="F7" s="40">
        <f t="shared" si="0"/>
        <v>23</v>
      </c>
      <c r="G7" s="41">
        <f t="shared" si="0"/>
        <v>11</v>
      </c>
      <c r="H7" s="41">
        <f t="shared" si="0"/>
        <v>18</v>
      </c>
      <c r="I7" s="41">
        <f t="shared" si="0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U7" s="42" t="s">
        <v>28</v>
      </c>
      <c r="AV7" s="43">
        <v>0</v>
      </c>
      <c r="AW7" s="43">
        <v>1</v>
      </c>
      <c r="AX7" s="43">
        <v>1</v>
      </c>
      <c r="AY7" s="43">
        <v>1</v>
      </c>
      <c r="AZ7" s="43">
        <v>1</v>
      </c>
      <c r="BA7" s="43">
        <v>1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3"/>
      <c r="BI7" s="3"/>
      <c r="BJ7" s="3"/>
      <c r="BK7" s="3"/>
      <c r="BL7" s="3"/>
      <c r="BM7" s="3"/>
      <c r="BN7" s="3"/>
      <c r="BO7" s="3"/>
      <c r="BP7" s="3"/>
    </row>
    <row r="8" spans="1:16384" ht="15.75" thickBot="1" x14ac:dyDescent="0.3">
      <c r="A8" s="3"/>
      <c r="B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U8" s="44" t="s">
        <v>29</v>
      </c>
      <c r="AV8" s="37">
        <v>0</v>
      </c>
      <c r="AW8" s="45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9">
        <v>0</v>
      </c>
      <c r="BH8" s="3"/>
      <c r="BI8" s="3"/>
      <c r="BJ8" s="3"/>
      <c r="BK8" s="3"/>
      <c r="BL8" s="3"/>
      <c r="BM8" s="3"/>
      <c r="BN8" s="3"/>
      <c r="BO8" s="3"/>
      <c r="BP8" s="3"/>
    </row>
    <row r="9" spans="1:16384" ht="15.75" thickBot="1" x14ac:dyDescent="0.3">
      <c r="A9" s="3"/>
      <c r="B9" s="3"/>
      <c r="C9" s="3"/>
      <c r="D9" s="46"/>
      <c r="E9" s="46"/>
      <c r="F9" s="4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U9" s="16" t="s">
        <v>47</v>
      </c>
      <c r="AV9" s="10">
        <f t="shared" ref="AV9:BG9" si="1">SUM(AV3:AV8)</f>
        <v>3</v>
      </c>
      <c r="AW9" s="12">
        <f t="shared" si="1"/>
        <v>4</v>
      </c>
      <c r="AX9" s="12">
        <f t="shared" si="1"/>
        <v>2</v>
      </c>
      <c r="AY9" s="12">
        <f t="shared" si="1"/>
        <v>4</v>
      </c>
      <c r="AZ9" s="12">
        <f t="shared" si="1"/>
        <v>2</v>
      </c>
      <c r="BA9" s="12">
        <f t="shared" si="1"/>
        <v>1</v>
      </c>
      <c r="BB9" s="12">
        <f t="shared" si="1"/>
        <v>0</v>
      </c>
      <c r="BC9" s="12">
        <f t="shared" si="1"/>
        <v>0</v>
      </c>
      <c r="BD9" s="12">
        <f t="shared" si="1"/>
        <v>0</v>
      </c>
      <c r="BE9" s="12">
        <f t="shared" si="1"/>
        <v>0</v>
      </c>
      <c r="BF9" s="12">
        <f t="shared" si="1"/>
        <v>0</v>
      </c>
      <c r="BG9" s="14">
        <f t="shared" si="1"/>
        <v>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16384" ht="15.75" thickBot="1" x14ac:dyDescent="0.3">
      <c r="A10" s="3"/>
      <c r="B10" s="3"/>
      <c r="C10" s="3"/>
      <c r="D10" s="46"/>
      <c r="E10" s="46"/>
      <c r="F10" s="4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16384" thickBot="1" x14ac:dyDescent="0.25">
      <c r="A11" s="291" t="str">
        <f>CONCATENATE("Course Outcome (CO) Attainment Analysis of ",GradeSheet!$H$2, " [",GradeSheet!$H$3, "] ", "(Section ",GradeSheet!$L$2, ") ", "[Semester - ",GradeSheet!$L$3,"]" )</f>
        <v>Course Outcome (CO) Attainment Analysis of CSE 305 [Algorithms] (Section 1) [Semester - Summer 2019]</v>
      </c>
      <c r="B11" s="292"/>
      <c r="C11" s="293"/>
      <c r="D11" s="47"/>
      <c r="E11" s="47"/>
      <c r="F11" s="47"/>
      <c r="G11" s="47"/>
      <c r="H11" s="47"/>
      <c r="I11" s="47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47"/>
      <c r="W11" s="47"/>
      <c r="X11" s="47"/>
      <c r="Y11" s="47"/>
      <c r="Z11" s="47"/>
      <c r="AA11" s="48"/>
      <c r="AB11" s="285" t="s">
        <v>48</v>
      </c>
      <c r="AC11" s="286"/>
      <c r="AD11" s="286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286"/>
      <c r="AQ11" s="286"/>
      <c r="AR11" s="286"/>
      <c r="AS11" s="287"/>
      <c r="AT11" s="46"/>
      <c r="AU11" s="311" t="s">
        <v>50</v>
      </c>
      <c r="AV11" s="286"/>
      <c r="AW11" s="286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7"/>
    </row>
    <row r="12" spans="1:16384" thickBot="1" x14ac:dyDescent="0.25">
      <c r="A12" s="294"/>
      <c r="B12" s="284"/>
      <c r="C12" s="295"/>
      <c r="D12" s="288" t="str">
        <f>C3</f>
        <v>Midterm Exam</v>
      </c>
      <c r="E12" s="289"/>
      <c r="F12" s="289"/>
      <c r="G12" s="289"/>
      <c r="H12" s="289"/>
      <c r="I12" s="289"/>
      <c r="J12" s="297" t="str">
        <f>C4</f>
        <v>Final Exam</v>
      </c>
      <c r="K12" s="298"/>
      <c r="L12" s="298"/>
      <c r="M12" s="298"/>
      <c r="N12" s="298"/>
      <c r="O12" s="299"/>
      <c r="P12" s="265" t="s">
        <v>45</v>
      </c>
      <c r="Q12" s="253"/>
      <c r="R12" s="253"/>
      <c r="S12" s="264"/>
      <c r="T12" s="274" t="s">
        <v>45</v>
      </c>
      <c r="U12" s="252"/>
      <c r="V12" s="288" t="str">
        <f>C6</f>
        <v>Presentation</v>
      </c>
      <c r="W12" s="289"/>
      <c r="X12" s="289"/>
      <c r="Y12" s="289"/>
      <c r="Z12" s="289"/>
      <c r="AA12" s="290"/>
      <c r="AB12" s="312" t="s">
        <v>61</v>
      </c>
      <c r="AC12" s="292"/>
      <c r="AD12" s="292"/>
      <c r="AE12" s="292"/>
      <c r="AF12" s="292"/>
      <c r="AG12" s="293"/>
      <c r="AH12" s="313" t="s">
        <v>64</v>
      </c>
      <c r="AI12" s="286"/>
      <c r="AJ12" s="286"/>
      <c r="AK12" s="286"/>
      <c r="AL12" s="286"/>
      <c r="AM12" s="287"/>
      <c r="AN12" s="313" t="s">
        <v>67</v>
      </c>
      <c r="AO12" s="286"/>
      <c r="AP12" s="286"/>
      <c r="AQ12" s="286"/>
      <c r="AR12" s="286"/>
      <c r="AS12" s="287"/>
      <c r="AT12" s="46"/>
      <c r="AU12" s="301" t="s">
        <v>64</v>
      </c>
      <c r="AV12" s="292"/>
      <c r="AW12" s="292"/>
      <c r="AX12" s="292"/>
      <c r="AY12" s="292"/>
      <c r="AZ12" s="292"/>
      <c r="BA12" s="292"/>
      <c r="BB12" s="292"/>
      <c r="BC12" s="292"/>
      <c r="BD12" s="292"/>
      <c r="BE12" s="292"/>
      <c r="BF12" s="293"/>
      <c r="BG12" s="301" t="s">
        <v>68</v>
      </c>
      <c r="BH12" s="292"/>
      <c r="BI12" s="292"/>
      <c r="BJ12" s="292"/>
      <c r="BK12" s="292"/>
      <c r="BL12" s="292"/>
      <c r="BM12" s="292"/>
      <c r="BN12" s="292"/>
      <c r="BO12" s="292"/>
      <c r="BP12" s="292"/>
      <c r="BQ12" s="292"/>
      <c r="BR12" s="293"/>
    </row>
    <row r="13" spans="1:16384" ht="15.75" thickBot="1" x14ac:dyDescent="0.3">
      <c r="A13" s="296"/>
      <c r="B13" s="289"/>
      <c r="C13" s="290"/>
      <c r="D13" s="55" t="s">
        <v>19</v>
      </c>
      <c r="E13" s="57" t="s">
        <v>23</v>
      </c>
      <c r="F13" s="57" t="s">
        <v>26</v>
      </c>
      <c r="G13" s="59" t="s">
        <v>27</v>
      </c>
      <c r="H13" s="59" t="s">
        <v>28</v>
      </c>
      <c r="I13" s="61" t="s">
        <v>29</v>
      </c>
      <c r="J13" s="260" t="s">
        <v>19</v>
      </c>
      <c r="K13" s="261" t="s">
        <v>23</v>
      </c>
      <c r="L13" s="261" t="s">
        <v>26</v>
      </c>
      <c r="M13" s="262" t="s">
        <v>27</v>
      </c>
      <c r="N13" s="262" t="s">
        <v>28</v>
      </c>
      <c r="O13" s="263" t="s">
        <v>29</v>
      </c>
      <c r="P13" s="67" t="s">
        <v>19</v>
      </c>
      <c r="Q13" s="68" t="s">
        <v>23</v>
      </c>
      <c r="R13" s="68" t="s">
        <v>26</v>
      </c>
      <c r="S13" s="259" t="s">
        <v>27</v>
      </c>
      <c r="T13" s="273" t="s">
        <v>28</v>
      </c>
      <c r="U13" s="66" t="s">
        <v>29</v>
      </c>
      <c r="V13" s="67" t="s">
        <v>19</v>
      </c>
      <c r="W13" s="68" t="s">
        <v>23</v>
      </c>
      <c r="X13" s="68" t="s">
        <v>26</v>
      </c>
      <c r="Y13" s="68" t="s">
        <v>27</v>
      </c>
      <c r="Z13" s="68" t="s">
        <v>28</v>
      </c>
      <c r="AA13" s="69" t="s">
        <v>29</v>
      </c>
      <c r="AB13" s="10" t="s">
        <v>19</v>
      </c>
      <c r="AC13" s="10" t="s">
        <v>23</v>
      </c>
      <c r="AD13" s="10" t="s">
        <v>26</v>
      </c>
      <c r="AE13" s="10" t="s">
        <v>27</v>
      </c>
      <c r="AF13" s="10" t="s">
        <v>28</v>
      </c>
      <c r="AG13" s="10" t="s">
        <v>29</v>
      </c>
      <c r="AH13" s="70" t="s">
        <v>19</v>
      </c>
      <c r="AI13" s="71" t="s">
        <v>23</v>
      </c>
      <c r="AJ13" s="71" t="s">
        <v>26</v>
      </c>
      <c r="AK13" s="72" t="s">
        <v>27</v>
      </c>
      <c r="AL13" s="73" t="s">
        <v>28</v>
      </c>
      <c r="AM13" s="72" t="s">
        <v>29</v>
      </c>
      <c r="AN13" s="70" t="s">
        <v>19</v>
      </c>
      <c r="AO13" s="71" t="s">
        <v>23</v>
      </c>
      <c r="AP13" s="71" t="s">
        <v>26</v>
      </c>
      <c r="AQ13" s="73" t="s">
        <v>27</v>
      </c>
      <c r="AR13" s="73" t="s">
        <v>28</v>
      </c>
      <c r="AS13" s="72" t="s">
        <v>29</v>
      </c>
      <c r="AT13" s="74"/>
      <c r="AU13" s="70" t="s">
        <v>31</v>
      </c>
      <c r="AV13" s="71" t="s">
        <v>32</v>
      </c>
      <c r="AW13" s="71" t="s">
        <v>33</v>
      </c>
      <c r="AX13" s="71" t="s">
        <v>34</v>
      </c>
      <c r="AY13" s="71" t="s">
        <v>35</v>
      </c>
      <c r="AZ13" s="71" t="s">
        <v>36</v>
      </c>
      <c r="BA13" s="71" t="s">
        <v>37</v>
      </c>
      <c r="BB13" s="71" t="s">
        <v>38</v>
      </c>
      <c r="BC13" s="71" t="s">
        <v>39</v>
      </c>
      <c r="BD13" s="71" t="s">
        <v>40</v>
      </c>
      <c r="BE13" s="71" t="s">
        <v>41</v>
      </c>
      <c r="BF13" s="72" t="s">
        <v>42</v>
      </c>
      <c r="BG13" s="10" t="s">
        <v>31</v>
      </c>
      <c r="BH13" s="12" t="s">
        <v>32</v>
      </c>
      <c r="BI13" s="12" t="s">
        <v>33</v>
      </c>
      <c r="BJ13" s="12" t="s">
        <v>34</v>
      </c>
      <c r="BK13" s="12" t="s">
        <v>35</v>
      </c>
      <c r="BL13" s="12" t="s">
        <v>36</v>
      </c>
      <c r="BM13" s="12" t="s">
        <v>37</v>
      </c>
      <c r="BN13" s="12" t="s">
        <v>38</v>
      </c>
      <c r="BO13" s="12" t="s">
        <v>39</v>
      </c>
      <c r="BP13" s="12" t="s">
        <v>40</v>
      </c>
      <c r="BQ13" s="12" t="s">
        <v>41</v>
      </c>
      <c r="BR13" s="14" t="s">
        <v>42</v>
      </c>
    </row>
    <row r="14" spans="1:16384" ht="15.75" thickBot="1" x14ac:dyDescent="0.25">
      <c r="A14" s="75" t="s">
        <v>72</v>
      </c>
      <c r="B14" s="76" t="s">
        <v>65</v>
      </c>
      <c r="C14" s="77" t="s">
        <v>66</v>
      </c>
      <c r="D14" s="78">
        <f t="shared" ref="D14:I14" si="2">D3</f>
        <v>5</v>
      </c>
      <c r="E14" s="79">
        <f t="shared" si="2"/>
        <v>5</v>
      </c>
      <c r="F14" s="79">
        <f t="shared" si="2"/>
        <v>5</v>
      </c>
      <c r="G14" s="79">
        <f t="shared" si="2"/>
        <v>5</v>
      </c>
      <c r="H14" s="190">
        <f t="shared" si="2"/>
        <v>0</v>
      </c>
      <c r="I14" s="258">
        <f t="shared" si="2"/>
        <v>0</v>
      </c>
      <c r="J14" s="79">
        <f t="shared" ref="J14:O14" si="3">D4</f>
        <v>0</v>
      </c>
      <c r="K14" s="79">
        <f t="shared" si="3"/>
        <v>8</v>
      </c>
      <c r="L14" s="79">
        <f t="shared" si="3"/>
        <v>18</v>
      </c>
      <c r="M14" s="79">
        <f t="shared" si="3"/>
        <v>6</v>
      </c>
      <c r="N14" s="79">
        <f t="shared" si="3"/>
        <v>8</v>
      </c>
      <c r="O14" s="79">
        <f t="shared" si="3"/>
        <v>0</v>
      </c>
      <c r="P14" s="267">
        <f t="shared" ref="P14:U14" si="4">D5</f>
        <v>0</v>
      </c>
      <c r="Q14" s="267">
        <f t="shared" si="4"/>
        <v>0</v>
      </c>
      <c r="R14" s="267">
        <f t="shared" si="4"/>
        <v>0</v>
      </c>
      <c r="S14" s="267">
        <f t="shared" si="4"/>
        <v>0</v>
      </c>
      <c r="T14" s="268">
        <f t="shared" si="4"/>
        <v>10</v>
      </c>
      <c r="U14" s="81">
        <f t="shared" si="4"/>
        <v>0</v>
      </c>
      <c r="V14" s="82">
        <f t="shared" ref="V14:AA14" si="5">D6</f>
        <v>0</v>
      </c>
      <c r="W14" s="82">
        <f t="shared" si="5"/>
        <v>0</v>
      </c>
      <c r="X14" s="82">
        <f t="shared" si="5"/>
        <v>0</v>
      </c>
      <c r="Y14" s="82">
        <f t="shared" si="5"/>
        <v>0</v>
      </c>
      <c r="Z14" s="82">
        <f t="shared" si="5"/>
        <v>0</v>
      </c>
      <c r="AA14" s="82">
        <f t="shared" si="5"/>
        <v>0</v>
      </c>
      <c r="AB14" s="78">
        <f>SUM(P14,D14,J14)</f>
        <v>5</v>
      </c>
      <c r="AC14" s="79">
        <f>SUM(K14,E14,Q14)</f>
        <v>13</v>
      </c>
      <c r="AD14" s="79">
        <f>SUM(L14,F14,R14)</f>
        <v>23</v>
      </c>
      <c r="AE14" s="79">
        <f>SUM(M14,G14,S14)</f>
        <v>11</v>
      </c>
      <c r="AF14" s="79">
        <f>SUM(N14,H14,T14)</f>
        <v>18</v>
      </c>
      <c r="AG14" s="79">
        <f>SUM(O14,I14,U14)</f>
        <v>0</v>
      </c>
      <c r="AH14" s="84">
        <v>1</v>
      </c>
      <c r="AI14" s="87">
        <v>1</v>
      </c>
      <c r="AJ14" s="87">
        <v>1</v>
      </c>
      <c r="AK14" s="88">
        <v>1</v>
      </c>
      <c r="AL14" s="89">
        <v>1</v>
      </c>
      <c r="AM14" s="88">
        <v>1</v>
      </c>
      <c r="AN14" s="310" t="s">
        <v>73</v>
      </c>
      <c r="AO14" s="286"/>
      <c r="AP14" s="286"/>
      <c r="AQ14" s="286"/>
      <c r="AR14" s="286"/>
      <c r="AS14" s="287"/>
      <c r="AT14" s="74"/>
      <c r="AU14" s="91">
        <v>1</v>
      </c>
      <c r="AV14" s="92">
        <v>1</v>
      </c>
      <c r="AW14" s="92">
        <v>1</v>
      </c>
      <c r="AX14" s="92">
        <v>1</v>
      </c>
      <c r="AY14" s="92">
        <v>1</v>
      </c>
      <c r="AZ14" s="92">
        <v>1</v>
      </c>
      <c r="BA14" s="92">
        <v>1</v>
      </c>
      <c r="BB14" s="92">
        <v>1</v>
      </c>
      <c r="BC14" s="92">
        <v>1</v>
      </c>
      <c r="BD14" s="92">
        <v>1</v>
      </c>
      <c r="BE14" s="92">
        <v>1</v>
      </c>
      <c r="BF14" s="93">
        <v>1</v>
      </c>
      <c r="BG14" s="304" t="s">
        <v>75</v>
      </c>
      <c r="BH14" s="305"/>
      <c r="BI14" s="305"/>
      <c r="BJ14" s="305"/>
      <c r="BK14" s="305"/>
      <c r="BL14" s="305"/>
      <c r="BM14" s="305"/>
      <c r="BN14" s="305"/>
      <c r="BO14" s="305"/>
      <c r="BP14" s="305"/>
      <c r="BQ14" s="305"/>
      <c r="BR14" s="306"/>
    </row>
    <row r="15" spans="1:16384" ht="16.5" thickBot="1" x14ac:dyDescent="0.3">
      <c r="A15" s="94">
        <v>1</v>
      </c>
      <c r="B15" s="64" t="s">
        <v>167</v>
      </c>
      <c r="C15" s="210" t="s">
        <v>168</v>
      </c>
      <c r="D15" s="266">
        <v>1</v>
      </c>
      <c r="E15" s="266">
        <v>0</v>
      </c>
      <c r="F15" s="266">
        <v>2</v>
      </c>
      <c r="G15" s="269">
        <v>0</v>
      </c>
      <c r="H15" s="272"/>
      <c r="I15" s="270"/>
      <c r="J15" s="225"/>
      <c r="K15" s="204"/>
      <c r="L15" s="204"/>
      <c r="M15" s="205"/>
      <c r="N15" s="275"/>
      <c r="O15" s="254"/>
      <c r="P15" s="206"/>
      <c r="Q15" s="207"/>
      <c r="R15" s="207"/>
      <c r="S15" s="207"/>
      <c r="T15" s="276">
        <v>0</v>
      </c>
      <c r="U15" s="99"/>
      <c r="V15" s="100"/>
      <c r="W15" s="101"/>
      <c r="X15" s="101"/>
      <c r="Y15" s="101"/>
      <c r="Z15" s="101"/>
      <c r="AA15" s="102"/>
      <c r="AB15" s="211">
        <f>SUM(V15,D15,P15,J15)</f>
        <v>1</v>
      </c>
      <c r="AC15" s="212">
        <f>SUM(W15,E15,Q15,K15)</f>
        <v>0</v>
      </c>
      <c r="AD15" s="212">
        <f>SUM(X15,F15,R15,L15)</f>
        <v>2</v>
      </c>
      <c r="AE15" s="212">
        <f>SUM(Y15,G15,S15,M15)</f>
        <v>0</v>
      </c>
      <c r="AF15" s="212">
        <f>SUM(T15,H15,N15,Z15)</f>
        <v>0</v>
      </c>
      <c r="AG15" s="212">
        <f t="shared" ref="AG15" si="6">SUM(AA15,I15,O15)</f>
        <v>0</v>
      </c>
      <c r="AH15" s="213">
        <f t="shared" ref="AH15:AM16" si="7">IF(AB15 = 0, 0, AB15/AB$14)</f>
        <v>0.2</v>
      </c>
      <c r="AI15" s="213">
        <f t="shared" si="7"/>
        <v>0</v>
      </c>
      <c r="AJ15" s="213">
        <f t="shared" si="7"/>
        <v>8.6956521739130432E-2</v>
      </c>
      <c r="AK15" s="213">
        <f t="shared" si="7"/>
        <v>0</v>
      </c>
      <c r="AL15" s="213">
        <f t="shared" si="7"/>
        <v>0</v>
      </c>
      <c r="AM15" s="213">
        <f t="shared" si="7"/>
        <v>0</v>
      </c>
      <c r="AN15" s="214">
        <f>IF(OR(GradeSheet!$M10="W (Withdrawn)", GradeSheet!$M10="I (Incomplete)"), 0, IF(AH15&gt;=65%, 1, 0))</f>
        <v>0</v>
      </c>
      <c r="AO15" s="215">
        <f>IF(OR(GradeSheet!$M10="W (Withdrawn)", GradeSheet!$M10="I (Incomplete)"), 0, IF(AI15&gt;=65%, 1, 0))</f>
        <v>0</v>
      </c>
      <c r="AP15" s="216">
        <f>IF(OR(GradeSheet!$M10="W (Withdrawn)", GradeSheet!$M10="I (Incomplete)"), 0, IF(AJ15&gt;=65%, 1, 0))</f>
        <v>0</v>
      </c>
      <c r="AQ15" s="217">
        <f>IF(OR(GradeSheet!$M10="W (Withdrawn)", GradeSheet!$M10="I (Incomplete)"), 0, IF(AK15&gt;=65%, 1, 0))</f>
        <v>0</v>
      </c>
      <c r="AR15" s="217">
        <f>IF(OR(GradeSheet!$M10="W (Withdrawn)", GradeSheet!$M10="I (Incomplete)"), 0, IF(AL15&gt;=65%, 1, 0))</f>
        <v>0</v>
      </c>
      <c r="AS15" s="217">
        <f>IF(OR(GradeSheet!$M10="W (Withdrawn)", GradeSheet!$M10="I (Incomplete)"), 0, IF(AM15&gt;=65%, 1, 0))</f>
        <v>0</v>
      </c>
      <c r="AT15" s="74"/>
      <c r="AU15" s="221">
        <f t="array" ref="AU15">IF($AV$9=0,0,MMULT($AH15:$AM15, AV$3:AV$8)/$AV$9)</f>
        <v>9.5652173913043481E-2</v>
      </c>
      <c r="AV15" s="221">
        <f t="array" ref="AV15">IF($AV$9=0,0,MMULT($AH15:$AM15, AW$3:AW$8)/$AV$9)</f>
        <v>2.8985507246376812E-2</v>
      </c>
      <c r="AW15" s="221">
        <f t="array" ref="AW15">IF($AV$9=0,0,MMULT($AH15:$AM15, AX$3:AX$8)/$AV$9)</f>
        <v>2.8985507246376812E-2</v>
      </c>
      <c r="AX15" s="221">
        <f t="array" ref="AX15">IF($AV$9=0,0,MMULT($AH15:$AM15, AY$3:AY$8)/$AV$9)</f>
        <v>9.5652173913043481E-2</v>
      </c>
      <c r="AY15" s="221">
        <f t="array" ref="AY15">IF($AV$9=0,0,MMULT($AH15:$AM15, AZ$3:AZ$8)/$AV$9)</f>
        <v>2.8985507246376812E-2</v>
      </c>
      <c r="AZ15" s="221">
        <f t="array" ref="AZ15">IF($AV$9=0,0,MMULT($AH15:$AM15, BA$3:BA$8)/$AV$9)</f>
        <v>0</v>
      </c>
      <c r="BA15" s="221">
        <f t="array" ref="BA15">IF($AV$9=0,0,MMULT($AH15:$AM15, BB$3:BB$8)/$AV$9)</f>
        <v>0</v>
      </c>
      <c r="BB15" s="221">
        <f t="array" ref="BB15">IF($AV$9=0,0,MMULT($AH15:$AM15, BC$3:BC$8)/$AV$9)</f>
        <v>0</v>
      </c>
      <c r="BC15" s="221">
        <f t="array" ref="BC15">IF($AV$9=0,0,MMULT($AH15:$AM15, BD$3:BD$8)/$AV$9)</f>
        <v>0</v>
      </c>
      <c r="BD15" s="221">
        <f t="array" ref="BD15">IF($AV$9=0,0,MMULT($AH15:$AM15, BE$3:BE$8)/$AV$9)</f>
        <v>0</v>
      </c>
      <c r="BE15" s="221">
        <f t="array" ref="BE15">IF($AV$9=0,0,MMULT($AH15:$AM15, BF$3:BF$8)/$AV$9)</f>
        <v>0</v>
      </c>
      <c r="BF15" s="221">
        <f t="array" ref="BF15">IF($AV$9=0,0,MMULT($AH15:$AM15, BG$3:BG$8)/$AV$9)</f>
        <v>0</v>
      </c>
      <c r="BG15" s="214">
        <f>IF(OR(GradeSheet!$M10="W (Withdrawn)", GradeSheet!$M10="I (Incomplete)"), 0, IF(AU15&gt;=65%, 1, 0))</f>
        <v>0</v>
      </c>
      <c r="BH15" s="214">
        <f>IF(OR(GradeSheet!$M10="W (Withdrawn)", GradeSheet!$M10="I (Incomplete)"), 0, IF(AV15&gt;=65%, 1, 0))</f>
        <v>0</v>
      </c>
      <c r="BI15" s="214">
        <f>IF(OR(GradeSheet!$M10="W (Withdrawn)", GradeSheet!$M10="I (Incomplete)"), 0, IF(AW15&gt;=65%, 1, 0))</f>
        <v>0</v>
      </c>
      <c r="BJ15" s="214">
        <f>IF(OR(GradeSheet!$M10="W (Withdrawn)", GradeSheet!$M10="I (Incomplete)"), 0, IF(AX15&gt;=65%, 1, 0))</f>
        <v>0</v>
      </c>
      <c r="BK15" s="214">
        <f>IF(OR(GradeSheet!$M10="W (Withdrawn)", GradeSheet!$M10="I (Incomplete)"), 0, IF(AY15&gt;=65%, 1, 0))</f>
        <v>0</v>
      </c>
      <c r="BL15" s="214">
        <f>IF(OR(GradeSheet!$M10="W (Withdrawn)", GradeSheet!$M10="I (Incomplete)"), 0, IF(AZ15&gt;=65%, 1, 0))</f>
        <v>0</v>
      </c>
      <c r="BM15" s="214">
        <f>IF(OR(GradeSheet!$M10="W (Withdrawn)", GradeSheet!$M10="I (Incomplete)"), 0, IF(BA15&gt;=65%, 1, 0))</f>
        <v>0</v>
      </c>
      <c r="BN15" s="214">
        <f>IF(OR(GradeSheet!$M10="W (Withdrawn)", GradeSheet!$M10="I (Incomplete)"), 0, IF(BB15&gt;=65%, 1, 0))</f>
        <v>0</v>
      </c>
      <c r="BO15" s="214">
        <f>IF(OR(GradeSheet!$M10="W (Withdrawn)", GradeSheet!$M10="I (Incomplete)"), 0, IF(BC15&gt;=65%, 1, 0))</f>
        <v>0</v>
      </c>
      <c r="BP15" s="214">
        <f>IF(OR(GradeSheet!$M10="W (Withdrawn)", GradeSheet!$M10="I (Incomplete)"), 0, IF(BD15&gt;=65%, 1, 0))</f>
        <v>0</v>
      </c>
      <c r="BQ15" s="214">
        <f>IF(OR(GradeSheet!$M10="W (Withdrawn)", GradeSheet!$M10="I (Incomplete)"), 0, IF(BE15&gt;=65%, 1, 0))</f>
        <v>0</v>
      </c>
      <c r="BR15" s="214">
        <f>IF(OR(GradeSheet!$M10="W (Withdrawn)", GradeSheet!$M10="I (Incomplete)"), 0, IF(BF15&gt;=65%, 1, 0))</f>
        <v>0</v>
      </c>
    </row>
    <row r="16" spans="1:16384" s="199" customFormat="1" x14ac:dyDescent="0.25">
      <c r="A16" s="200">
        <v>2</v>
      </c>
      <c r="B16" s="203">
        <v>142014041</v>
      </c>
      <c r="C16" s="210" t="s">
        <v>223</v>
      </c>
      <c r="D16" s="226">
        <v>2</v>
      </c>
      <c r="E16" s="226">
        <v>0</v>
      </c>
      <c r="F16" s="226">
        <v>5</v>
      </c>
      <c r="G16" s="227">
        <v>0</v>
      </c>
      <c r="H16" s="271"/>
      <c r="I16" s="229"/>
      <c r="J16" s="229"/>
      <c r="K16" s="226">
        <v>2</v>
      </c>
      <c r="L16" s="226">
        <v>7</v>
      </c>
      <c r="M16" s="227">
        <v>0</v>
      </c>
      <c r="N16" s="271">
        <v>0</v>
      </c>
      <c r="O16" s="255"/>
      <c r="P16" s="228"/>
      <c r="Q16" s="228"/>
      <c r="R16" s="228"/>
      <c r="S16" s="228"/>
      <c r="T16" s="277">
        <v>8</v>
      </c>
      <c r="U16" s="3"/>
      <c r="V16" s="3"/>
      <c r="W16" s="3"/>
      <c r="X16" s="3"/>
      <c r="Y16" s="3"/>
      <c r="Z16" s="3"/>
      <c r="AA16" s="3"/>
      <c r="AB16" s="211">
        <f>SUM(V16,D16,P16,J16)</f>
        <v>2</v>
      </c>
      <c r="AC16" s="211">
        <f t="shared" ref="AC16:AG16" si="8">SUM(W16,E16,Q16,K16)</f>
        <v>2</v>
      </c>
      <c r="AD16" s="211">
        <f t="shared" si="8"/>
        <v>12</v>
      </c>
      <c r="AE16" s="211">
        <f t="shared" si="8"/>
        <v>0</v>
      </c>
      <c r="AF16" s="211">
        <f t="shared" si="8"/>
        <v>8</v>
      </c>
      <c r="AG16" s="211">
        <f t="shared" si="8"/>
        <v>0</v>
      </c>
      <c r="AH16" s="213">
        <f t="shared" si="7"/>
        <v>0.4</v>
      </c>
      <c r="AI16" s="213">
        <f t="shared" ref="AI16" si="9">IF(AC16 = 0, 0, AC16/AC$14)</f>
        <v>0.15384615384615385</v>
      </c>
      <c r="AJ16" s="213">
        <f t="shared" ref="AJ16" si="10">IF(AD16 = 0, 0, AD16/AD$14)</f>
        <v>0.52173913043478259</v>
      </c>
      <c r="AK16" s="213">
        <f t="shared" ref="AK16" si="11">IF(AE16 = 0, 0, AE16/AE$14)</f>
        <v>0</v>
      </c>
      <c r="AL16" s="213">
        <f t="shared" ref="AL16" si="12">IF(AF16 = 0, 0, AF16/AF$14)</f>
        <v>0.44444444444444442</v>
      </c>
      <c r="AM16" s="213">
        <f t="shared" ref="AM16" si="13">IF(AG16 = 0, 0, AG16/AG$14)</f>
        <v>0</v>
      </c>
      <c r="AN16" s="214">
        <f>IF(OR(GradeSheet!$M11="W (Withdrawn)", GradeSheet!$M11="I (Incomplete)"), 0, IF(AH16&gt;=65%, 1, 0))</f>
        <v>0</v>
      </c>
      <c r="AO16" s="220"/>
      <c r="AP16" s="220"/>
      <c r="AQ16" s="220"/>
      <c r="AR16" s="220"/>
      <c r="AS16" s="220"/>
      <c r="AT16" s="3"/>
      <c r="AU16" s="221">
        <f t="array" ref="AU16">IF($AV$9=0,0,MMULT($AH16:$AM16, AV$3:AV$8)/$AV$9)</f>
        <v>0.35852842809364543</v>
      </c>
      <c r="AV16" s="221">
        <f t="array" ref="AV16">IF($AV$9=0,0,MMULT($AH16:$AM16, AW$3:AW$8)/$AV$9)</f>
        <v>0.37334324290846027</v>
      </c>
      <c r="AW16" s="221">
        <f t="array" ref="AW16">IF($AV$9=0,0,MMULT($AH16:$AM16, AX$3:AX$8)/$AV$9)</f>
        <v>0.322061191626409</v>
      </c>
      <c r="AX16" s="221">
        <f t="array" ref="AX16">IF($AV$9=0,0,MMULT($AH16:$AM16, AY$3:AY$8)/$AV$9)</f>
        <v>0.45539452495974236</v>
      </c>
      <c r="AY16" s="221">
        <f t="array" ref="AY16">IF($AV$9=0,0,MMULT($AH16:$AM16, AZ$3:AZ$8)/$AV$9)</f>
        <v>0.322061191626409</v>
      </c>
      <c r="AZ16" s="221">
        <f t="array" ref="AZ16">IF($AV$9=0,0,MMULT($AH16:$AM16, BA$3:BA$8)/$AV$9)</f>
        <v>0.14814814814814814</v>
      </c>
      <c r="BA16" s="221">
        <f t="array" ref="BA16">IF($AV$9=0,0,MMULT($AH16:$AM16, BB$3:BB$8)/$AV$9)</f>
        <v>0</v>
      </c>
      <c r="BB16" s="221">
        <f t="array" ref="BB16">IF($AV$9=0,0,MMULT($AH16:$AM16, BC$3:BC$8)/$AV$9)</f>
        <v>0</v>
      </c>
      <c r="BC16" s="221">
        <f t="array" ref="BC16">IF($AV$9=0,0,MMULT($AH16:$AM16, BD$3:BD$8)/$AV$9)</f>
        <v>0</v>
      </c>
      <c r="BD16" s="221">
        <f t="array" ref="BD16">IF($AV$9=0,0,MMULT($AH16:$AM16, BE$3:BE$8)/$AV$9)</f>
        <v>0</v>
      </c>
      <c r="BE16" s="221">
        <f t="array" ref="BE16">IF($AV$9=0,0,MMULT($AH16:$AM16, BF$3:BF$8)/$AV$9)</f>
        <v>0</v>
      </c>
      <c r="BF16" s="221">
        <f t="array" ref="BF16">IF($AV$9=0,0,MMULT($AH16:$AM16, BG$3:BG$8)/$AV$9)</f>
        <v>0</v>
      </c>
      <c r="BG16" s="214">
        <f>IF(OR(GradeSheet!$M11="W (Withdrawn)", GradeSheet!$M11="I (Incomplete)"), 0, IF(AU16&gt;=65%, 1, 0))</f>
        <v>0</v>
      </c>
      <c r="BH16" s="214">
        <f>IF(OR(GradeSheet!$M11="W (Withdrawn)", GradeSheet!$M11="I (Incomplete)"), 0, IF(AV16&gt;=65%, 1, 0))</f>
        <v>0</v>
      </c>
      <c r="BI16" s="214">
        <f>IF(OR(GradeSheet!$M11="W (Withdrawn)", GradeSheet!$M11="I (Incomplete)"), 0, IF(AW16&gt;=65%, 1, 0))</f>
        <v>0</v>
      </c>
      <c r="BJ16" s="214">
        <f>IF(OR(GradeSheet!$M11="W (Withdrawn)", GradeSheet!$M11="I (Incomplete)"), 0, IF(AX16&gt;=65%, 1, 0))</f>
        <v>0</v>
      </c>
      <c r="BK16" s="214">
        <f>IF(OR(GradeSheet!$M11="W (Withdrawn)", GradeSheet!$M11="I (Incomplete)"), 0, IF(AY16&gt;=65%, 1, 0))</f>
        <v>0</v>
      </c>
      <c r="BL16" s="214">
        <f>IF(OR(GradeSheet!$M11="W (Withdrawn)", GradeSheet!$M11="I (Incomplete)"), 0, IF(AZ16&gt;=65%, 1, 0))</f>
        <v>0</v>
      </c>
      <c r="BM16" s="214">
        <f>IF(OR(GradeSheet!$M11="W (Withdrawn)", GradeSheet!$M11="I (Incomplete)"), 0, IF(BA16&gt;=65%, 1, 0))</f>
        <v>0</v>
      </c>
      <c r="BN16" s="214">
        <f>IF(OR(GradeSheet!$M11="W (Withdrawn)", GradeSheet!$M11="I (Incomplete)"), 0, IF(BB16&gt;=65%, 1, 0))</f>
        <v>0</v>
      </c>
      <c r="BO16" s="214">
        <f>IF(OR(GradeSheet!$M11="W (Withdrawn)", GradeSheet!$M11="I (Incomplete)"), 0, IF(BC16&gt;=65%, 1, 0))</f>
        <v>0</v>
      </c>
      <c r="BP16" s="214">
        <f>IF(OR(GradeSheet!$M11="W (Withdrawn)", GradeSheet!$M11="I (Incomplete)"), 0, IF(BD16&gt;=65%, 1, 0))</f>
        <v>0</v>
      </c>
      <c r="BQ16" s="214">
        <f>IF(OR(GradeSheet!$M11="W (Withdrawn)", GradeSheet!$M11="I (Incomplete)"), 0, IF(BE16&gt;=65%, 1, 0))</f>
        <v>0</v>
      </c>
      <c r="BR16" s="214">
        <f>IF(OR(GradeSheet!$M11="W (Withdrawn)", GradeSheet!$M11="I (Incomplete)"), 0, IF(BF16&gt;=65%, 1, 0))</f>
        <v>0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70" ht="16.5" thickBot="1" x14ac:dyDescent="0.25">
      <c r="A17" s="111">
        <v>3</v>
      </c>
      <c r="B17" s="64" t="s">
        <v>169</v>
      </c>
      <c r="C17" s="210" t="s">
        <v>170</v>
      </c>
      <c r="D17" s="226">
        <v>0</v>
      </c>
      <c r="E17" s="226">
        <v>2</v>
      </c>
      <c r="F17" s="226">
        <v>3</v>
      </c>
      <c r="G17" s="227">
        <v>5</v>
      </c>
      <c r="H17" s="271"/>
      <c r="I17" s="229"/>
      <c r="J17" s="230"/>
      <c r="K17" s="208">
        <v>0</v>
      </c>
      <c r="L17" s="208">
        <v>10</v>
      </c>
      <c r="M17" s="209">
        <v>0</v>
      </c>
      <c r="N17" s="271">
        <v>2</v>
      </c>
      <c r="O17" s="256"/>
      <c r="P17" s="196"/>
      <c r="Q17" s="98"/>
      <c r="R17" s="98"/>
      <c r="S17" s="98"/>
      <c r="T17" s="99">
        <v>8</v>
      </c>
      <c r="U17" s="99"/>
      <c r="V17" s="100"/>
      <c r="W17" s="101"/>
      <c r="X17" s="101"/>
      <c r="Y17" s="101"/>
      <c r="Z17" s="101"/>
      <c r="AA17" s="102"/>
      <c r="AB17" s="103">
        <f t="shared" ref="AB17:AB42" si="14">SUM(V17,D17,P17,J17)</f>
        <v>0</v>
      </c>
      <c r="AC17" s="104">
        <f t="shared" ref="AC17:AC42" si="15">SUM(W17,E17,Q17,K17)</f>
        <v>2</v>
      </c>
      <c r="AD17" s="104">
        <f t="shared" ref="AD17:AD42" si="16">SUM(X17,F17,R17,L17)</f>
        <v>13</v>
      </c>
      <c r="AE17" s="104">
        <f t="shared" ref="AE17:AE42" si="17">SUM(Y17,G17,S17,M17)</f>
        <v>5</v>
      </c>
      <c r="AF17" s="104">
        <f t="shared" ref="AF17:AF42" si="18">SUM(T17,H17,N17,Z17)</f>
        <v>10</v>
      </c>
      <c r="AG17" s="104">
        <f t="shared" ref="AG17" si="19">SUM(AA17,I17,O17)</f>
        <v>0</v>
      </c>
      <c r="AH17" s="218">
        <f t="shared" ref="AH17:AM17" si="20">IF(AB17 = 0, 0, AB17/AB$14)</f>
        <v>0</v>
      </c>
      <c r="AI17" s="218">
        <f t="shared" si="20"/>
        <v>0.15384615384615385</v>
      </c>
      <c r="AJ17" s="218">
        <f t="shared" si="20"/>
        <v>0.56521739130434778</v>
      </c>
      <c r="AK17" s="218">
        <f t="shared" si="20"/>
        <v>0.45454545454545453</v>
      </c>
      <c r="AL17" s="218">
        <f t="shared" si="20"/>
        <v>0.55555555555555558</v>
      </c>
      <c r="AM17" s="218">
        <f t="shared" si="20"/>
        <v>0</v>
      </c>
      <c r="AN17" s="118">
        <f>IF(OR(GradeSheet!$M12="W (Withdrawn)", GradeSheet!$M12="I (Incomplete)"), 0, IF(AH17&gt;=65%, 1, 0))</f>
        <v>0</v>
      </c>
      <c r="AO17" s="119">
        <f>IF(OR(GradeSheet!$M12="W (Withdrawn)", GradeSheet!$M12="I (Incomplete)"), 0, IF(AI17&gt;=65%, 1, 0))</f>
        <v>0</v>
      </c>
      <c r="AP17" s="120">
        <f>IF(OR(GradeSheet!$M12="W (Withdrawn)", GradeSheet!$M12="I (Incomplete)"), 0, IF(AJ17&gt;=65%, 1, 0))</f>
        <v>0</v>
      </c>
      <c r="AQ17" s="219">
        <f>IF(OR(GradeSheet!$M12="W (Withdrawn)", GradeSheet!$M12="I (Incomplete)"), 0, IF(AK17&gt;=65%, 1, 0))</f>
        <v>0</v>
      </c>
      <c r="AR17" s="219">
        <f>IF(OR(GradeSheet!$M12="W (Withdrawn)", GradeSheet!$M12="I (Incomplete)"), 0, IF(AL17&gt;=65%, 1, 0))</f>
        <v>0</v>
      </c>
      <c r="AS17" s="219">
        <f>IF(OR(GradeSheet!$M12="W (Withdrawn)", GradeSheet!$M12="I (Incomplete)"), 0, IF(AM17&gt;=65%, 1, 0))</f>
        <v>0</v>
      </c>
      <c r="AT17" s="74"/>
      <c r="AU17" s="222">
        <f t="shared" ref="AU17:AU26" si="21">IF($AV$9=0,0,MMULT($AH17:$AM17, AV$3:AV$8)/$AV$9)</f>
        <v>0.23968784838350055</v>
      </c>
      <c r="AV17" s="222">
        <f t="shared" ref="AV17:AV26" si="22">IF($AW$9=0,0,MMULT($AH17:$AM17, AW$3:AW$8)/$AW$9)</f>
        <v>0.43229113881287795</v>
      </c>
      <c r="AW17" s="223">
        <f t="shared" ref="AW17:AW26" si="23">IF($AX$9=0,0,MMULT($AH17:$AM17, AX$3:AX$8)/$AX$9)</f>
        <v>0.56038647342995174</v>
      </c>
      <c r="AX17" s="223">
        <f t="shared" ref="AX17:AX26" si="24">IF($AY$9=0,0,MMULT($AH17:$AM17, AY$3:AY$8)/$AY$9)</f>
        <v>0.39382960035133946</v>
      </c>
      <c r="AY17" s="223">
        <f t="shared" ref="AY17:AY26" si="25">IF($AZ$9=0,0,MMULT($AH17:$AM17, AZ$3:AZ$8)/$AZ$9)</f>
        <v>0.56038647342995174</v>
      </c>
      <c r="AZ17" s="223">
        <f t="shared" ref="AZ17:AZ26" si="26">IF($BA$9=0,0,MMULT($AH17:$AM17, BA$3:BA$8)/$BA$9)</f>
        <v>0.55555555555555558</v>
      </c>
      <c r="BA17" s="223">
        <f t="shared" ref="BA17:BA26" si="27">IF($BB$9=0,0,MMULT($AH17:$AM17, BB$3:BB$8)/$BB$9)</f>
        <v>0</v>
      </c>
      <c r="BB17" s="223">
        <f t="shared" ref="BB17:BB26" si="28">IF($BC$9=0,0,MMULT($AH17:$AM17, BC$3:BC$8)/$BC$9)</f>
        <v>0</v>
      </c>
      <c r="BC17" s="223">
        <f t="shared" ref="BC17:BC26" si="29">IF($BD$9=0,0,MMULT($AH17:$AM17, BD$3:BD$8)/$BD$9)</f>
        <v>0</v>
      </c>
      <c r="BD17" s="223">
        <f t="shared" ref="BD17:BD26" si="30">IF($BE$9=0,0,MMULT($AH17:$AM17, BE$3:BE$8)/$BE$9)</f>
        <v>0</v>
      </c>
      <c r="BE17" s="223">
        <f t="shared" ref="BE17:BE26" si="31">IF($BF$9=0,0,MMULT($AH17:$AM17, BF$3:BF$8)/$BF$9)</f>
        <v>0</v>
      </c>
      <c r="BF17" s="224">
        <f t="shared" ref="BF17:BF26" si="32">IF($BG$9=0,0,MMULT($AH17:$AM17, BG$3:BG$8)/$BG$9)</f>
        <v>0</v>
      </c>
      <c r="BG17" s="202">
        <f>IF(OR(GradeSheet!$M12="W (Withdrawn)", GradeSheet!$M12="I (Incomplete)"), 0, IF(AU17&gt;=65%, 1, 0))</f>
        <v>0</v>
      </c>
      <c r="BH17" s="202">
        <f>IF(OR(GradeSheet!$M12="W (Withdrawn)", GradeSheet!$M12="I (Incomplete)"), 0, IF(AV17&gt;=65%, 1, 0))</f>
        <v>0</v>
      </c>
      <c r="BI17" s="202">
        <f>IF(OR(GradeSheet!$M12="W (Withdrawn)", GradeSheet!$M12="I (Incomplete)"), 0, IF(AW17&gt;=65%, 1, 0))</f>
        <v>0</v>
      </c>
      <c r="BJ17" s="202">
        <f>IF(OR(GradeSheet!$M12="W (Withdrawn)", GradeSheet!$M12="I (Incomplete)"), 0, IF(AX17&gt;=65%, 1, 0))</f>
        <v>0</v>
      </c>
      <c r="BK17" s="202">
        <f>IF(OR(GradeSheet!$M12="W (Withdrawn)", GradeSheet!$M12="I (Incomplete)"), 0, IF(AY17&gt;=65%, 1, 0))</f>
        <v>0</v>
      </c>
      <c r="BL17" s="202">
        <f>IF(OR(GradeSheet!$M12="W (Withdrawn)", GradeSheet!$M12="I (Incomplete)"), 0, IF(AZ17&gt;=65%, 1, 0))</f>
        <v>0</v>
      </c>
      <c r="BM17" s="202">
        <f>IF(OR(GradeSheet!$M12="W (Withdrawn)", GradeSheet!$M12="I (Incomplete)"), 0, IF(BA17&gt;=65%, 1, 0))</f>
        <v>0</v>
      </c>
      <c r="BN17" s="202">
        <f>IF(OR(GradeSheet!$M12="W (Withdrawn)", GradeSheet!$M12="I (Incomplete)"), 0, IF(BB17&gt;=65%, 1, 0))</f>
        <v>0</v>
      </c>
      <c r="BO17" s="202">
        <f>IF(OR(GradeSheet!$M12="W (Withdrawn)", GradeSheet!$M12="I (Incomplete)"), 0, IF(BC17&gt;=65%, 1, 0))</f>
        <v>0</v>
      </c>
      <c r="BP17" s="202">
        <f>IF(OR(GradeSheet!$M12="W (Withdrawn)", GradeSheet!$M12="I (Incomplete)"), 0, IF(BD17&gt;=65%, 1, 0))</f>
        <v>0</v>
      </c>
      <c r="BQ17" s="202">
        <f>IF(OR(GradeSheet!$M12="W (Withdrawn)", GradeSheet!$M12="I (Incomplete)"), 0, IF(BE17&gt;=65%, 1, 0))</f>
        <v>0</v>
      </c>
      <c r="BR17" s="202">
        <f>IF(OR(GradeSheet!$M12="W (Withdrawn)", GradeSheet!$M12="I (Incomplete)"), 0, IF(BF17&gt;=65%, 1, 0))</f>
        <v>0</v>
      </c>
    </row>
    <row r="18" spans="1:70" ht="16.5" thickBot="1" x14ac:dyDescent="0.3">
      <c r="A18" s="24">
        <v>4</v>
      </c>
      <c r="B18" s="64" t="s">
        <v>171</v>
      </c>
      <c r="C18" s="65" t="s">
        <v>172</v>
      </c>
      <c r="D18" s="95">
        <v>0</v>
      </c>
      <c r="E18" s="208">
        <v>0</v>
      </c>
      <c r="F18" s="208">
        <v>1</v>
      </c>
      <c r="G18" s="209">
        <v>0</v>
      </c>
      <c r="H18" s="209"/>
      <c r="I18" s="96"/>
      <c r="J18" s="112"/>
      <c r="K18" s="113">
        <v>0</v>
      </c>
      <c r="L18" s="113">
        <v>5</v>
      </c>
      <c r="M18" s="116">
        <v>0</v>
      </c>
      <c r="N18" s="271">
        <v>2</v>
      </c>
      <c r="O18" s="257"/>
      <c r="P18" s="97"/>
      <c r="Q18" s="98"/>
      <c r="R18" s="98"/>
      <c r="S18" s="98"/>
      <c r="T18" s="99">
        <v>8</v>
      </c>
      <c r="U18" s="99"/>
      <c r="V18" s="100"/>
      <c r="W18" s="101"/>
      <c r="X18" s="101"/>
      <c r="Y18" s="101"/>
      <c r="Z18" s="101"/>
      <c r="AA18" s="102"/>
      <c r="AB18" s="103">
        <f t="shared" si="14"/>
        <v>0</v>
      </c>
      <c r="AC18" s="104">
        <f t="shared" si="15"/>
        <v>0</v>
      </c>
      <c r="AD18" s="104">
        <f t="shared" si="16"/>
        <v>6</v>
      </c>
      <c r="AE18" s="104">
        <f t="shared" si="17"/>
        <v>0</v>
      </c>
      <c r="AF18" s="104">
        <f t="shared" si="18"/>
        <v>10</v>
      </c>
      <c r="AG18" s="117">
        <f t="shared" ref="AG18" si="33">SUM(AA18,I18,O18)</f>
        <v>0</v>
      </c>
      <c r="AH18" s="105">
        <f t="shared" ref="AH18:AM18" si="34">IF(AB18 = 0, 0, AB18/AB$14)</f>
        <v>0</v>
      </c>
      <c r="AI18" s="105">
        <f t="shared" si="34"/>
        <v>0</v>
      </c>
      <c r="AJ18" s="105">
        <f t="shared" si="34"/>
        <v>0.2608695652173913</v>
      </c>
      <c r="AK18" s="105">
        <f t="shared" si="34"/>
        <v>0</v>
      </c>
      <c r="AL18" s="105">
        <f t="shared" si="34"/>
        <v>0.55555555555555558</v>
      </c>
      <c r="AM18" s="105">
        <f t="shared" si="34"/>
        <v>0</v>
      </c>
      <c r="AN18" s="132">
        <f>IF(OR(GradeSheet!$M13="W (Withdrawn)", GradeSheet!$M13="I (Incomplete)"), 0, IF(AH18&gt;=65%, 1, 0))</f>
        <v>0</v>
      </c>
      <c r="AO18" s="107">
        <f>IF(OR(GradeSheet!$M13="W (Withdrawn)", GradeSheet!$M13="I (Incomplete)"), 0, IF(AI18&gt;=65%, 1, 0))</f>
        <v>0</v>
      </c>
      <c r="AP18" s="120">
        <f>IF(OR(GradeSheet!$M13="W (Withdrawn)", GradeSheet!$M13="I (Incomplete)"), 0, IF(AJ18&gt;=65%, 1, 0))</f>
        <v>0</v>
      </c>
      <c r="AQ18" s="109">
        <f>IF(OR(GradeSheet!$M13="W (Withdrawn)", GradeSheet!$M13="I (Incomplete)"), 0, IF(AK18&gt;=65%, 1, 0))</f>
        <v>0</v>
      </c>
      <c r="AR18" s="109">
        <f>IF(OR(GradeSheet!$M13="W (Withdrawn)", GradeSheet!$M13="I (Incomplete)"), 0, IF(AL18&gt;=65%, 1, 0))</f>
        <v>0</v>
      </c>
      <c r="AS18" s="109">
        <f>IF(OR(GradeSheet!$M13="W (Withdrawn)", GradeSheet!$M13="I (Incomplete)"), 0, IF(AM18&gt;=65%, 1, 0))</f>
        <v>0</v>
      </c>
      <c r="AT18" s="74"/>
      <c r="AU18" s="110">
        <f t="shared" si="21"/>
        <v>8.6956521739130432E-2</v>
      </c>
      <c r="AV18" s="121">
        <f t="shared" si="22"/>
        <v>0.20410628019323673</v>
      </c>
      <c r="AW18" s="121">
        <f t="shared" si="23"/>
        <v>0.40821256038647347</v>
      </c>
      <c r="AX18" s="121">
        <f t="shared" si="24"/>
        <v>0.20410628019323673</v>
      </c>
      <c r="AY18" s="121">
        <f t="shared" si="25"/>
        <v>0.40821256038647347</v>
      </c>
      <c r="AZ18" s="121">
        <f t="shared" si="26"/>
        <v>0.55555555555555558</v>
      </c>
      <c r="BA18" s="121">
        <f t="shared" si="27"/>
        <v>0</v>
      </c>
      <c r="BB18" s="121">
        <f t="shared" si="28"/>
        <v>0</v>
      </c>
      <c r="BC18" s="121">
        <f t="shared" si="29"/>
        <v>0</v>
      </c>
      <c r="BD18" s="121">
        <f t="shared" si="30"/>
        <v>0</v>
      </c>
      <c r="BE18" s="121">
        <f t="shared" si="31"/>
        <v>0</v>
      </c>
      <c r="BF18" s="124">
        <f t="shared" si="32"/>
        <v>0</v>
      </c>
      <c r="BG18" s="106">
        <f>IF(OR(GradeSheet!$M13="W (Withdrawn)", GradeSheet!$M13="I (Incomplete)"), 0, IF(AU18&gt;=65%, 1, 0))</f>
        <v>0</v>
      </c>
      <c r="BH18" s="106">
        <f>IF(OR(GradeSheet!$M13="W (Withdrawn)", GradeSheet!$M13="I (Incomplete)"), 0, IF(AV18&gt;=65%, 1, 0))</f>
        <v>0</v>
      </c>
      <c r="BI18" s="106">
        <f>IF(OR(GradeSheet!$M13="W (Withdrawn)", GradeSheet!$M13="I (Incomplete)"), 0, IF(AW18&gt;=65%, 1, 0))</f>
        <v>0</v>
      </c>
      <c r="BJ18" s="106">
        <f>IF(OR(GradeSheet!$M13="W (Withdrawn)", GradeSheet!$M13="I (Incomplete)"), 0, IF(AX18&gt;=65%, 1, 0))</f>
        <v>0</v>
      </c>
      <c r="BK18" s="106">
        <f>IF(OR(GradeSheet!$M13="W (Withdrawn)", GradeSheet!$M13="I (Incomplete)"), 0, IF(AY18&gt;=65%, 1, 0))</f>
        <v>0</v>
      </c>
      <c r="BL18" s="106">
        <f>IF(OR(GradeSheet!$M13="W (Withdrawn)", GradeSheet!$M13="I (Incomplete)"), 0, IF(AZ18&gt;=65%, 1, 0))</f>
        <v>0</v>
      </c>
      <c r="BM18" s="106">
        <f>IF(OR(GradeSheet!$M13="W (Withdrawn)", GradeSheet!$M13="I (Incomplete)"), 0, IF(BA18&gt;=65%, 1, 0))</f>
        <v>0</v>
      </c>
      <c r="BN18" s="106">
        <f>IF(OR(GradeSheet!$M13="W (Withdrawn)", GradeSheet!$M13="I (Incomplete)"), 0, IF(BB18&gt;=65%, 1, 0))</f>
        <v>0</v>
      </c>
      <c r="BO18" s="106">
        <f>IF(OR(GradeSheet!$M13="W (Withdrawn)", GradeSheet!$M13="I (Incomplete)"), 0, IF(BC18&gt;=65%, 1, 0))</f>
        <v>0</v>
      </c>
      <c r="BP18" s="106">
        <f>IF(OR(GradeSheet!$M13="W (Withdrawn)", GradeSheet!$M13="I (Incomplete)"), 0, IF(BD18&gt;=65%, 1, 0))</f>
        <v>0</v>
      </c>
      <c r="BQ18" s="106">
        <f>IF(OR(GradeSheet!$M13="W (Withdrawn)", GradeSheet!$M13="I (Incomplete)"), 0, IF(BE18&gt;=65%, 1, 0))</f>
        <v>0</v>
      </c>
      <c r="BR18" s="106">
        <f>IF(OR(GradeSheet!$M13="W (Withdrawn)", GradeSheet!$M13="I (Incomplete)"), 0, IF(BF18&gt;=65%, 1, 0))</f>
        <v>0</v>
      </c>
    </row>
    <row r="19" spans="1:70" ht="16.5" thickBot="1" x14ac:dyDescent="0.25">
      <c r="A19" s="111">
        <v>5</v>
      </c>
      <c r="B19" s="64" t="s">
        <v>173</v>
      </c>
      <c r="C19" s="65" t="s">
        <v>174</v>
      </c>
      <c r="D19" s="112">
        <v>2</v>
      </c>
      <c r="E19" s="113">
        <v>3</v>
      </c>
      <c r="F19" s="113">
        <v>4</v>
      </c>
      <c r="G19" s="114">
        <v>3</v>
      </c>
      <c r="H19" s="114"/>
      <c r="I19" s="115"/>
      <c r="J19" s="112"/>
      <c r="K19" s="113">
        <v>6</v>
      </c>
      <c r="L19" s="113">
        <v>13</v>
      </c>
      <c r="M19" s="116">
        <v>5</v>
      </c>
      <c r="N19" s="271">
        <v>6</v>
      </c>
      <c r="O19" s="257"/>
      <c r="P19" s="97"/>
      <c r="Q19" s="98"/>
      <c r="R19" s="98"/>
      <c r="S19" s="98"/>
      <c r="T19" s="99">
        <v>9</v>
      </c>
      <c r="U19" s="99"/>
      <c r="V19" s="100"/>
      <c r="W19" s="101"/>
      <c r="X19" s="101"/>
      <c r="Y19" s="101"/>
      <c r="Z19" s="101"/>
      <c r="AA19" s="102"/>
      <c r="AB19" s="103">
        <f t="shared" si="14"/>
        <v>2</v>
      </c>
      <c r="AC19" s="104">
        <f t="shared" si="15"/>
        <v>9</v>
      </c>
      <c r="AD19" s="104">
        <f t="shared" si="16"/>
        <v>17</v>
      </c>
      <c r="AE19" s="104">
        <f t="shared" si="17"/>
        <v>8</v>
      </c>
      <c r="AF19" s="104">
        <f t="shared" si="18"/>
        <v>15</v>
      </c>
      <c r="AG19" s="117">
        <f t="shared" ref="AG19" si="35">SUM(AA19,I19,O19)</f>
        <v>0</v>
      </c>
      <c r="AH19" s="105">
        <f t="shared" ref="AH19:AM19" si="36">IF(AB19 = 0, 0, AB19/AB$14)</f>
        <v>0.4</v>
      </c>
      <c r="AI19" s="105">
        <f t="shared" si="36"/>
        <v>0.69230769230769229</v>
      </c>
      <c r="AJ19" s="105">
        <f t="shared" si="36"/>
        <v>0.73913043478260865</v>
      </c>
      <c r="AK19" s="105">
        <f t="shared" si="36"/>
        <v>0.72727272727272729</v>
      </c>
      <c r="AL19" s="105">
        <f t="shared" si="36"/>
        <v>0.83333333333333337</v>
      </c>
      <c r="AM19" s="105">
        <f t="shared" si="36"/>
        <v>0</v>
      </c>
      <c r="AN19" s="132">
        <f>IF(OR(GradeSheet!$M14="W (Withdrawn)", GradeSheet!$M14="I (Incomplete)"), 0, IF(AH19&gt;=65%, 1, 0))</f>
        <v>0</v>
      </c>
      <c r="AO19" s="119">
        <f>IF(OR(GradeSheet!$M14="W (Withdrawn)", GradeSheet!$M14="I (Incomplete)"), 0, IF(AI19&gt;=65%, 1, 0))</f>
        <v>1</v>
      </c>
      <c r="AP19" s="120">
        <f>IF(OR(GradeSheet!$M18="W (Withdrawn)", GradeSheet!$M18="I (Incomplete)"), 0, IF(AJ19&gt;=65%, 1, 0))</f>
        <v>1</v>
      </c>
      <c r="AQ19" s="109">
        <f>IF(OR(GradeSheet!$M14="W (Withdrawn)", GradeSheet!$M14="I (Incomplete)"), 0, IF(AK19&gt;=65%, 1, 0))</f>
        <v>1</v>
      </c>
      <c r="AR19" s="109">
        <f>IF(OR(GradeSheet!$M14="W (Withdrawn)", GradeSheet!$M14="I (Incomplete)"), 0, IF(AL19&gt;=65%, 1, 0))</f>
        <v>1</v>
      </c>
      <c r="AS19" s="109">
        <f>IF(OR(GradeSheet!$M14="W (Withdrawn)", GradeSheet!$M14="I (Incomplete)"), 0, IF(AM19&gt;=65%, 1, 0))</f>
        <v>0</v>
      </c>
      <c r="AT19" s="74"/>
      <c r="AU19" s="110">
        <f t="shared" si="21"/>
        <v>0.61047937569676702</v>
      </c>
      <c r="AV19" s="121">
        <f t="shared" si="22"/>
        <v>0.74801104692409048</v>
      </c>
      <c r="AW19" s="121">
        <f t="shared" si="23"/>
        <v>0.78623188405797095</v>
      </c>
      <c r="AX19" s="121">
        <f t="shared" si="24"/>
        <v>0.67493412384716733</v>
      </c>
      <c r="AY19" s="121">
        <f t="shared" si="25"/>
        <v>0.78623188405797095</v>
      </c>
      <c r="AZ19" s="121">
        <f t="shared" si="26"/>
        <v>0.83333333333333337</v>
      </c>
      <c r="BA19" s="121">
        <f t="shared" si="27"/>
        <v>0</v>
      </c>
      <c r="BB19" s="121">
        <f t="shared" si="28"/>
        <v>0</v>
      </c>
      <c r="BC19" s="121">
        <f t="shared" si="29"/>
        <v>0</v>
      </c>
      <c r="BD19" s="121">
        <f t="shared" si="30"/>
        <v>0</v>
      </c>
      <c r="BE19" s="121">
        <f t="shared" si="31"/>
        <v>0</v>
      </c>
      <c r="BF19" s="124">
        <f t="shared" si="32"/>
        <v>0</v>
      </c>
      <c r="BG19" s="106">
        <f>IF(OR(GradeSheet!$M14="W (Withdrawn)", GradeSheet!$M14="I (Incomplete)"), 0, IF(AU19&gt;=65%, 1, 0))</f>
        <v>0</v>
      </c>
      <c r="BH19" s="106">
        <f>IF(OR(GradeSheet!$M14="W (Withdrawn)", GradeSheet!$M14="I (Incomplete)"), 0, IF(AV19&gt;=65%, 1, 0))</f>
        <v>1</v>
      </c>
      <c r="BI19" s="106">
        <f>IF(OR(GradeSheet!$M14="W (Withdrawn)", GradeSheet!$M14="I (Incomplete)"), 0, IF(AW19&gt;=65%, 1, 0))</f>
        <v>1</v>
      </c>
      <c r="BJ19" s="106">
        <f>IF(OR(GradeSheet!$M14="W (Withdrawn)", GradeSheet!$M14="I (Incomplete)"), 0, IF(AX19&gt;=65%, 1, 0))</f>
        <v>1</v>
      </c>
      <c r="BK19" s="106">
        <f>IF(OR(GradeSheet!$M14="W (Withdrawn)", GradeSheet!$M14="I (Incomplete)"), 0, IF(AY19&gt;=65%, 1, 0))</f>
        <v>1</v>
      </c>
      <c r="BL19" s="106">
        <f>IF(OR(GradeSheet!$M14="W (Withdrawn)", GradeSheet!$M14="I (Incomplete)"), 0, IF(AZ19&gt;=65%, 1, 0))</f>
        <v>1</v>
      </c>
      <c r="BM19" s="106">
        <f>IF(OR(GradeSheet!$M14="W (Withdrawn)", GradeSheet!$M14="I (Incomplete)"), 0, IF(BA19&gt;=65%, 1, 0))</f>
        <v>0</v>
      </c>
      <c r="BN19" s="106">
        <f>IF(OR(GradeSheet!$M14="W (Withdrawn)", GradeSheet!$M14="I (Incomplete)"), 0, IF(BB19&gt;=65%, 1, 0))</f>
        <v>0</v>
      </c>
      <c r="BO19" s="106">
        <f>IF(OR(GradeSheet!$M14="W (Withdrawn)", GradeSheet!$M14="I (Incomplete)"), 0, IF(BC19&gt;=65%, 1, 0))</f>
        <v>0</v>
      </c>
      <c r="BP19" s="106">
        <f>IF(OR(GradeSheet!$M14="W (Withdrawn)", GradeSheet!$M14="I (Incomplete)"), 0, IF(BD19&gt;=65%, 1, 0))</f>
        <v>0</v>
      </c>
      <c r="BQ19" s="106">
        <f>IF(OR(GradeSheet!$M14="W (Withdrawn)", GradeSheet!$M14="I (Incomplete)"), 0, IF(BE19&gt;=65%, 1, 0))</f>
        <v>0</v>
      </c>
      <c r="BR19" s="106">
        <f>IF(OR(GradeSheet!$M14="W (Withdrawn)", GradeSheet!$M14="I (Incomplete)"), 0, IF(BF19&gt;=65%, 1, 0))</f>
        <v>0</v>
      </c>
    </row>
    <row r="20" spans="1:70" ht="16.5" thickBot="1" x14ac:dyDescent="0.3">
      <c r="A20" s="24">
        <v>6</v>
      </c>
      <c r="B20" s="64" t="s">
        <v>175</v>
      </c>
      <c r="C20" s="201" t="s">
        <v>176</v>
      </c>
      <c r="D20" s="112">
        <v>1</v>
      </c>
      <c r="E20" s="113">
        <v>2</v>
      </c>
      <c r="F20" s="113">
        <v>5</v>
      </c>
      <c r="G20" s="114">
        <v>4</v>
      </c>
      <c r="H20" s="114"/>
      <c r="I20" s="115"/>
      <c r="J20" s="112"/>
      <c r="K20" s="113">
        <v>0</v>
      </c>
      <c r="L20" s="113">
        <v>2</v>
      </c>
      <c r="M20" s="116">
        <v>0</v>
      </c>
      <c r="N20" s="271">
        <v>0</v>
      </c>
      <c r="O20" s="257"/>
      <c r="P20" s="97"/>
      <c r="Q20" s="98"/>
      <c r="R20" s="98"/>
      <c r="S20" s="98"/>
      <c r="T20" s="99">
        <v>7</v>
      </c>
      <c r="U20" s="99"/>
      <c r="V20" s="100"/>
      <c r="W20" s="101"/>
      <c r="X20" s="101"/>
      <c r="Y20" s="101"/>
      <c r="Z20" s="101"/>
      <c r="AA20" s="102"/>
      <c r="AB20" s="103">
        <f t="shared" si="14"/>
        <v>1</v>
      </c>
      <c r="AC20" s="104">
        <f t="shared" si="15"/>
        <v>2</v>
      </c>
      <c r="AD20" s="104">
        <f t="shared" si="16"/>
        <v>7</v>
      </c>
      <c r="AE20" s="104">
        <f t="shared" si="17"/>
        <v>4</v>
      </c>
      <c r="AF20" s="104">
        <f t="shared" si="18"/>
        <v>7</v>
      </c>
      <c r="AG20" s="117">
        <f t="shared" ref="AG20" si="37">SUM(AA20,I20,O20)</f>
        <v>0</v>
      </c>
      <c r="AH20" s="105">
        <f t="shared" ref="AH20:AM20" si="38">IF(AB20 = 0, 0, AB20/AB$14)</f>
        <v>0.2</v>
      </c>
      <c r="AI20" s="105">
        <f t="shared" si="38"/>
        <v>0.15384615384615385</v>
      </c>
      <c r="AJ20" s="105">
        <f t="shared" si="38"/>
        <v>0.30434782608695654</v>
      </c>
      <c r="AK20" s="105">
        <f t="shared" si="38"/>
        <v>0.36363636363636365</v>
      </c>
      <c r="AL20" s="105">
        <f t="shared" si="38"/>
        <v>0.3888888888888889</v>
      </c>
      <c r="AM20" s="105">
        <f t="shared" si="38"/>
        <v>0</v>
      </c>
      <c r="AN20" s="132">
        <f>IF(OR(GradeSheet!$M15="W (Withdrawn)", GradeSheet!$M15="I (Incomplete)"), 0, IF(AH20&gt;=65%, 1, 0))</f>
        <v>0</v>
      </c>
      <c r="AO20" s="107">
        <f>IF(OR(GradeSheet!$M15="W (Withdrawn)", GradeSheet!$M15="I (Incomplete)"), 0, IF(AI20&gt;=65%, 1, 0))</f>
        <v>0</v>
      </c>
      <c r="AP20" s="108">
        <f>IF(OR(GradeSheet!$M15="W (Withdrawn)", GradeSheet!$M15="I (Incomplete)"), 0, IF(AJ20&gt;=65%, 1, 0))</f>
        <v>0</v>
      </c>
      <c r="AQ20" s="109">
        <f>IF(OR(GradeSheet!$M15="W (Withdrawn)", GradeSheet!$M15="I (Incomplete)"), 0, IF(AK20&gt;=65%, 1, 0))</f>
        <v>0</v>
      </c>
      <c r="AR20" s="109">
        <f>IF(OR(GradeSheet!$M15="W (Withdrawn)", GradeSheet!$M15="I (Incomplete)"), 0, IF(AL20&gt;=65%, 1, 0))</f>
        <v>0</v>
      </c>
      <c r="AS20" s="109">
        <f>IF(OR(GradeSheet!$M15="W (Withdrawn)", GradeSheet!$M15="I (Incomplete)"), 0, IF(AM20&gt;=65%, 1, 0))</f>
        <v>0</v>
      </c>
      <c r="AT20" s="74"/>
      <c r="AU20" s="110">
        <f t="shared" si="21"/>
        <v>0.21939799331103682</v>
      </c>
      <c r="AV20" s="121">
        <f t="shared" si="22"/>
        <v>0.30267980811459072</v>
      </c>
      <c r="AW20" s="121">
        <f t="shared" si="23"/>
        <v>0.34661835748792269</v>
      </c>
      <c r="AX20" s="121">
        <f t="shared" si="24"/>
        <v>0.31421826965305227</v>
      </c>
      <c r="AY20" s="121">
        <f t="shared" si="25"/>
        <v>0.34661835748792269</v>
      </c>
      <c r="AZ20" s="121">
        <f t="shared" si="26"/>
        <v>0.3888888888888889</v>
      </c>
      <c r="BA20" s="121">
        <f t="shared" si="27"/>
        <v>0</v>
      </c>
      <c r="BB20" s="121">
        <f t="shared" si="28"/>
        <v>0</v>
      </c>
      <c r="BC20" s="121">
        <f t="shared" si="29"/>
        <v>0</v>
      </c>
      <c r="BD20" s="121">
        <f t="shared" si="30"/>
        <v>0</v>
      </c>
      <c r="BE20" s="121">
        <f t="shared" si="31"/>
        <v>0</v>
      </c>
      <c r="BF20" s="124">
        <f t="shared" si="32"/>
        <v>0</v>
      </c>
      <c r="BG20" s="106">
        <f>IF(OR(GradeSheet!$M15="W (Withdrawn)", GradeSheet!$M15="I (Incomplete)"), 0, IF(AU20&gt;=65%, 1, 0))</f>
        <v>0</v>
      </c>
      <c r="BH20" s="106">
        <f>IF(OR(GradeSheet!$M15="W (Withdrawn)", GradeSheet!$M15="I (Incomplete)"), 0, IF(AV20&gt;=65%, 1, 0))</f>
        <v>0</v>
      </c>
      <c r="BI20" s="106">
        <f>IF(OR(GradeSheet!$M15="W (Withdrawn)", GradeSheet!$M15="I (Incomplete)"), 0, IF(AW20&gt;=65%, 1, 0))</f>
        <v>0</v>
      </c>
      <c r="BJ20" s="106">
        <f>IF(OR(GradeSheet!$M15="W (Withdrawn)", GradeSheet!$M15="I (Incomplete)"), 0, IF(AX20&gt;=65%, 1, 0))</f>
        <v>0</v>
      </c>
      <c r="BK20" s="106">
        <f>IF(OR(GradeSheet!$M15="W (Withdrawn)", GradeSheet!$M15="I (Incomplete)"), 0, IF(AY20&gt;=65%, 1, 0))</f>
        <v>0</v>
      </c>
      <c r="BL20" s="106">
        <f>IF(OR(GradeSheet!$M15="W (Withdrawn)", GradeSheet!$M15="I (Incomplete)"), 0, IF(AZ20&gt;=65%, 1, 0))</f>
        <v>0</v>
      </c>
      <c r="BM20" s="106">
        <f>IF(OR(GradeSheet!$M15="W (Withdrawn)", GradeSheet!$M15="I (Incomplete)"), 0, IF(BA20&gt;=65%, 1, 0))</f>
        <v>0</v>
      </c>
      <c r="BN20" s="106">
        <f>IF(OR(GradeSheet!$M15="W (Withdrawn)", GradeSheet!$M15="I (Incomplete)"), 0, IF(BB20&gt;=65%, 1, 0))</f>
        <v>0</v>
      </c>
      <c r="BO20" s="106">
        <f>IF(OR(GradeSheet!$M15="W (Withdrawn)", GradeSheet!$M15="I (Incomplete)"), 0, IF(BC20&gt;=65%, 1, 0))</f>
        <v>0</v>
      </c>
      <c r="BP20" s="106">
        <f>IF(OR(GradeSheet!$M15="W (Withdrawn)", GradeSheet!$M15="I (Incomplete)"), 0, IF(BD20&gt;=65%, 1, 0))</f>
        <v>0</v>
      </c>
      <c r="BQ20" s="106">
        <f>IF(OR(GradeSheet!$M15="W (Withdrawn)", GradeSheet!$M15="I (Incomplete)"), 0, IF(BE20&gt;=65%, 1, 0))</f>
        <v>0</v>
      </c>
      <c r="BR20" s="106">
        <f>IF(OR(GradeSheet!$M15="W (Withdrawn)", GradeSheet!$M15="I (Incomplete)"), 0, IF(BF20&gt;=65%, 1, 0))</f>
        <v>0</v>
      </c>
    </row>
    <row r="21" spans="1:70" ht="16.5" thickBot="1" x14ac:dyDescent="0.25">
      <c r="A21" s="111">
        <v>7</v>
      </c>
      <c r="B21" s="64" t="s">
        <v>177</v>
      </c>
      <c r="C21" s="65" t="s">
        <v>178</v>
      </c>
      <c r="D21" s="112">
        <v>1</v>
      </c>
      <c r="E21" s="113">
        <v>1</v>
      </c>
      <c r="F21" s="113">
        <v>5</v>
      </c>
      <c r="G21" s="114">
        <v>1</v>
      </c>
      <c r="H21" s="114"/>
      <c r="I21" s="115"/>
      <c r="J21" s="112"/>
      <c r="K21" s="113">
        <v>0</v>
      </c>
      <c r="L21" s="113">
        <v>10</v>
      </c>
      <c r="M21" s="116">
        <v>5</v>
      </c>
      <c r="N21" s="271">
        <v>1</v>
      </c>
      <c r="O21" s="257"/>
      <c r="P21" s="97"/>
      <c r="Q21" s="98"/>
      <c r="R21" s="98"/>
      <c r="S21" s="98"/>
      <c r="T21" s="99">
        <v>9</v>
      </c>
      <c r="U21" s="99"/>
      <c r="V21" s="100"/>
      <c r="W21" s="101"/>
      <c r="X21" s="101"/>
      <c r="Y21" s="101"/>
      <c r="Z21" s="101"/>
      <c r="AA21" s="102"/>
      <c r="AB21" s="103">
        <f t="shared" si="14"/>
        <v>1</v>
      </c>
      <c r="AC21" s="104">
        <f t="shared" si="15"/>
        <v>1</v>
      </c>
      <c r="AD21" s="104">
        <f t="shared" si="16"/>
        <v>15</v>
      </c>
      <c r="AE21" s="104">
        <f t="shared" si="17"/>
        <v>6</v>
      </c>
      <c r="AF21" s="104">
        <f t="shared" si="18"/>
        <v>10</v>
      </c>
      <c r="AG21" s="144">
        <f t="shared" ref="AG21" si="39">SUM(AA21,I21,O21)</f>
        <v>0</v>
      </c>
      <c r="AH21" s="105">
        <f t="shared" ref="AH21:AM21" si="40">IF(AB21 = 0, 0, AB21/AB$14)</f>
        <v>0.2</v>
      </c>
      <c r="AI21" s="105">
        <f t="shared" si="40"/>
        <v>7.6923076923076927E-2</v>
      </c>
      <c r="AJ21" s="105">
        <f t="shared" si="40"/>
        <v>0.65217391304347827</v>
      </c>
      <c r="AK21" s="105">
        <f t="shared" si="40"/>
        <v>0.54545454545454541</v>
      </c>
      <c r="AL21" s="105">
        <f t="shared" si="40"/>
        <v>0.55555555555555558</v>
      </c>
      <c r="AM21" s="105">
        <f t="shared" si="40"/>
        <v>0</v>
      </c>
      <c r="AN21" s="132">
        <f>IF(OR(GradeSheet!$M16="W (Withdrawn)", GradeSheet!$M16="I (Incomplete)"), 0, IF(AH21&gt;=65%, 1, 0))</f>
        <v>0</v>
      </c>
      <c r="AO21" s="119">
        <f>IF(OR(GradeSheet!$M16="W (Withdrawn)", GradeSheet!$M16="I (Incomplete)"), 0, IF(AI21&gt;=65%, 1, 0))</f>
        <v>0</v>
      </c>
      <c r="AP21" s="120">
        <f>IF(OR(GradeSheet!$M16="W (Withdrawn)", GradeSheet!$M16="I (Incomplete)"), 0, IF(AJ21&gt;=65%, 1, 0))</f>
        <v>1</v>
      </c>
      <c r="AQ21" s="109">
        <f>IF(OR(GradeSheet!$M16="W (Withdrawn)", GradeSheet!$M16="I (Incomplete)"), 0, IF(AK21&gt;=65%, 1, 0))</f>
        <v>0</v>
      </c>
      <c r="AR21" s="109">
        <f>IF(OR(GradeSheet!$M16="W (Withdrawn)", GradeSheet!$M16="I (Incomplete)"), 0, IF(AL21&gt;=65%, 1, 0))</f>
        <v>0</v>
      </c>
      <c r="AS21" s="109">
        <f>IF(OR(GradeSheet!$M16="W (Withdrawn)", GradeSheet!$M16="I (Incomplete)"), 0, IF(AM21&gt;=65%, 1, 0))</f>
        <v>0</v>
      </c>
      <c r="AT21" s="74"/>
      <c r="AU21" s="110">
        <f t="shared" si="21"/>
        <v>0.30969899665551842</v>
      </c>
      <c r="AV21" s="121">
        <f t="shared" si="22"/>
        <v>0.45752677274416403</v>
      </c>
      <c r="AW21" s="121">
        <f t="shared" si="23"/>
        <v>0.60386473429951693</v>
      </c>
      <c r="AX21" s="121">
        <f t="shared" si="24"/>
        <v>0.48829600351339481</v>
      </c>
      <c r="AY21" s="121">
        <f t="shared" si="25"/>
        <v>0.60386473429951693</v>
      </c>
      <c r="AZ21" s="121">
        <f t="shared" si="26"/>
        <v>0.55555555555555558</v>
      </c>
      <c r="BA21" s="121">
        <f t="shared" si="27"/>
        <v>0</v>
      </c>
      <c r="BB21" s="121">
        <f t="shared" si="28"/>
        <v>0</v>
      </c>
      <c r="BC21" s="121">
        <f t="shared" si="29"/>
        <v>0</v>
      </c>
      <c r="BD21" s="121">
        <f t="shared" si="30"/>
        <v>0</v>
      </c>
      <c r="BE21" s="121">
        <f t="shared" si="31"/>
        <v>0</v>
      </c>
      <c r="BF21" s="124">
        <f t="shared" si="32"/>
        <v>0</v>
      </c>
      <c r="BG21" s="106">
        <f>IF(OR(GradeSheet!$M16="W (Withdrawn)", GradeSheet!$M16="I (Incomplete)"), 0, IF(AU21&gt;=65%, 1, 0))</f>
        <v>0</v>
      </c>
      <c r="BH21" s="106">
        <f>IF(OR(GradeSheet!$M16="W (Withdrawn)", GradeSheet!$M16="I (Incomplete)"), 0, IF(AV21&gt;=65%, 1, 0))</f>
        <v>0</v>
      </c>
      <c r="BI21" s="106">
        <f>IF(OR(GradeSheet!$M16="W (Withdrawn)", GradeSheet!$M16="I (Incomplete)"), 0, IF(AW21&gt;=65%, 1, 0))</f>
        <v>0</v>
      </c>
      <c r="BJ21" s="106">
        <f>IF(OR(GradeSheet!$M16="W (Withdrawn)", GradeSheet!$M16="I (Incomplete)"), 0, IF(AX21&gt;=65%, 1, 0))</f>
        <v>0</v>
      </c>
      <c r="BK21" s="106">
        <f>IF(OR(GradeSheet!$M16="W (Withdrawn)", GradeSheet!$M16="I (Incomplete)"), 0, IF(AY21&gt;=65%, 1, 0))</f>
        <v>0</v>
      </c>
      <c r="BL21" s="106">
        <f>IF(OR(GradeSheet!$M16="W (Withdrawn)", GradeSheet!$M16="I (Incomplete)"), 0, IF(AZ21&gt;=65%, 1, 0))</f>
        <v>0</v>
      </c>
      <c r="BM21" s="106">
        <f>IF(OR(GradeSheet!$M16="W (Withdrawn)", GradeSheet!$M16="I (Incomplete)"), 0, IF(BA21&gt;=65%, 1, 0))</f>
        <v>0</v>
      </c>
      <c r="BN21" s="106">
        <f>IF(OR(GradeSheet!$M16="W (Withdrawn)", GradeSheet!$M16="I (Incomplete)"), 0, IF(BB21&gt;=65%, 1, 0))</f>
        <v>0</v>
      </c>
      <c r="BO21" s="106">
        <f>IF(OR(GradeSheet!$M16="W (Withdrawn)", GradeSheet!$M16="I (Incomplete)"), 0, IF(BC21&gt;=65%, 1, 0))</f>
        <v>0</v>
      </c>
      <c r="BP21" s="106">
        <f>IF(OR(GradeSheet!$M16="W (Withdrawn)", GradeSheet!$M16="I (Incomplete)"), 0, IF(BD21&gt;=65%, 1, 0))</f>
        <v>0</v>
      </c>
      <c r="BQ21" s="106">
        <f>IF(OR(GradeSheet!$M16="W (Withdrawn)", GradeSheet!$M16="I (Incomplete)"), 0, IF(BE21&gt;=65%, 1, 0))</f>
        <v>0</v>
      </c>
      <c r="BR21" s="106">
        <f>IF(OR(GradeSheet!$M16="W (Withdrawn)", GradeSheet!$M16="I (Incomplete)"), 0, IF(BF21&gt;=65%, 1, 0))</f>
        <v>0</v>
      </c>
    </row>
    <row r="22" spans="1:70" ht="15.75" customHeight="1" thickBot="1" x14ac:dyDescent="0.3">
      <c r="A22" s="24">
        <v>8</v>
      </c>
      <c r="B22" s="64" t="s">
        <v>219</v>
      </c>
      <c r="C22" s="201" t="s">
        <v>220</v>
      </c>
      <c r="D22" s="112">
        <v>0</v>
      </c>
      <c r="E22" s="113">
        <v>0</v>
      </c>
      <c r="F22" s="113">
        <v>0</v>
      </c>
      <c r="G22" s="114">
        <v>0</v>
      </c>
      <c r="H22" s="114"/>
      <c r="I22" s="115"/>
      <c r="J22" s="112"/>
      <c r="K22" s="113">
        <v>0</v>
      </c>
      <c r="L22" s="113">
        <v>5</v>
      </c>
      <c r="M22" s="116">
        <v>0</v>
      </c>
      <c r="N22" s="271">
        <v>2</v>
      </c>
      <c r="O22" s="257"/>
      <c r="P22" s="97"/>
      <c r="Q22" s="98"/>
      <c r="R22" s="98"/>
      <c r="S22" s="98"/>
      <c r="T22" s="99">
        <v>8</v>
      </c>
      <c r="U22" s="99"/>
      <c r="V22" s="100"/>
      <c r="W22" s="101"/>
      <c r="X22" s="101"/>
      <c r="Y22" s="101"/>
      <c r="Z22" s="101"/>
      <c r="AA22" s="102"/>
      <c r="AB22" s="103">
        <f t="shared" si="14"/>
        <v>0</v>
      </c>
      <c r="AC22" s="104">
        <f t="shared" si="15"/>
        <v>0</v>
      </c>
      <c r="AD22" s="104">
        <f t="shared" si="16"/>
        <v>5</v>
      </c>
      <c r="AE22" s="104">
        <f t="shared" si="17"/>
        <v>0</v>
      </c>
      <c r="AF22" s="104">
        <f t="shared" si="18"/>
        <v>10</v>
      </c>
      <c r="AG22" s="144">
        <f t="shared" ref="AG22" si="41">SUM(AA22,I22,O22)</f>
        <v>0</v>
      </c>
      <c r="AH22" s="105">
        <f t="shared" ref="AH22:AM23" si="42">IF(AB22 = 0, 0, AB22/AB$14)</f>
        <v>0</v>
      </c>
      <c r="AI22" s="105">
        <f t="shared" si="42"/>
        <v>0</v>
      </c>
      <c r="AJ22" s="105">
        <f t="shared" si="42"/>
        <v>0.21739130434782608</v>
      </c>
      <c r="AK22" s="105">
        <f t="shared" si="42"/>
        <v>0</v>
      </c>
      <c r="AL22" s="105">
        <f t="shared" si="42"/>
        <v>0.55555555555555558</v>
      </c>
      <c r="AM22" s="105">
        <f t="shared" si="42"/>
        <v>0</v>
      </c>
      <c r="AN22" s="132">
        <f>IF(OR(GradeSheet!$M17="W (Withdrawn)", GradeSheet!$M17="I (Incomplete)"), 0, IF(AH22&gt;=65%, 1, 0))</f>
        <v>0</v>
      </c>
      <c r="AO22" s="107">
        <f>IF(OR(GradeSheet!$M18="W (Withdrawn)", GradeSheet!$M18="I (Incomplete)"), 0, IF(AI22&gt;=65%, 1, 0))</f>
        <v>0</v>
      </c>
      <c r="AP22" s="120">
        <f>IF(OR(GradeSheet!$M18="W (Withdrawn)", GradeSheet!$M18="I (Incomplete)"), 0, IF(AJ22&gt;=65%, 1, 0))</f>
        <v>0</v>
      </c>
      <c r="AQ22" s="109">
        <f>IF(OR(GradeSheet!$M18="W (Withdrawn)", GradeSheet!$M18="I (Incomplete)"), 0, IF(AK22&gt;=65%, 1, 0))</f>
        <v>0</v>
      </c>
      <c r="AR22" s="109">
        <f>IF(OR(GradeSheet!$M18="W (Withdrawn)", GradeSheet!$M18="I (Incomplete)"), 0, IF(AL22&gt;=65%, 1, 0))</f>
        <v>0</v>
      </c>
      <c r="AS22" s="109">
        <f>IF(OR(GradeSheet!$M18="W (Withdrawn)", GradeSheet!$M18="I (Incomplete)"), 0, IF(AM22&gt;=65%, 1, 0))</f>
        <v>0</v>
      </c>
      <c r="AT22" s="74"/>
      <c r="AU22" s="110">
        <f t="shared" si="21"/>
        <v>7.2463768115942032E-2</v>
      </c>
      <c r="AV22" s="121">
        <f t="shared" si="22"/>
        <v>0.19323671497584541</v>
      </c>
      <c r="AW22" s="121">
        <f t="shared" si="23"/>
        <v>0.38647342995169082</v>
      </c>
      <c r="AX22" s="121">
        <f t="shared" si="24"/>
        <v>0.19323671497584541</v>
      </c>
      <c r="AY22" s="121">
        <f t="shared" si="25"/>
        <v>0.38647342995169082</v>
      </c>
      <c r="AZ22" s="121">
        <f t="shared" si="26"/>
        <v>0.55555555555555558</v>
      </c>
      <c r="BA22" s="121">
        <f t="shared" si="27"/>
        <v>0</v>
      </c>
      <c r="BB22" s="121">
        <f t="shared" si="28"/>
        <v>0</v>
      </c>
      <c r="BC22" s="121">
        <f t="shared" si="29"/>
        <v>0</v>
      </c>
      <c r="BD22" s="121">
        <f t="shared" si="30"/>
        <v>0</v>
      </c>
      <c r="BE22" s="121">
        <f t="shared" si="31"/>
        <v>0</v>
      </c>
      <c r="BF22" s="124">
        <f t="shared" si="32"/>
        <v>0</v>
      </c>
      <c r="BG22" s="106">
        <f>IF(OR(GradeSheet!$M17="W (Withdrawn)", GradeSheet!$M17="I (Incomplete)"), 0, IF(AU22&gt;=65%, 1, 0))</f>
        <v>0</v>
      </c>
      <c r="BH22" s="106">
        <f>IF(OR(GradeSheet!$M17="W (Withdrawn)", GradeSheet!$M17="I (Incomplete)"), 0, IF(AV22&gt;=65%, 1, 0))</f>
        <v>0</v>
      </c>
      <c r="BI22" s="106">
        <f>IF(OR(GradeSheet!$M17="W (Withdrawn)", GradeSheet!$M17="I (Incomplete)"), 0, IF(AW22&gt;=65%, 1, 0))</f>
        <v>0</v>
      </c>
      <c r="BJ22" s="106">
        <f>IF(OR(GradeSheet!$M17="W (Withdrawn)", GradeSheet!$M17="I (Incomplete)"), 0, IF(AX22&gt;=65%, 1, 0))</f>
        <v>0</v>
      </c>
      <c r="BK22" s="106">
        <f>IF(OR(GradeSheet!$M17="W (Withdrawn)", GradeSheet!$M17="I (Incomplete)"), 0, IF(AY22&gt;=65%, 1, 0))</f>
        <v>0</v>
      </c>
      <c r="BL22" s="106">
        <f>IF(OR(GradeSheet!$M17="W (Withdrawn)", GradeSheet!$M17="I (Incomplete)"), 0, IF(AZ22&gt;=65%, 1, 0))</f>
        <v>0</v>
      </c>
      <c r="BM22" s="106">
        <f>IF(OR(GradeSheet!$M17="W (Withdrawn)", GradeSheet!$M17="I (Incomplete)"), 0, IF(BA22&gt;=65%, 1, 0))</f>
        <v>0</v>
      </c>
      <c r="BN22" s="106">
        <f>IF(OR(GradeSheet!$M17="W (Withdrawn)", GradeSheet!$M17="I (Incomplete)"), 0, IF(BB22&gt;=65%, 1, 0))</f>
        <v>0</v>
      </c>
      <c r="BO22" s="106">
        <f>IF(OR(GradeSheet!$M17="W (Withdrawn)", GradeSheet!$M17="I (Incomplete)"), 0, IF(BC22&gt;=65%, 1, 0))</f>
        <v>0</v>
      </c>
      <c r="BP22" s="106">
        <f>IF(OR(GradeSheet!$M17="W (Withdrawn)", GradeSheet!$M17="I (Incomplete)"), 0, IF(BD22&gt;=65%, 1, 0))</f>
        <v>0</v>
      </c>
      <c r="BQ22" s="106">
        <f>IF(OR(GradeSheet!$M17="W (Withdrawn)", GradeSheet!$M17="I (Incomplete)"), 0, IF(BE22&gt;=65%, 1, 0))</f>
        <v>0</v>
      </c>
      <c r="BR22" s="106">
        <f>IF(OR(GradeSheet!$M17="W (Withdrawn)", GradeSheet!$M17="I (Incomplete)"), 0, IF(BF22&gt;=65%, 1, 0))</f>
        <v>0</v>
      </c>
    </row>
    <row r="23" spans="1:70" s="199" customFormat="1" ht="15.75" customHeight="1" thickBot="1" x14ac:dyDescent="0.3">
      <c r="A23" s="24">
        <v>9</v>
      </c>
      <c r="B23" s="64" t="s">
        <v>179</v>
      </c>
      <c r="C23" s="65" t="s">
        <v>160</v>
      </c>
      <c r="D23" s="112">
        <v>3</v>
      </c>
      <c r="E23" s="113">
        <v>4</v>
      </c>
      <c r="F23" s="113">
        <v>0</v>
      </c>
      <c r="G23" s="116">
        <v>1</v>
      </c>
      <c r="H23" s="116"/>
      <c r="I23" s="115"/>
      <c r="J23" s="112"/>
      <c r="K23" s="113">
        <v>0</v>
      </c>
      <c r="L23" s="113">
        <v>6</v>
      </c>
      <c r="M23" s="116">
        <v>3</v>
      </c>
      <c r="N23" s="271">
        <v>0</v>
      </c>
      <c r="O23" s="257"/>
      <c r="P23" s="196"/>
      <c r="Q23" s="98"/>
      <c r="R23" s="98"/>
      <c r="S23" s="98"/>
      <c r="T23" s="99">
        <v>8</v>
      </c>
      <c r="U23" s="99"/>
      <c r="V23" s="197"/>
      <c r="W23" s="101"/>
      <c r="X23" s="101"/>
      <c r="Y23" s="101"/>
      <c r="Z23" s="101"/>
      <c r="AA23" s="102"/>
      <c r="AB23" s="103">
        <f t="shared" si="14"/>
        <v>3</v>
      </c>
      <c r="AC23" s="104">
        <f t="shared" si="15"/>
        <v>4</v>
      </c>
      <c r="AD23" s="104">
        <f t="shared" si="16"/>
        <v>6</v>
      </c>
      <c r="AE23" s="104">
        <f t="shared" si="17"/>
        <v>4</v>
      </c>
      <c r="AF23" s="104">
        <f t="shared" ref="AF23" si="43">SUM(Z23,H23,T23,N23)</f>
        <v>8</v>
      </c>
      <c r="AG23" s="104">
        <f t="shared" ref="AG23" si="44">SUM(AA23,I23,U23,O23)</f>
        <v>0</v>
      </c>
      <c r="AH23" s="105">
        <f t="shared" si="42"/>
        <v>0.6</v>
      </c>
      <c r="AI23" s="105">
        <f t="shared" ref="AI23" si="45">IF(AC23 = 0, 0, AC23/AC$14)</f>
        <v>0.30769230769230771</v>
      </c>
      <c r="AJ23" s="105">
        <f t="shared" ref="AJ23" si="46">IF(AD23 = 0, 0, AD23/AD$14)</f>
        <v>0.2608695652173913</v>
      </c>
      <c r="AK23" s="105">
        <f t="shared" ref="AK23" si="47">IF(AE23 = 0, 0, AE23/AE$14)</f>
        <v>0.36363636363636365</v>
      </c>
      <c r="AL23" s="105">
        <f t="shared" ref="AL23" si="48">IF(AF23 = 0, 0, AF23/AF$14)</f>
        <v>0.44444444444444442</v>
      </c>
      <c r="AM23" s="105">
        <f t="shared" ref="AM23" si="49">IF(AG23 = 0, 0, AG23/AG$14)</f>
        <v>0</v>
      </c>
      <c r="AN23" s="132">
        <f>IF(OR(GradeSheet!$M18="W (Withdrawn)", GradeSheet!$M18="I (Incomplete)"), 0, IF(AH23&gt;=65%, 1, 0))</f>
        <v>0</v>
      </c>
      <c r="AO23" s="132">
        <f>IF(OR(GradeSheet!$M18="W (Withdrawn)", GradeSheet!$M18="I (Incomplete)"), 0, IF(AI23&gt;=65%, 1, 0))</f>
        <v>0</v>
      </c>
      <c r="AP23" s="132">
        <f>IF(OR(GradeSheet!$M18="W (Withdrawn)", GradeSheet!$M18="I (Incomplete)"), 0, IF(AJ23&gt;=65%, 1, 0))</f>
        <v>0</v>
      </c>
      <c r="AQ23" s="132">
        <f>IF(OR(GradeSheet!$M18="W (Withdrawn)", GradeSheet!$M18="I (Incomplete)"), 0, IF(AK23&gt;=65%, 1, 0))</f>
        <v>0</v>
      </c>
      <c r="AR23" s="132">
        <f>IF(OR(GradeSheet!$M18="W (Withdrawn)", GradeSheet!$M18="I (Incomplete)"), 0, IF(AL23&gt;=65%, 1, 0))</f>
        <v>0</v>
      </c>
      <c r="AS23" s="132">
        <f>IF(OR(GradeSheet!$M18="W (Withdrawn)", GradeSheet!$M18="I (Incomplete)"), 0, IF(AM23&gt;=65%, 1, 0))</f>
        <v>0</v>
      </c>
      <c r="AT23" s="74"/>
      <c r="AU23" s="110">
        <f t="shared" si="21"/>
        <v>0.38952062430323298</v>
      </c>
      <c r="AV23" s="110">
        <f t="shared" ref="AV23" si="50">IF($AV$9=0,0,MMULT($AH23:$AM23, AW$3:AW$8)/$AV$9)</f>
        <v>0.45888089366350232</v>
      </c>
      <c r="AW23" s="110">
        <f t="shared" ref="AW23" si="51">IF($AV$9=0,0,MMULT($AH23:$AM23, AX$3:AX$8)/$AV$9)</f>
        <v>0.2351046698872786</v>
      </c>
      <c r="AX23" s="110">
        <f t="shared" ref="AX23" si="52">IF($AV$9=0,0,MMULT($AH23:$AM23, AY$3:AY$8)/$AV$9)</f>
        <v>0.5563167910993998</v>
      </c>
      <c r="AY23" s="110">
        <f t="shared" ref="AY23" si="53">IF($AV$9=0,0,MMULT($AH23:$AM23, AZ$3:AZ$8)/$AV$9)</f>
        <v>0.2351046698872786</v>
      </c>
      <c r="AZ23" s="110">
        <f t="shared" ref="AZ23" si="54">IF($AV$9=0,0,MMULT($AH23:$AM23, BA$3:BA$8)/$AV$9)</f>
        <v>0.14814814814814814</v>
      </c>
      <c r="BA23" s="110">
        <f t="shared" ref="BA23" si="55">IF($AV$9=0,0,MMULT($AH23:$AM23, BB$3:BB$8)/$AV$9)</f>
        <v>0</v>
      </c>
      <c r="BB23" s="110">
        <f t="shared" ref="BB23" si="56">IF($AV$9=0,0,MMULT($AH23:$AM23, BC$3:BC$8)/$AV$9)</f>
        <v>0</v>
      </c>
      <c r="BC23" s="110">
        <f t="shared" ref="BC23" si="57">IF($AV$9=0,0,MMULT($AH23:$AM23, BD$3:BD$8)/$AV$9)</f>
        <v>0</v>
      </c>
      <c r="BD23" s="110">
        <f t="shared" ref="BD23" si="58">IF($AV$9=0,0,MMULT($AH23:$AM23, BE$3:BE$8)/$AV$9)</f>
        <v>0</v>
      </c>
      <c r="BE23" s="110">
        <f t="shared" ref="BE23" si="59">IF($AV$9=0,0,MMULT($AH23:$AM23, BF$3:BF$8)/$AV$9)</f>
        <v>0</v>
      </c>
      <c r="BF23" s="110">
        <f t="shared" ref="BF23" si="60">IF($AV$9=0,0,MMULT($AH23:$AM23, BG$3:BG$8)/$AV$9)</f>
        <v>0</v>
      </c>
      <c r="BG23" s="106">
        <f>IF(OR(GradeSheet!$M18="W (Withdrawn)", GradeSheet!$M18="I (Incomplete)"), 0, IF(AU23&gt;=65%, 1, 0))</f>
        <v>0</v>
      </c>
      <c r="BH23" s="106">
        <f>IF(OR(GradeSheet!$M18="W (Withdrawn)", GradeSheet!$M18="I (Incomplete)"), 0, IF(AV23&gt;=65%, 1, 0))</f>
        <v>0</v>
      </c>
      <c r="BI23" s="106">
        <f>IF(OR(GradeSheet!$M18="W (Withdrawn)", GradeSheet!$M18="I (Incomplete)"), 0, IF(AW23&gt;=65%, 1, 0))</f>
        <v>0</v>
      </c>
      <c r="BJ23" s="106">
        <f>IF(OR(GradeSheet!$M18="W (Withdrawn)", GradeSheet!$M18="I (Incomplete)"), 0, IF(AX23&gt;=65%, 1, 0))</f>
        <v>0</v>
      </c>
      <c r="BK23" s="106">
        <f>IF(OR(GradeSheet!$M18="W (Withdrawn)", GradeSheet!$M18="I (Incomplete)"), 0, IF(AY23&gt;=65%, 1, 0))</f>
        <v>0</v>
      </c>
      <c r="BL23" s="106">
        <f>IF(OR(GradeSheet!$M18="W (Withdrawn)", GradeSheet!$M18="I (Incomplete)"), 0, IF(AZ23&gt;=65%, 1, 0))</f>
        <v>0</v>
      </c>
      <c r="BM23" s="106">
        <f>IF(OR(GradeSheet!$M18="W (Withdrawn)", GradeSheet!$M18="I (Incomplete)"), 0, IF(BA23&gt;=65%, 1, 0))</f>
        <v>0</v>
      </c>
      <c r="BN23" s="106">
        <f>IF(OR(GradeSheet!$M18="W (Withdrawn)", GradeSheet!$M18="I (Incomplete)"), 0, IF(BB23&gt;=65%, 1, 0))</f>
        <v>0</v>
      </c>
      <c r="BO23" s="106">
        <f>IF(OR(GradeSheet!$M18="W (Withdrawn)", GradeSheet!$M18="I (Incomplete)"), 0, IF(BC23&gt;=65%, 1, 0))</f>
        <v>0</v>
      </c>
      <c r="BP23" s="106">
        <f>IF(OR(GradeSheet!$M18="W (Withdrawn)", GradeSheet!$M18="I (Incomplete)"), 0, IF(BD23&gt;=65%, 1, 0))</f>
        <v>0</v>
      </c>
      <c r="BQ23" s="106">
        <f>IF(OR(GradeSheet!$M18="W (Withdrawn)", GradeSheet!$M18="I (Incomplete)"), 0, IF(BE23&gt;=65%, 1, 0))</f>
        <v>0</v>
      </c>
      <c r="BR23" s="106">
        <f>IF(OR(GradeSheet!$M18="W (Withdrawn)", GradeSheet!$M18="I (Incomplete)"), 0, IF(BF23&gt;=65%, 1, 0))</f>
        <v>0</v>
      </c>
    </row>
    <row r="24" spans="1:70" ht="15.75" customHeight="1" thickBot="1" x14ac:dyDescent="0.25">
      <c r="A24" s="111">
        <v>10</v>
      </c>
      <c r="B24" s="64" t="s">
        <v>180</v>
      </c>
      <c r="C24" s="65" t="s">
        <v>181</v>
      </c>
      <c r="D24" s="112"/>
      <c r="E24" s="113"/>
      <c r="F24" s="113"/>
      <c r="G24" s="114"/>
      <c r="H24" s="114"/>
      <c r="I24" s="115"/>
      <c r="J24" s="112"/>
      <c r="K24" s="113"/>
      <c r="L24" s="113"/>
      <c r="M24" s="116"/>
      <c r="N24" s="271"/>
      <c r="O24" s="257"/>
      <c r="P24" s="97"/>
      <c r="Q24" s="98"/>
      <c r="R24" s="98"/>
      <c r="S24" s="98"/>
      <c r="T24" s="99"/>
      <c r="U24" s="99"/>
      <c r="V24" s="100"/>
      <c r="W24" s="101"/>
      <c r="X24" s="101"/>
      <c r="Y24" s="101"/>
      <c r="Z24" s="101"/>
      <c r="AA24" s="102"/>
      <c r="AB24" s="103">
        <f t="shared" si="14"/>
        <v>0</v>
      </c>
      <c r="AC24" s="104">
        <f t="shared" si="15"/>
        <v>0</v>
      </c>
      <c r="AD24" s="104">
        <f t="shared" si="16"/>
        <v>0</v>
      </c>
      <c r="AE24" s="104">
        <f t="shared" si="17"/>
        <v>0</v>
      </c>
      <c r="AF24" s="104">
        <f t="shared" si="18"/>
        <v>0</v>
      </c>
      <c r="AG24" s="144">
        <f t="shared" ref="AG24" si="61">SUM(AA24,I24,O24)</f>
        <v>0</v>
      </c>
      <c r="AH24" s="105">
        <f t="shared" ref="AH24:AM24" si="62">IF(AB24 = 0, 0, AB24/AB$14)</f>
        <v>0</v>
      </c>
      <c r="AI24" s="105">
        <f t="shared" si="62"/>
        <v>0</v>
      </c>
      <c r="AJ24" s="105">
        <f t="shared" si="62"/>
        <v>0</v>
      </c>
      <c r="AK24" s="105">
        <f t="shared" si="62"/>
        <v>0</v>
      </c>
      <c r="AL24" s="105">
        <f t="shared" si="62"/>
        <v>0</v>
      </c>
      <c r="AM24" s="105">
        <f t="shared" si="62"/>
        <v>0</v>
      </c>
      <c r="AN24" s="132">
        <f>IF(OR(GradeSheet!$M19="W (Withdrawn)", GradeSheet!$M19="I (Incomplete)"), 0, IF(AH24&gt;=65%, 1, 0))</f>
        <v>0</v>
      </c>
      <c r="AO24" s="119">
        <f>IF(OR(GradeSheet!$M19="W (Withdrawn)", GradeSheet!$M19="I (Incomplete)"), 0, IF(AI24&gt;=65%, 1, 0))</f>
        <v>0</v>
      </c>
      <c r="AP24" s="120">
        <f>IF(OR(GradeSheet!$M22="W (Withdrawn)", GradeSheet!$M22="I (Incomplete)"), 0, IF(AJ24&gt;=65%, 1, 0))</f>
        <v>0</v>
      </c>
      <c r="AQ24" s="109">
        <f>IF(OR(GradeSheet!$M19="W (Withdrawn)", GradeSheet!$M19="I (Incomplete)"), 0, IF(AK24&gt;=65%, 1, 0))</f>
        <v>0</v>
      </c>
      <c r="AR24" s="109">
        <f>IF(OR(GradeSheet!$M19="W (Withdrawn)", GradeSheet!$M19="I (Incomplete)"), 0, IF(AL24&gt;=65%, 1, 0))</f>
        <v>0</v>
      </c>
      <c r="AS24" s="109">
        <f>IF(OR(GradeSheet!$M19="W (Withdrawn)", GradeSheet!$M19="I (Incomplete)"), 0, IF(AM24&gt;=65%, 1, 0))</f>
        <v>0</v>
      </c>
      <c r="AT24" s="74"/>
      <c r="AU24" s="110">
        <f t="shared" si="21"/>
        <v>0</v>
      </c>
      <c r="AV24" s="121">
        <f t="shared" si="22"/>
        <v>0</v>
      </c>
      <c r="AW24" s="121">
        <f t="shared" si="23"/>
        <v>0</v>
      </c>
      <c r="AX24" s="121">
        <f t="shared" si="24"/>
        <v>0</v>
      </c>
      <c r="AY24" s="121">
        <f t="shared" si="25"/>
        <v>0</v>
      </c>
      <c r="AZ24" s="121">
        <f t="shared" si="26"/>
        <v>0</v>
      </c>
      <c r="BA24" s="121">
        <f t="shared" si="27"/>
        <v>0</v>
      </c>
      <c r="BB24" s="121">
        <f t="shared" si="28"/>
        <v>0</v>
      </c>
      <c r="BC24" s="121">
        <f t="shared" si="29"/>
        <v>0</v>
      </c>
      <c r="BD24" s="121">
        <f t="shared" si="30"/>
        <v>0</v>
      </c>
      <c r="BE24" s="121">
        <f t="shared" si="31"/>
        <v>0</v>
      </c>
      <c r="BF24" s="124">
        <f t="shared" si="32"/>
        <v>0</v>
      </c>
      <c r="BG24" s="106">
        <f>IF(OR(GradeSheet!$M19="W (Withdrawn)", GradeSheet!$M19="I (Incomplete)"), 0, IF(AU24&gt;=65%, 1, 0))</f>
        <v>0</v>
      </c>
      <c r="BH24" s="106">
        <f>IF(OR(GradeSheet!$M19="W (Withdrawn)", GradeSheet!$M19="I (Incomplete)"), 0, IF(AV24&gt;=65%, 1, 0))</f>
        <v>0</v>
      </c>
      <c r="BI24" s="106">
        <f>IF(OR(GradeSheet!$M19="W (Withdrawn)", GradeSheet!$M19="I (Incomplete)"), 0, IF(AW24&gt;=65%, 1, 0))</f>
        <v>0</v>
      </c>
      <c r="BJ24" s="106">
        <f>IF(OR(GradeSheet!$M19="W (Withdrawn)", GradeSheet!$M19="I (Incomplete)"), 0, IF(AX24&gt;=65%, 1, 0))</f>
        <v>0</v>
      </c>
      <c r="BK24" s="106">
        <f>IF(OR(GradeSheet!$M19="W (Withdrawn)", GradeSheet!$M19="I (Incomplete)"), 0, IF(AY24&gt;=65%, 1, 0))</f>
        <v>0</v>
      </c>
      <c r="BL24" s="106">
        <f>IF(OR(GradeSheet!$M19="W (Withdrawn)", GradeSheet!$M19="I (Incomplete)"), 0, IF(AZ24&gt;=65%, 1, 0))</f>
        <v>0</v>
      </c>
      <c r="BM24" s="106">
        <f>IF(OR(GradeSheet!$M19="W (Withdrawn)", GradeSheet!$M19="I (Incomplete)"), 0, IF(BA24&gt;=65%, 1, 0))</f>
        <v>0</v>
      </c>
      <c r="BN24" s="106">
        <f>IF(OR(GradeSheet!$M19="W (Withdrawn)", GradeSheet!$M19="I (Incomplete)"), 0, IF(BB24&gt;=65%, 1, 0))</f>
        <v>0</v>
      </c>
      <c r="BO24" s="106">
        <f>IF(OR(GradeSheet!$M19="W (Withdrawn)", GradeSheet!$M19="I (Incomplete)"), 0, IF(BC24&gt;=65%, 1, 0))</f>
        <v>0</v>
      </c>
      <c r="BP24" s="106">
        <f>IF(OR(GradeSheet!$M19="W (Withdrawn)", GradeSheet!$M19="I (Incomplete)"), 0, IF(BD24&gt;=65%, 1, 0))</f>
        <v>0</v>
      </c>
      <c r="BQ24" s="106">
        <f>IF(OR(GradeSheet!$M19="W (Withdrawn)", GradeSheet!$M19="I (Incomplete)"), 0, IF(BE24&gt;=65%, 1, 0))</f>
        <v>0</v>
      </c>
      <c r="BR24" s="106">
        <f>IF(OR(GradeSheet!$M19="W (Withdrawn)", GradeSheet!$M19="I (Incomplete)"), 0, IF(BF24&gt;=65%, 1, 0))</f>
        <v>0</v>
      </c>
    </row>
    <row r="25" spans="1:70" ht="15.75" customHeight="1" thickBot="1" x14ac:dyDescent="0.3">
      <c r="A25" s="24">
        <v>11</v>
      </c>
      <c r="B25" s="64" t="s">
        <v>182</v>
      </c>
      <c r="C25" s="65" t="s">
        <v>161</v>
      </c>
      <c r="D25" s="112">
        <v>3</v>
      </c>
      <c r="E25" s="113">
        <v>3</v>
      </c>
      <c r="F25" s="113">
        <v>5</v>
      </c>
      <c r="G25" s="114">
        <v>3</v>
      </c>
      <c r="H25" s="114"/>
      <c r="I25" s="115"/>
      <c r="J25" s="112"/>
      <c r="K25" s="113"/>
      <c r="L25" s="113"/>
      <c r="M25" s="116"/>
      <c r="N25" s="271"/>
      <c r="O25" s="257"/>
      <c r="P25" s="97"/>
      <c r="Q25" s="98"/>
      <c r="R25" s="98"/>
      <c r="S25" s="98"/>
      <c r="T25" s="99">
        <v>8</v>
      </c>
      <c r="U25" s="99"/>
      <c r="V25" s="100"/>
      <c r="W25" s="101"/>
      <c r="X25" s="101"/>
      <c r="Y25" s="101"/>
      <c r="Z25" s="101"/>
      <c r="AA25" s="102"/>
      <c r="AB25" s="103">
        <f t="shared" si="14"/>
        <v>3</v>
      </c>
      <c r="AC25" s="104">
        <f t="shared" si="15"/>
        <v>3</v>
      </c>
      <c r="AD25" s="104">
        <f t="shared" si="16"/>
        <v>5</v>
      </c>
      <c r="AE25" s="104">
        <f t="shared" si="17"/>
        <v>3</v>
      </c>
      <c r="AF25" s="104">
        <f t="shared" si="18"/>
        <v>8</v>
      </c>
      <c r="AG25" s="144">
        <f t="shared" ref="AG25" si="63">SUM(AA25,I25,O25)</f>
        <v>0</v>
      </c>
      <c r="AH25" s="105">
        <f t="shared" ref="AH25:AM25" si="64">IF(AB25 = 0, 0, AB25/AB$14)</f>
        <v>0.6</v>
      </c>
      <c r="AI25" s="105">
        <f t="shared" si="64"/>
        <v>0.23076923076923078</v>
      </c>
      <c r="AJ25" s="105">
        <f t="shared" si="64"/>
        <v>0.21739130434782608</v>
      </c>
      <c r="AK25" s="105">
        <f t="shared" si="64"/>
        <v>0.27272727272727271</v>
      </c>
      <c r="AL25" s="105">
        <f t="shared" si="64"/>
        <v>0.44444444444444442</v>
      </c>
      <c r="AM25" s="105">
        <f t="shared" si="64"/>
        <v>0</v>
      </c>
      <c r="AN25" s="132">
        <f>IF(OR(GradeSheet!$M20="W (Withdrawn)", GradeSheet!$M20="I (Incomplete)"), 0, IF(AH25&gt;=65%, 1, 0))</f>
        <v>0</v>
      </c>
      <c r="AO25" s="107">
        <f>IF(OR(GradeSheet!$M20="W (Withdrawn)", GradeSheet!$M20="I (Incomplete)"), 0, IF(AI25&gt;=65%, 1, 0))</f>
        <v>0</v>
      </c>
      <c r="AP25" s="108">
        <f>IF(OR(GradeSheet!$M20="W (Withdrawn)", GradeSheet!$M20="I (Incomplete)"), 0, IF(AJ25&gt;=65%, 1, 0))</f>
        <v>0</v>
      </c>
      <c r="AQ25" s="109">
        <f>IF(OR(GradeSheet!$M20="W (Withdrawn)", GradeSheet!$M20="I (Incomplete)"), 0, IF(AK25&gt;=65%, 1, 0))</f>
        <v>0</v>
      </c>
      <c r="AR25" s="109">
        <f>IF(OR(GradeSheet!$M20="W (Withdrawn)", GradeSheet!$M20="I (Incomplete)"), 0, IF(AL25&gt;=65%, 1, 0))</f>
        <v>0</v>
      </c>
      <c r="AS25" s="109">
        <f>IF(OR(GradeSheet!$M20="W (Withdrawn)", GradeSheet!$M20="I (Incomplete)"), 0, IF(AM25&gt;=65%, 1, 0))</f>
        <v>0</v>
      </c>
      <c r="AT25" s="74"/>
      <c r="AU25" s="110">
        <f t="shared" si="21"/>
        <v>0.34938684503901896</v>
      </c>
      <c r="AV25" s="121">
        <f t="shared" si="22"/>
        <v>0.29133306307219353</v>
      </c>
      <c r="AW25" s="121">
        <f t="shared" si="23"/>
        <v>0.33091787439613524</v>
      </c>
      <c r="AX25" s="121">
        <f t="shared" si="24"/>
        <v>0.38364075537988579</v>
      </c>
      <c r="AY25" s="121">
        <f t="shared" si="25"/>
        <v>0.33091787439613524</v>
      </c>
      <c r="AZ25" s="121">
        <f t="shared" si="26"/>
        <v>0.44444444444444442</v>
      </c>
      <c r="BA25" s="121">
        <f t="shared" si="27"/>
        <v>0</v>
      </c>
      <c r="BB25" s="121">
        <f t="shared" si="28"/>
        <v>0</v>
      </c>
      <c r="BC25" s="121">
        <f t="shared" si="29"/>
        <v>0</v>
      </c>
      <c r="BD25" s="121">
        <f t="shared" si="30"/>
        <v>0</v>
      </c>
      <c r="BE25" s="121">
        <f t="shared" si="31"/>
        <v>0</v>
      </c>
      <c r="BF25" s="124">
        <f t="shared" si="32"/>
        <v>0</v>
      </c>
      <c r="BG25" s="106">
        <f>IF(OR(GradeSheet!$M20="W (Withdrawn)", GradeSheet!$M20="I (Incomplete)"), 0, IF(AU25&gt;=65%, 1, 0))</f>
        <v>0</v>
      </c>
      <c r="BH25" s="106">
        <f>IF(OR(GradeSheet!$M20="W (Withdrawn)", GradeSheet!$M20="I (Incomplete)"), 0, IF(AV25&gt;=65%, 1, 0))</f>
        <v>0</v>
      </c>
      <c r="BI25" s="106">
        <f>IF(OR(GradeSheet!$M20="W (Withdrawn)", GradeSheet!$M20="I (Incomplete)"), 0, IF(AW25&gt;=65%, 1, 0))</f>
        <v>0</v>
      </c>
      <c r="BJ25" s="106">
        <f>IF(OR(GradeSheet!$M20="W (Withdrawn)", GradeSheet!$M20="I (Incomplete)"), 0, IF(AX25&gt;=65%, 1, 0))</f>
        <v>0</v>
      </c>
      <c r="BK25" s="106">
        <f>IF(OR(GradeSheet!$M20="W (Withdrawn)", GradeSheet!$M20="I (Incomplete)"), 0, IF(AY25&gt;=65%, 1, 0))</f>
        <v>0</v>
      </c>
      <c r="BL25" s="106">
        <f>IF(OR(GradeSheet!$M20="W (Withdrawn)", GradeSheet!$M20="I (Incomplete)"), 0, IF(AZ25&gt;=65%, 1, 0))</f>
        <v>0</v>
      </c>
      <c r="BM25" s="106">
        <f>IF(OR(GradeSheet!$M20="W (Withdrawn)", GradeSheet!$M20="I (Incomplete)"), 0, IF(BA25&gt;=65%, 1, 0))</f>
        <v>0</v>
      </c>
      <c r="BN25" s="106">
        <f>IF(OR(GradeSheet!$M20="W (Withdrawn)", GradeSheet!$M20="I (Incomplete)"), 0, IF(BB25&gt;=65%, 1, 0))</f>
        <v>0</v>
      </c>
      <c r="BO25" s="106">
        <f>IF(OR(GradeSheet!$M20="W (Withdrawn)", GradeSheet!$M20="I (Incomplete)"), 0, IF(BC25&gt;=65%, 1, 0))</f>
        <v>0</v>
      </c>
      <c r="BP25" s="106">
        <f>IF(OR(GradeSheet!$M20="W (Withdrawn)", GradeSheet!$M20="I (Incomplete)"), 0, IF(BD25&gt;=65%, 1, 0))</f>
        <v>0</v>
      </c>
      <c r="BQ25" s="106">
        <f>IF(OR(GradeSheet!$M20="W (Withdrawn)", GradeSheet!$M20="I (Incomplete)"), 0, IF(BE25&gt;=65%, 1, 0))</f>
        <v>0</v>
      </c>
      <c r="BR25" s="106">
        <f>IF(OR(GradeSheet!$M20="W (Withdrawn)", GradeSheet!$M20="I (Incomplete)"), 0, IF(BF25&gt;=65%, 1, 0))</f>
        <v>0</v>
      </c>
    </row>
    <row r="26" spans="1:70" ht="15.75" customHeight="1" thickBot="1" x14ac:dyDescent="0.25">
      <c r="A26" s="111">
        <v>12</v>
      </c>
      <c r="B26" s="64" t="s">
        <v>183</v>
      </c>
      <c r="C26" s="65" t="s">
        <v>162</v>
      </c>
      <c r="D26" s="112">
        <v>4</v>
      </c>
      <c r="E26" s="113">
        <v>2.5</v>
      </c>
      <c r="F26" s="113">
        <v>0</v>
      </c>
      <c r="G26" s="114">
        <v>2</v>
      </c>
      <c r="H26" s="114"/>
      <c r="I26" s="115"/>
      <c r="J26" s="112"/>
      <c r="K26" s="113">
        <v>2</v>
      </c>
      <c r="L26" s="113">
        <v>11</v>
      </c>
      <c r="M26" s="116">
        <v>3</v>
      </c>
      <c r="N26" s="271">
        <v>0</v>
      </c>
      <c r="O26" s="257"/>
      <c r="P26" s="97"/>
      <c r="Q26" s="98"/>
      <c r="R26" s="98"/>
      <c r="S26" s="98"/>
      <c r="T26" s="99">
        <v>8</v>
      </c>
      <c r="U26" s="99"/>
      <c r="V26" s="100"/>
      <c r="W26" s="101"/>
      <c r="X26" s="101"/>
      <c r="Y26" s="101"/>
      <c r="Z26" s="101"/>
      <c r="AA26" s="102"/>
      <c r="AB26" s="103">
        <f t="shared" si="14"/>
        <v>4</v>
      </c>
      <c r="AC26" s="104">
        <f t="shared" si="15"/>
        <v>4.5</v>
      </c>
      <c r="AD26" s="104">
        <f t="shared" si="16"/>
        <v>11</v>
      </c>
      <c r="AE26" s="104">
        <f t="shared" si="17"/>
        <v>5</v>
      </c>
      <c r="AF26" s="104">
        <f t="shared" si="18"/>
        <v>8</v>
      </c>
      <c r="AG26" s="144">
        <f t="shared" ref="AG26:AG41" si="65">SUM(AA26,I26,O26)</f>
        <v>0</v>
      </c>
      <c r="AH26" s="105">
        <f t="shared" ref="AH26:AM41" si="66">IF(AB26 = 0, 0, AB26/AB$14)</f>
        <v>0.8</v>
      </c>
      <c r="AI26" s="105">
        <f t="shared" si="66"/>
        <v>0.34615384615384615</v>
      </c>
      <c r="AJ26" s="105">
        <f t="shared" si="66"/>
        <v>0.47826086956521741</v>
      </c>
      <c r="AK26" s="105">
        <f t="shared" si="66"/>
        <v>0.45454545454545453</v>
      </c>
      <c r="AL26" s="105">
        <f t="shared" si="66"/>
        <v>0.44444444444444442</v>
      </c>
      <c r="AM26" s="105">
        <f t="shared" si="66"/>
        <v>0</v>
      </c>
      <c r="AN26" s="132">
        <f>IF(OR(GradeSheet!$M21="W (Withdrawn)", GradeSheet!$M21="I (Incomplete)"), 0, IF(AH26&gt;=65%, 1, 0))</f>
        <v>1</v>
      </c>
      <c r="AO26" s="119">
        <f>IF(OR(GradeSheet!$M21="W (Withdrawn)", GradeSheet!$M21="I (Incomplete)"), 0, IF(AI26&gt;=65%, 1, 0))</f>
        <v>0</v>
      </c>
      <c r="AP26" s="120">
        <f>IF(OR(GradeSheet!$M21="W (Withdrawn)", GradeSheet!$M21="I (Incomplete)"), 0, IF(AJ26&gt;=65%, 1, 0))</f>
        <v>0</v>
      </c>
      <c r="AQ26" s="109">
        <f>IF(OR(GradeSheet!$M21="W (Withdrawn)", GradeSheet!$M21="I (Incomplete)"), 0, IF(AK26&gt;=65%, 1, 0))</f>
        <v>0</v>
      </c>
      <c r="AR26" s="109">
        <f>IF(OR(GradeSheet!$M21="W (Withdrawn)", GradeSheet!$M21="I (Incomplete)"), 0, IF(AL26&gt;=65%, 1, 0))</f>
        <v>0</v>
      </c>
      <c r="AS26" s="109">
        <f>IF(OR(GradeSheet!$M21="W (Withdrawn)", GradeSheet!$M21="I (Incomplete)"), 0, IF(AM26&gt;=65%, 1, 0))</f>
        <v>0</v>
      </c>
      <c r="AT26" s="74"/>
      <c r="AU26" s="110">
        <f t="shared" si="21"/>
        <v>0.54147157190635442</v>
      </c>
      <c r="AV26" s="121">
        <f t="shared" si="22"/>
        <v>0.43085115367724064</v>
      </c>
      <c r="AW26" s="121">
        <f t="shared" si="23"/>
        <v>0.46135265700483091</v>
      </c>
      <c r="AX26" s="121">
        <f t="shared" si="24"/>
        <v>0.54431269213877909</v>
      </c>
      <c r="AY26" s="121">
        <f t="shared" si="25"/>
        <v>0.46135265700483091</v>
      </c>
      <c r="AZ26" s="121">
        <f t="shared" si="26"/>
        <v>0.44444444444444442</v>
      </c>
      <c r="BA26" s="121">
        <f t="shared" si="27"/>
        <v>0</v>
      </c>
      <c r="BB26" s="121">
        <f t="shared" si="28"/>
        <v>0</v>
      </c>
      <c r="BC26" s="121">
        <f t="shared" si="29"/>
        <v>0</v>
      </c>
      <c r="BD26" s="121">
        <f t="shared" si="30"/>
        <v>0</v>
      </c>
      <c r="BE26" s="121">
        <f t="shared" si="31"/>
        <v>0</v>
      </c>
      <c r="BF26" s="124">
        <f t="shared" si="32"/>
        <v>0</v>
      </c>
      <c r="BG26" s="106">
        <f>IF(OR(GradeSheet!$M21="W (Withdrawn)", GradeSheet!$M21="I (Incomplete)"), 0, IF(AU26&gt;=65%, 1, 0))</f>
        <v>0</v>
      </c>
      <c r="BH26" s="106">
        <f>IF(OR(GradeSheet!$M21="W (Withdrawn)", GradeSheet!$M21="I (Incomplete)"), 0, IF(AV26&gt;=65%, 1, 0))</f>
        <v>0</v>
      </c>
      <c r="BI26" s="106">
        <f>IF(OR(GradeSheet!$M21="W (Withdrawn)", GradeSheet!$M21="I (Incomplete)"), 0, IF(AW26&gt;=65%, 1, 0))</f>
        <v>0</v>
      </c>
      <c r="BJ26" s="106">
        <f>IF(OR(GradeSheet!$M21="W (Withdrawn)", GradeSheet!$M21="I (Incomplete)"), 0, IF(AX26&gt;=65%, 1, 0))</f>
        <v>0</v>
      </c>
      <c r="BK26" s="106">
        <f>IF(OR(GradeSheet!$M21="W (Withdrawn)", GradeSheet!$M21="I (Incomplete)"), 0, IF(AY26&gt;=65%, 1, 0))</f>
        <v>0</v>
      </c>
      <c r="BL26" s="106">
        <f>IF(OR(GradeSheet!$M21="W (Withdrawn)", GradeSheet!$M21="I (Incomplete)"), 0, IF(AZ26&gt;=65%, 1, 0))</f>
        <v>0</v>
      </c>
      <c r="BM26" s="106">
        <f>IF(OR(GradeSheet!$M21="W (Withdrawn)", GradeSheet!$M21="I (Incomplete)"), 0, IF(BA26&gt;=65%, 1, 0))</f>
        <v>0</v>
      </c>
      <c r="BN26" s="106">
        <f>IF(OR(GradeSheet!$M21="W (Withdrawn)", GradeSheet!$M21="I (Incomplete)"), 0, IF(BB26&gt;=65%, 1, 0))</f>
        <v>0</v>
      </c>
      <c r="BO26" s="106">
        <f>IF(OR(GradeSheet!$M21="W (Withdrawn)", GradeSheet!$M21="I (Incomplete)"), 0, IF(BC26&gt;=65%, 1, 0))</f>
        <v>0</v>
      </c>
      <c r="BP26" s="106">
        <f>IF(OR(GradeSheet!$M21="W (Withdrawn)", GradeSheet!$M21="I (Incomplete)"), 0, IF(BD26&gt;=65%, 1, 0))</f>
        <v>0</v>
      </c>
      <c r="BQ26" s="106">
        <f>IF(OR(GradeSheet!$M21="W (Withdrawn)", GradeSheet!$M21="I (Incomplete)"), 0, IF(BE26&gt;=65%, 1, 0))</f>
        <v>0</v>
      </c>
      <c r="BR26" s="106">
        <f>IF(OR(GradeSheet!$M21="W (Withdrawn)", GradeSheet!$M21="I (Incomplete)"), 0, IF(BF26&gt;=65%, 1, 0))</f>
        <v>0</v>
      </c>
    </row>
    <row r="27" spans="1:70" s="193" customFormat="1" ht="15.75" customHeight="1" thickBot="1" x14ac:dyDescent="0.25">
      <c r="A27" s="111">
        <v>13</v>
      </c>
      <c r="B27" s="64" t="s">
        <v>184</v>
      </c>
      <c r="C27" s="65" t="s">
        <v>185</v>
      </c>
      <c r="D27" s="112">
        <v>3</v>
      </c>
      <c r="E27" s="113">
        <v>3</v>
      </c>
      <c r="F27" s="113">
        <v>2</v>
      </c>
      <c r="G27" s="116">
        <v>0</v>
      </c>
      <c r="H27" s="116"/>
      <c r="I27" s="115"/>
      <c r="J27" s="112"/>
      <c r="K27" s="113">
        <v>5</v>
      </c>
      <c r="L27" s="113">
        <v>14</v>
      </c>
      <c r="M27" s="116">
        <v>5</v>
      </c>
      <c r="N27" s="271">
        <v>7</v>
      </c>
      <c r="O27" s="257"/>
      <c r="P27" s="196"/>
      <c r="Q27" s="98"/>
      <c r="R27" s="98"/>
      <c r="S27" s="98"/>
      <c r="T27" s="99">
        <v>9</v>
      </c>
      <c r="U27" s="99"/>
      <c r="V27" s="197"/>
      <c r="W27" s="101"/>
      <c r="X27" s="101"/>
      <c r="Y27" s="101"/>
      <c r="Z27" s="101"/>
      <c r="AA27" s="102"/>
      <c r="AB27" s="103">
        <f t="shared" si="14"/>
        <v>3</v>
      </c>
      <c r="AC27" s="104">
        <f t="shared" si="15"/>
        <v>8</v>
      </c>
      <c r="AD27" s="104">
        <f t="shared" si="16"/>
        <v>16</v>
      </c>
      <c r="AE27" s="104">
        <f t="shared" si="17"/>
        <v>5</v>
      </c>
      <c r="AF27" s="104">
        <f t="shared" si="18"/>
        <v>16</v>
      </c>
      <c r="AG27" s="104">
        <f t="shared" si="65"/>
        <v>0</v>
      </c>
      <c r="AH27" s="105">
        <f t="shared" si="66"/>
        <v>0.6</v>
      </c>
      <c r="AI27" s="105">
        <f t="shared" si="66"/>
        <v>0.61538461538461542</v>
      </c>
      <c r="AJ27" s="105">
        <f t="shared" si="66"/>
        <v>0.69565217391304346</v>
      </c>
      <c r="AK27" s="105">
        <f t="shared" si="66"/>
        <v>0.45454545454545453</v>
      </c>
      <c r="AL27" s="105">
        <f t="shared" si="66"/>
        <v>0.88888888888888884</v>
      </c>
      <c r="AM27" s="105">
        <f t="shared" si="66"/>
        <v>0</v>
      </c>
      <c r="AN27" s="132">
        <f>IF(OR(GradeSheet!$M22="W (Withdrawn)", GradeSheet!$M22="I (Incomplete)"), 0, IF(AH27&gt;=65%, 1, 0))</f>
        <v>0</v>
      </c>
      <c r="AO27" s="107">
        <f>IF(OR(GradeSheet!$M22="W (Withdrawn)", GradeSheet!$M22="I (Incomplete)"), 0, IF(AI27&gt;=65%, 1, 0))</f>
        <v>0</v>
      </c>
      <c r="AP27" s="120">
        <f>IF(OR(GradeSheet!$M22="W (Withdrawn)", GradeSheet!$M22="I (Incomplete)"), 0, IF(AJ27&gt;=65%, 1, 0))</f>
        <v>1</v>
      </c>
      <c r="AQ27" s="109">
        <f>IF(OR(GradeSheet!$M22="W (Withdrawn)", GradeSheet!$M22="I (Incomplete)"), 0, IF(AK27&gt;=65%, 1, 0))</f>
        <v>0</v>
      </c>
      <c r="AR27" s="109">
        <f>IF(OR(GradeSheet!$M22="W (Withdrawn)", GradeSheet!$M22="I (Incomplete)"), 0, IF(AL27&gt;=65%, 1, 0))</f>
        <v>1</v>
      </c>
      <c r="AS27" s="109">
        <f>IF(OR(GradeSheet!$M22="W (Withdrawn)", GradeSheet!$M22="I (Incomplete)"), 0, IF(AM27&gt;=65%, 1, 0))</f>
        <v>0</v>
      </c>
      <c r="AT27" s="74"/>
      <c r="AU27" s="110">
        <f t="array" ref="AU27">IF($AV$9=0,0,MMULT($AH27:$AM27, AV$3:AV$8)/$AV$9)</f>
        <v>0.63701226309921966</v>
      </c>
      <c r="AV27" s="110">
        <f t="array" ref="AV27">IF($AW$9=0,0,MMULT($AH27:$AM27, AW$3:AW$8)/$AW$9)</f>
        <v>0.66361778318300058</v>
      </c>
      <c r="AW27" s="110">
        <f t="array" ref="AW27">IF($AX$9=0,0,MMULT($AH27:$AM27, AX$3:AX$8)/$AX$9)</f>
        <v>0.79227053140096615</v>
      </c>
      <c r="AX27" s="110">
        <f t="array" ref="AX27">IF($AY$9=0,0,MMULT($AH27:$AM27, AY$3:AY$8)/$AY$9)</f>
        <v>0.65977162933684674</v>
      </c>
      <c r="AY27" s="110">
        <f t="array" ref="AY27">IF($AZ$9=0,0,MMULT($AH27:$AM27, AZ$3:AZ$8)/$AZ$9)</f>
        <v>0.79227053140096615</v>
      </c>
      <c r="AZ27" s="110">
        <f t="array" ref="AZ27">IF($BA$9=0,0,MMULT($AH27:$AM27, BA$3:BA$8)/$BA$9)</f>
        <v>0.88888888888888884</v>
      </c>
      <c r="BA27" s="110">
        <f t="array" ref="BA27">IF($BB$9=0,0,MMULT($AH27:$AM27, BB$3:BB$8)/$BB$9)</f>
        <v>0</v>
      </c>
      <c r="BB27" s="110">
        <f t="array" ref="BB27">IF($BC$9=0,0,MMULT($AH27:$AM27, BC$3:BC$8)/$BC$9)</f>
        <v>0</v>
      </c>
      <c r="BC27" s="110">
        <f t="array" ref="BC27">IF($BD$9=0,0,MMULT($AH27:$AM27, BD$3:BD$8)/$BD$9)</f>
        <v>0</v>
      </c>
      <c r="BD27" s="110">
        <f t="array" ref="BD27">IF($BE$9=0,0,MMULT($AH27:$AM27, BE$3:BE$8)/$BE$9)</f>
        <v>0</v>
      </c>
      <c r="BE27" s="110">
        <f t="array" ref="BE27">IF($BF$9=0,0,MMULT($AH27:$AM27, BF$3:BF$8)/$BF$9)</f>
        <v>0</v>
      </c>
      <c r="BF27" s="110">
        <f t="array" ref="BF27">IF($BG$9=0,0,MMULT($AH27:$AM27, BG$3:BG$8)/$BG$9)</f>
        <v>0</v>
      </c>
      <c r="BG27" s="106">
        <f>IF(OR(GradeSheet!$M22="W (Withdrawn)", GradeSheet!$M22="I (Incomplete)"), 0, IF(AU27&gt;=65%, 1, 0))</f>
        <v>0</v>
      </c>
      <c r="BH27" s="106">
        <f>IF(OR(GradeSheet!$M22="W (Withdrawn)", GradeSheet!$M22="I (Incomplete)"), 0, IF(AV27&gt;=65%, 1, 0))</f>
        <v>1</v>
      </c>
      <c r="BI27" s="106">
        <f>IF(OR(GradeSheet!$M22="W (Withdrawn)", GradeSheet!$M22="I (Incomplete)"), 0, IF(AW27&gt;=65%, 1, 0))</f>
        <v>1</v>
      </c>
      <c r="BJ27" s="106">
        <f>IF(OR(GradeSheet!$M22="W (Withdrawn)", GradeSheet!$M22="I (Incomplete)"), 0, IF(AX27&gt;=65%, 1, 0))</f>
        <v>1</v>
      </c>
      <c r="BK27" s="106">
        <f>IF(OR(GradeSheet!$M22="W (Withdrawn)", GradeSheet!$M22="I (Incomplete)"), 0, IF(AY27&gt;=65%, 1, 0))</f>
        <v>1</v>
      </c>
      <c r="BL27" s="106">
        <f>IF(OR(GradeSheet!$M22="W (Withdrawn)", GradeSheet!$M22="I (Incomplete)"), 0, IF(AZ27&gt;=65%, 1, 0))</f>
        <v>1</v>
      </c>
      <c r="BM27" s="106">
        <f>IF(OR(GradeSheet!$M22="W (Withdrawn)", GradeSheet!$M22="I (Incomplete)"), 0, IF(BA27&gt;=65%, 1, 0))</f>
        <v>0</v>
      </c>
      <c r="BN27" s="106">
        <f>IF(OR(GradeSheet!$M22="W (Withdrawn)", GradeSheet!$M22="I (Incomplete)"), 0, IF(BB27&gt;=65%, 1, 0))</f>
        <v>0</v>
      </c>
      <c r="BO27" s="106">
        <f>IF(OR(GradeSheet!$M22="W (Withdrawn)", GradeSheet!$M22="I (Incomplete)"), 0, IF(BC27&gt;=65%, 1, 0))</f>
        <v>0</v>
      </c>
      <c r="BP27" s="106">
        <f>IF(OR(GradeSheet!$M22="W (Withdrawn)", GradeSheet!$M22="I (Incomplete)"), 0, IF(BD27&gt;=65%, 1, 0))</f>
        <v>0</v>
      </c>
      <c r="BQ27" s="106">
        <f>IF(OR(GradeSheet!$M22="W (Withdrawn)", GradeSheet!$M22="I (Incomplete)"), 0, IF(BE27&gt;=65%, 1, 0))</f>
        <v>0</v>
      </c>
      <c r="BR27" s="106">
        <f>IF(OR(GradeSheet!$M22="W (Withdrawn)", GradeSheet!$M22="I (Incomplete)"), 0, IF(BF27&gt;=65%, 1, 0))</f>
        <v>0</v>
      </c>
    </row>
    <row r="28" spans="1:70" s="193" customFormat="1" ht="15.75" customHeight="1" thickBot="1" x14ac:dyDescent="0.3">
      <c r="A28" s="24">
        <v>14</v>
      </c>
      <c r="B28" s="64" t="s">
        <v>186</v>
      </c>
      <c r="C28" s="65" t="s">
        <v>187</v>
      </c>
      <c r="D28" s="112">
        <v>5</v>
      </c>
      <c r="E28" s="113">
        <v>1</v>
      </c>
      <c r="F28" s="113">
        <v>1</v>
      </c>
      <c r="G28" s="116">
        <v>3</v>
      </c>
      <c r="H28" s="116"/>
      <c r="I28" s="115"/>
      <c r="J28" s="112"/>
      <c r="K28" s="113">
        <v>5</v>
      </c>
      <c r="L28" s="113">
        <v>11</v>
      </c>
      <c r="M28" s="116">
        <v>4</v>
      </c>
      <c r="N28" s="271">
        <v>2</v>
      </c>
      <c r="O28" s="257"/>
      <c r="P28" s="196"/>
      <c r="Q28" s="98"/>
      <c r="R28" s="98"/>
      <c r="S28" s="98"/>
      <c r="T28" s="99">
        <v>8</v>
      </c>
      <c r="U28" s="99"/>
      <c r="V28" s="197"/>
      <c r="W28" s="101"/>
      <c r="X28" s="101"/>
      <c r="Y28" s="101"/>
      <c r="Z28" s="101"/>
      <c r="AA28" s="102"/>
      <c r="AB28" s="103">
        <f t="shared" si="14"/>
        <v>5</v>
      </c>
      <c r="AC28" s="104">
        <f t="shared" si="15"/>
        <v>6</v>
      </c>
      <c r="AD28" s="104">
        <f t="shared" si="16"/>
        <v>12</v>
      </c>
      <c r="AE28" s="104">
        <f t="shared" si="17"/>
        <v>7</v>
      </c>
      <c r="AF28" s="104">
        <f t="shared" si="18"/>
        <v>10</v>
      </c>
      <c r="AG28" s="117">
        <f t="shared" si="65"/>
        <v>0</v>
      </c>
      <c r="AH28" s="105">
        <f t="shared" si="66"/>
        <v>1</v>
      </c>
      <c r="AI28" s="105">
        <f t="shared" si="66"/>
        <v>0.46153846153846156</v>
      </c>
      <c r="AJ28" s="105">
        <f t="shared" si="66"/>
        <v>0.52173913043478259</v>
      </c>
      <c r="AK28" s="105">
        <f t="shared" si="66"/>
        <v>0.63636363636363635</v>
      </c>
      <c r="AL28" s="105">
        <f t="shared" si="66"/>
        <v>0.55555555555555558</v>
      </c>
      <c r="AM28" s="105">
        <f t="shared" si="66"/>
        <v>0</v>
      </c>
      <c r="AN28" s="132">
        <f>IF(OR(GradeSheet!$M23="W (Withdrawn)", GradeSheet!$M23="I (Incomplete)"), 0, IF(AH28&gt;=65%, 1, 0))</f>
        <v>1</v>
      </c>
      <c r="AO28" s="119">
        <f>IF(OR(GradeSheet!$M23="W (Withdrawn)", GradeSheet!$M23="I (Incomplete)"), 0, IF(AI28&gt;=65%, 1, 0))</f>
        <v>0</v>
      </c>
      <c r="AP28" s="120">
        <f>IF(OR(GradeSheet!$M26="W (Withdrawn)", GradeSheet!$M26="I (Incomplete)"), 0, IF(AJ28&gt;=65%, 1, 0))</f>
        <v>0</v>
      </c>
      <c r="AQ28" s="109">
        <f>IF(OR(GradeSheet!$M23="W (Withdrawn)", GradeSheet!$M23="I (Incomplete)"), 0, IF(AK28&gt;=65%, 1, 0))</f>
        <v>0</v>
      </c>
      <c r="AR28" s="109">
        <f>IF(OR(GradeSheet!$M23="W (Withdrawn)", GradeSheet!$M23="I (Incomplete)"), 0, IF(AL28&gt;=65%, 1, 0))</f>
        <v>0</v>
      </c>
      <c r="AS28" s="109">
        <f>IF(OR(GradeSheet!$M23="W (Withdrawn)", GradeSheet!$M23="I (Incomplete)"), 0, IF(AM28&gt;=65%, 1, 0))</f>
        <v>0</v>
      </c>
      <c r="AT28" s="74"/>
      <c r="AU28" s="110">
        <f>IF($AV$9=0,0,MMULT($AH28:$AM28, AV$3:AV$8)/$AV$9)</f>
        <v>0.66109253065774809</v>
      </c>
      <c r="AV28" s="110">
        <f>IF($AV$9=0,0,MMULT($AH28:$AM28, AW$3:AW$8)/$AV$9)</f>
        <v>0.72506559463081199</v>
      </c>
      <c r="AW28" s="121">
        <f t="shared" ref="AW28:AW36" si="67">IF($AX$9=0,0,MMULT($AH28:$AM28, AX$3:AX$8)/$AX$9)</f>
        <v>0.53864734299516903</v>
      </c>
      <c r="AX28" s="121">
        <f t="shared" ref="AX28:AX36" si="68">IF($AY$9=0,0,MMULT($AH28:$AM28, AY$3:AY$8)/$AY$9)</f>
        <v>0.67841458058849358</v>
      </c>
      <c r="AY28" s="121">
        <f t="shared" ref="AY28:AY36" si="69">IF($AZ$9=0,0,MMULT($AH28:$AM28, AZ$3:AZ$8)/$AZ$9)</f>
        <v>0.53864734299516903</v>
      </c>
      <c r="AZ28" s="121">
        <f t="shared" ref="AZ28:AZ36" si="70">IF($BA$9=0,0,MMULT($AH28:$AM28, BA$3:BA$8)/$BA$9)</f>
        <v>0.55555555555555558</v>
      </c>
      <c r="BA28" s="121">
        <f t="shared" ref="BA28:BA36" si="71">IF($BB$9=0,0,MMULT($AH28:$AM28, BB$3:BB$8)/$BB$9)</f>
        <v>0</v>
      </c>
      <c r="BB28" s="121">
        <f t="shared" ref="BB28:BB36" si="72">IF($BC$9=0,0,MMULT($AH28:$AM28, BC$3:BC$8)/$BC$9)</f>
        <v>0</v>
      </c>
      <c r="BC28" s="121">
        <f t="shared" ref="BC28:BC36" si="73">IF($BD$9=0,0,MMULT($AH28:$AM28, BD$3:BD$8)/$BD$9)</f>
        <v>0</v>
      </c>
      <c r="BD28" s="121">
        <f t="shared" ref="BD28:BD36" si="74">IF($BE$9=0,0,MMULT($AH28:$AM28, BE$3:BE$8)/$BE$9)</f>
        <v>0</v>
      </c>
      <c r="BE28" s="121">
        <f t="shared" ref="BE28:BE36" si="75">IF($BF$9=0,0,MMULT($AH28:$AM28, BF$3:BF$8)/$BF$9)</f>
        <v>0</v>
      </c>
      <c r="BF28" s="124">
        <f t="shared" ref="BF28:BF36" si="76">IF($BG$9=0,0,MMULT($AH28:$AM28, BG$3:BG$8)/$BG$9)</f>
        <v>0</v>
      </c>
      <c r="BG28" s="106">
        <f>IF(OR(GradeSheet!$M23="W (Withdrawn)", GradeSheet!$M23="I (Incomplete)"), 0, IF(AU28&gt;=65%, 1, 0))</f>
        <v>1</v>
      </c>
      <c r="BH28" s="106">
        <f>IF(OR(GradeSheet!$M23="W (Withdrawn)", GradeSheet!$M23="I (Incomplete)"), 0, IF(AV28&gt;=65%, 1, 0))</f>
        <v>1</v>
      </c>
      <c r="BI28" s="106">
        <f>IF(OR(GradeSheet!$M23="W (Withdrawn)", GradeSheet!$M23="I (Incomplete)"), 0, IF(AW28&gt;=65%, 1, 0))</f>
        <v>0</v>
      </c>
      <c r="BJ28" s="106">
        <f>IF(OR(GradeSheet!$M23="W (Withdrawn)", GradeSheet!$M23="I (Incomplete)"), 0, IF(AX28&gt;=65%, 1, 0))</f>
        <v>1</v>
      </c>
      <c r="BK28" s="106">
        <f>IF(OR(GradeSheet!$M23="W (Withdrawn)", GradeSheet!$M23="I (Incomplete)"), 0, IF(AY28&gt;=65%, 1, 0))</f>
        <v>0</v>
      </c>
      <c r="BL28" s="106">
        <f>IF(OR(GradeSheet!$M23="W (Withdrawn)", GradeSheet!$M23="I (Incomplete)"), 0, IF(AZ28&gt;=65%, 1, 0))</f>
        <v>0</v>
      </c>
      <c r="BM28" s="106">
        <f>IF(OR(GradeSheet!$M23="W (Withdrawn)", GradeSheet!$M23="I (Incomplete)"), 0, IF(BA28&gt;=65%, 1, 0))</f>
        <v>0</v>
      </c>
      <c r="BN28" s="106">
        <f>IF(OR(GradeSheet!$M23="W (Withdrawn)", GradeSheet!$M23="I (Incomplete)"), 0, IF(BB28&gt;=65%, 1, 0))</f>
        <v>0</v>
      </c>
      <c r="BO28" s="106">
        <f>IF(OR(GradeSheet!$M23="W (Withdrawn)", GradeSheet!$M23="I (Incomplete)"), 0, IF(BC28&gt;=65%, 1, 0))</f>
        <v>0</v>
      </c>
      <c r="BP28" s="106">
        <f>IF(OR(GradeSheet!$M23="W (Withdrawn)", GradeSheet!$M23="I (Incomplete)"), 0, IF(BD28&gt;=65%, 1, 0))</f>
        <v>0</v>
      </c>
      <c r="BQ28" s="106">
        <f>IF(OR(GradeSheet!$M23="W (Withdrawn)", GradeSheet!$M23="I (Incomplete)"), 0, IF(BE28&gt;=65%, 1, 0))</f>
        <v>0</v>
      </c>
      <c r="BR28" s="106">
        <f>IF(OR(GradeSheet!$M23="W (Withdrawn)", GradeSheet!$M23="I (Incomplete)"), 0, IF(BF28&gt;=65%, 1, 0))</f>
        <v>0</v>
      </c>
    </row>
    <row r="29" spans="1:70" s="193" customFormat="1" ht="15.75" customHeight="1" thickBot="1" x14ac:dyDescent="0.25">
      <c r="A29" s="111">
        <v>15</v>
      </c>
      <c r="B29" s="64" t="s">
        <v>193</v>
      </c>
      <c r="C29" s="65" t="s">
        <v>188</v>
      </c>
      <c r="D29" s="112">
        <v>2</v>
      </c>
      <c r="E29" s="113">
        <v>2</v>
      </c>
      <c r="F29" s="113">
        <v>4</v>
      </c>
      <c r="G29" s="116">
        <v>2</v>
      </c>
      <c r="H29" s="116"/>
      <c r="I29" s="115"/>
      <c r="J29" s="112"/>
      <c r="K29" s="113">
        <v>1</v>
      </c>
      <c r="L29" s="113">
        <v>11</v>
      </c>
      <c r="M29" s="116">
        <v>1</v>
      </c>
      <c r="N29" s="271">
        <v>6</v>
      </c>
      <c r="O29" s="257"/>
      <c r="P29" s="196"/>
      <c r="Q29" s="98"/>
      <c r="R29" s="98"/>
      <c r="S29" s="98"/>
      <c r="T29" s="99">
        <v>8</v>
      </c>
      <c r="U29" s="99"/>
      <c r="V29" s="197"/>
      <c r="W29" s="101"/>
      <c r="X29" s="101"/>
      <c r="Y29" s="101"/>
      <c r="Z29" s="101"/>
      <c r="AA29" s="102"/>
      <c r="AB29" s="103">
        <f t="shared" si="14"/>
        <v>2</v>
      </c>
      <c r="AC29" s="104">
        <f t="shared" si="15"/>
        <v>3</v>
      </c>
      <c r="AD29" s="104">
        <f t="shared" si="16"/>
        <v>15</v>
      </c>
      <c r="AE29" s="104">
        <f t="shared" si="17"/>
        <v>3</v>
      </c>
      <c r="AF29" s="104">
        <f t="shared" si="18"/>
        <v>14</v>
      </c>
      <c r="AG29" s="117">
        <f t="shared" si="65"/>
        <v>0</v>
      </c>
      <c r="AH29" s="105">
        <f t="shared" si="66"/>
        <v>0.4</v>
      </c>
      <c r="AI29" s="105">
        <f t="shared" si="66"/>
        <v>0.23076923076923078</v>
      </c>
      <c r="AJ29" s="105">
        <f t="shared" si="66"/>
        <v>0.65217391304347827</v>
      </c>
      <c r="AK29" s="105">
        <f t="shared" si="66"/>
        <v>0.27272727272727271</v>
      </c>
      <c r="AL29" s="105">
        <f t="shared" si="66"/>
        <v>0.77777777777777779</v>
      </c>
      <c r="AM29" s="105">
        <f t="shared" si="66"/>
        <v>0</v>
      </c>
      <c r="AN29" s="132">
        <f>IF(OR(GradeSheet!$M24="W (Withdrawn)", GradeSheet!$M24="I (Incomplete)"), 0, IF(AH29&gt;=65%, 1, 0))</f>
        <v>0</v>
      </c>
      <c r="AO29" s="107">
        <f>IF(OR(GradeSheet!$M24="W (Withdrawn)", GradeSheet!$M24="I (Incomplete)"), 0, IF(AI29&gt;=65%, 1, 0))</f>
        <v>0</v>
      </c>
      <c r="AP29" s="108">
        <f>IF(OR(GradeSheet!$M24="W (Withdrawn)", GradeSheet!$M24="I (Incomplete)"), 0, IF(AJ29&gt;=65%, 1, 0))</f>
        <v>1</v>
      </c>
      <c r="AQ29" s="109">
        <f>IF(OR(GradeSheet!$M24="W (Withdrawn)", GradeSheet!$M24="I (Incomplete)"), 0, IF(AK29&gt;=65%, 1, 0))</f>
        <v>0</v>
      </c>
      <c r="AR29" s="109">
        <f>IF(OR(GradeSheet!$M24="W (Withdrawn)", GradeSheet!$M24="I (Incomplete)"), 0, IF(AL29&gt;=65%, 1, 0))</f>
        <v>1</v>
      </c>
      <c r="AS29" s="109">
        <f>IF(OR(GradeSheet!$M24="W (Withdrawn)", GradeSheet!$M24="I (Incomplete)"), 0, IF(AM29&gt;=65%, 1, 0))</f>
        <v>0</v>
      </c>
      <c r="AT29" s="74"/>
      <c r="AU29" s="110">
        <f t="shared" ref="AU29:AU36" si="77">IF($AV$9=0,0,MMULT($AH29:$AM29, AV$3:AV$8)/$AV$9)</f>
        <v>0.42764771460423634</v>
      </c>
      <c r="AV29" s="121">
        <f t="shared" ref="AV29:AV36" si="78">IF($AW$9=0,0,MMULT($AH29:$AM29, AW$3:AW$8)/$AW$9)</f>
        <v>0.48336204857943987</v>
      </c>
      <c r="AW29" s="121">
        <f t="shared" si="67"/>
        <v>0.71497584541062809</v>
      </c>
      <c r="AX29" s="121">
        <f t="shared" si="68"/>
        <v>0.52566974088713225</v>
      </c>
      <c r="AY29" s="121">
        <f t="shared" si="69"/>
        <v>0.71497584541062809</v>
      </c>
      <c r="AZ29" s="121">
        <f t="shared" si="70"/>
        <v>0.77777777777777779</v>
      </c>
      <c r="BA29" s="121">
        <f t="shared" si="71"/>
        <v>0</v>
      </c>
      <c r="BB29" s="121">
        <f t="shared" si="72"/>
        <v>0</v>
      </c>
      <c r="BC29" s="121">
        <f t="shared" si="73"/>
        <v>0</v>
      </c>
      <c r="BD29" s="121">
        <f t="shared" si="74"/>
        <v>0</v>
      </c>
      <c r="BE29" s="121">
        <f t="shared" si="75"/>
        <v>0</v>
      </c>
      <c r="BF29" s="124">
        <f t="shared" si="76"/>
        <v>0</v>
      </c>
      <c r="BG29" s="106">
        <f>IF(OR(GradeSheet!$M24="W (Withdrawn)", GradeSheet!$M24="I (Incomplete)"), 0, IF(AU29&gt;=65%, 1, 0))</f>
        <v>0</v>
      </c>
      <c r="BH29" s="106">
        <f>IF(OR(GradeSheet!$M24="W (Withdrawn)", GradeSheet!$M24="I (Incomplete)"), 0, IF(AV29&gt;=65%, 1, 0))</f>
        <v>0</v>
      </c>
      <c r="BI29" s="106">
        <f>IF(OR(GradeSheet!$M24="W (Withdrawn)", GradeSheet!$M24="I (Incomplete)"), 0, IF(AW29&gt;=65%, 1, 0))</f>
        <v>1</v>
      </c>
      <c r="BJ29" s="106">
        <f>IF(OR(GradeSheet!$M24="W (Withdrawn)", GradeSheet!$M24="I (Incomplete)"), 0, IF(AX29&gt;=65%, 1, 0))</f>
        <v>0</v>
      </c>
      <c r="BK29" s="106">
        <f>IF(OR(GradeSheet!$M24="W (Withdrawn)", GradeSheet!$M24="I (Incomplete)"), 0, IF(AY29&gt;=65%, 1, 0))</f>
        <v>1</v>
      </c>
      <c r="BL29" s="106">
        <f>IF(OR(GradeSheet!$M24="W (Withdrawn)", GradeSheet!$M24="I (Incomplete)"), 0, IF(AZ29&gt;=65%, 1, 0))</f>
        <v>1</v>
      </c>
      <c r="BM29" s="106">
        <f>IF(OR(GradeSheet!$M24="W (Withdrawn)", GradeSheet!$M24="I (Incomplete)"), 0, IF(BA29&gt;=65%, 1, 0))</f>
        <v>0</v>
      </c>
      <c r="BN29" s="106">
        <f>IF(OR(GradeSheet!$M24="W (Withdrawn)", GradeSheet!$M24="I (Incomplete)"), 0, IF(BB29&gt;=65%, 1, 0))</f>
        <v>0</v>
      </c>
      <c r="BO29" s="106">
        <f>IF(OR(GradeSheet!$M24="W (Withdrawn)", GradeSheet!$M24="I (Incomplete)"), 0, IF(BC29&gt;=65%, 1, 0))</f>
        <v>0</v>
      </c>
      <c r="BP29" s="106">
        <f>IF(OR(GradeSheet!$M24="W (Withdrawn)", GradeSheet!$M24="I (Incomplete)"), 0, IF(BD29&gt;=65%, 1, 0))</f>
        <v>0</v>
      </c>
      <c r="BQ29" s="106">
        <f>IF(OR(GradeSheet!$M24="W (Withdrawn)", GradeSheet!$M24="I (Incomplete)"), 0, IF(BE29&gt;=65%, 1, 0))</f>
        <v>0</v>
      </c>
      <c r="BR29" s="106">
        <f>IF(OR(GradeSheet!$M24="W (Withdrawn)", GradeSheet!$M24="I (Incomplete)"), 0, IF(BF29&gt;=65%, 1, 0))</f>
        <v>0</v>
      </c>
    </row>
    <row r="30" spans="1:70" s="193" customFormat="1" ht="15.75" customHeight="1" thickBot="1" x14ac:dyDescent="0.25">
      <c r="A30" s="111">
        <v>16</v>
      </c>
      <c r="B30" s="64" t="s">
        <v>189</v>
      </c>
      <c r="C30" s="65" t="s">
        <v>190</v>
      </c>
      <c r="D30" s="112">
        <v>0</v>
      </c>
      <c r="E30" s="113">
        <v>0</v>
      </c>
      <c r="F30" s="113">
        <v>5</v>
      </c>
      <c r="G30" s="116">
        <v>0</v>
      </c>
      <c r="H30" s="116"/>
      <c r="I30" s="115"/>
      <c r="J30" s="112"/>
      <c r="K30" s="113">
        <v>0</v>
      </c>
      <c r="L30" s="113">
        <v>4</v>
      </c>
      <c r="M30" s="116">
        <v>0</v>
      </c>
      <c r="N30" s="271">
        <v>2</v>
      </c>
      <c r="O30" s="257"/>
      <c r="P30" s="196"/>
      <c r="Q30" s="98"/>
      <c r="R30" s="98"/>
      <c r="S30" s="98"/>
      <c r="T30" s="99">
        <v>8</v>
      </c>
      <c r="U30" s="99"/>
      <c r="V30" s="197"/>
      <c r="W30" s="101"/>
      <c r="X30" s="101"/>
      <c r="Y30" s="101"/>
      <c r="Z30" s="101"/>
      <c r="AA30" s="102"/>
      <c r="AB30" s="103">
        <f t="shared" si="14"/>
        <v>0</v>
      </c>
      <c r="AC30" s="104">
        <f t="shared" si="15"/>
        <v>0</v>
      </c>
      <c r="AD30" s="104">
        <f t="shared" si="16"/>
        <v>9</v>
      </c>
      <c r="AE30" s="104">
        <f t="shared" si="17"/>
        <v>0</v>
      </c>
      <c r="AF30" s="104">
        <f t="shared" si="18"/>
        <v>10</v>
      </c>
      <c r="AG30" s="117">
        <f t="shared" si="65"/>
        <v>0</v>
      </c>
      <c r="AH30" s="105">
        <f t="shared" si="66"/>
        <v>0</v>
      </c>
      <c r="AI30" s="105">
        <f t="shared" si="66"/>
        <v>0</v>
      </c>
      <c r="AJ30" s="105">
        <f t="shared" si="66"/>
        <v>0.39130434782608697</v>
      </c>
      <c r="AK30" s="105">
        <f t="shared" si="66"/>
        <v>0</v>
      </c>
      <c r="AL30" s="105">
        <f t="shared" si="66"/>
        <v>0.55555555555555558</v>
      </c>
      <c r="AM30" s="105">
        <f t="shared" si="66"/>
        <v>0</v>
      </c>
      <c r="AN30" s="132">
        <f>IF(OR(GradeSheet!$M25="W (Withdrawn)", GradeSheet!$M25="I (Incomplete)"), 0, IF(AH30&gt;=65%, 1, 0))</f>
        <v>0</v>
      </c>
      <c r="AO30" s="119">
        <f>IF(OR(GradeSheet!$M25="W (Withdrawn)", GradeSheet!$M25="I (Incomplete)"), 0, IF(AI30&gt;=65%, 1, 0))</f>
        <v>0</v>
      </c>
      <c r="AP30" s="120">
        <f>IF(OR(GradeSheet!$M25="W (Withdrawn)", GradeSheet!$M25="I (Incomplete)"), 0, IF(AJ30&gt;=65%, 1, 0))</f>
        <v>0</v>
      </c>
      <c r="AQ30" s="109">
        <f>IF(OR(GradeSheet!$M25="W (Withdrawn)", GradeSheet!$M25="I (Incomplete)"), 0, IF(AK30&gt;=65%, 1, 0))</f>
        <v>0</v>
      </c>
      <c r="AR30" s="109">
        <f>IF(OR(GradeSheet!$M25="W (Withdrawn)", GradeSheet!$M25="I (Incomplete)"), 0, IF(AL30&gt;=65%, 1, 0))</f>
        <v>0</v>
      </c>
      <c r="AS30" s="109">
        <f>IF(OR(GradeSheet!$M25="W (Withdrawn)", GradeSheet!$M25="I (Incomplete)"), 0, IF(AM30&gt;=65%, 1, 0))</f>
        <v>0</v>
      </c>
      <c r="AT30" s="74"/>
      <c r="AU30" s="110">
        <f t="shared" si="77"/>
        <v>0.13043478260869565</v>
      </c>
      <c r="AV30" s="121">
        <f t="shared" si="78"/>
        <v>0.23671497584541062</v>
      </c>
      <c r="AW30" s="121">
        <f t="shared" si="67"/>
        <v>0.47342995169082125</v>
      </c>
      <c r="AX30" s="121">
        <f t="shared" si="68"/>
        <v>0.23671497584541062</v>
      </c>
      <c r="AY30" s="121">
        <f t="shared" si="69"/>
        <v>0.47342995169082125</v>
      </c>
      <c r="AZ30" s="121">
        <f t="shared" si="70"/>
        <v>0.55555555555555558</v>
      </c>
      <c r="BA30" s="121">
        <f t="shared" si="71"/>
        <v>0</v>
      </c>
      <c r="BB30" s="121">
        <f t="shared" si="72"/>
        <v>0</v>
      </c>
      <c r="BC30" s="121">
        <f t="shared" si="73"/>
        <v>0</v>
      </c>
      <c r="BD30" s="121">
        <f t="shared" si="74"/>
        <v>0</v>
      </c>
      <c r="BE30" s="121">
        <f t="shared" si="75"/>
        <v>0</v>
      </c>
      <c r="BF30" s="124">
        <f t="shared" si="76"/>
        <v>0</v>
      </c>
      <c r="BG30" s="106">
        <f>IF(OR(GradeSheet!$M25="W (Withdrawn)", GradeSheet!$M25="I (Incomplete)"), 0, IF(AU30&gt;=65%, 1, 0))</f>
        <v>0</v>
      </c>
      <c r="BH30" s="106">
        <f>IF(OR(GradeSheet!$M25="W (Withdrawn)", GradeSheet!$M25="I (Incomplete)"), 0, IF(AV30&gt;=65%, 1, 0))</f>
        <v>0</v>
      </c>
      <c r="BI30" s="106">
        <f>IF(OR(GradeSheet!$M25="W (Withdrawn)", GradeSheet!$M25="I (Incomplete)"), 0, IF(AW30&gt;=65%, 1, 0))</f>
        <v>0</v>
      </c>
      <c r="BJ30" s="106">
        <f>IF(OR(GradeSheet!$M25="W (Withdrawn)", GradeSheet!$M25="I (Incomplete)"), 0, IF(AX30&gt;=65%, 1, 0))</f>
        <v>0</v>
      </c>
      <c r="BK30" s="106">
        <f>IF(OR(GradeSheet!$M25="W (Withdrawn)", GradeSheet!$M25="I (Incomplete)"), 0, IF(AY30&gt;=65%, 1, 0))</f>
        <v>0</v>
      </c>
      <c r="BL30" s="106">
        <f>IF(OR(GradeSheet!$M25="W (Withdrawn)", GradeSheet!$M25="I (Incomplete)"), 0, IF(AZ30&gt;=65%, 1, 0))</f>
        <v>0</v>
      </c>
      <c r="BM30" s="106">
        <f>IF(OR(GradeSheet!$M25="W (Withdrawn)", GradeSheet!$M25="I (Incomplete)"), 0, IF(BA30&gt;=65%, 1, 0))</f>
        <v>0</v>
      </c>
      <c r="BN30" s="106">
        <f>IF(OR(GradeSheet!$M25="W (Withdrawn)", GradeSheet!$M25="I (Incomplete)"), 0, IF(BB30&gt;=65%, 1, 0))</f>
        <v>0</v>
      </c>
      <c r="BO30" s="106">
        <f>IF(OR(GradeSheet!$M25="W (Withdrawn)", GradeSheet!$M25="I (Incomplete)"), 0, IF(BC30&gt;=65%, 1, 0))</f>
        <v>0</v>
      </c>
      <c r="BP30" s="106">
        <f>IF(OR(GradeSheet!$M25="W (Withdrawn)", GradeSheet!$M25="I (Incomplete)"), 0, IF(BD30&gt;=65%, 1, 0))</f>
        <v>0</v>
      </c>
      <c r="BQ30" s="106">
        <f>IF(OR(GradeSheet!$M25="W (Withdrawn)", GradeSheet!$M25="I (Incomplete)"), 0, IF(BE30&gt;=65%, 1, 0))</f>
        <v>0</v>
      </c>
      <c r="BR30" s="106">
        <f>IF(OR(GradeSheet!$M25="W (Withdrawn)", GradeSheet!$M25="I (Incomplete)"), 0, IF(BF30&gt;=65%, 1, 0))</f>
        <v>0</v>
      </c>
    </row>
    <row r="31" spans="1:70" s="193" customFormat="1" ht="15.75" customHeight="1" thickBot="1" x14ac:dyDescent="0.3">
      <c r="A31" s="24">
        <v>17</v>
      </c>
      <c r="B31" s="64" t="s">
        <v>191</v>
      </c>
      <c r="C31" s="65" t="s">
        <v>192</v>
      </c>
      <c r="D31" s="112">
        <v>1</v>
      </c>
      <c r="E31" s="113">
        <v>1</v>
      </c>
      <c r="F31" s="113">
        <v>5</v>
      </c>
      <c r="G31" s="116">
        <v>3</v>
      </c>
      <c r="H31" s="116"/>
      <c r="I31" s="115"/>
      <c r="J31" s="112"/>
      <c r="K31" s="113">
        <v>4</v>
      </c>
      <c r="L31" s="113">
        <v>13</v>
      </c>
      <c r="M31" s="116">
        <v>3</v>
      </c>
      <c r="N31" s="271">
        <v>6</v>
      </c>
      <c r="O31" s="257"/>
      <c r="P31" s="196"/>
      <c r="Q31" s="98"/>
      <c r="R31" s="98"/>
      <c r="S31" s="98"/>
      <c r="T31" s="99">
        <v>9</v>
      </c>
      <c r="U31" s="99"/>
      <c r="V31" s="197"/>
      <c r="W31" s="101"/>
      <c r="X31" s="101"/>
      <c r="Y31" s="101"/>
      <c r="Z31" s="101"/>
      <c r="AA31" s="102"/>
      <c r="AB31" s="103">
        <f t="shared" si="14"/>
        <v>1</v>
      </c>
      <c r="AC31" s="104">
        <f t="shared" si="15"/>
        <v>5</v>
      </c>
      <c r="AD31" s="104">
        <f t="shared" si="16"/>
        <v>18</v>
      </c>
      <c r="AE31" s="104">
        <f t="shared" si="17"/>
        <v>6</v>
      </c>
      <c r="AF31" s="104">
        <f t="shared" si="18"/>
        <v>15</v>
      </c>
      <c r="AG31" s="117">
        <f t="shared" si="65"/>
        <v>0</v>
      </c>
      <c r="AH31" s="105">
        <f t="shared" si="66"/>
        <v>0.2</v>
      </c>
      <c r="AI31" s="105">
        <f t="shared" si="66"/>
        <v>0.38461538461538464</v>
      </c>
      <c r="AJ31" s="105">
        <f t="shared" si="66"/>
        <v>0.78260869565217395</v>
      </c>
      <c r="AK31" s="105">
        <f t="shared" si="66"/>
        <v>0.54545454545454541</v>
      </c>
      <c r="AL31" s="105">
        <f t="shared" si="66"/>
        <v>0.83333333333333337</v>
      </c>
      <c r="AM31" s="105">
        <f t="shared" si="66"/>
        <v>0</v>
      </c>
      <c r="AN31" s="132">
        <f>IF(OR(GradeSheet!$M26="W (Withdrawn)", GradeSheet!$M26="I (Incomplete)"), 0, IF(AH31&gt;=65%, 1, 0))</f>
        <v>0</v>
      </c>
      <c r="AO31" s="107">
        <f>IF(OR(GradeSheet!$M26="W (Withdrawn)", GradeSheet!$M26="I (Incomplete)"), 0, IF(AI31&gt;=65%, 1, 0))</f>
        <v>0</v>
      </c>
      <c r="AP31" s="120">
        <f>IF(OR(GradeSheet!$M26="W (Withdrawn)", GradeSheet!$M26="I (Incomplete)"), 0, IF(AJ31&gt;=65%, 1, 0))</f>
        <v>1</v>
      </c>
      <c r="AQ31" s="109">
        <f>IF(OR(GradeSheet!$M26="W (Withdrawn)", GradeSheet!$M26="I (Incomplete)"), 0, IF(AK31&gt;=65%, 1, 0))</f>
        <v>0</v>
      </c>
      <c r="AR31" s="109">
        <f>IF(OR(GradeSheet!$M26="W (Withdrawn)", GradeSheet!$M26="I (Incomplete)"), 0, IF(AL31&gt;=65%, 1, 0))</f>
        <v>1</v>
      </c>
      <c r="AS31" s="109">
        <f>IF(OR(GradeSheet!$M26="W (Withdrawn)", GradeSheet!$M26="I (Incomplete)"), 0, IF(AM31&gt;=65%, 1, 0))</f>
        <v>0</v>
      </c>
      <c r="AT31" s="74"/>
      <c r="AU31" s="110">
        <f t="shared" si="77"/>
        <v>0.4557413600891862</v>
      </c>
      <c r="AV31" s="121">
        <f t="shared" si="78"/>
        <v>0.63650298976385933</v>
      </c>
      <c r="AW31" s="121">
        <f t="shared" si="67"/>
        <v>0.80797101449275366</v>
      </c>
      <c r="AX31" s="121">
        <f t="shared" si="68"/>
        <v>0.59034914361001323</v>
      </c>
      <c r="AY31" s="121">
        <f t="shared" si="69"/>
        <v>0.80797101449275366</v>
      </c>
      <c r="AZ31" s="121">
        <f t="shared" si="70"/>
        <v>0.83333333333333337</v>
      </c>
      <c r="BA31" s="121">
        <f t="shared" si="71"/>
        <v>0</v>
      </c>
      <c r="BB31" s="121">
        <f t="shared" si="72"/>
        <v>0</v>
      </c>
      <c r="BC31" s="121">
        <f t="shared" si="73"/>
        <v>0</v>
      </c>
      <c r="BD31" s="121">
        <f t="shared" si="74"/>
        <v>0</v>
      </c>
      <c r="BE31" s="121">
        <f t="shared" si="75"/>
        <v>0</v>
      </c>
      <c r="BF31" s="124">
        <f t="shared" si="76"/>
        <v>0</v>
      </c>
      <c r="BG31" s="106">
        <f>IF(OR(GradeSheet!$M26="W (Withdrawn)", GradeSheet!$M26="I (Incomplete)"), 0, IF(AU31&gt;=65%, 1, 0))</f>
        <v>0</v>
      </c>
      <c r="BH31" s="106">
        <f>IF(OR(GradeSheet!$M26="W (Withdrawn)", GradeSheet!$M26="I (Incomplete)"), 0, IF(AV31&gt;=65%, 1, 0))</f>
        <v>0</v>
      </c>
      <c r="BI31" s="106">
        <f>IF(OR(GradeSheet!$M26="W (Withdrawn)", GradeSheet!$M26="I (Incomplete)"), 0, IF(AW31&gt;=65%, 1, 0))</f>
        <v>1</v>
      </c>
      <c r="BJ31" s="106">
        <f>IF(OR(GradeSheet!$M26="W (Withdrawn)", GradeSheet!$M26="I (Incomplete)"), 0, IF(AX31&gt;=65%, 1, 0))</f>
        <v>0</v>
      </c>
      <c r="BK31" s="106">
        <f>IF(OR(GradeSheet!$M26="W (Withdrawn)", GradeSheet!$M26="I (Incomplete)"), 0, IF(AY31&gt;=65%, 1, 0))</f>
        <v>1</v>
      </c>
      <c r="BL31" s="106">
        <f>IF(OR(GradeSheet!$M26="W (Withdrawn)", GradeSheet!$M26="I (Incomplete)"), 0, IF(AZ31&gt;=65%, 1, 0))</f>
        <v>1</v>
      </c>
      <c r="BM31" s="106">
        <f>IF(OR(GradeSheet!$M26="W (Withdrawn)", GradeSheet!$M26="I (Incomplete)"), 0, IF(BA31&gt;=65%, 1, 0))</f>
        <v>0</v>
      </c>
      <c r="BN31" s="106">
        <f>IF(OR(GradeSheet!$M26="W (Withdrawn)", GradeSheet!$M26="I (Incomplete)"), 0, IF(BB31&gt;=65%, 1, 0))</f>
        <v>0</v>
      </c>
      <c r="BO31" s="106">
        <f>IF(OR(GradeSheet!$M26="W (Withdrawn)", GradeSheet!$M26="I (Incomplete)"), 0, IF(BC31&gt;=65%, 1, 0))</f>
        <v>0</v>
      </c>
      <c r="BP31" s="106">
        <f>IF(OR(GradeSheet!$M26="W (Withdrawn)", GradeSheet!$M26="I (Incomplete)"), 0, IF(BD31&gt;=65%, 1, 0))</f>
        <v>0</v>
      </c>
      <c r="BQ31" s="106">
        <f>IF(OR(GradeSheet!$M26="W (Withdrawn)", GradeSheet!$M26="I (Incomplete)"), 0, IF(BE31&gt;=65%, 1, 0))</f>
        <v>0</v>
      </c>
      <c r="BR31" s="106">
        <f>IF(OR(GradeSheet!$M26="W (Withdrawn)", GradeSheet!$M26="I (Incomplete)"), 0, IF(BF31&gt;=65%, 1, 0))</f>
        <v>0</v>
      </c>
    </row>
    <row r="32" spans="1:70" s="193" customFormat="1" ht="15.75" customHeight="1" thickBot="1" x14ac:dyDescent="0.25">
      <c r="A32" s="111">
        <v>18</v>
      </c>
      <c r="B32" s="64" t="s">
        <v>194</v>
      </c>
      <c r="C32" s="65" t="s">
        <v>195</v>
      </c>
      <c r="D32" s="112"/>
      <c r="E32" s="113"/>
      <c r="F32" s="113"/>
      <c r="G32" s="116"/>
      <c r="H32" s="116"/>
      <c r="I32" s="115"/>
      <c r="J32" s="112"/>
      <c r="K32" s="113"/>
      <c r="L32" s="113"/>
      <c r="M32" s="116"/>
      <c r="N32" s="271"/>
      <c r="O32" s="257"/>
      <c r="P32" s="196"/>
      <c r="Q32" s="98"/>
      <c r="R32" s="98"/>
      <c r="S32" s="98"/>
      <c r="T32" s="99"/>
      <c r="U32" s="99"/>
      <c r="V32" s="197"/>
      <c r="W32" s="101"/>
      <c r="X32" s="101"/>
      <c r="Y32" s="101"/>
      <c r="Z32" s="101"/>
      <c r="AA32" s="102"/>
      <c r="AB32" s="103">
        <f t="shared" si="14"/>
        <v>0</v>
      </c>
      <c r="AC32" s="104">
        <f t="shared" si="15"/>
        <v>0</v>
      </c>
      <c r="AD32" s="104">
        <f t="shared" si="16"/>
        <v>0</v>
      </c>
      <c r="AE32" s="104">
        <f t="shared" si="17"/>
        <v>0</v>
      </c>
      <c r="AF32" s="104">
        <f t="shared" si="18"/>
        <v>0</v>
      </c>
      <c r="AG32" s="144">
        <f t="shared" si="65"/>
        <v>0</v>
      </c>
      <c r="AH32" s="105">
        <f t="shared" si="66"/>
        <v>0</v>
      </c>
      <c r="AI32" s="105">
        <f t="shared" si="66"/>
        <v>0</v>
      </c>
      <c r="AJ32" s="105">
        <f t="shared" si="66"/>
        <v>0</v>
      </c>
      <c r="AK32" s="105">
        <f t="shared" si="66"/>
        <v>0</v>
      </c>
      <c r="AL32" s="105">
        <f t="shared" si="66"/>
        <v>0</v>
      </c>
      <c r="AM32" s="105">
        <f t="shared" si="66"/>
        <v>0</v>
      </c>
      <c r="AN32" s="132">
        <f>IF(OR(GradeSheet!$M27="W (Withdrawn)", GradeSheet!$M27="I (Incomplete)"), 0, IF(AH32&gt;=65%, 1, 0))</f>
        <v>0</v>
      </c>
      <c r="AO32" s="119">
        <f>IF(OR(GradeSheet!$M27="W (Withdrawn)", GradeSheet!$M27="I (Incomplete)"), 0, IF(AI32&gt;=65%, 1, 0))</f>
        <v>0</v>
      </c>
      <c r="AP32" s="120">
        <f>IF(OR(GradeSheet!$M30="W (Withdrawn)", GradeSheet!$M30="I (Incomplete)"), 0, IF(AJ32&gt;=65%, 1, 0))</f>
        <v>0</v>
      </c>
      <c r="AQ32" s="109">
        <f>IF(OR(GradeSheet!$M27="W (Withdrawn)", GradeSheet!$M27="I (Incomplete)"), 0, IF(AK32&gt;=65%, 1, 0))</f>
        <v>0</v>
      </c>
      <c r="AR32" s="109">
        <f>IF(OR(GradeSheet!$M27="W (Withdrawn)", GradeSheet!$M27="I (Incomplete)"), 0, IF(AL32&gt;=65%, 1, 0))</f>
        <v>0</v>
      </c>
      <c r="AS32" s="109">
        <f>IF(OR(GradeSheet!$M27="W (Withdrawn)", GradeSheet!$M27="I (Incomplete)"), 0, IF(AM32&gt;=65%, 1, 0))</f>
        <v>0</v>
      </c>
      <c r="AT32" s="74"/>
      <c r="AU32" s="110">
        <f t="shared" si="77"/>
        <v>0</v>
      </c>
      <c r="AV32" s="121">
        <f t="shared" si="78"/>
        <v>0</v>
      </c>
      <c r="AW32" s="121">
        <f t="shared" si="67"/>
        <v>0</v>
      </c>
      <c r="AX32" s="121">
        <f t="shared" si="68"/>
        <v>0</v>
      </c>
      <c r="AY32" s="121">
        <f t="shared" si="69"/>
        <v>0</v>
      </c>
      <c r="AZ32" s="121">
        <f t="shared" si="70"/>
        <v>0</v>
      </c>
      <c r="BA32" s="121">
        <f t="shared" si="71"/>
        <v>0</v>
      </c>
      <c r="BB32" s="121">
        <f t="shared" si="72"/>
        <v>0</v>
      </c>
      <c r="BC32" s="121">
        <f t="shared" si="73"/>
        <v>0</v>
      </c>
      <c r="BD32" s="121">
        <f t="shared" si="74"/>
        <v>0</v>
      </c>
      <c r="BE32" s="121">
        <f t="shared" si="75"/>
        <v>0</v>
      </c>
      <c r="BF32" s="124">
        <f t="shared" si="76"/>
        <v>0</v>
      </c>
      <c r="BG32" s="106">
        <f>IF(OR(GradeSheet!$M27="W (Withdrawn)", GradeSheet!$M27="I (Incomplete)"), 0, IF(AU32&gt;=65%, 1, 0))</f>
        <v>0</v>
      </c>
      <c r="BH32" s="106">
        <f>IF(OR(GradeSheet!$M27="W (Withdrawn)", GradeSheet!$M27="I (Incomplete)"), 0, IF(AV32&gt;=65%, 1, 0))</f>
        <v>0</v>
      </c>
      <c r="BI32" s="106">
        <f>IF(OR(GradeSheet!$M27="W (Withdrawn)", GradeSheet!$M27="I (Incomplete)"), 0, IF(AW32&gt;=65%, 1, 0))</f>
        <v>0</v>
      </c>
      <c r="BJ32" s="106">
        <f>IF(OR(GradeSheet!$M27="W (Withdrawn)", GradeSheet!$M27="I (Incomplete)"), 0, IF(AX32&gt;=65%, 1, 0))</f>
        <v>0</v>
      </c>
      <c r="BK32" s="106">
        <f>IF(OR(GradeSheet!$M27="W (Withdrawn)", GradeSheet!$M27="I (Incomplete)"), 0, IF(AY32&gt;=65%, 1, 0))</f>
        <v>0</v>
      </c>
      <c r="BL32" s="106">
        <f>IF(OR(GradeSheet!$M27="W (Withdrawn)", GradeSheet!$M27="I (Incomplete)"), 0, IF(AZ32&gt;=65%, 1, 0))</f>
        <v>0</v>
      </c>
      <c r="BM32" s="106">
        <f>IF(OR(GradeSheet!$M27="W (Withdrawn)", GradeSheet!$M27="I (Incomplete)"), 0, IF(BA32&gt;=65%, 1, 0))</f>
        <v>0</v>
      </c>
      <c r="BN32" s="106">
        <f>IF(OR(GradeSheet!$M27="W (Withdrawn)", GradeSheet!$M27="I (Incomplete)"), 0, IF(BB32&gt;=65%, 1, 0))</f>
        <v>0</v>
      </c>
      <c r="BO32" s="106">
        <f>IF(OR(GradeSheet!$M27="W (Withdrawn)", GradeSheet!$M27="I (Incomplete)"), 0, IF(BC32&gt;=65%, 1, 0))</f>
        <v>0</v>
      </c>
      <c r="BP32" s="106">
        <f>IF(OR(GradeSheet!$M27="W (Withdrawn)", GradeSheet!$M27="I (Incomplete)"), 0, IF(BD32&gt;=65%, 1, 0))</f>
        <v>0</v>
      </c>
      <c r="BQ32" s="106">
        <f>IF(OR(GradeSheet!$M27="W (Withdrawn)", GradeSheet!$M27="I (Incomplete)"), 0, IF(BE32&gt;=65%, 1, 0))</f>
        <v>0</v>
      </c>
      <c r="BR32" s="106">
        <f>IF(OR(GradeSheet!$M27="W (Withdrawn)", GradeSheet!$M27="I (Incomplete)"), 0, IF(BF32&gt;=65%, 1, 0))</f>
        <v>0</v>
      </c>
    </row>
    <row r="33" spans="1:70" s="193" customFormat="1" ht="15.75" customHeight="1" thickBot="1" x14ac:dyDescent="0.25">
      <c r="A33" s="111">
        <v>19</v>
      </c>
      <c r="B33" s="64" t="s">
        <v>196</v>
      </c>
      <c r="C33" s="65" t="s">
        <v>197</v>
      </c>
      <c r="D33" s="112">
        <v>1</v>
      </c>
      <c r="E33" s="113">
        <v>0</v>
      </c>
      <c r="F33" s="113">
        <v>4</v>
      </c>
      <c r="G33" s="116">
        <v>2</v>
      </c>
      <c r="H33" s="116"/>
      <c r="I33" s="115"/>
      <c r="J33" s="112"/>
      <c r="K33" s="113">
        <v>1</v>
      </c>
      <c r="L33" s="113">
        <v>12</v>
      </c>
      <c r="M33" s="116">
        <v>5</v>
      </c>
      <c r="N33" s="271">
        <v>2</v>
      </c>
      <c r="O33" s="257"/>
      <c r="P33" s="196"/>
      <c r="Q33" s="98"/>
      <c r="R33" s="98"/>
      <c r="S33" s="98"/>
      <c r="T33" s="99">
        <v>8</v>
      </c>
      <c r="U33" s="99"/>
      <c r="V33" s="197"/>
      <c r="W33" s="101"/>
      <c r="X33" s="101"/>
      <c r="Y33" s="101"/>
      <c r="Z33" s="101"/>
      <c r="AA33" s="102"/>
      <c r="AB33" s="103">
        <f t="shared" si="14"/>
        <v>1</v>
      </c>
      <c r="AC33" s="104">
        <f t="shared" si="15"/>
        <v>1</v>
      </c>
      <c r="AD33" s="104">
        <f t="shared" si="16"/>
        <v>16</v>
      </c>
      <c r="AE33" s="104">
        <f t="shared" si="17"/>
        <v>7</v>
      </c>
      <c r="AF33" s="104">
        <f t="shared" si="18"/>
        <v>10</v>
      </c>
      <c r="AG33" s="144">
        <f t="shared" si="65"/>
        <v>0</v>
      </c>
      <c r="AH33" s="105">
        <f t="shared" si="66"/>
        <v>0.2</v>
      </c>
      <c r="AI33" s="105">
        <f t="shared" si="66"/>
        <v>7.6923076923076927E-2</v>
      </c>
      <c r="AJ33" s="105">
        <f t="shared" si="66"/>
        <v>0.69565217391304346</v>
      </c>
      <c r="AK33" s="105">
        <f t="shared" si="66"/>
        <v>0.63636363636363635</v>
      </c>
      <c r="AL33" s="105">
        <f t="shared" si="66"/>
        <v>0.55555555555555558</v>
      </c>
      <c r="AM33" s="105">
        <f t="shared" si="66"/>
        <v>0</v>
      </c>
      <c r="AN33" s="132">
        <f>IF(OR(GradeSheet!$M28="W (Withdrawn)", GradeSheet!$M28="I (Incomplete)"), 0, IF(AH33&gt;=65%, 1, 0))</f>
        <v>0</v>
      </c>
      <c r="AO33" s="107">
        <f>IF(OR(GradeSheet!$M28="W (Withdrawn)", GradeSheet!$M28="I (Incomplete)"), 0, IF(AI33&gt;=65%, 1, 0))</f>
        <v>0</v>
      </c>
      <c r="AP33" s="108">
        <f>IF(OR(GradeSheet!$M28="W (Withdrawn)", GradeSheet!$M28="I (Incomplete)"), 0, IF(AJ33&gt;=65%, 1, 0))</f>
        <v>1</v>
      </c>
      <c r="AQ33" s="109">
        <f>IF(OR(GradeSheet!$M28="W (Withdrawn)", GradeSheet!$M28="I (Incomplete)"), 0, IF(AK33&gt;=65%, 1, 0))</f>
        <v>0</v>
      </c>
      <c r="AR33" s="109">
        <f>IF(OR(GradeSheet!$M28="W (Withdrawn)", GradeSheet!$M28="I (Incomplete)"), 0, IF(AL33&gt;=65%, 1, 0))</f>
        <v>0</v>
      </c>
      <c r="AS33" s="109">
        <f>IF(OR(GradeSheet!$M28="W (Withdrawn)", GradeSheet!$M28="I (Incomplete)"), 0, IF(AM33&gt;=65%, 1, 0))</f>
        <v>0</v>
      </c>
      <c r="AT33" s="74"/>
      <c r="AU33" s="110">
        <f t="shared" si="77"/>
        <v>0.32419175027870678</v>
      </c>
      <c r="AV33" s="121">
        <f t="shared" si="78"/>
        <v>0.49112361068882809</v>
      </c>
      <c r="AW33" s="121">
        <f t="shared" si="67"/>
        <v>0.62560386473429952</v>
      </c>
      <c r="AX33" s="121">
        <f t="shared" si="68"/>
        <v>0.52189284145805881</v>
      </c>
      <c r="AY33" s="121">
        <f t="shared" si="69"/>
        <v>0.62560386473429952</v>
      </c>
      <c r="AZ33" s="121">
        <f t="shared" si="70"/>
        <v>0.55555555555555558</v>
      </c>
      <c r="BA33" s="121">
        <f t="shared" si="71"/>
        <v>0</v>
      </c>
      <c r="BB33" s="121">
        <f t="shared" si="72"/>
        <v>0</v>
      </c>
      <c r="BC33" s="121">
        <f t="shared" si="73"/>
        <v>0</v>
      </c>
      <c r="BD33" s="121">
        <f t="shared" si="74"/>
        <v>0</v>
      </c>
      <c r="BE33" s="121">
        <f t="shared" si="75"/>
        <v>0</v>
      </c>
      <c r="BF33" s="124">
        <f t="shared" si="76"/>
        <v>0</v>
      </c>
      <c r="BG33" s="106">
        <f>IF(OR(GradeSheet!$M28="W (Withdrawn)", GradeSheet!$M28="I (Incomplete)"), 0, IF(AU33&gt;=65%, 1, 0))</f>
        <v>0</v>
      </c>
      <c r="BH33" s="106">
        <f>IF(OR(GradeSheet!$M28="W (Withdrawn)", GradeSheet!$M28="I (Incomplete)"), 0, IF(AV33&gt;=65%, 1, 0))</f>
        <v>0</v>
      </c>
      <c r="BI33" s="106">
        <f>IF(OR(GradeSheet!$M28="W (Withdrawn)", GradeSheet!$M28="I (Incomplete)"), 0, IF(AW33&gt;=65%, 1, 0))</f>
        <v>0</v>
      </c>
      <c r="BJ33" s="106">
        <f>IF(OR(GradeSheet!$M28="W (Withdrawn)", GradeSheet!$M28="I (Incomplete)"), 0, IF(AX33&gt;=65%, 1, 0))</f>
        <v>0</v>
      </c>
      <c r="BK33" s="106">
        <f>IF(OR(GradeSheet!$M28="W (Withdrawn)", GradeSheet!$M28="I (Incomplete)"), 0, IF(AY33&gt;=65%, 1, 0))</f>
        <v>0</v>
      </c>
      <c r="BL33" s="106">
        <f>IF(OR(GradeSheet!$M28="W (Withdrawn)", GradeSheet!$M28="I (Incomplete)"), 0, IF(AZ33&gt;=65%, 1, 0))</f>
        <v>0</v>
      </c>
      <c r="BM33" s="106">
        <f>IF(OR(GradeSheet!$M28="W (Withdrawn)", GradeSheet!$M28="I (Incomplete)"), 0, IF(BA33&gt;=65%, 1, 0))</f>
        <v>0</v>
      </c>
      <c r="BN33" s="106">
        <f>IF(OR(GradeSheet!$M28="W (Withdrawn)", GradeSheet!$M28="I (Incomplete)"), 0, IF(BB33&gt;=65%, 1, 0))</f>
        <v>0</v>
      </c>
      <c r="BO33" s="106">
        <f>IF(OR(GradeSheet!$M28="W (Withdrawn)", GradeSheet!$M28="I (Incomplete)"), 0, IF(BC33&gt;=65%, 1, 0))</f>
        <v>0</v>
      </c>
      <c r="BP33" s="106">
        <f>IF(OR(GradeSheet!$M28="W (Withdrawn)", GradeSheet!$M28="I (Incomplete)"), 0, IF(BD33&gt;=65%, 1, 0))</f>
        <v>0</v>
      </c>
      <c r="BQ33" s="106">
        <f>IF(OR(GradeSheet!$M28="W (Withdrawn)", GradeSheet!$M28="I (Incomplete)"), 0, IF(BE33&gt;=65%, 1, 0))</f>
        <v>0</v>
      </c>
      <c r="BR33" s="106">
        <f>IF(OR(GradeSheet!$M28="W (Withdrawn)", GradeSheet!$M28="I (Incomplete)"), 0, IF(BF33&gt;=65%, 1, 0))</f>
        <v>0</v>
      </c>
    </row>
    <row r="34" spans="1:70" s="193" customFormat="1" ht="15.75" customHeight="1" thickBot="1" x14ac:dyDescent="0.3">
      <c r="A34" s="24">
        <v>20</v>
      </c>
      <c r="B34" s="64" t="s">
        <v>198</v>
      </c>
      <c r="C34" s="65" t="s">
        <v>199</v>
      </c>
      <c r="D34" s="112">
        <v>2</v>
      </c>
      <c r="E34" s="113">
        <v>0</v>
      </c>
      <c r="F34" s="113">
        <v>1</v>
      </c>
      <c r="G34" s="116">
        <v>3</v>
      </c>
      <c r="H34" s="116"/>
      <c r="I34" s="115"/>
      <c r="J34" s="112"/>
      <c r="K34" s="113">
        <v>4</v>
      </c>
      <c r="L34" s="113">
        <v>14</v>
      </c>
      <c r="M34" s="116">
        <v>0</v>
      </c>
      <c r="N34" s="271">
        <v>6</v>
      </c>
      <c r="O34" s="257"/>
      <c r="P34" s="196"/>
      <c r="Q34" s="98"/>
      <c r="R34" s="98"/>
      <c r="S34" s="98"/>
      <c r="T34" s="99">
        <v>8</v>
      </c>
      <c r="U34" s="99"/>
      <c r="V34" s="197"/>
      <c r="W34" s="101"/>
      <c r="X34" s="101"/>
      <c r="Y34" s="101"/>
      <c r="Z34" s="101"/>
      <c r="AA34" s="102"/>
      <c r="AB34" s="103">
        <f t="shared" si="14"/>
        <v>2</v>
      </c>
      <c r="AC34" s="104">
        <f t="shared" si="15"/>
        <v>4</v>
      </c>
      <c r="AD34" s="104">
        <f t="shared" si="16"/>
        <v>15</v>
      </c>
      <c r="AE34" s="104">
        <f t="shared" si="17"/>
        <v>3</v>
      </c>
      <c r="AF34" s="104">
        <f t="shared" si="18"/>
        <v>14</v>
      </c>
      <c r="AG34" s="144">
        <f t="shared" si="65"/>
        <v>0</v>
      </c>
      <c r="AH34" s="105">
        <f t="shared" si="66"/>
        <v>0.4</v>
      </c>
      <c r="AI34" s="105">
        <f t="shared" si="66"/>
        <v>0.30769230769230771</v>
      </c>
      <c r="AJ34" s="105">
        <f t="shared" si="66"/>
        <v>0.65217391304347827</v>
      </c>
      <c r="AK34" s="105">
        <f t="shared" si="66"/>
        <v>0.27272727272727271</v>
      </c>
      <c r="AL34" s="105">
        <f t="shared" si="66"/>
        <v>0.77777777777777779</v>
      </c>
      <c r="AM34" s="105">
        <f t="shared" si="66"/>
        <v>0</v>
      </c>
      <c r="AN34" s="132">
        <f>IF(OR(GradeSheet!$M29="W (Withdrawn)", GradeSheet!$M29="I (Incomplete)"), 0, IF(AH34&gt;=65%, 1, 0))</f>
        <v>0</v>
      </c>
      <c r="AO34" s="119">
        <f>IF(OR(GradeSheet!$M29="W (Withdrawn)", GradeSheet!$M29="I (Incomplete)"), 0, IF(AI34&gt;=65%, 1, 0))</f>
        <v>0</v>
      </c>
      <c r="AP34" s="120">
        <f>IF(OR(GradeSheet!$M29="W (Withdrawn)", GradeSheet!$M29="I (Incomplete)"), 0, IF(AJ34&gt;=65%, 1, 0))</f>
        <v>1</v>
      </c>
      <c r="AQ34" s="109">
        <f>IF(OR(GradeSheet!$M29="W (Withdrawn)", GradeSheet!$M29="I (Incomplete)"), 0, IF(AK34&gt;=65%, 1, 0))</f>
        <v>0</v>
      </c>
      <c r="AR34" s="109">
        <f>IF(OR(GradeSheet!$M29="W (Withdrawn)", GradeSheet!$M29="I (Incomplete)"), 0, IF(AL34&gt;=65%, 1, 0))</f>
        <v>1</v>
      </c>
      <c r="AS34" s="109">
        <f>IF(OR(GradeSheet!$M29="W (Withdrawn)", GradeSheet!$M29="I (Incomplete)"), 0, IF(AM34&gt;=65%, 1, 0))</f>
        <v>0</v>
      </c>
      <c r="AT34" s="74"/>
      <c r="AU34" s="110">
        <f t="shared" si="77"/>
        <v>0.45328874024526195</v>
      </c>
      <c r="AV34" s="121">
        <f t="shared" si="78"/>
        <v>0.50259281781020915</v>
      </c>
      <c r="AW34" s="121">
        <f t="shared" si="67"/>
        <v>0.71497584541062809</v>
      </c>
      <c r="AX34" s="121">
        <f t="shared" si="68"/>
        <v>0.52566974088713225</v>
      </c>
      <c r="AY34" s="121">
        <f t="shared" si="69"/>
        <v>0.71497584541062809</v>
      </c>
      <c r="AZ34" s="121">
        <f t="shared" si="70"/>
        <v>0.77777777777777779</v>
      </c>
      <c r="BA34" s="121">
        <f t="shared" si="71"/>
        <v>0</v>
      </c>
      <c r="BB34" s="121">
        <f t="shared" si="72"/>
        <v>0</v>
      </c>
      <c r="BC34" s="121">
        <f t="shared" si="73"/>
        <v>0</v>
      </c>
      <c r="BD34" s="121">
        <f t="shared" si="74"/>
        <v>0</v>
      </c>
      <c r="BE34" s="121">
        <f t="shared" si="75"/>
        <v>0</v>
      </c>
      <c r="BF34" s="124">
        <f t="shared" si="76"/>
        <v>0</v>
      </c>
      <c r="BG34" s="106">
        <f>IF(OR(GradeSheet!$M29="W (Withdrawn)", GradeSheet!$M29="I (Incomplete)"), 0, IF(AU34&gt;=65%, 1, 0))</f>
        <v>0</v>
      </c>
      <c r="BH34" s="106">
        <f>IF(OR(GradeSheet!$M29="W (Withdrawn)", GradeSheet!$M29="I (Incomplete)"), 0, IF(AV34&gt;=65%, 1, 0))</f>
        <v>0</v>
      </c>
      <c r="BI34" s="106">
        <f>IF(OR(GradeSheet!$M29="W (Withdrawn)", GradeSheet!$M29="I (Incomplete)"), 0, IF(AW34&gt;=65%, 1, 0))</f>
        <v>1</v>
      </c>
      <c r="BJ34" s="106">
        <f>IF(OR(GradeSheet!$M29="W (Withdrawn)", GradeSheet!$M29="I (Incomplete)"), 0, IF(AX34&gt;=65%, 1, 0))</f>
        <v>0</v>
      </c>
      <c r="BK34" s="106">
        <f>IF(OR(GradeSheet!$M29="W (Withdrawn)", GradeSheet!$M29="I (Incomplete)"), 0, IF(AY34&gt;=65%, 1, 0))</f>
        <v>1</v>
      </c>
      <c r="BL34" s="106">
        <f>IF(OR(GradeSheet!$M29="W (Withdrawn)", GradeSheet!$M29="I (Incomplete)"), 0, IF(AZ34&gt;=65%, 1, 0))</f>
        <v>1</v>
      </c>
      <c r="BM34" s="106">
        <f>IF(OR(GradeSheet!$M29="W (Withdrawn)", GradeSheet!$M29="I (Incomplete)"), 0, IF(BA34&gt;=65%, 1, 0))</f>
        <v>0</v>
      </c>
      <c r="BN34" s="106">
        <f>IF(OR(GradeSheet!$M29="W (Withdrawn)", GradeSheet!$M29="I (Incomplete)"), 0, IF(BB34&gt;=65%, 1, 0))</f>
        <v>0</v>
      </c>
      <c r="BO34" s="106">
        <f>IF(OR(GradeSheet!$M29="W (Withdrawn)", GradeSheet!$M29="I (Incomplete)"), 0, IF(BC34&gt;=65%, 1, 0))</f>
        <v>0</v>
      </c>
      <c r="BP34" s="106">
        <f>IF(OR(GradeSheet!$M29="W (Withdrawn)", GradeSheet!$M29="I (Incomplete)"), 0, IF(BD34&gt;=65%, 1, 0))</f>
        <v>0</v>
      </c>
      <c r="BQ34" s="106">
        <f>IF(OR(GradeSheet!$M29="W (Withdrawn)", GradeSheet!$M29="I (Incomplete)"), 0, IF(BE34&gt;=65%, 1, 0))</f>
        <v>0</v>
      </c>
      <c r="BR34" s="106">
        <f>IF(OR(GradeSheet!$M29="W (Withdrawn)", GradeSheet!$M29="I (Incomplete)"), 0, IF(BF34&gt;=65%, 1, 0))</f>
        <v>0</v>
      </c>
    </row>
    <row r="35" spans="1:70" s="193" customFormat="1" ht="15.75" customHeight="1" thickBot="1" x14ac:dyDescent="0.25">
      <c r="A35" s="111">
        <v>21</v>
      </c>
      <c r="B35" s="64" t="s">
        <v>200</v>
      </c>
      <c r="C35" s="65" t="s">
        <v>201</v>
      </c>
      <c r="D35" s="112">
        <v>3</v>
      </c>
      <c r="E35" s="113">
        <v>1</v>
      </c>
      <c r="F35" s="113">
        <v>1</v>
      </c>
      <c r="G35" s="116">
        <v>3</v>
      </c>
      <c r="H35" s="116"/>
      <c r="I35" s="115"/>
      <c r="J35" s="112"/>
      <c r="K35" s="113">
        <v>1</v>
      </c>
      <c r="L35" s="113">
        <v>12</v>
      </c>
      <c r="M35" s="116">
        <v>5</v>
      </c>
      <c r="N35" s="271">
        <v>3</v>
      </c>
      <c r="O35" s="257"/>
      <c r="P35" s="196"/>
      <c r="Q35" s="98"/>
      <c r="R35" s="98"/>
      <c r="S35" s="98"/>
      <c r="T35" s="99">
        <v>8</v>
      </c>
      <c r="U35" s="99"/>
      <c r="V35" s="197"/>
      <c r="W35" s="101"/>
      <c r="X35" s="101"/>
      <c r="Y35" s="101"/>
      <c r="Z35" s="101"/>
      <c r="AA35" s="102"/>
      <c r="AB35" s="103">
        <f t="shared" si="14"/>
        <v>3</v>
      </c>
      <c r="AC35" s="104">
        <f t="shared" si="15"/>
        <v>2</v>
      </c>
      <c r="AD35" s="104">
        <f t="shared" si="16"/>
        <v>13</v>
      </c>
      <c r="AE35" s="104">
        <f t="shared" si="17"/>
        <v>8</v>
      </c>
      <c r="AF35" s="104">
        <f t="shared" si="18"/>
        <v>11</v>
      </c>
      <c r="AG35" s="144">
        <f t="shared" si="65"/>
        <v>0</v>
      </c>
      <c r="AH35" s="105">
        <f t="shared" si="66"/>
        <v>0.6</v>
      </c>
      <c r="AI35" s="105">
        <f t="shared" si="66"/>
        <v>0.15384615384615385</v>
      </c>
      <c r="AJ35" s="105">
        <f t="shared" si="66"/>
        <v>0.56521739130434778</v>
      </c>
      <c r="AK35" s="105">
        <f t="shared" si="66"/>
        <v>0.72727272727272729</v>
      </c>
      <c r="AL35" s="105">
        <f t="shared" si="66"/>
        <v>0.61111111111111116</v>
      </c>
      <c r="AM35" s="105">
        <f t="shared" si="66"/>
        <v>0</v>
      </c>
      <c r="AN35" s="132">
        <f>IF(OR(GradeSheet!$M30="W (Withdrawn)", GradeSheet!$M30="I (Incomplete)"), 0, IF(AH35&gt;=65%, 1, 0))</f>
        <v>0</v>
      </c>
      <c r="AO35" s="107">
        <f>IF(OR(GradeSheet!$M30="W (Withdrawn)", GradeSheet!$M30="I (Incomplete)"), 0, IF(AI35&gt;=65%, 1, 0))</f>
        <v>0</v>
      </c>
      <c r="AP35" s="120">
        <f>IF(OR(GradeSheet!$M30="W (Withdrawn)", GradeSheet!$M30="I (Incomplete)"), 0, IF(AJ35&gt;=65%, 1, 0))</f>
        <v>0</v>
      </c>
      <c r="AQ35" s="109">
        <f>IF(OR(GradeSheet!$M30="W (Withdrawn)", GradeSheet!$M30="I (Incomplete)"), 0, IF(AK35&gt;=65%, 1, 0))</f>
        <v>1</v>
      </c>
      <c r="AR35" s="109">
        <f>IF(OR(GradeSheet!$M30="W (Withdrawn)", GradeSheet!$M30="I (Incomplete)"), 0, IF(AL35&gt;=65%, 1, 0))</f>
        <v>0</v>
      </c>
      <c r="AS35" s="109">
        <f>IF(OR(GradeSheet!$M30="W (Withdrawn)", GradeSheet!$M30="I (Incomplete)"), 0, IF(AM35&gt;=65%, 1, 0))</f>
        <v>0</v>
      </c>
      <c r="AT35" s="74"/>
      <c r="AU35" s="110">
        <f t="shared" si="77"/>
        <v>0.4396878483835005</v>
      </c>
      <c r="AV35" s="121">
        <f t="shared" si="78"/>
        <v>0.51436184588358502</v>
      </c>
      <c r="AW35" s="121">
        <f t="shared" si="67"/>
        <v>0.58816425120772942</v>
      </c>
      <c r="AX35" s="121">
        <f t="shared" si="68"/>
        <v>0.62590030742204661</v>
      </c>
      <c r="AY35" s="121">
        <f t="shared" si="69"/>
        <v>0.58816425120772942</v>
      </c>
      <c r="AZ35" s="121">
        <f t="shared" si="70"/>
        <v>0.61111111111111116</v>
      </c>
      <c r="BA35" s="121">
        <f t="shared" si="71"/>
        <v>0</v>
      </c>
      <c r="BB35" s="121">
        <f t="shared" si="72"/>
        <v>0</v>
      </c>
      <c r="BC35" s="121">
        <f t="shared" si="73"/>
        <v>0</v>
      </c>
      <c r="BD35" s="121">
        <f t="shared" si="74"/>
        <v>0</v>
      </c>
      <c r="BE35" s="121">
        <f t="shared" si="75"/>
        <v>0</v>
      </c>
      <c r="BF35" s="124">
        <f t="shared" si="76"/>
        <v>0</v>
      </c>
      <c r="BG35" s="106">
        <f>IF(OR(GradeSheet!$M30="W (Withdrawn)", GradeSheet!$M30="I (Incomplete)"), 0, IF(AU35&gt;=65%, 1, 0))</f>
        <v>0</v>
      </c>
      <c r="BH35" s="106">
        <f>IF(OR(GradeSheet!$M30="W (Withdrawn)", GradeSheet!$M30="I (Incomplete)"), 0, IF(AV35&gt;=65%, 1, 0))</f>
        <v>0</v>
      </c>
      <c r="BI35" s="106">
        <f>IF(OR(GradeSheet!$M30="W (Withdrawn)", GradeSheet!$M30="I (Incomplete)"), 0, IF(AW35&gt;=65%, 1, 0))</f>
        <v>0</v>
      </c>
      <c r="BJ35" s="106">
        <f>IF(OR(GradeSheet!$M30="W (Withdrawn)", GradeSheet!$M30="I (Incomplete)"), 0, IF(AX35&gt;=65%, 1, 0))</f>
        <v>0</v>
      </c>
      <c r="BK35" s="106">
        <f>IF(OR(GradeSheet!$M30="W (Withdrawn)", GradeSheet!$M30="I (Incomplete)"), 0, IF(AY35&gt;=65%, 1, 0))</f>
        <v>0</v>
      </c>
      <c r="BL35" s="106">
        <f>IF(OR(GradeSheet!$M30="W (Withdrawn)", GradeSheet!$M30="I (Incomplete)"), 0, IF(AZ35&gt;=65%, 1, 0))</f>
        <v>0</v>
      </c>
      <c r="BM35" s="106">
        <f>IF(OR(GradeSheet!$M30="W (Withdrawn)", GradeSheet!$M30="I (Incomplete)"), 0, IF(BA35&gt;=65%, 1, 0))</f>
        <v>0</v>
      </c>
      <c r="BN35" s="106">
        <f>IF(OR(GradeSheet!$M30="W (Withdrawn)", GradeSheet!$M30="I (Incomplete)"), 0, IF(BB35&gt;=65%, 1, 0))</f>
        <v>0</v>
      </c>
      <c r="BO35" s="106">
        <f>IF(OR(GradeSheet!$M30="W (Withdrawn)", GradeSheet!$M30="I (Incomplete)"), 0, IF(BC35&gt;=65%, 1, 0))</f>
        <v>0</v>
      </c>
      <c r="BP35" s="106">
        <f>IF(OR(GradeSheet!$M30="W (Withdrawn)", GradeSheet!$M30="I (Incomplete)"), 0, IF(BD35&gt;=65%, 1, 0))</f>
        <v>0</v>
      </c>
      <c r="BQ35" s="106">
        <f>IF(OR(GradeSheet!$M30="W (Withdrawn)", GradeSheet!$M30="I (Incomplete)"), 0, IF(BE35&gt;=65%, 1, 0))</f>
        <v>0</v>
      </c>
      <c r="BR35" s="106">
        <f>IF(OR(GradeSheet!$M30="W (Withdrawn)", GradeSheet!$M30="I (Incomplete)"), 0, IF(BF35&gt;=65%, 1, 0))</f>
        <v>0</v>
      </c>
    </row>
    <row r="36" spans="1:70" s="193" customFormat="1" ht="15.75" customHeight="1" thickBot="1" x14ac:dyDescent="0.25">
      <c r="A36" s="111">
        <v>22</v>
      </c>
      <c r="B36" s="64" t="s">
        <v>202</v>
      </c>
      <c r="C36" s="65" t="s">
        <v>203</v>
      </c>
      <c r="D36" s="112">
        <v>2</v>
      </c>
      <c r="E36" s="113">
        <v>1.5</v>
      </c>
      <c r="F36" s="113">
        <v>4</v>
      </c>
      <c r="G36" s="116">
        <v>1</v>
      </c>
      <c r="H36" s="116"/>
      <c r="I36" s="115"/>
      <c r="J36" s="112"/>
      <c r="K36" s="113">
        <v>4</v>
      </c>
      <c r="L36" s="113">
        <v>11</v>
      </c>
      <c r="M36" s="116">
        <v>5</v>
      </c>
      <c r="N36" s="271">
        <v>4</v>
      </c>
      <c r="O36" s="257"/>
      <c r="P36" s="196"/>
      <c r="Q36" s="98"/>
      <c r="R36" s="98"/>
      <c r="S36" s="98"/>
      <c r="T36" s="99">
        <v>8</v>
      </c>
      <c r="U36" s="99"/>
      <c r="V36" s="197"/>
      <c r="W36" s="101"/>
      <c r="X36" s="101"/>
      <c r="Y36" s="101"/>
      <c r="Z36" s="101"/>
      <c r="AA36" s="102"/>
      <c r="AB36" s="103">
        <f t="shared" si="14"/>
        <v>2</v>
      </c>
      <c r="AC36" s="104">
        <f t="shared" si="15"/>
        <v>5.5</v>
      </c>
      <c r="AD36" s="104">
        <f t="shared" si="16"/>
        <v>15</v>
      </c>
      <c r="AE36" s="104">
        <f t="shared" si="17"/>
        <v>6</v>
      </c>
      <c r="AF36" s="104">
        <f t="shared" si="18"/>
        <v>12</v>
      </c>
      <c r="AG36" s="144">
        <f t="shared" si="65"/>
        <v>0</v>
      </c>
      <c r="AH36" s="105">
        <f t="shared" si="66"/>
        <v>0.4</v>
      </c>
      <c r="AI36" s="105">
        <f t="shared" si="66"/>
        <v>0.42307692307692307</v>
      </c>
      <c r="AJ36" s="105">
        <f t="shared" si="66"/>
        <v>0.65217391304347827</v>
      </c>
      <c r="AK36" s="105">
        <f t="shared" si="66"/>
        <v>0.54545454545454541</v>
      </c>
      <c r="AL36" s="105">
        <f t="shared" si="66"/>
        <v>0.66666666666666663</v>
      </c>
      <c r="AM36" s="105">
        <f t="shared" si="66"/>
        <v>0</v>
      </c>
      <c r="AN36" s="132">
        <f>IF(OR(GradeSheet!$M31="W (Withdrawn)", GradeSheet!$M31="I (Incomplete)"), 0, IF(AH36&gt;=65%, 1, 0))</f>
        <v>0</v>
      </c>
      <c r="AO36" s="119">
        <f>IF(OR(GradeSheet!$M31="W (Withdrawn)", GradeSheet!$M31="I (Incomplete)"), 0, IF(AI36&gt;=65%, 1, 0))</f>
        <v>0</v>
      </c>
      <c r="AP36" s="120">
        <f>IF(OR(GradeSheet!$M34="W (Withdrawn)", GradeSheet!$M34="I (Incomplete)"), 0, IF(AJ36&gt;=65%, 1, 0))</f>
        <v>1</v>
      </c>
      <c r="AQ36" s="109">
        <f>IF(OR(GradeSheet!$M31="W (Withdrawn)", GradeSheet!$M31="I (Incomplete)"), 0, IF(AK36&gt;=65%, 1, 0))</f>
        <v>0</v>
      </c>
      <c r="AR36" s="109">
        <f>IF(OR(GradeSheet!$M31="W (Withdrawn)", GradeSheet!$M31="I (Incomplete)"), 0, IF(AL36&gt;=65%, 1, 0))</f>
        <v>1</v>
      </c>
      <c r="AS36" s="109">
        <f>IF(OR(GradeSheet!$M31="W (Withdrawn)", GradeSheet!$M31="I (Incomplete)"), 0, IF(AM36&gt;=65%, 1, 0))</f>
        <v>0</v>
      </c>
      <c r="AT36" s="74"/>
      <c r="AU36" s="110">
        <f t="shared" si="77"/>
        <v>0.49175027870680044</v>
      </c>
      <c r="AV36" s="121">
        <f t="shared" si="78"/>
        <v>0.57184301206040333</v>
      </c>
      <c r="AW36" s="121">
        <f t="shared" si="67"/>
        <v>0.65942028985507251</v>
      </c>
      <c r="AX36" s="121">
        <f t="shared" si="68"/>
        <v>0.56607378129117258</v>
      </c>
      <c r="AY36" s="121">
        <f t="shared" si="69"/>
        <v>0.65942028985507251</v>
      </c>
      <c r="AZ36" s="121">
        <f t="shared" si="70"/>
        <v>0.66666666666666663</v>
      </c>
      <c r="BA36" s="121">
        <f t="shared" si="71"/>
        <v>0</v>
      </c>
      <c r="BB36" s="121">
        <f t="shared" si="72"/>
        <v>0</v>
      </c>
      <c r="BC36" s="121">
        <f t="shared" si="73"/>
        <v>0</v>
      </c>
      <c r="BD36" s="121">
        <f t="shared" si="74"/>
        <v>0</v>
      </c>
      <c r="BE36" s="121">
        <f t="shared" si="75"/>
        <v>0</v>
      </c>
      <c r="BF36" s="124">
        <f t="shared" si="76"/>
        <v>0</v>
      </c>
      <c r="BG36" s="106">
        <f>IF(OR(GradeSheet!$M31="W (Withdrawn)", GradeSheet!$M31="I (Incomplete)"), 0, IF(AU36&gt;=65%, 1, 0))</f>
        <v>0</v>
      </c>
      <c r="BH36" s="106">
        <f>IF(OR(GradeSheet!$M31="W (Withdrawn)", GradeSheet!$M31="I (Incomplete)"), 0, IF(AV36&gt;=65%, 1, 0))</f>
        <v>0</v>
      </c>
      <c r="BI36" s="106">
        <f>IF(OR(GradeSheet!$M31="W (Withdrawn)", GradeSheet!$M31="I (Incomplete)"), 0, IF(AW36&gt;=65%, 1, 0))</f>
        <v>1</v>
      </c>
      <c r="BJ36" s="106">
        <f>IF(OR(GradeSheet!$M31="W (Withdrawn)", GradeSheet!$M31="I (Incomplete)"), 0, IF(AX36&gt;=65%, 1, 0))</f>
        <v>0</v>
      </c>
      <c r="BK36" s="106">
        <f>IF(OR(GradeSheet!$M31="W (Withdrawn)", GradeSheet!$M31="I (Incomplete)"), 0, IF(AY36&gt;=65%, 1, 0))</f>
        <v>1</v>
      </c>
      <c r="BL36" s="106">
        <f>IF(OR(GradeSheet!$M31="W (Withdrawn)", GradeSheet!$M31="I (Incomplete)"), 0, IF(AZ36&gt;=65%, 1, 0))</f>
        <v>1</v>
      </c>
      <c r="BM36" s="106">
        <f>IF(OR(GradeSheet!$M31="W (Withdrawn)", GradeSheet!$M31="I (Incomplete)"), 0, IF(BA36&gt;=65%, 1, 0))</f>
        <v>0</v>
      </c>
      <c r="BN36" s="106">
        <f>IF(OR(GradeSheet!$M31="W (Withdrawn)", GradeSheet!$M31="I (Incomplete)"), 0, IF(BB36&gt;=65%, 1, 0))</f>
        <v>0</v>
      </c>
      <c r="BO36" s="106">
        <f>IF(OR(GradeSheet!$M31="W (Withdrawn)", GradeSheet!$M31="I (Incomplete)"), 0, IF(BC36&gt;=65%, 1, 0))</f>
        <v>0</v>
      </c>
      <c r="BP36" s="106">
        <f>IF(OR(GradeSheet!$M31="W (Withdrawn)", GradeSheet!$M31="I (Incomplete)"), 0, IF(BD36&gt;=65%, 1, 0))</f>
        <v>0</v>
      </c>
      <c r="BQ36" s="106">
        <f>IF(OR(GradeSheet!$M31="W (Withdrawn)", GradeSheet!$M31="I (Incomplete)"), 0, IF(BE36&gt;=65%, 1, 0))</f>
        <v>0</v>
      </c>
      <c r="BR36" s="106">
        <f>IF(OR(GradeSheet!$M31="W (Withdrawn)", GradeSheet!$M31="I (Incomplete)"), 0, IF(BF36&gt;=65%, 1, 0))</f>
        <v>0</v>
      </c>
    </row>
    <row r="37" spans="1:70" s="193" customFormat="1" ht="15.75" customHeight="1" thickBot="1" x14ac:dyDescent="0.3">
      <c r="A37" s="24">
        <v>23</v>
      </c>
      <c r="B37" s="64" t="s">
        <v>204</v>
      </c>
      <c r="C37" s="65" t="s">
        <v>205</v>
      </c>
      <c r="D37" s="112">
        <v>3</v>
      </c>
      <c r="E37" s="113">
        <v>2</v>
      </c>
      <c r="F37" s="113">
        <v>4</v>
      </c>
      <c r="G37" s="116">
        <v>2</v>
      </c>
      <c r="H37" s="116"/>
      <c r="I37" s="115"/>
      <c r="J37" s="112"/>
      <c r="K37" s="113">
        <v>3</v>
      </c>
      <c r="L37" s="113">
        <v>15</v>
      </c>
      <c r="M37" s="116">
        <v>3</v>
      </c>
      <c r="N37" s="271">
        <v>2</v>
      </c>
      <c r="O37" s="257"/>
      <c r="P37" s="196"/>
      <c r="Q37" s="98"/>
      <c r="R37" s="98"/>
      <c r="S37" s="98"/>
      <c r="T37" s="99">
        <v>8</v>
      </c>
      <c r="U37" s="99"/>
      <c r="V37" s="197"/>
      <c r="W37" s="101"/>
      <c r="X37" s="101"/>
      <c r="Y37" s="101"/>
      <c r="Z37" s="101"/>
      <c r="AA37" s="102"/>
      <c r="AB37" s="103">
        <f t="shared" si="14"/>
        <v>3</v>
      </c>
      <c r="AC37" s="104">
        <f t="shared" si="15"/>
        <v>5</v>
      </c>
      <c r="AD37" s="104">
        <f t="shared" si="16"/>
        <v>19</v>
      </c>
      <c r="AE37" s="104">
        <f t="shared" si="17"/>
        <v>5</v>
      </c>
      <c r="AF37" s="104">
        <f t="shared" si="18"/>
        <v>10</v>
      </c>
      <c r="AG37" s="104">
        <f t="shared" si="65"/>
        <v>0</v>
      </c>
      <c r="AH37" s="105">
        <f t="shared" si="66"/>
        <v>0.6</v>
      </c>
      <c r="AI37" s="105">
        <f t="shared" si="66"/>
        <v>0.38461538461538464</v>
      </c>
      <c r="AJ37" s="105">
        <f t="shared" si="66"/>
        <v>0.82608695652173914</v>
      </c>
      <c r="AK37" s="105">
        <f t="shared" si="66"/>
        <v>0.45454545454545453</v>
      </c>
      <c r="AL37" s="105">
        <f t="shared" si="66"/>
        <v>0.55555555555555558</v>
      </c>
      <c r="AM37" s="105">
        <f t="shared" si="66"/>
        <v>0</v>
      </c>
      <c r="AN37" s="132">
        <f>IF(OR(GradeSheet!$M32="W (Withdrawn)", GradeSheet!$M32="I (Incomplete)"), 0, IF(AH37&gt;=65%, 1, 0))</f>
        <v>0</v>
      </c>
      <c r="AO37" s="107">
        <f>IF(OR(GradeSheet!$M32="W (Withdrawn)", GradeSheet!$M32="I (Incomplete)"), 0, IF(AI37&gt;=65%, 1, 0))</f>
        <v>0</v>
      </c>
      <c r="AP37" s="108">
        <f>IF(OR(GradeSheet!$M32="W (Withdrawn)", GradeSheet!$M32="I (Incomplete)"), 0, IF(AJ37&gt;=65%, 1, 0))</f>
        <v>1</v>
      </c>
      <c r="AQ37" s="109">
        <f>IF(OR(GradeSheet!$M32="W (Withdrawn)", GradeSheet!$M32="I (Incomplete)"), 0, IF(AK37&gt;=65%, 1, 0))</f>
        <v>0</v>
      </c>
      <c r="AR37" s="109">
        <f>IF(OR(GradeSheet!$M32="W (Withdrawn)", GradeSheet!$M32="I (Incomplete)"), 0, IF(AL37&gt;=65%, 1, 0))</f>
        <v>0</v>
      </c>
      <c r="AS37" s="109">
        <f>IF(OR(GradeSheet!$M32="W (Withdrawn)", GradeSheet!$M32="I (Incomplete)"), 0, IF(AM37&gt;=65%, 1, 0))</f>
        <v>0</v>
      </c>
      <c r="AT37" s="74"/>
      <c r="AU37" s="110">
        <f t="array" ref="AU37">IF($AV$9=0,0,MMULT($AH37:$AM37, AV$3:AV$8)/$AV$9)</f>
        <v>0.60356744704570797</v>
      </c>
      <c r="AV37" s="110">
        <f t="array" ref="AV37">IF($AW$9=0,0,MMULT($AH37:$AM37, AW$3:AW$8)/$AW$9)</f>
        <v>0.55520083780953344</v>
      </c>
      <c r="AW37" s="110">
        <f t="array" ref="AW37">IF($AX$9=0,0,MMULT($AH37:$AM37, AX$3:AX$8)/$AX$9)</f>
        <v>0.6908212560386473</v>
      </c>
      <c r="AX37" s="110">
        <f t="array" ref="AX37">IF($AY$9=0,0,MMULT($AH37:$AM37, AY$3:AY$8)/$AY$9)</f>
        <v>0.60904699165568732</v>
      </c>
      <c r="AY37" s="110">
        <f t="array" ref="AY37">IF($AZ$9=0,0,MMULT($AH37:$AM37, AZ$3:AZ$8)/$AZ$9)</f>
        <v>0.6908212560386473</v>
      </c>
      <c r="AZ37" s="110">
        <f t="array" ref="AZ37">IF($BA$9=0,0,MMULT($AH37:$AM37, BA$3:BA$8)/$BA$9)</f>
        <v>0.55555555555555558</v>
      </c>
      <c r="BA37" s="110">
        <f t="array" ref="BA37">IF($BB$9=0,0,MMULT($AH37:$AM37, BB$3:BB$8)/$BB$9)</f>
        <v>0</v>
      </c>
      <c r="BB37" s="110">
        <f t="array" ref="BB37">IF($BC$9=0,0,MMULT($AH37:$AM37, BC$3:BC$8)/$BC$9)</f>
        <v>0</v>
      </c>
      <c r="BC37" s="110">
        <f t="array" ref="BC37">IF($BD$9=0,0,MMULT($AH37:$AM37, BD$3:BD$8)/$BD$9)</f>
        <v>0</v>
      </c>
      <c r="BD37" s="110">
        <f t="array" ref="BD37">IF($BE$9=0,0,MMULT($AH37:$AM37, BE$3:BE$8)/$BE$9)</f>
        <v>0</v>
      </c>
      <c r="BE37" s="110">
        <f t="array" ref="BE37">IF($BF$9=0,0,MMULT($AH37:$AM37, BF$3:BF$8)/$BF$9)</f>
        <v>0</v>
      </c>
      <c r="BF37" s="110">
        <f t="array" ref="BF37">IF($BG$9=0,0,MMULT($AH37:$AM37, BG$3:BG$8)/$BG$9)</f>
        <v>0</v>
      </c>
      <c r="BG37" s="106">
        <f>IF(OR(GradeSheet!$M32="W (Withdrawn)", GradeSheet!$M32="I (Incomplete)"), 0, IF(AU37&gt;=65%, 1, 0))</f>
        <v>0</v>
      </c>
      <c r="BH37" s="106">
        <f>IF(OR(GradeSheet!$M32="W (Withdrawn)", GradeSheet!$M32="I (Incomplete)"), 0, IF(AV37&gt;=65%, 1, 0))</f>
        <v>0</v>
      </c>
      <c r="BI37" s="106">
        <f>IF(OR(GradeSheet!$M32="W (Withdrawn)", GradeSheet!$M32="I (Incomplete)"), 0, IF(AW37&gt;=65%, 1, 0))</f>
        <v>1</v>
      </c>
      <c r="BJ37" s="106">
        <f>IF(OR(GradeSheet!$M32="W (Withdrawn)", GradeSheet!$M32="I (Incomplete)"), 0, IF(AX37&gt;=65%, 1, 0))</f>
        <v>0</v>
      </c>
      <c r="BK37" s="106">
        <f>IF(OR(GradeSheet!$M32="W (Withdrawn)", GradeSheet!$M32="I (Incomplete)"), 0, IF(AY37&gt;=65%, 1, 0))</f>
        <v>1</v>
      </c>
      <c r="BL37" s="106">
        <f>IF(OR(GradeSheet!$M32="W (Withdrawn)", GradeSheet!$M32="I (Incomplete)"), 0, IF(AZ37&gt;=65%, 1, 0))</f>
        <v>0</v>
      </c>
      <c r="BM37" s="106">
        <f>IF(OR(GradeSheet!$M32="W (Withdrawn)", GradeSheet!$M32="I (Incomplete)"), 0, IF(BA37&gt;=65%, 1, 0))</f>
        <v>0</v>
      </c>
      <c r="BN37" s="106">
        <f>IF(OR(GradeSheet!$M32="W (Withdrawn)", GradeSheet!$M32="I (Incomplete)"), 0, IF(BB37&gt;=65%, 1, 0))</f>
        <v>0</v>
      </c>
      <c r="BO37" s="106">
        <f>IF(OR(GradeSheet!$M32="W (Withdrawn)", GradeSheet!$M32="I (Incomplete)"), 0, IF(BC37&gt;=65%, 1, 0))</f>
        <v>0</v>
      </c>
      <c r="BP37" s="106">
        <f>IF(OR(GradeSheet!$M32="W (Withdrawn)", GradeSheet!$M32="I (Incomplete)"), 0, IF(BD37&gt;=65%, 1, 0))</f>
        <v>0</v>
      </c>
      <c r="BQ37" s="106">
        <f>IF(OR(GradeSheet!$M32="W (Withdrawn)", GradeSheet!$M32="I (Incomplete)"), 0, IF(BE37&gt;=65%, 1, 0))</f>
        <v>0</v>
      </c>
      <c r="BR37" s="106">
        <f>IF(OR(GradeSheet!$M32="W (Withdrawn)", GradeSheet!$M32="I (Incomplete)"), 0, IF(BF37&gt;=65%, 1, 0))</f>
        <v>0</v>
      </c>
    </row>
    <row r="38" spans="1:70" s="193" customFormat="1" ht="15.75" customHeight="1" thickBot="1" x14ac:dyDescent="0.25">
      <c r="A38" s="111">
        <v>24</v>
      </c>
      <c r="B38" s="64" t="s">
        <v>208</v>
      </c>
      <c r="C38" s="65" t="s">
        <v>209</v>
      </c>
      <c r="D38" s="112">
        <v>2</v>
      </c>
      <c r="E38" s="113">
        <v>3</v>
      </c>
      <c r="F38" s="113">
        <v>5</v>
      </c>
      <c r="G38" s="116">
        <v>5</v>
      </c>
      <c r="H38" s="116"/>
      <c r="I38" s="115"/>
      <c r="J38" s="112"/>
      <c r="K38" s="113">
        <v>5</v>
      </c>
      <c r="L38" s="113">
        <v>3</v>
      </c>
      <c r="M38" s="116">
        <v>4</v>
      </c>
      <c r="N38" s="271">
        <v>2</v>
      </c>
      <c r="O38" s="257"/>
      <c r="P38" s="196"/>
      <c r="Q38" s="98"/>
      <c r="R38" s="98"/>
      <c r="S38" s="98"/>
      <c r="T38" s="99">
        <v>8</v>
      </c>
      <c r="U38" s="99"/>
      <c r="V38" s="197"/>
      <c r="W38" s="101"/>
      <c r="X38" s="101"/>
      <c r="Y38" s="101"/>
      <c r="Z38" s="101"/>
      <c r="AA38" s="102"/>
      <c r="AB38" s="103">
        <f t="shared" si="14"/>
        <v>2</v>
      </c>
      <c r="AC38" s="104">
        <f t="shared" si="15"/>
        <v>8</v>
      </c>
      <c r="AD38" s="104">
        <f t="shared" si="16"/>
        <v>8</v>
      </c>
      <c r="AE38" s="104">
        <f t="shared" si="17"/>
        <v>9</v>
      </c>
      <c r="AF38" s="104">
        <f t="shared" si="18"/>
        <v>10</v>
      </c>
      <c r="AG38" s="117">
        <f t="shared" si="65"/>
        <v>0</v>
      </c>
      <c r="AH38" s="105">
        <f t="shared" si="66"/>
        <v>0.4</v>
      </c>
      <c r="AI38" s="105">
        <f t="shared" si="66"/>
        <v>0.61538461538461542</v>
      </c>
      <c r="AJ38" s="105">
        <f t="shared" si="66"/>
        <v>0.34782608695652173</v>
      </c>
      <c r="AK38" s="105">
        <f t="shared" si="66"/>
        <v>0.81818181818181823</v>
      </c>
      <c r="AL38" s="105">
        <f t="shared" si="66"/>
        <v>0.55555555555555558</v>
      </c>
      <c r="AM38" s="105">
        <f t="shared" si="66"/>
        <v>0</v>
      </c>
      <c r="AN38" s="132">
        <f>IF(OR(GradeSheet!$M33="W (Withdrawn)", GradeSheet!$M33="I (Incomplete)"), 0, IF(AH38&gt;=65%, 1, 0))</f>
        <v>0</v>
      </c>
      <c r="AO38" s="119">
        <f>IF(OR(GradeSheet!$M33="W (Withdrawn)", GradeSheet!$M33="I (Incomplete)"), 0, IF(AI38&gt;=65%, 1, 0))</f>
        <v>0</v>
      </c>
      <c r="AP38" s="120">
        <f>IF(OR(GradeSheet!$M33="W (Withdrawn)", GradeSheet!$M33="I (Incomplete)"), 0, IF(AJ38&gt;=65%, 1, 0))</f>
        <v>0</v>
      </c>
      <c r="AQ38" s="109">
        <f>IF(OR(GradeSheet!$M33="W (Withdrawn)", GradeSheet!$M33="I (Incomplete)"), 0, IF(AK38&gt;=65%, 1, 0))</f>
        <v>1</v>
      </c>
      <c r="AR38" s="109">
        <f>IF(OR(GradeSheet!$M33="W (Withdrawn)", GradeSheet!$M33="I (Incomplete)"), 0, IF(AL38&gt;=65%, 1, 0))</f>
        <v>0</v>
      </c>
      <c r="AS38" s="109">
        <f>IF(OR(GradeSheet!$M33="W (Withdrawn)", GradeSheet!$M33="I (Incomplete)"), 0, IF(AM38&gt;=65%, 1, 0))</f>
        <v>0</v>
      </c>
      <c r="AT38" s="74"/>
      <c r="AU38" s="110">
        <f>IF($AV$9=0,0,MMULT($AH38:$AM38, AV$3:AV$8)/$AV$9)</f>
        <v>0.45440356744704569</v>
      </c>
      <c r="AV38" s="110">
        <f>IF($AV$9=0,0,MMULT($AH38:$AM38, AW$3:AW$8)/$AV$9)</f>
        <v>0.77898269202617032</v>
      </c>
      <c r="AW38" s="121">
        <f t="shared" ref="AW38:AW42" si="79">IF($AX$9=0,0,MMULT($AH38:$AM38, AX$3:AX$8)/$AX$9)</f>
        <v>0.45169082125603865</v>
      </c>
      <c r="AX38" s="121">
        <f t="shared" ref="AX38:AX42" si="80">IF($AY$9=0,0,MMULT($AH38:$AM38, AY$3:AY$8)/$AY$9)</f>
        <v>0.53039086517347389</v>
      </c>
      <c r="AY38" s="121">
        <f t="shared" ref="AY38:AY42" si="81">IF($AZ$9=0,0,MMULT($AH38:$AM38, AZ$3:AZ$8)/$AZ$9)</f>
        <v>0.45169082125603865</v>
      </c>
      <c r="AZ38" s="121">
        <f t="shared" ref="AZ38:AZ42" si="82">IF($BA$9=0,0,MMULT($AH38:$AM38, BA$3:BA$8)/$BA$9)</f>
        <v>0.55555555555555558</v>
      </c>
      <c r="BA38" s="121">
        <f t="shared" ref="BA38:BA42" si="83">IF($BB$9=0,0,MMULT($AH38:$AM38, BB$3:BB$8)/$BB$9)</f>
        <v>0</v>
      </c>
      <c r="BB38" s="121">
        <f t="shared" ref="BB38:BB42" si="84">IF($BC$9=0,0,MMULT($AH38:$AM38, BC$3:BC$8)/$BC$9)</f>
        <v>0</v>
      </c>
      <c r="BC38" s="121">
        <f t="shared" ref="BC38:BC42" si="85">IF($BD$9=0,0,MMULT($AH38:$AM38, BD$3:BD$8)/$BD$9)</f>
        <v>0</v>
      </c>
      <c r="BD38" s="121">
        <f t="shared" ref="BD38:BD42" si="86">IF($BE$9=0,0,MMULT($AH38:$AM38, BE$3:BE$8)/$BE$9)</f>
        <v>0</v>
      </c>
      <c r="BE38" s="121">
        <f t="shared" ref="BE38:BE42" si="87">IF($BF$9=0,0,MMULT($AH38:$AM38, BF$3:BF$8)/$BF$9)</f>
        <v>0</v>
      </c>
      <c r="BF38" s="124">
        <f t="shared" ref="BF38:BF42" si="88">IF($BG$9=0,0,MMULT($AH38:$AM38, BG$3:BG$8)/$BG$9)</f>
        <v>0</v>
      </c>
      <c r="BG38" s="106">
        <f>IF(OR(GradeSheet!$M33="W (Withdrawn)", GradeSheet!$M33="I (Incomplete)"), 0, IF(AU38&gt;=65%, 1, 0))</f>
        <v>0</v>
      </c>
      <c r="BH38" s="106">
        <f>IF(OR(GradeSheet!$M33="W (Withdrawn)", GradeSheet!$M33="I (Incomplete)"), 0, IF(AV38&gt;=65%, 1, 0))</f>
        <v>1</v>
      </c>
      <c r="BI38" s="106">
        <f>IF(OR(GradeSheet!$M33="W (Withdrawn)", GradeSheet!$M33="I (Incomplete)"), 0, IF(AW38&gt;=65%, 1, 0))</f>
        <v>0</v>
      </c>
      <c r="BJ38" s="106">
        <f>IF(OR(GradeSheet!$M33="W (Withdrawn)", GradeSheet!$M33="I (Incomplete)"), 0, IF(AX38&gt;=65%, 1, 0))</f>
        <v>0</v>
      </c>
      <c r="BK38" s="106">
        <f>IF(OR(GradeSheet!$M33="W (Withdrawn)", GradeSheet!$M33="I (Incomplete)"), 0, IF(AY38&gt;=65%, 1, 0))</f>
        <v>0</v>
      </c>
      <c r="BL38" s="106">
        <f>IF(OR(GradeSheet!$M33="W (Withdrawn)", GradeSheet!$M33="I (Incomplete)"), 0, IF(AZ38&gt;=65%, 1, 0))</f>
        <v>0</v>
      </c>
      <c r="BM38" s="106">
        <f>IF(OR(GradeSheet!$M33="W (Withdrawn)", GradeSheet!$M33="I (Incomplete)"), 0, IF(BA38&gt;=65%, 1, 0))</f>
        <v>0</v>
      </c>
      <c r="BN38" s="106">
        <f>IF(OR(GradeSheet!$M33="W (Withdrawn)", GradeSheet!$M33="I (Incomplete)"), 0, IF(BB38&gt;=65%, 1, 0))</f>
        <v>0</v>
      </c>
      <c r="BO38" s="106">
        <f>IF(OR(GradeSheet!$M33="W (Withdrawn)", GradeSheet!$M33="I (Incomplete)"), 0, IF(BC38&gt;=65%, 1, 0))</f>
        <v>0</v>
      </c>
      <c r="BP38" s="106">
        <f>IF(OR(GradeSheet!$M33="W (Withdrawn)", GradeSheet!$M33="I (Incomplete)"), 0, IF(BD38&gt;=65%, 1, 0))</f>
        <v>0</v>
      </c>
      <c r="BQ38" s="106">
        <f>IF(OR(GradeSheet!$M33="W (Withdrawn)", GradeSheet!$M33="I (Incomplete)"), 0, IF(BE38&gt;=65%, 1, 0))</f>
        <v>0</v>
      </c>
      <c r="BR38" s="106">
        <f>IF(OR(GradeSheet!$M33="W (Withdrawn)", GradeSheet!$M33="I (Incomplete)"), 0, IF(BF38&gt;=65%, 1, 0))</f>
        <v>0</v>
      </c>
    </row>
    <row r="39" spans="1:70" s="193" customFormat="1" ht="15.75" customHeight="1" thickBot="1" x14ac:dyDescent="0.25">
      <c r="A39" s="111">
        <v>25</v>
      </c>
      <c r="B39" s="64" t="s">
        <v>206</v>
      </c>
      <c r="C39" s="65" t="s">
        <v>207</v>
      </c>
      <c r="D39" s="112">
        <v>1</v>
      </c>
      <c r="E39" s="113">
        <v>1</v>
      </c>
      <c r="F39" s="113">
        <v>5</v>
      </c>
      <c r="G39" s="116">
        <v>4</v>
      </c>
      <c r="H39" s="116"/>
      <c r="I39" s="115"/>
      <c r="J39" s="112"/>
      <c r="K39" s="113">
        <v>3</v>
      </c>
      <c r="L39" s="113">
        <v>14</v>
      </c>
      <c r="M39" s="116">
        <v>6</v>
      </c>
      <c r="N39" s="271">
        <v>6</v>
      </c>
      <c r="O39" s="257"/>
      <c r="P39" s="196"/>
      <c r="Q39" s="98"/>
      <c r="R39" s="98"/>
      <c r="S39" s="98"/>
      <c r="T39" s="99">
        <v>9</v>
      </c>
      <c r="U39" s="99"/>
      <c r="V39" s="197"/>
      <c r="W39" s="101"/>
      <c r="X39" s="101"/>
      <c r="Y39" s="101"/>
      <c r="Z39" s="101"/>
      <c r="AA39" s="102"/>
      <c r="AB39" s="103">
        <f t="shared" si="14"/>
        <v>1</v>
      </c>
      <c r="AC39" s="104">
        <f t="shared" si="15"/>
        <v>4</v>
      </c>
      <c r="AD39" s="104">
        <f t="shared" si="16"/>
        <v>19</v>
      </c>
      <c r="AE39" s="104">
        <f t="shared" si="17"/>
        <v>10</v>
      </c>
      <c r="AF39" s="104">
        <f t="shared" si="18"/>
        <v>15</v>
      </c>
      <c r="AG39" s="117">
        <f t="shared" si="65"/>
        <v>0</v>
      </c>
      <c r="AH39" s="105">
        <f t="shared" si="66"/>
        <v>0.2</v>
      </c>
      <c r="AI39" s="105">
        <f t="shared" si="66"/>
        <v>0.30769230769230771</v>
      </c>
      <c r="AJ39" s="105">
        <f t="shared" si="66"/>
        <v>0.82608695652173914</v>
      </c>
      <c r="AK39" s="105">
        <f t="shared" si="66"/>
        <v>0.90909090909090906</v>
      </c>
      <c r="AL39" s="105">
        <f t="shared" si="66"/>
        <v>0.83333333333333337</v>
      </c>
      <c r="AM39" s="105">
        <f t="shared" si="66"/>
        <v>0</v>
      </c>
      <c r="AN39" s="132">
        <f>IF(OR(GradeSheet!$M34="W (Withdrawn)", GradeSheet!$M34="I (Incomplete)"), 0, IF(AH39&gt;=65%, 1, 0))</f>
        <v>0</v>
      </c>
      <c r="AO39" s="107">
        <f>IF(OR(GradeSheet!$M34="W (Withdrawn)", GradeSheet!$M34="I (Incomplete)"), 0, IF(AI39&gt;=65%, 1, 0))</f>
        <v>0</v>
      </c>
      <c r="AP39" s="120">
        <f>IF(OR(GradeSheet!$M34="W (Withdrawn)", GradeSheet!$M34="I (Incomplete)"), 0, IF(AJ39&gt;=65%, 1, 0))</f>
        <v>1</v>
      </c>
      <c r="AQ39" s="109">
        <f>IF(OR(GradeSheet!$M34="W (Withdrawn)", GradeSheet!$M34="I (Incomplete)"), 0, IF(AK39&gt;=65%, 1, 0))</f>
        <v>1</v>
      </c>
      <c r="AR39" s="109">
        <f>IF(OR(GradeSheet!$M34="W (Withdrawn)", GradeSheet!$M34="I (Incomplete)"), 0, IF(AL39&gt;=65%, 1, 0))</f>
        <v>1</v>
      </c>
      <c r="AS39" s="109">
        <f>IF(OR(GradeSheet!$M34="W (Withdrawn)", GradeSheet!$M34="I (Incomplete)"), 0, IF(AM39&gt;=65%, 1, 0))</f>
        <v>0</v>
      </c>
      <c r="AT39" s="74"/>
      <c r="AU39" s="110">
        <f t="shared" ref="AU39:AU42" si="89">IF($AV$9=0,0,MMULT($AH39:$AM39, AV$3:AV$8)/$AV$9)</f>
        <v>0.44459308807134895</v>
      </c>
      <c r="AV39" s="121">
        <f t="shared" ref="AV39:AV42" si="90">IF($AW$9=0,0,MMULT($AH39:$AM39, AW$3:AW$8)/$AW$9)</f>
        <v>0.71905087665957235</v>
      </c>
      <c r="AW39" s="121">
        <f t="shared" si="79"/>
        <v>0.82971014492753625</v>
      </c>
      <c r="AX39" s="121">
        <f t="shared" si="80"/>
        <v>0.69212779973649541</v>
      </c>
      <c r="AY39" s="121">
        <f t="shared" si="81"/>
        <v>0.82971014492753625</v>
      </c>
      <c r="AZ39" s="121">
        <f t="shared" si="82"/>
        <v>0.83333333333333337</v>
      </c>
      <c r="BA39" s="121">
        <f t="shared" si="83"/>
        <v>0</v>
      </c>
      <c r="BB39" s="121">
        <f t="shared" si="84"/>
        <v>0</v>
      </c>
      <c r="BC39" s="121">
        <f t="shared" si="85"/>
        <v>0</v>
      </c>
      <c r="BD39" s="121">
        <f t="shared" si="86"/>
        <v>0</v>
      </c>
      <c r="BE39" s="121">
        <f t="shared" si="87"/>
        <v>0</v>
      </c>
      <c r="BF39" s="124">
        <f t="shared" si="88"/>
        <v>0</v>
      </c>
      <c r="BG39" s="106">
        <f>IF(OR(GradeSheet!$M34="W (Withdrawn)", GradeSheet!$M34="I (Incomplete)"), 0, IF(AU39&gt;=65%, 1, 0))</f>
        <v>0</v>
      </c>
      <c r="BH39" s="106">
        <f>IF(OR(GradeSheet!$M34="W (Withdrawn)", GradeSheet!$M34="I (Incomplete)"), 0, IF(AV39&gt;=65%, 1, 0))</f>
        <v>1</v>
      </c>
      <c r="BI39" s="106">
        <f>IF(OR(GradeSheet!$M34="W (Withdrawn)", GradeSheet!$M34="I (Incomplete)"), 0, IF(AW39&gt;=65%, 1, 0))</f>
        <v>1</v>
      </c>
      <c r="BJ39" s="106">
        <f>IF(OR(GradeSheet!$M34="W (Withdrawn)", GradeSheet!$M34="I (Incomplete)"), 0, IF(AX39&gt;=65%, 1, 0))</f>
        <v>1</v>
      </c>
      <c r="BK39" s="106">
        <f>IF(OR(GradeSheet!$M34="W (Withdrawn)", GradeSheet!$M34="I (Incomplete)"), 0, IF(AY39&gt;=65%, 1, 0))</f>
        <v>1</v>
      </c>
      <c r="BL39" s="106">
        <f>IF(OR(GradeSheet!$M34="W (Withdrawn)", GradeSheet!$M34="I (Incomplete)"), 0, IF(AZ39&gt;=65%, 1, 0))</f>
        <v>1</v>
      </c>
      <c r="BM39" s="106">
        <f>IF(OR(GradeSheet!$M34="W (Withdrawn)", GradeSheet!$M34="I (Incomplete)"), 0, IF(BA39&gt;=65%, 1, 0))</f>
        <v>0</v>
      </c>
      <c r="BN39" s="106">
        <f>IF(OR(GradeSheet!$M34="W (Withdrawn)", GradeSheet!$M34="I (Incomplete)"), 0, IF(BB39&gt;=65%, 1, 0))</f>
        <v>0</v>
      </c>
      <c r="BO39" s="106">
        <f>IF(OR(GradeSheet!$M34="W (Withdrawn)", GradeSheet!$M34="I (Incomplete)"), 0, IF(BC39&gt;=65%, 1, 0))</f>
        <v>0</v>
      </c>
      <c r="BP39" s="106">
        <f>IF(OR(GradeSheet!$M34="W (Withdrawn)", GradeSheet!$M34="I (Incomplete)"), 0, IF(BD39&gt;=65%, 1, 0))</f>
        <v>0</v>
      </c>
      <c r="BQ39" s="106">
        <f>IF(OR(GradeSheet!$M34="W (Withdrawn)", GradeSheet!$M34="I (Incomplete)"), 0, IF(BE39&gt;=65%, 1, 0))</f>
        <v>0</v>
      </c>
      <c r="BR39" s="106">
        <f>IF(OR(GradeSheet!$M34="W (Withdrawn)", GradeSheet!$M34="I (Incomplete)"), 0, IF(BF39&gt;=65%, 1, 0))</f>
        <v>0</v>
      </c>
    </row>
    <row r="40" spans="1:70" s="193" customFormat="1" ht="15.75" customHeight="1" thickBot="1" x14ac:dyDescent="0.3">
      <c r="A40" s="24">
        <v>26</v>
      </c>
      <c r="B40" s="64" t="s">
        <v>210</v>
      </c>
      <c r="C40" s="65" t="s">
        <v>211</v>
      </c>
      <c r="D40" s="112">
        <v>0</v>
      </c>
      <c r="E40" s="113">
        <v>4</v>
      </c>
      <c r="F40" s="113">
        <v>2</v>
      </c>
      <c r="G40" s="116">
        <v>3</v>
      </c>
      <c r="H40" s="116"/>
      <c r="I40" s="115"/>
      <c r="J40" s="112"/>
      <c r="K40" s="113">
        <v>0</v>
      </c>
      <c r="L40" s="113">
        <v>8</v>
      </c>
      <c r="M40" s="116">
        <v>0</v>
      </c>
      <c r="N40" s="271">
        <v>3</v>
      </c>
      <c r="O40" s="257"/>
      <c r="P40" s="196"/>
      <c r="Q40" s="98"/>
      <c r="R40" s="98"/>
      <c r="S40" s="98"/>
      <c r="T40" s="99">
        <v>8</v>
      </c>
      <c r="U40" s="99"/>
      <c r="V40" s="197"/>
      <c r="W40" s="101"/>
      <c r="X40" s="101"/>
      <c r="Y40" s="101"/>
      <c r="Z40" s="101"/>
      <c r="AA40" s="102"/>
      <c r="AB40" s="103">
        <f t="shared" si="14"/>
        <v>0</v>
      </c>
      <c r="AC40" s="104">
        <f t="shared" si="15"/>
        <v>4</v>
      </c>
      <c r="AD40" s="104">
        <f t="shared" si="16"/>
        <v>10</v>
      </c>
      <c r="AE40" s="104">
        <f t="shared" si="17"/>
        <v>3</v>
      </c>
      <c r="AF40" s="104">
        <f t="shared" si="18"/>
        <v>11</v>
      </c>
      <c r="AG40" s="117">
        <f t="shared" si="65"/>
        <v>0</v>
      </c>
      <c r="AH40" s="105">
        <f t="shared" si="66"/>
        <v>0</v>
      </c>
      <c r="AI40" s="105">
        <f t="shared" si="66"/>
        <v>0.30769230769230771</v>
      </c>
      <c r="AJ40" s="105">
        <f t="shared" si="66"/>
        <v>0.43478260869565216</v>
      </c>
      <c r="AK40" s="105">
        <f t="shared" si="66"/>
        <v>0.27272727272727271</v>
      </c>
      <c r="AL40" s="105">
        <f t="shared" si="66"/>
        <v>0.61111111111111116</v>
      </c>
      <c r="AM40" s="105">
        <f t="shared" si="66"/>
        <v>0</v>
      </c>
      <c r="AN40" s="132">
        <f>IF(OR(GradeSheet!$M35="W (Withdrawn)", GradeSheet!$M35="I (Incomplete)"), 0, IF(AH40&gt;=65%, 1, 0))</f>
        <v>0</v>
      </c>
      <c r="AO40" s="119">
        <f>IF(OR(GradeSheet!$M35="W (Withdrawn)", GradeSheet!$M35="I (Incomplete)"), 0, IF(AI40&gt;=65%, 1, 0))</f>
        <v>0</v>
      </c>
      <c r="AP40" s="120">
        <f>IF(OR(GradeSheet!$M35="W (Withdrawn)", GradeSheet!$M35="I (Incomplete)"), 0, IF(AJ40&gt;=65%, 1, 0))</f>
        <v>0</v>
      </c>
      <c r="AQ40" s="109">
        <f>IF(OR(GradeSheet!$M35="W (Withdrawn)", GradeSheet!$M35="I (Incomplete)"), 0, IF(AK40&gt;=65%, 1, 0))</f>
        <v>0</v>
      </c>
      <c r="AR40" s="109">
        <f>IF(OR(GradeSheet!$M35="W (Withdrawn)", GradeSheet!$M35="I (Incomplete)"), 0, IF(AL40&gt;=65%, 1, 0))</f>
        <v>0</v>
      </c>
      <c r="AS40" s="109">
        <f>IF(OR(GradeSheet!$M35="W (Withdrawn)", GradeSheet!$M35="I (Incomplete)"), 0, IF(AM40&gt;=65%, 1, 0))</f>
        <v>0</v>
      </c>
      <c r="AT40" s="74"/>
      <c r="AU40" s="110">
        <f t="shared" si="89"/>
        <v>0.2474916387959866</v>
      </c>
      <c r="AV40" s="121">
        <f t="shared" si="90"/>
        <v>0.40657832505658592</v>
      </c>
      <c r="AW40" s="121">
        <f t="shared" si="79"/>
        <v>0.52294685990338163</v>
      </c>
      <c r="AX40" s="121">
        <f t="shared" si="80"/>
        <v>0.32965524813350899</v>
      </c>
      <c r="AY40" s="121">
        <f t="shared" si="81"/>
        <v>0.52294685990338163</v>
      </c>
      <c r="AZ40" s="121">
        <f t="shared" si="82"/>
        <v>0.61111111111111116</v>
      </c>
      <c r="BA40" s="121">
        <f t="shared" si="83"/>
        <v>0</v>
      </c>
      <c r="BB40" s="121">
        <f t="shared" si="84"/>
        <v>0</v>
      </c>
      <c r="BC40" s="121">
        <f t="shared" si="85"/>
        <v>0</v>
      </c>
      <c r="BD40" s="121">
        <f t="shared" si="86"/>
        <v>0</v>
      </c>
      <c r="BE40" s="121">
        <f t="shared" si="87"/>
        <v>0</v>
      </c>
      <c r="BF40" s="124">
        <f t="shared" si="88"/>
        <v>0</v>
      </c>
      <c r="BG40" s="106">
        <f>IF(OR(GradeSheet!$M35="W (Withdrawn)", GradeSheet!$M35="I (Incomplete)"), 0, IF(AU40&gt;=65%, 1, 0))</f>
        <v>0</v>
      </c>
      <c r="BH40" s="106">
        <f>IF(OR(GradeSheet!$M35="W (Withdrawn)", GradeSheet!$M35="I (Incomplete)"), 0, IF(AV40&gt;=65%, 1, 0))</f>
        <v>0</v>
      </c>
      <c r="BI40" s="106">
        <f>IF(OR(GradeSheet!$M35="W (Withdrawn)", GradeSheet!$M35="I (Incomplete)"), 0, IF(AW40&gt;=65%, 1, 0))</f>
        <v>0</v>
      </c>
      <c r="BJ40" s="106">
        <f>IF(OR(GradeSheet!$M35="W (Withdrawn)", GradeSheet!$M35="I (Incomplete)"), 0, IF(AX40&gt;=65%, 1, 0))</f>
        <v>0</v>
      </c>
      <c r="BK40" s="106">
        <f>IF(OR(GradeSheet!$M35="W (Withdrawn)", GradeSheet!$M35="I (Incomplete)"), 0, IF(AY40&gt;=65%, 1, 0))</f>
        <v>0</v>
      </c>
      <c r="BL40" s="106">
        <f>IF(OR(GradeSheet!$M35="W (Withdrawn)", GradeSheet!$M35="I (Incomplete)"), 0, IF(AZ40&gt;=65%, 1, 0))</f>
        <v>0</v>
      </c>
      <c r="BM40" s="106">
        <f>IF(OR(GradeSheet!$M35="W (Withdrawn)", GradeSheet!$M35="I (Incomplete)"), 0, IF(BA40&gt;=65%, 1, 0))</f>
        <v>0</v>
      </c>
      <c r="BN40" s="106">
        <f>IF(OR(GradeSheet!$M35="W (Withdrawn)", GradeSheet!$M35="I (Incomplete)"), 0, IF(BB40&gt;=65%, 1, 0))</f>
        <v>0</v>
      </c>
      <c r="BO40" s="106">
        <f>IF(OR(GradeSheet!$M35="W (Withdrawn)", GradeSheet!$M35="I (Incomplete)"), 0, IF(BC40&gt;=65%, 1, 0))</f>
        <v>0</v>
      </c>
      <c r="BP40" s="106">
        <f>IF(OR(GradeSheet!$M35="W (Withdrawn)", GradeSheet!$M35="I (Incomplete)"), 0, IF(BD40&gt;=65%, 1, 0))</f>
        <v>0</v>
      </c>
      <c r="BQ40" s="106">
        <f>IF(OR(GradeSheet!$M35="W (Withdrawn)", GradeSheet!$M35="I (Incomplete)"), 0, IF(BE40&gt;=65%, 1, 0))</f>
        <v>0</v>
      </c>
      <c r="BR40" s="106">
        <f>IF(OR(GradeSheet!$M35="W (Withdrawn)", GradeSheet!$M35="I (Incomplete)"), 0, IF(BF40&gt;=65%, 1, 0))</f>
        <v>0</v>
      </c>
    </row>
    <row r="41" spans="1:70" s="193" customFormat="1" ht="15.75" customHeight="1" thickBot="1" x14ac:dyDescent="0.25">
      <c r="A41" s="111">
        <v>27</v>
      </c>
      <c r="B41" s="64" t="s">
        <v>212</v>
      </c>
      <c r="C41" s="65" t="s">
        <v>213</v>
      </c>
      <c r="D41" s="112">
        <v>0</v>
      </c>
      <c r="E41" s="113">
        <v>1</v>
      </c>
      <c r="F41" s="113">
        <v>5</v>
      </c>
      <c r="G41" s="116">
        <v>1</v>
      </c>
      <c r="H41" s="116"/>
      <c r="I41" s="115"/>
      <c r="J41" s="112"/>
      <c r="K41" s="113">
        <v>1</v>
      </c>
      <c r="L41" s="113">
        <v>9</v>
      </c>
      <c r="M41" s="116">
        <v>2</v>
      </c>
      <c r="N41" s="271">
        <v>6</v>
      </c>
      <c r="O41" s="257"/>
      <c r="P41" s="196"/>
      <c r="Q41" s="98"/>
      <c r="R41" s="98"/>
      <c r="S41" s="98"/>
      <c r="T41" s="99">
        <v>8</v>
      </c>
      <c r="U41" s="99"/>
      <c r="V41" s="197"/>
      <c r="W41" s="101"/>
      <c r="X41" s="101"/>
      <c r="Y41" s="101"/>
      <c r="Z41" s="101"/>
      <c r="AA41" s="102"/>
      <c r="AB41" s="103">
        <f t="shared" si="14"/>
        <v>0</v>
      </c>
      <c r="AC41" s="104">
        <f t="shared" si="15"/>
        <v>2</v>
      </c>
      <c r="AD41" s="104">
        <f t="shared" si="16"/>
        <v>14</v>
      </c>
      <c r="AE41" s="104">
        <f t="shared" si="17"/>
        <v>3</v>
      </c>
      <c r="AF41" s="104">
        <f t="shared" si="18"/>
        <v>14</v>
      </c>
      <c r="AG41" s="117">
        <f t="shared" si="65"/>
        <v>0</v>
      </c>
      <c r="AH41" s="105">
        <f t="shared" si="66"/>
        <v>0</v>
      </c>
      <c r="AI41" s="105">
        <f t="shared" si="66"/>
        <v>0.15384615384615385</v>
      </c>
      <c r="AJ41" s="105">
        <f t="shared" si="66"/>
        <v>0.60869565217391308</v>
      </c>
      <c r="AK41" s="105">
        <f t="shared" si="66"/>
        <v>0.27272727272727271</v>
      </c>
      <c r="AL41" s="105">
        <f t="shared" si="66"/>
        <v>0.77777777777777779</v>
      </c>
      <c r="AM41" s="105">
        <f t="shared" si="66"/>
        <v>0</v>
      </c>
      <c r="AN41" s="132">
        <f>IF(OR(GradeSheet!$M36="W (Withdrawn)", GradeSheet!$M36="I (Incomplete)"), 0, IF(AH41&gt;=65%, 1, 0))</f>
        <v>0</v>
      </c>
      <c r="AO41" s="107">
        <f>IF(OR(GradeSheet!$M36="W (Withdrawn)", GradeSheet!$M36="I (Incomplete)"), 0, IF(AI41&gt;=65%, 1, 0))</f>
        <v>0</v>
      </c>
      <c r="AP41" s="108">
        <f>IF(OR(GradeSheet!$M36="W (Withdrawn)", GradeSheet!$M36="I (Incomplete)"), 0, IF(AJ41&gt;=65%, 1, 0))</f>
        <v>0</v>
      </c>
      <c r="AQ41" s="109">
        <f>IF(OR(GradeSheet!$M36="W (Withdrawn)", GradeSheet!$M36="I (Incomplete)"), 0, IF(AK41&gt;=65%, 1, 0))</f>
        <v>0</v>
      </c>
      <c r="AR41" s="109">
        <f>IF(OR(GradeSheet!$M36="W (Withdrawn)", GradeSheet!$M36="I (Incomplete)"), 0, IF(AL41&gt;=65%, 1, 0))</f>
        <v>1</v>
      </c>
      <c r="AS41" s="109">
        <f>IF(OR(GradeSheet!$M36="W (Withdrawn)", GradeSheet!$M36="I (Incomplete)"), 0, IF(AM41&gt;=65%, 1, 0))</f>
        <v>0</v>
      </c>
      <c r="AT41" s="74"/>
      <c r="AU41" s="110">
        <f t="shared" si="89"/>
        <v>0.25418060200668896</v>
      </c>
      <c r="AV41" s="121">
        <f t="shared" si="90"/>
        <v>0.45326171413127936</v>
      </c>
      <c r="AW41" s="121">
        <f t="shared" si="79"/>
        <v>0.69323671497584538</v>
      </c>
      <c r="AX41" s="121">
        <f t="shared" si="80"/>
        <v>0.41480017566974092</v>
      </c>
      <c r="AY41" s="121">
        <f t="shared" si="81"/>
        <v>0.69323671497584538</v>
      </c>
      <c r="AZ41" s="121">
        <f t="shared" si="82"/>
        <v>0.77777777777777779</v>
      </c>
      <c r="BA41" s="121">
        <f t="shared" si="83"/>
        <v>0</v>
      </c>
      <c r="BB41" s="121">
        <f t="shared" si="84"/>
        <v>0</v>
      </c>
      <c r="BC41" s="121">
        <f t="shared" si="85"/>
        <v>0</v>
      </c>
      <c r="BD41" s="121">
        <f t="shared" si="86"/>
        <v>0</v>
      </c>
      <c r="BE41" s="121">
        <f t="shared" si="87"/>
        <v>0</v>
      </c>
      <c r="BF41" s="124">
        <f t="shared" si="88"/>
        <v>0</v>
      </c>
      <c r="BG41" s="106">
        <f>IF(OR(GradeSheet!$M36="W (Withdrawn)", GradeSheet!$M36="I (Incomplete)"), 0, IF(AU41&gt;=65%, 1, 0))</f>
        <v>0</v>
      </c>
      <c r="BH41" s="106">
        <f>IF(OR(GradeSheet!$M36="W (Withdrawn)", GradeSheet!$M36="I (Incomplete)"), 0, IF(AV41&gt;=65%, 1, 0))</f>
        <v>0</v>
      </c>
      <c r="BI41" s="106">
        <f>IF(OR(GradeSheet!$M36="W (Withdrawn)", GradeSheet!$M36="I (Incomplete)"), 0, IF(AW41&gt;=65%, 1, 0))</f>
        <v>1</v>
      </c>
      <c r="BJ41" s="106">
        <f>IF(OR(GradeSheet!$M36="W (Withdrawn)", GradeSheet!$M36="I (Incomplete)"), 0, IF(AX41&gt;=65%, 1, 0))</f>
        <v>0</v>
      </c>
      <c r="BK41" s="106">
        <f>IF(OR(GradeSheet!$M36="W (Withdrawn)", GradeSheet!$M36="I (Incomplete)"), 0, IF(AY41&gt;=65%, 1, 0))</f>
        <v>1</v>
      </c>
      <c r="BL41" s="106">
        <f>IF(OR(GradeSheet!$M36="W (Withdrawn)", GradeSheet!$M36="I (Incomplete)"), 0, IF(AZ41&gt;=65%, 1, 0))</f>
        <v>1</v>
      </c>
      <c r="BM41" s="106">
        <f>IF(OR(GradeSheet!$M36="W (Withdrawn)", GradeSheet!$M36="I (Incomplete)"), 0, IF(BA41&gt;=65%, 1, 0))</f>
        <v>0</v>
      </c>
      <c r="BN41" s="106">
        <f>IF(OR(GradeSheet!$M36="W (Withdrawn)", GradeSheet!$M36="I (Incomplete)"), 0, IF(BB41&gt;=65%, 1, 0))</f>
        <v>0</v>
      </c>
      <c r="BO41" s="106">
        <f>IF(OR(GradeSheet!$M36="W (Withdrawn)", GradeSheet!$M36="I (Incomplete)"), 0, IF(BC41&gt;=65%, 1, 0))</f>
        <v>0</v>
      </c>
      <c r="BP41" s="106">
        <f>IF(OR(GradeSheet!$M36="W (Withdrawn)", GradeSheet!$M36="I (Incomplete)"), 0, IF(BD41&gt;=65%, 1, 0))</f>
        <v>0</v>
      </c>
      <c r="BQ41" s="106">
        <f>IF(OR(GradeSheet!$M36="W (Withdrawn)", GradeSheet!$M36="I (Incomplete)"), 0, IF(BE41&gt;=65%, 1, 0))</f>
        <v>0</v>
      </c>
      <c r="BR41" s="106">
        <f>IF(OR(GradeSheet!$M36="W (Withdrawn)", GradeSheet!$M36="I (Incomplete)"), 0, IF(BF41&gt;=65%, 1, 0))</f>
        <v>0</v>
      </c>
    </row>
    <row r="42" spans="1:70" s="193" customFormat="1" ht="15.75" customHeight="1" thickBot="1" x14ac:dyDescent="0.25">
      <c r="A42" s="111">
        <v>28</v>
      </c>
      <c r="B42" s="64" t="s">
        <v>214</v>
      </c>
      <c r="C42" s="65" t="s">
        <v>215</v>
      </c>
      <c r="D42" s="112">
        <v>0</v>
      </c>
      <c r="E42" s="113">
        <v>2.5</v>
      </c>
      <c r="F42" s="113">
        <v>5</v>
      </c>
      <c r="G42" s="116">
        <v>4</v>
      </c>
      <c r="H42" s="116"/>
      <c r="I42" s="115"/>
      <c r="J42" s="112"/>
      <c r="K42" s="113">
        <v>2</v>
      </c>
      <c r="L42" s="113">
        <v>11</v>
      </c>
      <c r="M42" s="116">
        <v>6</v>
      </c>
      <c r="N42" s="271">
        <v>6</v>
      </c>
      <c r="O42" s="257"/>
      <c r="P42" s="196"/>
      <c r="Q42" s="98"/>
      <c r="R42" s="98"/>
      <c r="S42" s="98"/>
      <c r="T42" s="99">
        <v>9</v>
      </c>
      <c r="U42" s="99"/>
      <c r="V42" s="197"/>
      <c r="W42" s="101"/>
      <c r="X42" s="101"/>
      <c r="Y42" s="101"/>
      <c r="Z42" s="101"/>
      <c r="AA42" s="102"/>
      <c r="AB42" s="103">
        <f t="shared" si="14"/>
        <v>0</v>
      </c>
      <c r="AC42" s="104">
        <f t="shared" si="15"/>
        <v>4.5</v>
      </c>
      <c r="AD42" s="104">
        <f t="shared" si="16"/>
        <v>16</v>
      </c>
      <c r="AE42" s="104">
        <f t="shared" si="17"/>
        <v>10</v>
      </c>
      <c r="AF42" s="104">
        <f t="shared" si="18"/>
        <v>15</v>
      </c>
      <c r="AG42" s="144">
        <f t="shared" ref="AG42" si="91">SUM(AA42,I42,O42)</f>
        <v>0</v>
      </c>
      <c r="AH42" s="105">
        <f t="shared" ref="AH42:AM42" si="92">IF(AB42 = 0, 0, AB42/AB$14)</f>
        <v>0</v>
      </c>
      <c r="AI42" s="105">
        <f t="shared" si="92"/>
        <v>0.34615384615384615</v>
      </c>
      <c r="AJ42" s="105">
        <f t="shared" si="92"/>
        <v>0.69565217391304346</v>
      </c>
      <c r="AK42" s="105">
        <f t="shared" si="92"/>
        <v>0.90909090909090906</v>
      </c>
      <c r="AL42" s="105">
        <f t="shared" si="92"/>
        <v>0.83333333333333337</v>
      </c>
      <c r="AM42" s="105">
        <f t="shared" si="92"/>
        <v>0</v>
      </c>
      <c r="AN42" s="132">
        <f>IF(OR(GradeSheet!$M37="W (Withdrawn)", GradeSheet!$M37="I (Incomplete)"), 0, IF(AH42&gt;=65%, 1, 0))</f>
        <v>0</v>
      </c>
      <c r="AO42" s="119">
        <f>IF(OR(GradeSheet!$M37="W (Withdrawn)", GradeSheet!$M37="I (Incomplete)"), 0, IF(AI42&gt;=65%, 1, 0))</f>
        <v>0</v>
      </c>
      <c r="AP42" s="120">
        <f>IF(OR(GradeSheet!$M37="W (Withdrawn)", GradeSheet!$M37="I (Incomplete)"), 0, IF(AJ42&gt;=65%, 1, 0))</f>
        <v>1</v>
      </c>
      <c r="AQ42" s="109">
        <f>IF(OR(GradeSheet!$M37="W (Withdrawn)", GradeSheet!$M37="I (Incomplete)"), 0, IF(AK42&gt;=65%, 1, 0))</f>
        <v>1</v>
      </c>
      <c r="AR42" s="109">
        <f>IF(OR(GradeSheet!$M37="W (Withdrawn)", GradeSheet!$M37="I (Incomplete)"), 0, IF(AL42&gt;=65%, 1, 0))</f>
        <v>1</v>
      </c>
      <c r="AS42" s="109">
        <f>IF(OR(GradeSheet!$M37="W (Withdrawn)", GradeSheet!$M37="I (Incomplete)"), 0, IF(AM42&gt;=65%, 1, 0))</f>
        <v>0</v>
      </c>
      <c r="AT42" s="74"/>
      <c r="AU42" s="110">
        <f t="shared" si="89"/>
        <v>0.34726867335562989</v>
      </c>
      <c r="AV42" s="121">
        <f t="shared" si="90"/>
        <v>0.69605756562278309</v>
      </c>
      <c r="AW42" s="121">
        <f t="shared" si="79"/>
        <v>0.76449275362318847</v>
      </c>
      <c r="AX42" s="121">
        <f t="shared" si="80"/>
        <v>0.60951910408432153</v>
      </c>
      <c r="AY42" s="121">
        <f t="shared" si="81"/>
        <v>0.76449275362318847</v>
      </c>
      <c r="AZ42" s="121">
        <f t="shared" si="82"/>
        <v>0.83333333333333337</v>
      </c>
      <c r="BA42" s="121">
        <f t="shared" si="83"/>
        <v>0</v>
      </c>
      <c r="BB42" s="121">
        <f t="shared" si="84"/>
        <v>0</v>
      </c>
      <c r="BC42" s="121">
        <f t="shared" si="85"/>
        <v>0</v>
      </c>
      <c r="BD42" s="121">
        <f t="shared" si="86"/>
        <v>0</v>
      </c>
      <c r="BE42" s="121">
        <f t="shared" si="87"/>
        <v>0</v>
      </c>
      <c r="BF42" s="124">
        <f t="shared" si="88"/>
        <v>0</v>
      </c>
      <c r="BG42" s="106">
        <f>IF(OR(GradeSheet!$M37="W (Withdrawn)", GradeSheet!$M37="I (Incomplete)"), 0, IF(AU42&gt;=65%, 1, 0))</f>
        <v>0</v>
      </c>
      <c r="BH42" s="106">
        <f>IF(OR(GradeSheet!$M37="W (Withdrawn)", GradeSheet!$M37="I (Incomplete)"), 0, IF(AV42&gt;=65%, 1, 0))</f>
        <v>1</v>
      </c>
      <c r="BI42" s="106">
        <f>IF(OR(GradeSheet!$M37="W (Withdrawn)", GradeSheet!$M37="I (Incomplete)"), 0, IF(AW42&gt;=65%, 1, 0))</f>
        <v>1</v>
      </c>
      <c r="BJ42" s="106">
        <f>IF(OR(GradeSheet!$M37="W (Withdrawn)", GradeSheet!$M37="I (Incomplete)"), 0, IF(AX42&gt;=65%, 1, 0))</f>
        <v>0</v>
      </c>
      <c r="BK42" s="106">
        <f>IF(OR(GradeSheet!$M37="W (Withdrawn)", GradeSheet!$M37="I (Incomplete)"), 0, IF(AY42&gt;=65%, 1, 0))</f>
        <v>1</v>
      </c>
      <c r="BL42" s="106">
        <f>IF(OR(GradeSheet!$M37="W (Withdrawn)", GradeSheet!$M37="I (Incomplete)"), 0, IF(AZ42&gt;=65%, 1, 0))</f>
        <v>1</v>
      </c>
      <c r="BM42" s="106">
        <f>IF(OR(GradeSheet!$M37="W (Withdrawn)", GradeSheet!$M37="I (Incomplete)"), 0, IF(BA42&gt;=65%, 1, 0))</f>
        <v>0</v>
      </c>
      <c r="BN42" s="106">
        <f>IF(OR(GradeSheet!$M37="W (Withdrawn)", GradeSheet!$M37="I (Incomplete)"), 0, IF(BB42&gt;=65%, 1, 0))</f>
        <v>0</v>
      </c>
      <c r="BO42" s="106">
        <f>IF(OR(GradeSheet!$M37="W (Withdrawn)", GradeSheet!$M37="I (Incomplete)"), 0, IF(BC42&gt;=65%, 1, 0))</f>
        <v>0</v>
      </c>
      <c r="BP42" s="106">
        <f>IF(OR(GradeSheet!$M37="W (Withdrawn)", GradeSheet!$M37="I (Incomplete)"), 0, IF(BD42&gt;=65%, 1, 0))</f>
        <v>0</v>
      </c>
      <c r="BQ42" s="106">
        <f>IF(OR(GradeSheet!$M37="W (Withdrawn)", GradeSheet!$M37="I (Incomplete)"), 0, IF(BE42&gt;=65%, 1, 0))</f>
        <v>0</v>
      </c>
      <c r="BR42" s="106">
        <f>IF(OR(GradeSheet!$M37="W (Withdrawn)", GradeSheet!$M37="I (Incomplete)"), 0, IF(BF42&gt;=65%, 1, 0))</f>
        <v>0</v>
      </c>
    </row>
    <row r="43" spans="1:70" s="193" customFormat="1" ht="15.75" customHeight="1" thickBot="1" x14ac:dyDescent="0.3">
      <c r="A43" s="18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07" t="s">
        <v>155</v>
      </c>
      <c r="AO43" s="308"/>
      <c r="AP43" s="308"/>
      <c r="AQ43" s="308"/>
      <c r="AR43" s="308"/>
      <c r="AS43" s="309"/>
      <c r="AT43" s="46"/>
      <c r="AU43" s="186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07" t="s">
        <v>156</v>
      </c>
      <c r="BH43" s="308"/>
      <c r="BI43" s="308"/>
      <c r="BJ43" s="308"/>
      <c r="BK43" s="308"/>
      <c r="BL43" s="308"/>
      <c r="BM43" s="308"/>
      <c r="BN43" s="308"/>
      <c r="BO43" s="308"/>
      <c r="BP43" s="308"/>
      <c r="BQ43" s="308"/>
      <c r="BR43" s="309"/>
    </row>
    <row r="44" spans="1:70" s="193" customFormat="1" ht="15.75" customHeight="1" thickBot="1" x14ac:dyDescent="0.25">
      <c r="A44" s="187">
        <f>COUNTA(A15:A42)</f>
        <v>28</v>
      </c>
      <c r="B44" s="302" t="s">
        <v>157</v>
      </c>
      <c r="C44" s="303"/>
      <c r="D44" s="188">
        <f t="shared" ref="D44:AF44" si="93">AVERAGE(D15:D42)</f>
        <v>1.6153846153846154</v>
      </c>
      <c r="E44" s="189">
        <f t="shared" si="93"/>
        <v>1.5576923076923077</v>
      </c>
      <c r="F44" s="189">
        <f t="shared" si="93"/>
        <v>3.1923076923076925</v>
      </c>
      <c r="G44" s="189">
        <f t="shared" si="93"/>
        <v>2.1153846153846154</v>
      </c>
      <c r="H44" s="189" t="e">
        <f t="shared" si="93"/>
        <v>#DIV/0!</v>
      </c>
      <c r="I44" s="189" t="e">
        <f t="shared" si="93"/>
        <v>#DIV/0!</v>
      </c>
      <c r="J44" s="188" t="e">
        <f t="shared" si="93"/>
        <v>#DIV/0!</v>
      </c>
      <c r="K44" s="189">
        <f t="shared" si="93"/>
        <v>2.0416666666666665</v>
      </c>
      <c r="L44" s="189">
        <f t="shared" si="93"/>
        <v>9.625</v>
      </c>
      <c r="M44" s="189">
        <f t="shared" si="93"/>
        <v>2.7083333333333335</v>
      </c>
      <c r="N44" s="189">
        <f t="shared" si="93"/>
        <v>3.1666666666666665</v>
      </c>
      <c r="O44" s="189" t="e">
        <f t="shared" si="93"/>
        <v>#DIV/0!</v>
      </c>
      <c r="P44" s="189" t="e">
        <f t="shared" si="93"/>
        <v>#DIV/0!</v>
      </c>
      <c r="Q44" s="189" t="e">
        <f t="shared" si="93"/>
        <v>#DIV/0!</v>
      </c>
      <c r="R44" s="189" t="e">
        <f t="shared" si="93"/>
        <v>#DIV/0!</v>
      </c>
      <c r="S44" s="189" t="e">
        <f t="shared" si="93"/>
        <v>#DIV/0!</v>
      </c>
      <c r="T44" s="189">
        <f t="shared" si="93"/>
        <v>7.884615384615385</v>
      </c>
      <c r="U44" s="189" t="e">
        <f t="shared" si="93"/>
        <v>#DIV/0!</v>
      </c>
      <c r="V44" s="189" t="e">
        <f t="shared" si="93"/>
        <v>#DIV/0!</v>
      </c>
      <c r="W44" s="189" t="e">
        <f t="shared" si="93"/>
        <v>#DIV/0!</v>
      </c>
      <c r="X44" s="189" t="e">
        <f t="shared" si="93"/>
        <v>#DIV/0!</v>
      </c>
      <c r="Y44" s="189" t="e">
        <f t="shared" si="93"/>
        <v>#DIV/0!</v>
      </c>
      <c r="Z44" s="189" t="e">
        <f t="shared" si="93"/>
        <v>#DIV/0!</v>
      </c>
      <c r="AA44" s="189" t="e">
        <f t="shared" si="93"/>
        <v>#DIV/0!</v>
      </c>
      <c r="AB44" s="188">
        <f t="shared" si="93"/>
        <v>1.5</v>
      </c>
      <c r="AC44" s="188">
        <f t="shared" si="93"/>
        <v>3.1964285714285716</v>
      </c>
      <c r="AD44" s="188">
        <f t="shared" si="93"/>
        <v>11.214285714285714</v>
      </c>
      <c r="AE44" s="188">
        <f t="shared" si="93"/>
        <v>4.2857142857142856</v>
      </c>
      <c r="AF44" s="188">
        <f t="shared" si="93"/>
        <v>10.035714285714286</v>
      </c>
      <c r="AG44" s="188">
        <f>AVERAGE(AG15:AG43)</f>
        <v>0</v>
      </c>
      <c r="AH44" s="84">
        <f>(SUMIFS(AH15:AH42,GradeSheet!M10:'GradeSheet'!M37,"&lt;&gt;W (Withdrawn)",GradeSheet!M10:'GradeSheet'!M37,"&lt;&gt;I (Incomplete)"))/($A$44-GradeSheet!$H$51-GradeSheet!$H$52)</f>
        <v>0.31200000000000006</v>
      </c>
      <c r="AI44" s="84">
        <f>(SUMIFS(AI15:AI42,GradeSheet!N10:'GradeSheet'!N37,"&lt;&gt;W (Withdrawn)",GradeSheet!N10:'GradeSheet'!N37,"&lt;&gt;I (Incomplete)"))/($A$44-GradeSheet!$H$51-GradeSheet!$H$52)</f>
        <v>0.27538461538461539</v>
      </c>
      <c r="AJ44" s="84">
        <f>(SUMIFS(AJ15:AJ42,GradeSheet!O10:'GradeSheet'!O37,"&lt;&gt;W (Withdrawn)",GradeSheet!O10:'GradeSheet'!O37,"&lt;&gt;I (Incomplete)"))/($A$44-GradeSheet!$H$51-GradeSheet!$H$52)</f>
        <v>0.54608695652173911</v>
      </c>
      <c r="AK44" s="84">
        <f>(SUMIFS(AK15:AK42,GradeSheet!P10:'GradeSheet'!P37,"&lt;&gt;W (Withdrawn)",GradeSheet!P10:'GradeSheet'!P37,"&lt;&gt;I (Incomplete)"))/($A$44-GradeSheet!$H$51-GradeSheet!$H$52)</f>
        <v>0.43636363636363634</v>
      </c>
      <c r="AL44" s="84">
        <f>(SUMIFS(AL15:AL42,GradeSheet!Q10:'GradeSheet'!Q37,"&lt;&gt;W (Withdrawn)",GradeSheet!Q10:'GradeSheet'!Q37,"&lt;&gt;I (Incomplete)"))/($A$44-GradeSheet!$H$51-GradeSheet!$H$52)</f>
        <v>0.62444444444444447</v>
      </c>
      <c r="AM44" s="84">
        <f>(SUMIFS(AM15:AM42,GradeSheet!R10:'GradeSheet'!R37,"&lt;&gt;W (Withdrawn)",GradeSheet!R10:'GradeSheet'!R37,"&lt;&gt;I (Incomplete)"))/($A$44-GradeSheet!$H$51-GradeSheet!$H$52)</f>
        <v>0</v>
      </c>
      <c r="AN44" s="78">
        <f t="shared" ref="AN44:AS44" si="94">SUM(AN15:AN42)</f>
        <v>2</v>
      </c>
      <c r="AO44" s="79">
        <f t="shared" si="94"/>
        <v>1</v>
      </c>
      <c r="AP44" s="79">
        <f t="shared" si="94"/>
        <v>11</v>
      </c>
      <c r="AQ44" s="79">
        <f t="shared" si="94"/>
        <v>5</v>
      </c>
      <c r="AR44" s="79">
        <f t="shared" si="94"/>
        <v>9</v>
      </c>
      <c r="AS44" s="79">
        <f t="shared" si="94"/>
        <v>0</v>
      </c>
      <c r="AT44" s="74"/>
      <c r="AU44" s="84">
        <f>(SUMIFS(AU15:AU42,GradeSheet!M10:'GradeSheet'!M37,"&lt;&gt;W (Withdrawn)",GradeSheet!M10:'GradeSheet'!M37,"&lt;&gt;I (Incomplete)"))/($A$44-GradeSheet!$H$51-GradeSheet!$H$52)</f>
        <v>0.37184838350055749</v>
      </c>
      <c r="AV44" s="84">
        <f>(SUMIFS(AV15:AV42,GradeSheet!N10:'GradeSheet'!N37,"&lt;&gt;W (Withdrawn)",GradeSheet!N10:'GradeSheet'!N37,"&lt;&gt;I (Incomplete)"))/($A$44-GradeSheet!$H$51-GradeSheet!$H$52)</f>
        <v>0.49422249248336214</v>
      </c>
      <c r="AW44" s="84">
        <f>(SUMIFS(AW15:AW42,GradeSheet!O10:'GradeSheet'!O37,"&lt;&gt;W (Withdrawn)",GradeSheet!O10:'GradeSheet'!O37,"&lt;&gt;I (Incomplete)"))/($A$44-GradeSheet!$H$51-GradeSheet!$H$52)</f>
        <v>0.57354267310789053</v>
      </c>
      <c r="AX44" s="84">
        <f>(SUMIFS(AX15:AX42,GradeSheet!P10:'GradeSheet'!P37,"&lt;&gt;W (Withdrawn)",GradeSheet!P10:'GradeSheet'!P37,"&lt;&gt;I (Incomplete)"))/($A$44-GradeSheet!$H$51-GradeSheet!$H$52)</f>
        <v>0.49679739423217689</v>
      </c>
      <c r="AY44" s="84">
        <f>(SUMIFS(AY15:AY42,GradeSheet!Q10:'GradeSheet'!Q37,"&lt;&gt;W (Withdrawn)",GradeSheet!Q10:'GradeSheet'!Q37,"&lt;&gt;I (Incomplete)"))/($A$44-GradeSheet!$H$51-GradeSheet!$H$52)</f>
        <v>0.57354267310789053</v>
      </c>
      <c r="AZ44" s="84">
        <f>(SUMIFS(AZ15:AZ42,GradeSheet!R10:'GradeSheet'!R37,"&lt;&gt;W (Withdrawn)",GradeSheet!R10:'GradeSheet'!R37,"&lt;&gt;I (Incomplete)"))/($A$44-GradeSheet!$H$51-GradeSheet!$H$52)</f>
        <v>0.6007407407407408</v>
      </c>
      <c r="BA44" s="84">
        <f>(SUMIFS(BA15:BA42,GradeSheet!S10:'GradeSheet'!S37,"&lt;&gt;W (Withdrawn)",GradeSheet!S10:'GradeSheet'!S37,"&lt;&gt;I (Incomplete)"))/($A$44-GradeSheet!$H$51-GradeSheet!$H$52)</f>
        <v>0</v>
      </c>
      <c r="BB44" s="84">
        <f>(SUMIFS(BB15:BB42,GradeSheet!T10:'GradeSheet'!T37,"&lt;&gt;W (Withdrawn)",GradeSheet!T10:'GradeSheet'!T37,"&lt;&gt;I (Incomplete)"))/($A$44-GradeSheet!$H$51-GradeSheet!$H$52)</f>
        <v>0</v>
      </c>
      <c r="BC44" s="84">
        <f>(SUMIFS(BC15:BC42,GradeSheet!U10:'GradeSheet'!U37,"&lt;&gt;W (Withdrawn)",GradeSheet!U10:'GradeSheet'!U37,"&lt;&gt;I (Incomplete)"))/($A$44-GradeSheet!$H$51-GradeSheet!$H$52)</f>
        <v>0</v>
      </c>
      <c r="BD44" s="84">
        <f>(SUMIFS(BD15:BD42,GradeSheet!V10:'GradeSheet'!V37,"&lt;&gt;W (Withdrawn)",GradeSheet!V10:'GradeSheet'!V37,"&lt;&gt;I (Incomplete)"))/($A$44-GradeSheet!$H$51-GradeSheet!$H$52)</f>
        <v>0</v>
      </c>
      <c r="BE44" s="84">
        <f>(SUMIFS(BE15:BE42,GradeSheet!W10:'GradeSheet'!W37,"&lt;&gt;W (Withdrawn)",GradeSheet!W10:'GradeSheet'!W37,"&lt;&gt;I (Incomplete)"))/($A$44-GradeSheet!$H$51-GradeSheet!$H$52)</f>
        <v>0</v>
      </c>
      <c r="BF44" s="84">
        <f>(SUMIFS(BF15:BF42,GradeSheet!X10:'GradeSheet'!X37,"&lt;&gt;W (Withdrawn)",GradeSheet!X10:'GradeSheet'!X37,"&lt;&gt;I (Incomplete)"))/($A$44-GradeSheet!$H$51-GradeSheet!$H$52)</f>
        <v>0</v>
      </c>
      <c r="BG44" s="78">
        <f t="shared" ref="BG44:BR44" si="95">SUM(BG15:BG42)</f>
        <v>1</v>
      </c>
      <c r="BH44" s="79">
        <f t="shared" si="95"/>
        <v>6</v>
      </c>
      <c r="BI44" s="79">
        <f t="shared" si="95"/>
        <v>10</v>
      </c>
      <c r="BJ44" s="79">
        <f t="shared" si="95"/>
        <v>4</v>
      </c>
      <c r="BK44" s="79">
        <f t="shared" si="95"/>
        <v>10</v>
      </c>
      <c r="BL44" s="79">
        <f t="shared" si="95"/>
        <v>9</v>
      </c>
      <c r="BM44" s="79">
        <f t="shared" si="95"/>
        <v>0</v>
      </c>
      <c r="BN44" s="79">
        <f t="shared" si="95"/>
        <v>0</v>
      </c>
      <c r="BO44" s="79">
        <f t="shared" si="95"/>
        <v>0</v>
      </c>
      <c r="BP44" s="79">
        <f t="shared" si="95"/>
        <v>0</v>
      </c>
      <c r="BQ44" s="79">
        <f t="shared" si="95"/>
        <v>0</v>
      </c>
      <c r="BR44" s="190">
        <f t="shared" si="95"/>
        <v>0</v>
      </c>
    </row>
    <row r="45" spans="1:70" s="193" customFormat="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s="193" customFormat="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91"/>
      <c r="AI46" s="191"/>
      <c r="AJ46" s="191"/>
      <c r="AK46" s="191"/>
      <c r="AL46" s="191"/>
      <c r="AM46" s="191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1:70" s="193" customFormat="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9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1:70" s="193" customFormat="1" ht="15.75" customHeight="1" x14ac:dyDescent="0.25">
      <c r="A48" s="3"/>
      <c r="B48" s="283" t="str">
        <f>GradeSheet!$H$5</f>
        <v>Mohammad Shahriar Rahman, PhD</v>
      </c>
      <c r="C48" s="28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1:70" s="193" customFormat="1" ht="15.75" customHeight="1" x14ac:dyDescent="0.25">
      <c r="A49" s="3"/>
      <c r="B49" s="283" t="str">
        <f>GradeSheet!$B$53</f>
        <v>Associate Professor and HoD (CSE)</v>
      </c>
      <c r="C49" s="28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s="193" customFormat="1" ht="15.75" customHeight="1" x14ac:dyDescent="0.25">
      <c r="A50" s="3"/>
      <c r="B50" s="283" t="str">
        <f>GradeSheet!$B$54</f>
        <v>Department of CSE, ULAB</v>
      </c>
      <c r="C50" s="28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s="193" customFormat="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191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s="193" customFormat="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191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s="193" customFormat="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1:70" s="193" customFormat="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s="193" customFormat="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192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s="193" customFormat="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1:70" s="193" customFormat="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1:70" s="193" customFormat="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s="193" customFormat="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s="193" customFormat="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s="193" customFormat="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s="193" customFormat="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1:70" s="193" customFormat="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s="193" customFormat="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s="193" customFormat="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s="193" customFormat="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s="193" customFormat="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s="193" customFormat="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s="193" customFormat="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s="193" customFormat="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s="193" customFormat="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s="193" customFormat="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s="193" customFormat="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s="193" customFormat="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s="193" customFormat="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s="193" customFormat="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s="193" customFormat="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21">
    <mergeCell ref="C1:I1"/>
    <mergeCell ref="AU1:BG1"/>
    <mergeCell ref="B49:C49"/>
    <mergeCell ref="B50:C50"/>
    <mergeCell ref="B44:C44"/>
    <mergeCell ref="BG14:BR14"/>
    <mergeCell ref="BG43:BR43"/>
    <mergeCell ref="AN14:AS14"/>
    <mergeCell ref="AU12:BF12"/>
    <mergeCell ref="BG12:BR12"/>
    <mergeCell ref="AU11:BR11"/>
    <mergeCell ref="AN43:AS43"/>
    <mergeCell ref="B48:C48"/>
    <mergeCell ref="AB12:AG12"/>
    <mergeCell ref="AH12:AM12"/>
    <mergeCell ref="AN12:AS12"/>
    <mergeCell ref="AB11:AS11"/>
    <mergeCell ref="V12:AA12"/>
    <mergeCell ref="A11:C13"/>
    <mergeCell ref="J12:O12"/>
    <mergeCell ref="D12:I12"/>
  </mergeCells>
  <pageMargins left="0.7" right="0.7" top="0.75" bottom="0.75" header="0" footer="0"/>
  <pageSetup scale="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showGridLines="0" view="pageLayout" zoomScaleNormal="100" workbookViewId="0">
      <selection activeCell="Q45" sqref="Q45"/>
    </sheetView>
  </sheetViews>
  <sheetFormatPr defaultColWidth="14.42578125" defaultRowHeight="15" customHeight="1" x14ac:dyDescent="0.2"/>
  <cols>
    <col min="1" max="1" width="4.28515625" customWidth="1"/>
    <col min="2" max="2" width="4.7109375" customWidth="1"/>
    <col min="3" max="3" width="5.85546875" customWidth="1"/>
    <col min="4" max="4" width="6.5703125" customWidth="1"/>
    <col min="5" max="5" width="6.28515625" customWidth="1"/>
    <col min="6" max="6" width="7.140625" customWidth="1"/>
    <col min="7" max="7" width="6.28515625" customWidth="1"/>
    <col min="8" max="8" width="11.140625" customWidth="1"/>
    <col min="9" max="9" width="6" customWidth="1"/>
    <col min="10" max="10" width="5.7109375" customWidth="1"/>
    <col min="11" max="11" width="6.42578125" customWidth="1"/>
    <col min="12" max="12" width="5.85546875" customWidth="1"/>
    <col min="13" max="13" width="5.140625" customWidth="1"/>
    <col min="14" max="14" width="4.28515625" customWidth="1"/>
    <col min="15" max="15" width="3" customWidth="1"/>
    <col min="16" max="16" width="4.7109375" customWidth="1"/>
    <col min="17" max="17" width="10.42578125" customWidth="1"/>
    <col min="18" max="18" width="7.7109375" customWidth="1"/>
    <col min="19" max="22" width="4.28515625" customWidth="1"/>
    <col min="23" max="31" width="3.5703125" customWidth="1"/>
    <col min="32" max="32" width="1" customWidth="1"/>
    <col min="33" max="36" width="3.5703125" customWidth="1"/>
    <col min="37" max="37" width="6.7109375" customWidth="1"/>
    <col min="38" max="44" width="3.5703125" customWidth="1"/>
  </cols>
  <sheetData>
    <row r="1" spans="1:44" ht="16.5" customHeight="1" x14ac:dyDescent="0.2">
      <c r="A1" s="134"/>
      <c r="B1" s="134"/>
      <c r="C1" s="134"/>
      <c r="D1" s="134"/>
      <c r="E1" s="134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</row>
    <row r="2" spans="1:44" ht="16.5" customHeight="1" x14ac:dyDescent="0.2">
      <c r="A2" s="136"/>
      <c r="B2" s="334" t="s">
        <v>49</v>
      </c>
      <c r="C2" s="315"/>
      <c r="D2" s="316"/>
      <c r="E2" s="336" t="str">
        <f>GradeSheet!$H$2</f>
        <v>CSE 305</v>
      </c>
      <c r="F2" s="315"/>
      <c r="G2" s="315"/>
      <c r="H2" s="315"/>
      <c r="I2" s="315"/>
      <c r="J2" s="315"/>
      <c r="K2" s="315"/>
      <c r="L2" s="315"/>
      <c r="M2" s="315"/>
      <c r="N2" s="316"/>
      <c r="O2" s="334" t="str">
        <f>CONCATENATE("Section ", GradeSheet!$L$2,)</f>
        <v>Section 1</v>
      </c>
      <c r="P2" s="315"/>
      <c r="Q2" s="316"/>
      <c r="R2" s="137"/>
      <c r="S2" s="136"/>
      <c r="T2" s="319" t="s">
        <v>99</v>
      </c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6"/>
      <c r="AO2" s="138"/>
      <c r="AP2" s="138"/>
      <c r="AQ2" s="138"/>
      <c r="AR2" s="136"/>
    </row>
    <row r="3" spans="1:44" ht="16.5" customHeight="1" x14ac:dyDescent="0.2">
      <c r="A3" s="136"/>
      <c r="B3" s="338" t="s">
        <v>52</v>
      </c>
      <c r="C3" s="315"/>
      <c r="D3" s="316"/>
      <c r="E3" s="335" t="str">
        <f>GradeSheet!$H$3</f>
        <v>Algorithms</v>
      </c>
      <c r="F3" s="315"/>
      <c r="G3" s="315"/>
      <c r="H3" s="315"/>
      <c r="I3" s="315"/>
      <c r="J3" s="315"/>
      <c r="K3" s="315"/>
      <c r="L3" s="315"/>
      <c r="M3" s="315"/>
      <c r="N3" s="316"/>
      <c r="O3" s="338" t="str">
        <f>CONCATENATE(GradeSheet!$H$53," students")</f>
        <v>28 students</v>
      </c>
      <c r="P3" s="315"/>
      <c r="Q3" s="316"/>
      <c r="R3" s="137"/>
      <c r="S3" s="136"/>
      <c r="T3" s="314" t="s">
        <v>100</v>
      </c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6"/>
      <c r="AG3" s="314" t="s">
        <v>101</v>
      </c>
      <c r="AH3" s="315"/>
      <c r="AI3" s="315"/>
      <c r="AJ3" s="315"/>
      <c r="AK3" s="315"/>
      <c r="AL3" s="315"/>
      <c r="AM3" s="315"/>
      <c r="AN3" s="316"/>
      <c r="AO3" s="138"/>
      <c r="AP3" s="138"/>
      <c r="AQ3" s="138"/>
      <c r="AR3" s="136"/>
    </row>
    <row r="4" spans="1:44" ht="16.5" customHeight="1" x14ac:dyDescent="0.2">
      <c r="A4" s="136"/>
      <c r="B4" s="341" t="s">
        <v>54</v>
      </c>
      <c r="C4" s="315"/>
      <c r="D4" s="316"/>
      <c r="E4" s="340">
        <f>GradeSheet!$H$4</f>
        <v>3</v>
      </c>
      <c r="F4" s="315"/>
      <c r="G4" s="315"/>
      <c r="H4" s="315"/>
      <c r="I4" s="315"/>
      <c r="J4" s="315"/>
      <c r="K4" s="315"/>
      <c r="L4" s="315"/>
      <c r="M4" s="315"/>
      <c r="N4" s="316"/>
      <c r="O4" s="340" t="str">
        <f>GradeSheet!$L$3</f>
        <v>Summer 2019</v>
      </c>
      <c r="P4" s="315"/>
      <c r="Q4" s="316"/>
      <c r="R4" s="137"/>
      <c r="S4" s="136"/>
      <c r="T4" s="339">
        <v>1</v>
      </c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6"/>
      <c r="AG4" s="328">
        <v>4</v>
      </c>
      <c r="AH4" s="315"/>
      <c r="AI4" s="315"/>
      <c r="AJ4" s="315"/>
      <c r="AK4" s="315"/>
      <c r="AL4" s="315"/>
      <c r="AM4" s="315"/>
      <c r="AN4" s="316"/>
      <c r="AO4" s="138"/>
      <c r="AP4" s="138"/>
      <c r="AQ4" s="138"/>
      <c r="AR4" s="136"/>
    </row>
    <row r="5" spans="1:44" ht="16.5" customHeight="1" x14ac:dyDescent="0.2">
      <c r="A5" s="136"/>
      <c r="B5" s="134"/>
      <c r="C5" s="134"/>
      <c r="D5" s="134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7"/>
      <c r="S5" s="136"/>
      <c r="T5" s="339">
        <v>2</v>
      </c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6"/>
      <c r="AG5" s="328">
        <v>2</v>
      </c>
      <c r="AH5" s="315"/>
      <c r="AI5" s="315"/>
      <c r="AJ5" s="315"/>
      <c r="AK5" s="315"/>
      <c r="AL5" s="315"/>
      <c r="AM5" s="315"/>
      <c r="AN5" s="316"/>
      <c r="AO5" s="138"/>
      <c r="AP5" s="138"/>
      <c r="AQ5" s="138"/>
      <c r="AR5" s="136"/>
    </row>
    <row r="6" spans="1:44" ht="16.5" customHeight="1" x14ac:dyDescent="0.2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328">
        <v>3</v>
      </c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6"/>
      <c r="AG6" s="328">
        <v>6</v>
      </c>
      <c r="AH6" s="315"/>
      <c r="AI6" s="315"/>
      <c r="AJ6" s="315"/>
      <c r="AK6" s="315"/>
      <c r="AL6" s="315"/>
      <c r="AM6" s="315"/>
      <c r="AN6" s="316"/>
      <c r="AO6" s="141"/>
      <c r="AP6" s="141"/>
      <c r="AQ6" s="141"/>
      <c r="AR6" s="140"/>
    </row>
    <row r="7" spans="1:44" ht="12.75" customHeight="1" x14ac:dyDescent="0.2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328">
        <v>4</v>
      </c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6"/>
      <c r="AG7" s="328">
        <v>7</v>
      </c>
      <c r="AH7" s="315"/>
      <c r="AI7" s="315"/>
      <c r="AJ7" s="315"/>
      <c r="AK7" s="315"/>
      <c r="AL7" s="315"/>
      <c r="AM7" s="315"/>
      <c r="AN7" s="316"/>
      <c r="AO7" s="142"/>
      <c r="AP7" s="142"/>
      <c r="AQ7" s="142"/>
      <c r="AR7" s="140"/>
    </row>
    <row r="8" spans="1:44" ht="16.5" customHeight="1" x14ac:dyDescent="0.2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328">
        <v>5</v>
      </c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6"/>
      <c r="AG8" s="328">
        <v>1</v>
      </c>
      <c r="AH8" s="315"/>
      <c r="AI8" s="315"/>
      <c r="AJ8" s="315"/>
      <c r="AK8" s="315"/>
      <c r="AL8" s="315"/>
      <c r="AM8" s="315"/>
      <c r="AN8" s="316"/>
      <c r="AO8" s="142"/>
      <c r="AP8" s="142"/>
      <c r="AQ8" s="142"/>
      <c r="AR8" s="140"/>
    </row>
    <row r="9" spans="1:44" ht="16.5" customHeight="1" x14ac:dyDescent="0.2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328">
        <v>6</v>
      </c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6"/>
      <c r="AG9" s="328">
        <v>1</v>
      </c>
      <c r="AH9" s="315"/>
      <c r="AI9" s="315"/>
      <c r="AJ9" s="315"/>
      <c r="AK9" s="315"/>
      <c r="AL9" s="315"/>
      <c r="AM9" s="315"/>
      <c r="AN9" s="316"/>
      <c r="AO9" s="142"/>
      <c r="AP9" s="142"/>
      <c r="AQ9" s="142"/>
      <c r="AR9" s="140"/>
    </row>
    <row r="10" spans="1:44" ht="16.5" customHeight="1" x14ac:dyDescent="0.2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328">
        <v>7</v>
      </c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6"/>
      <c r="AG10" s="328"/>
      <c r="AH10" s="315"/>
      <c r="AI10" s="315"/>
      <c r="AJ10" s="315"/>
      <c r="AK10" s="315"/>
      <c r="AL10" s="315"/>
      <c r="AM10" s="315"/>
      <c r="AN10" s="316"/>
      <c r="AO10" s="142"/>
      <c r="AP10" s="142"/>
      <c r="AQ10" s="142"/>
      <c r="AR10" s="140"/>
    </row>
    <row r="11" spans="1:44" ht="16.5" customHeight="1" x14ac:dyDescent="0.2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328">
        <v>8</v>
      </c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6"/>
      <c r="AG11" s="328"/>
      <c r="AH11" s="315"/>
      <c r="AI11" s="315"/>
      <c r="AJ11" s="315"/>
      <c r="AK11" s="315"/>
      <c r="AL11" s="315"/>
      <c r="AM11" s="315"/>
      <c r="AN11" s="316"/>
      <c r="AO11" s="142"/>
      <c r="AP11" s="142"/>
      <c r="AQ11" s="142"/>
      <c r="AR11" s="140"/>
    </row>
    <row r="12" spans="1:44" ht="16.5" customHeight="1" x14ac:dyDescent="0.2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328">
        <v>9</v>
      </c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6"/>
      <c r="AG12" s="328"/>
      <c r="AH12" s="315"/>
      <c r="AI12" s="315"/>
      <c r="AJ12" s="315"/>
      <c r="AK12" s="315"/>
      <c r="AL12" s="315"/>
      <c r="AM12" s="315"/>
      <c r="AN12" s="316"/>
      <c r="AO12" s="142"/>
      <c r="AP12" s="142"/>
      <c r="AQ12" s="142"/>
      <c r="AR12" s="140"/>
    </row>
    <row r="13" spans="1:44" ht="16.5" customHeight="1" x14ac:dyDescent="0.2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2"/>
      <c r="AP13" s="142"/>
      <c r="AQ13" s="142"/>
      <c r="AR13" s="140"/>
    </row>
    <row r="14" spans="1:44" ht="16.5" customHeight="1" x14ac:dyDescent="0.2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329" t="s">
        <v>102</v>
      </c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142"/>
      <c r="AP14" s="142"/>
      <c r="AQ14" s="142"/>
      <c r="AR14" s="140"/>
    </row>
    <row r="15" spans="1:44" ht="16.5" customHeight="1" x14ac:dyDescent="0.2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2"/>
      <c r="U15" s="142" t="s">
        <v>103</v>
      </c>
      <c r="V15" s="329" t="s">
        <v>104</v>
      </c>
      <c r="W15" s="284"/>
      <c r="X15" s="284"/>
      <c r="Y15" s="330" t="s">
        <v>105</v>
      </c>
      <c r="Z15" s="316"/>
      <c r="AA15" s="142"/>
      <c r="AB15" s="142" t="s">
        <v>106</v>
      </c>
      <c r="AC15" s="329" t="s">
        <v>107</v>
      </c>
      <c r="AD15" s="284"/>
      <c r="AE15" s="284"/>
      <c r="AF15" s="314"/>
      <c r="AG15" s="315"/>
      <c r="AH15" s="316"/>
      <c r="AI15" s="140"/>
      <c r="AJ15" s="142" t="s">
        <v>108</v>
      </c>
      <c r="AK15" s="143" t="s">
        <v>109</v>
      </c>
      <c r="AL15" s="314"/>
      <c r="AM15" s="316"/>
      <c r="AN15" s="141"/>
      <c r="AO15" s="142"/>
      <c r="AP15" s="142"/>
      <c r="AQ15" s="142"/>
      <c r="AR15" s="140"/>
    </row>
    <row r="16" spans="1:44" ht="16.5" customHeight="1" x14ac:dyDescent="0.2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329" t="s">
        <v>110</v>
      </c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142"/>
      <c r="AP16" s="142"/>
      <c r="AQ16" s="142"/>
      <c r="AR16" s="140"/>
    </row>
    <row r="17" spans="1:44" ht="16.5" customHeight="1" x14ac:dyDescent="0.2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320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2"/>
      <c r="AR17" s="140"/>
    </row>
    <row r="18" spans="1:44" ht="16.5" customHeight="1" x14ac:dyDescent="0.2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323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324"/>
      <c r="AR18" s="140"/>
    </row>
    <row r="19" spans="1:44" ht="16.5" customHeight="1" x14ac:dyDescent="0.2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325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7"/>
      <c r="AR19" s="140"/>
    </row>
    <row r="20" spans="1:44" ht="16.5" customHeight="1" x14ac:dyDescent="0.2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0"/>
    </row>
    <row r="21" spans="1:44" ht="16.5" customHeight="1" x14ac:dyDescent="0.2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319" t="s">
        <v>111</v>
      </c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15"/>
      <c r="AL21" s="315"/>
      <c r="AM21" s="315"/>
      <c r="AN21" s="315"/>
      <c r="AO21" s="315"/>
      <c r="AP21" s="315"/>
      <c r="AQ21" s="316"/>
      <c r="AR21" s="140"/>
    </row>
    <row r="22" spans="1:44" ht="16.5" customHeight="1" x14ac:dyDescent="0.2">
      <c r="A22" s="140"/>
      <c r="B22" s="342" t="s">
        <v>112</v>
      </c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6"/>
      <c r="P22" s="140"/>
      <c r="Q22" s="140"/>
      <c r="R22" s="140"/>
      <c r="S22" s="140"/>
      <c r="T22" s="314" t="s">
        <v>113</v>
      </c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6"/>
      <c r="AG22" s="314" t="s">
        <v>101</v>
      </c>
      <c r="AH22" s="315"/>
      <c r="AI22" s="315"/>
      <c r="AJ22" s="315"/>
      <c r="AK22" s="316"/>
      <c r="AL22" s="314" t="s">
        <v>115</v>
      </c>
      <c r="AM22" s="315"/>
      <c r="AN22" s="315"/>
      <c r="AO22" s="315"/>
      <c r="AP22" s="315"/>
      <c r="AQ22" s="316"/>
      <c r="AR22" s="140"/>
    </row>
    <row r="23" spans="1:44" ht="16.5" customHeight="1" x14ac:dyDescent="0.2">
      <c r="A23" s="140"/>
      <c r="B23" s="147" t="s">
        <v>80</v>
      </c>
      <c r="C23" s="147" t="s">
        <v>82</v>
      </c>
      <c r="D23" s="147" t="s">
        <v>85</v>
      </c>
      <c r="E23" s="147" t="s">
        <v>87</v>
      </c>
      <c r="F23" s="147" t="s">
        <v>88</v>
      </c>
      <c r="G23" s="147" t="s">
        <v>89</v>
      </c>
      <c r="H23" s="147" t="s">
        <v>90</v>
      </c>
      <c r="I23" s="147" t="s">
        <v>91</v>
      </c>
      <c r="J23" s="147" t="s">
        <v>92</v>
      </c>
      <c r="K23" s="182" t="s">
        <v>93</v>
      </c>
      <c r="L23" s="147" t="s">
        <v>95</v>
      </c>
      <c r="M23" s="147" t="s">
        <v>97</v>
      </c>
      <c r="N23" s="331" t="s">
        <v>47</v>
      </c>
      <c r="O23" s="316"/>
      <c r="P23" s="140"/>
      <c r="Q23" s="140"/>
      <c r="R23" s="140"/>
      <c r="S23" s="140"/>
      <c r="T23" s="328" t="s">
        <v>116</v>
      </c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6"/>
      <c r="AG23" s="328">
        <v>19</v>
      </c>
      <c r="AH23" s="315"/>
      <c r="AI23" s="315"/>
      <c r="AJ23" s="315"/>
      <c r="AK23" s="316"/>
      <c r="AL23" s="317">
        <f>AG23/P33</f>
        <v>0.90476190476190477</v>
      </c>
      <c r="AM23" s="315"/>
      <c r="AN23" s="315"/>
      <c r="AO23" s="315"/>
      <c r="AP23" s="315"/>
      <c r="AQ23" s="316"/>
      <c r="AR23" s="137"/>
    </row>
    <row r="24" spans="1:44" ht="16.5" customHeight="1" x14ac:dyDescent="0.2">
      <c r="A24" s="140"/>
      <c r="B24" s="151">
        <f>GradeSheet!$H$41</f>
        <v>0</v>
      </c>
      <c r="C24" s="151">
        <f>GradeSheet!$H$42</f>
        <v>0</v>
      </c>
      <c r="D24" s="151">
        <f>GradeSheet!$H$43</f>
        <v>1</v>
      </c>
      <c r="E24" s="151">
        <f>GradeSheet!$H$44</f>
        <v>3</v>
      </c>
      <c r="F24" s="151">
        <f>GradeSheet!$H$45</f>
        <v>3</v>
      </c>
      <c r="G24" s="151">
        <f>GradeSheet!$H$46</f>
        <v>6</v>
      </c>
      <c r="H24" s="151">
        <f>GradeSheet!$H$47</f>
        <v>2</v>
      </c>
      <c r="I24" s="151">
        <f>GradeSheet!$H$48</f>
        <v>3</v>
      </c>
      <c r="J24" s="151">
        <f>GradeSheet!$H$49</f>
        <v>1</v>
      </c>
      <c r="K24" s="151">
        <f>GradeSheet!$H$50</f>
        <v>6</v>
      </c>
      <c r="L24" s="151">
        <f>GradeSheet!$H$51</f>
        <v>1</v>
      </c>
      <c r="M24" s="151">
        <f>GradeSheet!$H$52</f>
        <v>2</v>
      </c>
      <c r="N24" s="332">
        <f>SUM(B24:M24)</f>
        <v>28</v>
      </c>
      <c r="O24" s="316"/>
      <c r="P24" s="140"/>
      <c r="Q24" s="140"/>
      <c r="R24" s="140"/>
      <c r="S24" s="140"/>
      <c r="T24" s="328" t="s">
        <v>117</v>
      </c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6"/>
      <c r="AG24" s="328">
        <v>2</v>
      </c>
      <c r="AH24" s="315"/>
      <c r="AI24" s="315"/>
      <c r="AJ24" s="315"/>
      <c r="AK24" s="316"/>
      <c r="AL24" s="317">
        <f>AG24/P33</f>
        <v>9.5238095238095233E-2</v>
      </c>
      <c r="AM24" s="315"/>
      <c r="AN24" s="315"/>
      <c r="AO24" s="315"/>
      <c r="AP24" s="315"/>
      <c r="AQ24" s="316"/>
      <c r="AR24" s="140"/>
    </row>
    <row r="25" spans="1:44" ht="16.5" customHeight="1" x14ac:dyDescent="0.2">
      <c r="A25" s="140"/>
      <c r="B25" s="158">
        <f>B24/GradeSheet!$H$53</f>
        <v>0</v>
      </c>
      <c r="C25" s="158">
        <f>C24/GradeSheet!$H$53</f>
        <v>0</v>
      </c>
      <c r="D25" s="158">
        <f>D24/GradeSheet!$H$53</f>
        <v>3.5714285714285712E-2</v>
      </c>
      <c r="E25" s="158">
        <f>E24/GradeSheet!$H$53</f>
        <v>0.10714285714285714</v>
      </c>
      <c r="F25" s="158">
        <f>F24/GradeSheet!$H$53</f>
        <v>0.10714285714285714</v>
      </c>
      <c r="G25" s="158">
        <f>G24/GradeSheet!$H$53</f>
        <v>0.21428571428571427</v>
      </c>
      <c r="H25" s="158">
        <f>H24/GradeSheet!$H$53</f>
        <v>7.1428571428571425E-2</v>
      </c>
      <c r="I25" s="158">
        <f>I24/GradeSheet!$H$53</f>
        <v>0.10714285714285714</v>
      </c>
      <c r="J25" s="158">
        <f>J24/GradeSheet!$H$53</f>
        <v>3.5714285714285712E-2</v>
      </c>
      <c r="K25" s="158">
        <f>K24/GradeSheet!$H$53</f>
        <v>0.21428571428571427</v>
      </c>
      <c r="L25" s="158">
        <f>L24/GradeSheet!$H$53</f>
        <v>3.5714285714285712E-2</v>
      </c>
      <c r="M25" s="158">
        <f>M24/GradeSheet!$H$53</f>
        <v>7.1428571428571425E-2</v>
      </c>
      <c r="N25" s="333">
        <f>SUM(B25:M25)</f>
        <v>0.99999999999999989</v>
      </c>
      <c r="O25" s="316"/>
      <c r="P25" s="140"/>
      <c r="Q25" s="140"/>
      <c r="R25" s="140"/>
      <c r="S25" s="140"/>
      <c r="T25" s="328" t="s">
        <v>46</v>
      </c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6"/>
      <c r="AG25" s="328">
        <v>0</v>
      </c>
      <c r="AH25" s="315"/>
      <c r="AI25" s="315"/>
      <c r="AJ25" s="315"/>
      <c r="AK25" s="316"/>
      <c r="AL25" s="317">
        <f>AG25/P33</f>
        <v>0</v>
      </c>
      <c r="AM25" s="315"/>
      <c r="AN25" s="315"/>
      <c r="AO25" s="315"/>
      <c r="AP25" s="315"/>
      <c r="AQ25" s="316"/>
      <c r="AR25" s="140"/>
    </row>
    <row r="26" spans="1:44" ht="16.5" customHeight="1" x14ac:dyDescent="0.2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328" t="s">
        <v>122</v>
      </c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6"/>
      <c r="AG26" s="328">
        <v>18</v>
      </c>
      <c r="AH26" s="315"/>
      <c r="AI26" s="315"/>
      <c r="AJ26" s="315"/>
      <c r="AK26" s="316"/>
      <c r="AL26" s="317">
        <f>AG26/P33</f>
        <v>0.8571428571428571</v>
      </c>
      <c r="AM26" s="315"/>
      <c r="AN26" s="315"/>
      <c r="AO26" s="315"/>
      <c r="AP26" s="315"/>
      <c r="AQ26" s="316"/>
      <c r="AR26" s="140"/>
    </row>
    <row r="27" spans="1:44" ht="16.5" customHeight="1" x14ac:dyDescent="0.2">
      <c r="A27" s="140"/>
      <c r="B27" s="162" t="s">
        <v>123</v>
      </c>
      <c r="C27" s="162"/>
      <c r="D27" s="162"/>
      <c r="E27" s="162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328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6"/>
      <c r="AG27" s="328"/>
      <c r="AH27" s="315"/>
      <c r="AI27" s="315"/>
      <c r="AJ27" s="315"/>
      <c r="AK27" s="316"/>
      <c r="AL27" s="317"/>
      <c r="AM27" s="315"/>
      <c r="AN27" s="315"/>
      <c r="AO27" s="315"/>
      <c r="AP27" s="315"/>
      <c r="AQ27" s="316"/>
      <c r="AR27" s="140"/>
    </row>
    <row r="28" spans="1:44" ht="16.5" customHeight="1" x14ac:dyDescent="0.2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318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318"/>
      <c r="AH28" s="284"/>
      <c r="AI28" s="284"/>
      <c r="AJ28" s="284"/>
      <c r="AK28" s="284"/>
      <c r="AL28" s="318"/>
      <c r="AM28" s="284"/>
      <c r="AN28" s="284"/>
      <c r="AO28" s="284"/>
      <c r="AP28" s="284"/>
      <c r="AQ28" s="284"/>
      <c r="AR28" s="140"/>
    </row>
    <row r="29" spans="1:44" ht="16.5" customHeight="1" x14ac:dyDescent="0.2">
      <c r="A29" s="140"/>
      <c r="B29" s="314"/>
      <c r="C29" s="315"/>
      <c r="D29" s="315"/>
      <c r="E29" s="315"/>
      <c r="F29" s="316"/>
      <c r="G29" s="163" t="s">
        <v>63</v>
      </c>
      <c r="H29" s="163" t="s">
        <v>125</v>
      </c>
      <c r="I29" s="140"/>
      <c r="J29" s="314"/>
      <c r="K29" s="315"/>
      <c r="L29" s="315"/>
      <c r="M29" s="315"/>
      <c r="N29" s="315"/>
      <c r="O29" s="316"/>
      <c r="P29" s="163" t="s">
        <v>126</v>
      </c>
      <c r="Q29" s="163" t="s">
        <v>125</v>
      </c>
      <c r="R29" s="140"/>
      <c r="S29" s="140"/>
      <c r="T29" s="318"/>
      <c r="U29" s="284"/>
      <c r="V29" s="284"/>
      <c r="W29" s="284"/>
      <c r="X29" s="284"/>
      <c r="Y29" s="284"/>
      <c r="Z29" s="284"/>
      <c r="AA29" s="284"/>
      <c r="AB29" s="284"/>
      <c r="AC29" s="284"/>
      <c r="AD29" s="284"/>
      <c r="AE29" s="284"/>
      <c r="AF29" s="284"/>
      <c r="AG29" s="318"/>
      <c r="AH29" s="284"/>
      <c r="AI29" s="284"/>
      <c r="AJ29" s="284"/>
      <c r="AK29" s="284"/>
      <c r="AL29" s="318"/>
      <c r="AM29" s="284"/>
      <c r="AN29" s="284"/>
      <c r="AO29" s="284"/>
      <c r="AP29" s="284"/>
      <c r="AQ29" s="284"/>
      <c r="AR29" s="140"/>
    </row>
    <row r="30" spans="1:44" ht="16.5" customHeight="1" x14ac:dyDescent="0.2">
      <c r="A30" s="140"/>
      <c r="B30" s="314" t="s">
        <v>127</v>
      </c>
      <c r="C30" s="315"/>
      <c r="D30" s="315"/>
      <c r="E30" s="315"/>
      <c r="F30" s="316"/>
      <c r="G30" s="164">
        <f>GradeSheet!$H$53</f>
        <v>28</v>
      </c>
      <c r="H30" s="166">
        <f>G30/G30</f>
        <v>1</v>
      </c>
      <c r="I30" s="140"/>
      <c r="J30" s="314" t="s">
        <v>128</v>
      </c>
      <c r="K30" s="315"/>
      <c r="L30" s="315"/>
      <c r="M30" s="315"/>
      <c r="N30" s="315"/>
      <c r="O30" s="316"/>
      <c r="P30" s="168">
        <v>24</v>
      </c>
      <c r="Q30" s="166">
        <f>P30/P30</f>
        <v>1</v>
      </c>
      <c r="R30" s="140"/>
      <c r="S30" s="140"/>
      <c r="T30" s="319" t="s">
        <v>129</v>
      </c>
      <c r="U30" s="315"/>
      <c r="V30" s="315"/>
      <c r="W30" s="315"/>
      <c r="X30" s="315"/>
      <c r="Y30" s="315"/>
      <c r="Z30" s="315"/>
      <c r="AA30" s="315"/>
      <c r="AB30" s="315"/>
      <c r="AC30" s="315"/>
      <c r="AD30" s="315"/>
      <c r="AE30" s="315"/>
      <c r="AF30" s="316"/>
      <c r="AG30" s="314" t="s">
        <v>101</v>
      </c>
      <c r="AH30" s="315"/>
      <c r="AI30" s="315"/>
      <c r="AJ30" s="315"/>
      <c r="AK30" s="316"/>
      <c r="AL30" s="314" t="s">
        <v>115</v>
      </c>
      <c r="AM30" s="315"/>
      <c r="AN30" s="315"/>
      <c r="AO30" s="315"/>
      <c r="AP30" s="315"/>
      <c r="AQ30" s="316"/>
      <c r="AR30" s="140"/>
    </row>
    <row r="31" spans="1:44" ht="16.5" customHeight="1" x14ac:dyDescent="0.2">
      <c r="A31" s="140"/>
      <c r="B31" s="314" t="s">
        <v>130</v>
      </c>
      <c r="C31" s="315"/>
      <c r="D31" s="315"/>
      <c r="E31" s="315"/>
      <c r="F31" s="316"/>
      <c r="G31" s="164">
        <f>GradeSheet!$H$52</f>
        <v>2</v>
      </c>
      <c r="H31" s="166">
        <f>G31/G30</f>
        <v>7.1428571428571425E-2</v>
      </c>
      <c r="I31" s="140"/>
      <c r="J31" s="314" t="s">
        <v>135</v>
      </c>
      <c r="K31" s="315"/>
      <c r="L31" s="315"/>
      <c r="M31" s="315"/>
      <c r="N31" s="315"/>
      <c r="O31" s="316"/>
      <c r="P31" s="168">
        <v>3</v>
      </c>
      <c r="Q31" s="166">
        <f>P31/P30</f>
        <v>0.125</v>
      </c>
      <c r="R31" s="140"/>
      <c r="S31" s="140"/>
      <c r="T31" s="328" t="s">
        <v>122</v>
      </c>
      <c r="U31" s="315"/>
      <c r="V31" s="315"/>
      <c r="W31" s="315"/>
      <c r="X31" s="315"/>
      <c r="Y31" s="315"/>
      <c r="Z31" s="315"/>
      <c r="AA31" s="315"/>
      <c r="AB31" s="315"/>
      <c r="AC31" s="315"/>
      <c r="AD31" s="315"/>
      <c r="AE31" s="315"/>
      <c r="AF31" s="316"/>
      <c r="AG31" s="328">
        <v>18</v>
      </c>
      <c r="AH31" s="315"/>
      <c r="AI31" s="315"/>
      <c r="AJ31" s="315"/>
      <c r="AK31" s="316"/>
      <c r="AL31" s="317">
        <f>AG31/P33</f>
        <v>0.8571428571428571</v>
      </c>
      <c r="AM31" s="315"/>
      <c r="AN31" s="315"/>
      <c r="AO31" s="315"/>
      <c r="AP31" s="315"/>
      <c r="AQ31" s="316"/>
      <c r="AR31" s="140"/>
    </row>
    <row r="32" spans="1:44" ht="16.5" customHeight="1" x14ac:dyDescent="0.2">
      <c r="A32" s="178"/>
      <c r="B32" s="314" t="s">
        <v>136</v>
      </c>
      <c r="C32" s="315"/>
      <c r="D32" s="315"/>
      <c r="E32" s="315"/>
      <c r="F32" s="316"/>
      <c r="G32" s="168">
        <v>25</v>
      </c>
      <c r="H32" s="166">
        <f>G32/G30</f>
        <v>0.8928571428571429</v>
      </c>
      <c r="I32" s="140"/>
      <c r="J32" s="314" t="s">
        <v>137</v>
      </c>
      <c r="K32" s="315"/>
      <c r="L32" s="315"/>
      <c r="M32" s="315"/>
      <c r="N32" s="315"/>
      <c r="O32" s="316"/>
      <c r="P32" s="168">
        <v>0</v>
      </c>
      <c r="Q32" s="166">
        <f>P32/P30</f>
        <v>0</v>
      </c>
      <c r="R32" s="140"/>
      <c r="S32" s="140"/>
      <c r="T32" s="328" t="s">
        <v>117</v>
      </c>
      <c r="U32" s="315"/>
      <c r="V32" s="315"/>
      <c r="W32" s="315"/>
      <c r="X32" s="315"/>
      <c r="Y32" s="315"/>
      <c r="Z32" s="315"/>
      <c r="AA32" s="315"/>
      <c r="AB32" s="315"/>
      <c r="AC32" s="315"/>
      <c r="AD32" s="315"/>
      <c r="AE32" s="315"/>
      <c r="AF32" s="316"/>
      <c r="AG32" s="328">
        <v>2</v>
      </c>
      <c r="AH32" s="315"/>
      <c r="AI32" s="315"/>
      <c r="AJ32" s="315"/>
      <c r="AK32" s="316"/>
      <c r="AL32" s="317">
        <f>AG32/P33</f>
        <v>9.5238095238095233E-2</v>
      </c>
      <c r="AM32" s="315"/>
      <c r="AN32" s="315"/>
      <c r="AO32" s="315"/>
      <c r="AP32" s="315"/>
      <c r="AQ32" s="316"/>
      <c r="AR32" s="140"/>
    </row>
    <row r="33" spans="1:44" ht="17.25" customHeight="1" x14ac:dyDescent="0.2">
      <c r="A33" s="140"/>
      <c r="B33" s="314" t="s">
        <v>138</v>
      </c>
      <c r="C33" s="315"/>
      <c r="D33" s="315"/>
      <c r="E33" s="315"/>
      <c r="F33" s="316"/>
      <c r="G33" s="164">
        <f>GradeSheet!$H$53-(GradeSheet!$H$50+GradeSheet!$H$51+GradeSheet!$H$52)</f>
        <v>19</v>
      </c>
      <c r="H33" s="166">
        <f>G33/G30</f>
        <v>0.6785714285714286</v>
      </c>
      <c r="I33" s="140"/>
      <c r="J33" s="320" t="s">
        <v>139</v>
      </c>
      <c r="K33" s="321"/>
      <c r="L33" s="321"/>
      <c r="M33" s="321"/>
      <c r="N33" s="321"/>
      <c r="O33" s="322"/>
      <c r="P33" s="350">
        <v>21</v>
      </c>
      <c r="Q33" s="347">
        <f>P33/P30</f>
        <v>0.875</v>
      </c>
      <c r="R33" s="140"/>
      <c r="S33" s="140"/>
      <c r="T33" s="314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6"/>
      <c r="AG33" s="314"/>
      <c r="AH33" s="315"/>
      <c r="AI33" s="315"/>
      <c r="AJ33" s="315"/>
      <c r="AK33" s="316"/>
      <c r="AL33" s="314"/>
      <c r="AM33" s="315"/>
      <c r="AN33" s="315"/>
      <c r="AO33" s="315"/>
      <c r="AP33" s="315"/>
      <c r="AQ33" s="316"/>
      <c r="AR33" s="140"/>
    </row>
    <row r="34" spans="1:44" ht="16.5" customHeight="1" x14ac:dyDescent="0.2">
      <c r="A34" s="140"/>
      <c r="B34" s="142"/>
      <c r="C34" s="142"/>
      <c r="D34" s="142"/>
      <c r="E34" s="142"/>
      <c r="F34" s="142"/>
      <c r="G34" s="142"/>
      <c r="H34" s="142"/>
      <c r="I34" s="140"/>
      <c r="J34" s="323"/>
      <c r="K34" s="284"/>
      <c r="L34" s="284"/>
      <c r="M34" s="284"/>
      <c r="N34" s="284"/>
      <c r="O34" s="324"/>
      <c r="P34" s="348"/>
      <c r="Q34" s="348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</row>
    <row r="35" spans="1:44" ht="16.5" customHeight="1" x14ac:dyDescent="0.2">
      <c r="A35" s="140"/>
      <c r="B35" s="142"/>
      <c r="C35" s="142"/>
      <c r="D35" s="142"/>
      <c r="E35" s="142"/>
      <c r="F35" s="142"/>
      <c r="G35" s="142"/>
      <c r="H35" s="142"/>
      <c r="I35" s="140"/>
      <c r="J35" s="325"/>
      <c r="K35" s="326"/>
      <c r="L35" s="326"/>
      <c r="M35" s="326"/>
      <c r="N35" s="326"/>
      <c r="O35" s="327"/>
      <c r="P35" s="349"/>
      <c r="Q35" s="349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</row>
    <row r="36" spans="1:44" ht="16.5" customHeight="1" x14ac:dyDescent="0.2">
      <c r="A36" s="140"/>
      <c r="B36" s="140"/>
      <c r="C36" s="140"/>
      <c r="D36" s="140"/>
      <c r="E36" s="140"/>
      <c r="F36" s="140"/>
      <c r="G36" s="140"/>
      <c r="H36" s="140"/>
      <c r="I36" s="140"/>
      <c r="J36" s="142"/>
      <c r="K36" s="142"/>
      <c r="L36" s="142"/>
      <c r="M36" s="142"/>
      <c r="N36" s="142"/>
      <c r="O36" s="142"/>
      <c r="P36" s="142"/>
      <c r="Q36" s="142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</row>
    <row r="37" spans="1:44" ht="16.5" customHeight="1" x14ac:dyDescent="0.2">
      <c r="A37" s="140"/>
      <c r="B37" s="314" t="s">
        <v>140</v>
      </c>
      <c r="C37" s="315"/>
      <c r="D37" s="315"/>
      <c r="E37" s="315"/>
      <c r="F37" s="315"/>
      <c r="G37" s="316"/>
      <c r="H37" s="140"/>
      <c r="I37" s="140"/>
      <c r="J37" s="314"/>
      <c r="K37" s="315"/>
      <c r="L37" s="315"/>
      <c r="M37" s="315"/>
      <c r="N37" s="315"/>
      <c r="O37" s="316"/>
      <c r="P37" s="346" t="s">
        <v>126</v>
      </c>
      <c r="Q37" s="316"/>
      <c r="R37" s="140"/>
      <c r="S37" s="140"/>
      <c r="T37" s="319" t="s">
        <v>141</v>
      </c>
      <c r="U37" s="315"/>
      <c r="V37" s="315"/>
      <c r="W37" s="315"/>
      <c r="X37" s="315"/>
      <c r="Y37" s="315"/>
      <c r="Z37" s="315"/>
      <c r="AA37" s="315"/>
      <c r="AB37" s="315"/>
      <c r="AC37" s="315"/>
      <c r="AD37" s="315"/>
      <c r="AE37" s="315"/>
      <c r="AF37" s="316"/>
      <c r="AG37" s="314" t="s">
        <v>101</v>
      </c>
      <c r="AH37" s="315"/>
      <c r="AI37" s="315"/>
      <c r="AJ37" s="315"/>
      <c r="AK37" s="316"/>
      <c r="AL37" s="314" t="s">
        <v>115</v>
      </c>
      <c r="AM37" s="315"/>
      <c r="AN37" s="315"/>
      <c r="AO37" s="315"/>
      <c r="AP37" s="315"/>
      <c r="AQ37" s="316"/>
      <c r="AR37" s="140"/>
    </row>
    <row r="38" spans="1:44" ht="16.5" customHeight="1" x14ac:dyDescent="0.2">
      <c r="A38" s="140"/>
      <c r="B38" s="314" t="s">
        <v>142</v>
      </c>
      <c r="C38" s="315"/>
      <c r="D38" s="315"/>
      <c r="E38" s="315"/>
      <c r="F38" s="316"/>
      <c r="G38" s="168">
        <v>3</v>
      </c>
      <c r="H38" s="140"/>
      <c r="I38" s="140"/>
      <c r="J38" s="314" t="s">
        <v>143</v>
      </c>
      <c r="K38" s="315"/>
      <c r="L38" s="315"/>
      <c r="M38" s="315"/>
      <c r="N38" s="315"/>
      <c r="O38" s="316"/>
      <c r="P38" s="328" t="s">
        <v>144</v>
      </c>
      <c r="Q38" s="316"/>
      <c r="R38" s="140"/>
      <c r="S38" s="140"/>
      <c r="T38" s="328" t="s">
        <v>145</v>
      </c>
      <c r="U38" s="315"/>
      <c r="V38" s="315"/>
      <c r="W38" s="315"/>
      <c r="X38" s="315"/>
      <c r="Y38" s="315"/>
      <c r="Z38" s="315"/>
      <c r="AA38" s="315"/>
      <c r="AB38" s="315"/>
      <c r="AC38" s="315"/>
      <c r="AD38" s="315"/>
      <c r="AE38" s="315"/>
      <c r="AF38" s="316"/>
      <c r="AG38" s="328">
        <v>21</v>
      </c>
      <c r="AH38" s="315"/>
      <c r="AI38" s="315"/>
      <c r="AJ38" s="315"/>
      <c r="AK38" s="316"/>
      <c r="AL38" s="317">
        <f>AG38/P33</f>
        <v>1</v>
      </c>
      <c r="AM38" s="315"/>
      <c r="AN38" s="315"/>
      <c r="AO38" s="315"/>
      <c r="AP38" s="315"/>
      <c r="AQ38" s="316"/>
      <c r="AR38" s="140"/>
    </row>
    <row r="39" spans="1:44" ht="16.5" customHeight="1" x14ac:dyDescent="0.2">
      <c r="A39" s="140"/>
      <c r="B39" s="314" t="s">
        <v>146</v>
      </c>
      <c r="C39" s="315"/>
      <c r="D39" s="315"/>
      <c r="E39" s="315"/>
      <c r="F39" s="316"/>
      <c r="G39" s="168">
        <v>4</v>
      </c>
      <c r="H39" s="140"/>
      <c r="I39" s="140"/>
      <c r="J39" s="314" t="s">
        <v>147</v>
      </c>
      <c r="K39" s="315"/>
      <c r="L39" s="315"/>
      <c r="M39" s="315"/>
      <c r="N39" s="315"/>
      <c r="O39" s="316"/>
      <c r="P39" s="328" t="s">
        <v>144</v>
      </c>
      <c r="Q39" s="316"/>
      <c r="R39" s="140"/>
      <c r="S39" s="140"/>
      <c r="T39" s="328" t="s">
        <v>148</v>
      </c>
      <c r="U39" s="315"/>
      <c r="V39" s="315"/>
      <c r="W39" s="315"/>
      <c r="X39" s="315"/>
      <c r="Y39" s="315"/>
      <c r="Z39" s="315"/>
      <c r="AA39" s="315"/>
      <c r="AB39" s="315"/>
      <c r="AC39" s="315"/>
      <c r="AD39" s="315"/>
      <c r="AE39" s="315"/>
      <c r="AF39" s="316"/>
      <c r="AG39" s="328">
        <v>21</v>
      </c>
      <c r="AH39" s="315"/>
      <c r="AI39" s="315"/>
      <c r="AJ39" s="315"/>
      <c r="AK39" s="316"/>
      <c r="AL39" s="317">
        <f>AG39/P33</f>
        <v>1</v>
      </c>
      <c r="AM39" s="315"/>
      <c r="AN39" s="315"/>
      <c r="AO39" s="315"/>
      <c r="AP39" s="315"/>
      <c r="AQ39" s="316"/>
      <c r="AR39" s="140"/>
    </row>
    <row r="40" spans="1:44" ht="16.5" customHeight="1" x14ac:dyDescent="0.2">
      <c r="A40" s="140"/>
      <c r="B40" s="142"/>
      <c r="C40" s="142"/>
      <c r="D40" s="142"/>
      <c r="E40" s="142"/>
      <c r="F40" s="142"/>
      <c r="G40" s="142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328" t="s">
        <v>149</v>
      </c>
      <c r="U40" s="315"/>
      <c r="V40" s="315"/>
      <c r="W40" s="315"/>
      <c r="X40" s="315"/>
      <c r="Y40" s="315"/>
      <c r="Z40" s="315"/>
      <c r="AA40" s="315"/>
      <c r="AB40" s="315"/>
      <c r="AC40" s="315"/>
      <c r="AD40" s="315"/>
      <c r="AE40" s="315"/>
      <c r="AF40" s="316"/>
      <c r="AG40" s="328">
        <v>0</v>
      </c>
      <c r="AH40" s="315"/>
      <c r="AI40" s="315"/>
      <c r="AJ40" s="315"/>
      <c r="AK40" s="316"/>
      <c r="AL40" s="317">
        <f>AG40/P33</f>
        <v>0</v>
      </c>
      <c r="AM40" s="315"/>
      <c r="AN40" s="315"/>
      <c r="AO40" s="315"/>
      <c r="AP40" s="315"/>
      <c r="AQ40" s="316"/>
      <c r="AR40" s="140"/>
    </row>
    <row r="41" spans="1:44" ht="16.5" customHeight="1" x14ac:dyDescent="0.2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328" t="s">
        <v>150</v>
      </c>
      <c r="U41" s="315"/>
      <c r="V41" s="315"/>
      <c r="W41" s="315"/>
      <c r="X41" s="315"/>
      <c r="Y41" s="315"/>
      <c r="Z41" s="315"/>
      <c r="AA41" s="315"/>
      <c r="AB41" s="315"/>
      <c r="AC41" s="315"/>
      <c r="AD41" s="315"/>
      <c r="AE41" s="315"/>
      <c r="AF41" s="316"/>
      <c r="AG41" s="328">
        <v>0</v>
      </c>
      <c r="AH41" s="315"/>
      <c r="AI41" s="315"/>
      <c r="AJ41" s="315"/>
      <c r="AK41" s="316"/>
      <c r="AL41" s="317">
        <f>AG41/P33</f>
        <v>0</v>
      </c>
      <c r="AM41" s="315"/>
      <c r="AN41" s="315"/>
      <c r="AO41" s="315"/>
      <c r="AP41" s="315"/>
      <c r="AQ41" s="316"/>
      <c r="AR41" s="140"/>
    </row>
    <row r="42" spans="1:44" ht="16.5" customHeight="1" x14ac:dyDescent="0.2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328"/>
      <c r="U42" s="315"/>
      <c r="V42" s="315"/>
      <c r="W42" s="315"/>
      <c r="X42" s="315"/>
      <c r="Y42" s="315"/>
      <c r="Z42" s="315"/>
      <c r="AA42" s="315"/>
      <c r="AB42" s="315"/>
      <c r="AC42" s="315"/>
      <c r="AD42" s="315"/>
      <c r="AE42" s="315"/>
      <c r="AF42" s="316"/>
      <c r="AG42" s="328"/>
      <c r="AH42" s="315"/>
      <c r="AI42" s="315"/>
      <c r="AJ42" s="315"/>
      <c r="AK42" s="316"/>
      <c r="AL42" s="317"/>
      <c r="AM42" s="315"/>
      <c r="AN42" s="315"/>
      <c r="AO42" s="315"/>
      <c r="AP42" s="315"/>
      <c r="AQ42" s="316"/>
      <c r="AR42" s="140"/>
    </row>
    <row r="43" spans="1:44" ht="16.5" customHeight="1" x14ac:dyDescent="0.2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</row>
    <row r="44" spans="1:44" ht="16.5" customHeight="1" x14ac:dyDescent="0.2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</row>
    <row r="45" spans="1:44" ht="16.5" customHeight="1" x14ac:dyDescent="0.2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</row>
    <row r="46" spans="1:44" ht="16.5" customHeight="1" x14ac:dyDescent="0.2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</row>
    <row r="47" spans="1:44" ht="16.5" customHeight="1" x14ac:dyDescent="0.2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80" t="s">
        <v>151</v>
      </c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</row>
    <row r="48" spans="1:44" ht="16.5" customHeight="1" x14ac:dyDescent="0.2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</row>
    <row r="49" spans="1:44" ht="16.5" customHeight="1" x14ac:dyDescent="0.2">
      <c r="A49" s="140"/>
      <c r="B49" s="140"/>
      <c r="C49" s="18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</row>
    <row r="50" spans="1:44" ht="16.5" customHeight="1" x14ac:dyDescent="0.2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</row>
    <row r="51" spans="1:44" ht="16.5" customHeight="1" x14ac:dyDescent="0.2">
      <c r="A51" s="140"/>
      <c r="B51" s="334" t="s">
        <v>49</v>
      </c>
      <c r="C51" s="315"/>
      <c r="D51" s="316"/>
      <c r="E51" s="336" t="str">
        <f>GradeSheet!$H$2</f>
        <v>CSE 305</v>
      </c>
      <c r="F51" s="315"/>
      <c r="G51" s="315"/>
      <c r="H51" s="315"/>
      <c r="I51" s="315"/>
      <c r="J51" s="315"/>
      <c r="K51" s="315"/>
      <c r="L51" s="315"/>
      <c r="M51" s="315"/>
      <c r="N51" s="316"/>
      <c r="O51" s="334" t="str">
        <f>CONCATENATE("Section ", GradeSheet!$L$2,)</f>
        <v>Section 1</v>
      </c>
      <c r="P51" s="315"/>
      <c r="Q51" s="316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</row>
    <row r="52" spans="1:44" ht="16.5" customHeight="1" x14ac:dyDescent="0.2">
      <c r="A52" s="140"/>
      <c r="B52" s="338" t="s">
        <v>52</v>
      </c>
      <c r="C52" s="315"/>
      <c r="D52" s="316"/>
      <c r="E52" s="335" t="str">
        <f>GradeSheet!$H$3</f>
        <v>Algorithms</v>
      </c>
      <c r="F52" s="315"/>
      <c r="G52" s="315"/>
      <c r="H52" s="315"/>
      <c r="I52" s="315"/>
      <c r="J52" s="315"/>
      <c r="K52" s="315"/>
      <c r="L52" s="315"/>
      <c r="M52" s="315"/>
      <c r="N52" s="316"/>
      <c r="O52" s="338" t="str">
        <f>CONCATENATE(GradeSheet!$H$53," students")</f>
        <v>28 students</v>
      </c>
      <c r="P52" s="315"/>
      <c r="Q52" s="316"/>
      <c r="R52" s="137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</row>
    <row r="53" spans="1:44" ht="16.5" customHeight="1" x14ac:dyDescent="0.2">
      <c r="A53" s="140"/>
      <c r="B53" s="341" t="s">
        <v>54</v>
      </c>
      <c r="C53" s="315"/>
      <c r="D53" s="316"/>
      <c r="E53" s="340">
        <f>GradeSheet!$H$4</f>
        <v>3</v>
      </c>
      <c r="F53" s="315"/>
      <c r="G53" s="315"/>
      <c r="H53" s="315"/>
      <c r="I53" s="315"/>
      <c r="J53" s="315"/>
      <c r="K53" s="315"/>
      <c r="L53" s="315"/>
      <c r="M53" s="315"/>
      <c r="N53" s="316"/>
      <c r="O53" s="340" t="str">
        <f>GradeSheet!$L$3</f>
        <v>Summer 2019</v>
      </c>
      <c r="P53" s="315"/>
      <c r="Q53" s="316"/>
      <c r="R53" s="137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</row>
    <row r="54" spans="1:44" ht="16.5" customHeight="1" x14ac:dyDescent="0.2">
      <c r="A54" s="140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</row>
    <row r="55" spans="1:44" ht="16.5" customHeight="1" x14ac:dyDescent="0.2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</row>
    <row r="56" spans="1:44" ht="16.5" customHeight="1" x14ac:dyDescent="0.2">
      <c r="A56" s="140"/>
      <c r="B56" s="140"/>
      <c r="C56" s="140"/>
      <c r="D56" s="140"/>
      <c r="E56" s="140"/>
      <c r="F56" s="140"/>
      <c r="G56" s="140"/>
      <c r="H56" s="140"/>
      <c r="I56" s="140"/>
      <c r="J56" s="181"/>
      <c r="K56" s="181"/>
      <c r="L56" s="181"/>
      <c r="M56" s="181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</row>
    <row r="57" spans="1:44" ht="16.5" customHeight="1" x14ac:dyDescent="0.2">
      <c r="A57" s="140"/>
      <c r="B57" s="140"/>
      <c r="C57" s="140"/>
      <c r="D57" s="140"/>
      <c r="E57" s="344" t="s">
        <v>152</v>
      </c>
      <c r="F57" s="345"/>
      <c r="G57" s="345"/>
      <c r="H57" s="345"/>
      <c r="I57" s="345"/>
      <c r="J57" s="345"/>
      <c r="K57" s="345"/>
      <c r="L57" s="345"/>
      <c r="M57" s="181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</row>
    <row r="58" spans="1:44" ht="16.5" customHeight="1" x14ac:dyDescent="0.2">
      <c r="A58" s="140"/>
      <c r="B58" s="140"/>
      <c r="C58" s="140"/>
      <c r="D58" s="140"/>
      <c r="E58" s="343"/>
      <c r="F58" s="315"/>
      <c r="G58" s="316"/>
      <c r="H58" s="147" t="s">
        <v>19</v>
      </c>
      <c r="I58" s="147" t="s">
        <v>23</v>
      </c>
      <c r="J58" s="147" t="s">
        <v>26</v>
      </c>
      <c r="K58" s="182" t="s">
        <v>27</v>
      </c>
      <c r="L58" s="182" t="s">
        <v>28</v>
      </c>
      <c r="M58" s="183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</row>
    <row r="59" spans="1:44" ht="16.5" customHeight="1" x14ac:dyDescent="0.2">
      <c r="A59" s="140"/>
      <c r="B59" s="140"/>
      <c r="C59" s="140"/>
      <c r="D59" s="140"/>
      <c r="E59" s="337" t="s">
        <v>153</v>
      </c>
      <c r="F59" s="315"/>
      <c r="G59" s="316"/>
      <c r="H59" s="151">
        <f>CO_PO_AttainmentAnalysis!$AN$44</f>
        <v>2</v>
      </c>
      <c r="I59" s="151">
        <f>CO_PO_AttainmentAnalysis!$AO$44</f>
        <v>1</v>
      </c>
      <c r="J59" s="151">
        <f>CO_PO_AttainmentAnalysis!$AP$44</f>
        <v>11</v>
      </c>
      <c r="K59" s="151">
        <f>CO_PO_AttainmentAnalysis!$AQ$44</f>
        <v>5</v>
      </c>
      <c r="L59" s="151">
        <f>CO_PO_AttainmentAnalysis!$AQ$44</f>
        <v>5</v>
      </c>
      <c r="M59" s="184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</row>
    <row r="60" spans="1:44" ht="16.5" customHeight="1" x14ac:dyDescent="0.2">
      <c r="A60" s="140"/>
      <c r="B60" s="140"/>
      <c r="C60" s="140"/>
      <c r="D60" s="140"/>
      <c r="E60" s="337" t="s">
        <v>154</v>
      </c>
      <c r="F60" s="315"/>
      <c r="G60" s="316"/>
      <c r="H60" s="158">
        <f>CO_PO_AttainmentAnalysis!$AH$44</f>
        <v>0.31200000000000006</v>
      </c>
      <c r="I60" s="158">
        <f>CO_PO_AttainmentAnalysis!$AI$44</f>
        <v>0.27538461538461539</v>
      </c>
      <c r="J60" s="158">
        <f>CO_PO_AttainmentAnalysis!$AJ$44</f>
        <v>0.54608695652173911</v>
      </c>
      <c r="K60" s="158">
        <f>CO_PO_AttainmentAnalysis!$AK$44</f>
        <v>0.43636363636363634</v>
      </c>
      <c r="L60" s="158">
        <f>CO_PO_AttainmentAnalysis!$AK$44</f>
        <v>0.43636363636363634</v>
      </c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</row>
    <row r="61" spans="1:44" ht="16.5" customHeight="1" x14ac:dyDescent="0.2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</row>
    <row r="62" spans="1:44" ht="16.5" customHeight="1" x14ac:dyDescent="0.2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</row>
    <row r="63" spans="1:44" ht="16.5" customHeight="1" x14ac:dyDescent="0.2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</row>
    <row r="64" spans="1:44" ht="16.5" customHeight="1" x14ac:dyDescent="0.2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</row>
    <row r="65" spans="1:44" ht="16.5" customHeight="1" x14ac:dyDescent="0.2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</row>
    <row r="66" spans="1:44" ht="16.5" customHeight="1" x14ac:dyDescent="0.2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</row>
    <row r="67" spans="1:44" ht="16.5" customHeight="1" x14ac:dyDescent="0.2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</row>
    <row r="68" spans="1:44" ht="16.5" customHeight="1" x14ac:dyDescent="0.2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</row>
    <row r="69" spans="1:44" ht="16.5" customHeight="1" x14ac:dyDescent="0.2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</row>
    <row r="70" spans="1:44" ht="16.5" customHeight="1" x14ac:dyDescent="0.2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</row>
    <row r="71" spans="1:44" ht="16.5" customHeight="1" x14ac:dyDescent="0.2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</row>
    <row r="72" spans="1:44" ht="16.5" customHeight="1" x14ac:dyDescent="0.2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</row>
    <row r="73" spans="1:44" ht="16.5" customHeight="1" x14ac:dyDescent="0.2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</row>
    <row r="74" spans="1:44" ht="16.5" customHeight="1" x14ac:dyDescent="0.2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</row>
    <row r="75" spans="1:44" ht="16.5" customHeight="1" x14ac:dyDescent="0.2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</row>
    <row r="76" spans="1:44" ht="16.5" customHeight="1" x14ac:dyDescent="0.2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</row>
    <row r="77" spans="1:44" ht="16.5" customHeight="1" x14ac:dyDescent="0.2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</row>
    <row r="78" spans="1:44" ht="16.5" customHeight="1" x14ac:dyDescent="0.2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</row>
    <row r="79" spans="1:44" ht="16.5" customHeight="1" x14ac:dyDescent="0.2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</row>
    <row r="80" spans="1:44" ht="16.5" customHeight="1" x14ac:dyDescent="0.2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</row>
    <row r="81" spans="1:44" ht="16.5" customHeight="1" x14ac:dyDescent="0.2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</row>
    <row r="82" spans="1:44" ht="16.5" customHeight="1" x14ac:dyDescent="0.2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</row>
    <row r="83" spans="1:44" ht="16.5" customHeight="1" x14ac:dyDescent="0.2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</row>
    <row r="84" spans="1:44" ht="16.5" customHeight="1" x14ac:dyDescent="0.2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</row>
    <row r="85" spans="1:44" ht="16.5" customHeight="1" x14ac:dyDescent="0.2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</row>
    <row r="86" spans="1:44" ht="16.5" customHeight="1" x14ac:dyDescent="0.2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</row>
    <row r="87" spans="1:44" ht="16.5" customHeight="1" x14ac:dyDescent="0.2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</row>
    <row r="88" spans="1:44" ht="16.5" customHeight="1" x14ac:dyDescent="0.2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</row>
    <row r="89" spans="1:44" ht="16.5" customHeight="1" x14ac:dyDescent="0.2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</row>
    <row r="90" spans="1:44" ht="16.5" customHeight="1" x14ac:dyDescent="0.2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</row>
    <row r="91" spans="1:44" ht="16.5" customHeight="1" x14ac:dyDescent="0.2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</row>
    <row r="92" spans="1:44" ht="16.5" customHeight="1" x14ac:dyDescent="0.2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</row>
    <row r="93" spans="1:44" ht="16.5" customHeight="1" x14ac:dyDescent="0.2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40"/>
    </row>
    <row r="94" spans="1:44" ht="16.5" customHeight="1" x14ac:dyDescent="0.2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</row>
    <row r="95" spans="1:44" ht="16.5" customHeight="1" x14ac:dyDescent="0.2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</row>
    <row r="96" spans="1:44" ht="16.5" customHeight="1" x14ac:dyDescent="0.2">
      <c r="A96" s="140"/>
      <c r="B96" s="140"/>
      <c r="C96" s="18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</row>
    <row r="97" spans="1:44" ht="16.5" customHeight="1" x14ac:dyDescent="0.2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</row>
    <row r="98" spans="1:44" ht="16.5" customHeight="1" x14ac:dyDescent="0.2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</row>
    <row r="99" spans="1:44" ht="16.5" customHeight="1" x14ac:dyDescent="0.2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</row>
    <row r="100" spans="1:44" ht="16.5" customHeight="1" x14ac:dyDescent="0.2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</row>
    <row r="101" spans="1:44" ht="16.5" customHeight="1" x14ac:dyDescent="0.2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</row>
    <row r="102" spans="1:44" ht="16.5" customHeight="1" x14ac:dyDescent="0.2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</row>
    <row r="103" spans="1:44" ht="16.5" customHeight="1" x14ac:dyDescent="0.2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</row>
    <row r="104" spans="1:44" ht="16.5" customHeight="1" x14ac:dyDescent="0.2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</row>
    <row r="105" spans="1:44" ht="16.5" customHeight="1" x14ac:dyDescent="0.2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</row>
    <row r="106" spans="1:44" ht="16.5" customHeight="1" x14ac:dyDescent="0.2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</row>
    <row r="107" spans="1:44" ht="16.5" customHeight="1" x14ac:dyDescent="0.2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</row>
    <row r="108" spans="1:44" ht="16.5" customHeight="1" x14ac:dyDescent="0.2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</row>
    <row r="109" spans="1:44" ht="16.5" customHeight="1" x14ac:dyDescent="0.2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</row>
    <row r="110" spans="1:44" ht="16.5" customHeight="1" x14ac:dyDescent="0.2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</row>
    <row r="111" spans="1:44" ht="16.5" customHeight="1" x14ac:dyDescent="0.2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</row>
    <row r="112" spans="1:44" ht="16.5" customHeight="1" x14ac:dyDescent="0.2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</row>
    <row r="113" spans="1:44" ht="16.5" customHeight="1" x14ac:dyDescent="0.2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</row>
    <row r="114" spans="1:44" ht="16.5" customHeight="1" x14ac:dyDescent="0.2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</row>
    <row r="115" spans="1:44" ht="16.5" customHeight="1" x14ac:dyDescent="0.2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</row>
    <row r="116" spans="1:44" ht="16.5" customHeight="1" x14ac:dyDescent="0.2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</row>
    <row r="117" spans="1:44" ht="16.5" customHeight="1" x14ac:dyDescent="0.2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</row>
    <row r="118" spans="1:44" ht="16.5" customHeight="1" x14ac:dyDescent="0.2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40"/>
      <c r="AR118" s="140"/>
    </row>
    <row r="119" spans="1:44" ht="16.5" customHeight="1" x14ac:dyDescent="0.2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140"/>
      <c r="AP119" s="140"/>
      <c r="AQ119" s="140"/>
      <c r="AR119" s="140"/>
    </row>
    <row r="120" spans="1:44" ht="16.5" customHeight="1" x14ac:dyDescent="0.2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</row>
    <row r="121" spans="1:44" ht="16.5" customHeight="1" x14ac:dyDescent="0.2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</row>
    <row r="122" spans="1:44" ht="16.5" customHeight="1" x14ac:dyDescent="0.2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</row>
    <row r="123" spans="1:44" ht="16.5" customHeight="1" x14ac:dyDescent="0.2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</row>
    <row r="124" spans="1:44" ht="16.5" customHeight="1" x14ac:dyDescent="0.2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</row>
    <row r="125" spans="1:44" ht="16.5" customHeight="1" x14ac:dyDescent="0.2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</row>
    <row r="126" spans="1:44" ht="16.5" customHeight="1" x14ac:dyDescent="0.2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</row>
    <row r="127" spans="1:44" ht="16.5" customHeight="1" x14ac:dyDescent="0.2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</row>
    <row r="128" spans="1:44" ht="16.5" customHeight="1" x14ac:dyDescent="0.2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</row>
    <row r="129" spans="1:44" ht="16.5" customHeight="1" x14ac:dyDescent="0.2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</row>
    <row r="130" spans="1:44" ht="16.5" customHeight="1" x14ac:dyDescent="0.2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</row>
    <row r="131" spans="1:44" ht="16.5" customHeight="1" x14ac:dyDescent="0.2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</row>
    <row r="132" spans="1:44" ht="16.5" customHeight="1" x14ac:dyDescent="0.2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</row>
    <row r="133" spans="1:44" ht="16.5" customHeight="1" x14ac:dyDescent="0.2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</row>
    <row r="134" spans="1:44" ht="16.5" customHeight="1" x14ac:dyDescent="0.2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</row>
    <row r="135" spans="1:44" ht="16.5" customHeight="1" x14ac:dyDescent="0.2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</row>
    <row r="136" spans="1:44" ht="16.5" customHeight="1" x14ac:dyDescent="0.2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  <c r="AE136" s="140"/>
      <c r="AF136" s="140"/>
      <c r="AG136" s="140"/>
      <c r="AH136" s="140"/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0"/>
    </row>
    <row r="137" spans="1:44" ht="16.5" customHeight="1" x14ac:dyDescent="0.2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</row>
    <row r="138" spans="1:44" ht="16.5" customHeight="1" x14ac:dyDescent="0.2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</row>
    <row r="139" spans="1:44" ht="16.5" customHeight="1" x14ac:dyDescent="0.2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</row>
    <row r="140" spans="1:44" ht="16.5" customHeight="1" x14ac:dyDescent="0.2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</row>
    <row r="141" spans="1:44" ht="16.5" customHeight="1" x14ac:dyDescent="0.2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</row>
    <row r="142" spans="1:44" ht="16.5" customHeight="1" x14ac:dyDescent="0.2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</row>
    <row r="143" spans="1:44" ht="16.5" customHeight="1" x14ac:dyDescent="0.2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</row>
    <row r="144" spans="1:44" ht="16.5" customHeight="1" x14ac:dyDescent="0.2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</row>
    <row r="145" spans="1:44" ht="16.5" customHeight="1" x14ac:dyDescent="0.2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</row>
    <row r="146" spans="1:44" ht="16.5" customHeight="1" x14ac:dyDescent="0.2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140"/>
      <c r="AP146" s="140"/>
      <c r="AQ146" s="140"/>
      <c r="AR146" s="140"/>
    </row>
    <row r="147" spans="1:44" ht="16.5" customHeight="1" x14ac:dyDescent="0.2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140"/>
      <c r="AK147" s="140"/>
      <c r="AL147" s="140"/>
      <c r="AM147" s="140"/>
      <c r="AN147" s="140"/>
      <c r="AO147" s="140"/>
      <c r="AP147" s="140"/>
      <c r="AQ147" s="140"/>
      <c r="AR147" s="140"/>
    </row>
    <row r="148" spans="1:44" ht="16.5" customHeight="1" x14ac:dyDescent="0.2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40"/>
      <c r="AO148" s="140"/>
      <c r="AP148" s="140"/>
      <c r="AQ148" s="140"/>
      <c r="AR148" s="140"/>
    </row>
    <row r="149" spans="1:44" ht="16.5" customHeight="1" x14ac:dyDescent="0.2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140"/>
      <c r="AK149" s="140"/>
      <c r="AL149" s="140"/>
      <c r="AM149" s="140"/>
      <c r="AN149" s="140"/>
      <c r="AO149" s="140"/>
      <c r="AP149" s="140"/>
      <c r="AQ149" s="140"/>
      <c r="AR149" s="140"/>
    </row>
    <row r="150" spans="1:44" ht="16.5" customHeight="1" x14ac:dyDescent="0.2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</row>
    <row r="151" spans="1:44" ht="16.5" customHeight="1" x14ac:dyDescent="0.2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</row>
    <row r="152" spans="1:44" ht="16.5" customHeight="1" x14ac:dyDescent="0.2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140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</row>
    <row r="153" spans="1:44" ht="16.5" customHeight="1" x14ac:dyDescent="0.2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  <c r="AD153" s="140"/>
      <c r="AE153" s="140"/>
      <c r="AF153" s="140"/>
      <c r="AG153" s="140"/>
      <c r="AH153" s="140"/>
      <c r="AI153" s="140"/>
      <c r="AJ153" s="140"/>
      <c r="AK153" s="140"/>
      <c r="AL153" s="140"/>
      <c r="AM153" s="140"/>
      <c r="AN153" s="140"/>
      <c r="AO153" s="140"/>
      <c r="AP153" s="140"/>
      <c r="AQ153" s="140"/>
      <c r="AR153" s="140"/>
    </row>
    <row r="154" spans="1:44" ht="16.5" customHeight="1" x14ac:dyDescent="0.2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</row>
    <row r="155" spans="1:44" ht="16.5" customHeight="1" x14ac:dyDescent="0.2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  <c r="AD155" s="140"/>
      <c r="AE155" s="140"/>
      <c r="AF155" s="140"/>
      <c r="AG155" s="140"/>
      <c r="AH155" s="140"/>
      <c r="AI155" s="140"/>
      <c r="AJ155" s="140"/>
      <c r="AK155" s="140"/>
      <c r="AL155" s="140"/>
      <c r="AM155" s="140"/>
      <c r="AN155" s="140"/>
      <c r="AO155" s="140"/>
      <c r="AP155" s="140"/>
      <c r="AQ155" s="140"/>
      <c r="AR155" s="140"/>
    </row>
    <row r="156" spans="1:44" ht="16.5" customHeight="1" x14ac:dyDescent="0.2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</row>
    <row r="157" spans="1:44" ht="16.5" customHeight="1" x14ac:dyDescent="0.2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</row>
    <row r="158" spans="1:44" ht="16.5" customHeight="1" x14ac:dyDescent="0.2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</row>
    <row r="159" spans="1:44" ht="16.5" customHeight="1" x14ac:dyDescent="0.2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</row>
    <row r="160" spans="1:44" ht="16.5" customHeight="1" x14ac:dyDescent="0.2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</row>
    <row r="161" spans="1:44" ht="16.5" customHeight="1" x14ac:dyDescent="0.2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  <c r="AD161" s="140"/>
      <c r="AE161" s="140"/>
      <c r="AF161" s="140"/>
      <c r="AG161" s="140"/>
      <c r="AH161" s="140"/>
      <c r="AI161" s="140"/>
      <c r="AJ161" s="140"/>
      <c r="AK161" s="140"/>
      <c r="AL161" s="140"/>
      <c r="AM161" s="140"/>
      <c r="AN161" s="140"/>
      <c r="AO161" s="140"/>
      <c r="AP161" s="140"/>
      <c r="AQ161" s="140"/>
      <c r="AR161" s="140"/>
    </row>
    <row r="162" spans="1:44" ht="16.5" customHeight="1" x14ac:dyDescent="0.2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40"/>
    </row>
    <row r="163" spans="1:44" ht="16.5" customHeight="1" x14ac:dyDescent="0.2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</row>
    <row r="164" spans="1:44" ht="16.5" customHeight="1" x14ac:dyDescent="0.2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</row>
    <row r="165" spans="1:44" ht="16.5" customHeight="1" x14ac:dyDescent="0.2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</row>
    <row r="166" spans="1:44" ht="16.5" customHeight="1" x14ac:dyDescent="0.2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</row>
    <row r="167" spans="1:44" ht="16.5" customHeight="1" x14ac:dyDescent="0.2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</row>
    <row r="168" spans="1:44" ht="16.5" customHeight="1" x14ac:dyDescent="0.2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  <c r="AN168" s="140"/>
      <c r="AO168" s="140"/>
      <c r="AP168" s="140"/>
      <c r="AQ168" s="140"/>
      <c r="AR168" s="140"/>
    </row>
    <row r="169" spans="1:44" ht="16.5" customHeight="1" x14ac:dyDescent="0.2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</row>
    <row r="170" spans="1:44" ht="16.5" customHeight="1" x14ac:dyDescent="0.2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</row>
    <row r="171" spans="1:44" ht="16.5" customHeight="1" x14ac:dyDescent="0.2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</row>
    <row r="172" spans="1:44" ht="16.5" customHeight="1" x14ac:dyDescent="0.2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140"/>
      <c r="AM172" s="140"/>
      <c r="AN172" s="140"/>
      <c r="AO172" s="140"/>
      <c r="AP172" s="140"/>
      <c r="AQ172" s="140"/>
      <c r="AR172" s="140"/>
    </row>
    <row r="173" spans="1:44" ht="16.5" customHeight="1" x14ac:dyDescent="0.2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140"/>
      <c r="AH173" s="140"/>
      <c r="AI173" s="140"/>
      <c r="AJ173" s="140"/>
      <c r="AK173" s="140"/>
      <c r="AL173" s="140"/>
      <c r="AM173" s="140"/>
      <c r="AN173" s="140"/>
      <c r="AO173" s="140"/>
      <c r="AP173" s="140"/>
      <c r="AQ173" s="140"/>
      <c r="AR173" s="140"/>
    </row>
    <row r="174" spans="1:44" ht="16.5" customHeight="1" x14ac:dyDescent="0.2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</row>
    <row r="175" spans="1:44" ht="16.5" customHeight="1" x14ac:dyDescent="0.2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140"/>
      <c r="AP175" s="140"/>
      <c r="AQ175" s="140"/>
      <c r="AR175" s="140"/>
    </row>
    <row r="176" spans="1:44" ht="16.5" customHeight="1" x14ac:dyDescent="0.2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  <c r="AD176" s="140"/>
      <c r="AE176" s="140"/>
      <c r="AF176" s="140"/>
      <c r="AG176" s="140"/>
      <c r="AH176" s="140"/>
      <c r="AI176" s="140"/>
      <c r="AJ176" s="140"/>
      <c r="AK176" s="140"/>
      <c r="AL176" s="140"/>
      <c r="AM176" s="140"/>
      <c r="AN176" s="140"/>
      <c r="AO176" s="140"/>
      <c r="AP176" s="140"/>
      <c r="AQ176" s="140"/>
      <c r="AR176" s="140"/>
    </row>
    <row r="177" spans="1:44" ht="16.5" customHeight="1" x14ac:dyDescent="0.2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0"/>
      <c r="AN177" s="140"/>
      <c r="AO177" s="140"/>
      <c r="AP177" s="140"/>
      <c r="AQ177" s="140"/>
      <c r="AR177" s="140"/>
    </row>
    <row r="178" spans="1:44" ht="16.5" customHeight="1" x14ac:dyDescent="0.2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40"/>
      <c r="AQ178" s="140"/>
      <c r="AR178" s="140"/>
    </row>
    <row r="179" spans="1:44" ht="16.5" customHeight="1" x14ac:dyDescent="0.2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</row>
    <row r="180" spans="1:44" ht="16.5" customHeight="1" x14ac:dyDescent="0.2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  <c r="AD180" s="140"/>
      <c r="AE180" s="140"/>
      <c r="AF180" s="140"/>
      <c r="AG180" s="140"/>
      <c r="AH180" s="140"/>
      <c r="AI180" s="140"/>
      <c r="AJ180" s="140"/>
      <c r="AK180" s="140"/>
      <c r="AL180" s="140"/>
      <c r="AM180" s="140"/>
      <c r="AN180" s="140"/>
      <c r="AO180" s="140"/>
      <c r="AP180" s="140"/>
      <c r="AQ180" s="140"/>
      <c r="AR180" s="140"/>
    </row>
    <row r="181" spans="1:44" ht="16.5" customHeight="1" x14ac:dyDescent="0.2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</row>
    <row r="182" spans="1:44" ht="16.5" customHeight="1" x14ac:dyDescent="0.2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</row>
    <row r="183" spans="1:44" ht="16.5" customHeight="1" x14ac:dyDescent="0.2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</row>
    <row r="184" spans="1:44" ht="16.5" customHeight="1" x14ac:dyDescent="0.2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140"/>
      <c r="AM184" s="140"/>
      <c r="AN184" s="140"/>
      <c r="AO184" s="140"/>
      <c r="AP184" s="140"/>
      <c r="AQ184" s="140"/>
      <c r="AR184" s="140"/>
    </row>
    <row r="185" spans="1:44" ht="16.5" customHeight="1" x14ac:dyDescent="0.2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0"/>
      <c r="AM185" s="140"/>
      <c r="AN185" s="140"/>
      <c r="AO185" s="140"/>
      <c r="AP185" s="140"/>
      <c r="AQ185" s="140"/>
      <c r="AR185" s="140"/>
    </row>
    <row r="186" spans="1:44" ht="16.5" customHeight="1" x14ac:dyDescent="0.2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  <c r="AD186" s="140"/>
      <c r="AE186" s="140"/>
      <c r="AF186" s="140"/>
      <c r="AG186" s="140"/>
      <c r="AH186" s="140"/>
      <c r="AI186" s="140"/>
      <c r="AJ186" s="140"/>
      <c r="AK186" s="140"/>
      <c r="AL186" s="140"/>
      <c r="AM186" s="140"/>
      <c r="AN186" s="140"/>
      <c r="AO186" s="140"/>
      <c r="AP186" s="140"/>
      <c r="AQ186" s="140"/>
      <c r="AR186" s="140"/>
    </row>
    <row r="187" spans="1:44" ht="16.5" customHeight="1" x14ac:dyDescent="0.2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  <c r="AC187" s="140"/>
      <c r="AD187" s="140"/>
      <c r="AE187" s="140"/>
      <c r="AF187" s="140"/>
      <c r="AG187" s="140"/>
      <c r="AH187" s="140"/>
      <c r="AI187" s="140"/>
      <c r="AJ187" s="140"/>
      <c r="AK187" s="140"/>
      <c r="AL187" s="140"/>
      <c r="AM187" s="140"/>
      <c r="AN187" s="140"/>
      <c r="AO187" s="140"/>
      <c r="AP187" s="140"/>
      <c r="AQ187" s="140"/>
      <c r="AR187" s="140"/>
    </row>
    <row r="188" spans="1:44" ht="16.5" customHeight="1" x14ac:dyDescent="0.2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140"/>
      <c r="AM188" s="140"/>
      <c r="AN188" s="140"/>
      <c r="AO188" s="140"/>
      <c r="AP188" s="140"/>
      <c r="AQ188" s="140"/>
      <c r="AR188" s="140"/>
    </row>
    <row r="189" spans="1:44" ht="16.5" customHeight="1" x14ac:dyDescent="0.2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</row>
    <row r="190" spans="1:44" ht="16.5" customHeight="1" x14ac:dyDescent="0.2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</row>
    <row r="191" spans="1:44" ht="16.5" customHeight="1" x14ac:dyDescent="0.2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</row>
    <row r="192" spans="1:44" ht="16.5" customHeight="1" x14ac:dyDescent="0.2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0"/>
      <c r="AG192" s="140"/>
      <c r="AH192" s="140"/>
      <c r="AI192" s="140"/>
      <c r="AJ192" s="140"/>
      <c r="AK192" s="140"/>
      <c r="AL192" s="140"/>
      <c r="AM192" s="140"/>
      <c r="AN192" s="140"/>
      <c r="AO192" s="140"/>
      <c r="AP192" s="140"/>
      <c r="AQ192" s="140"/>
      <c r="AR192" s="140"/>
    </row>
    <row r="193" spans="1:44" ht="16.5" customHeight="1" x14ac:dyDescent="0.2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  <c r="AE193" s="140"/>
      <c r="AF193" s="140"/>
      <c r="AG193" s="140"/>
      <c r="AH193" s="140"/>
      <c r="AI193" s="140"/>
      <c r="AJ193" s="140"/>
      <c r="AK193" s="140"/>
      <c r="AL193" s="140"/>
      <c r="AM193" s="140"/>
      <c r="AN193" s="140"/>
      <c r="AO193" s="140"/>
      <c r="AP193" s="140"/>
      <c r="AQ193" s="140"/>
      <c r="AR193" s="140"/>
    </row>
    <row r="194" spans="1:44" ht="16.5" customHeight="1" x14ac:dyDescent="0.2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140"/>
      <c r="AM194" s="140"/>
      <c r="AN194" s="140"/>
      <c r="AO194" s="140"/>
      <c r="AP194" s="140"/>
      <c r="AQ194" s="140"/>
      <c r="AR194" s="140"/>
    </row>
    <row r="195" spans="1:44" ht="16.5" customHeight="1" x14ac:dyDescent="0.2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0"/>
      <c r="AE195" s="140"/>
      <c r="AF195" s="140"/>
      <c r="AG195" s="140"/>
      <c r="AH195" s="140"/>
      <c r="AI195" s="140"/>
      <c r="AJ195" s="140"/>
      <c r="AK195" s="140"/>
      <c r="AL195" s="140"/>
      <c r="AM195" s="140"/>
      <c r="AN195" s="140"/>
      <c r="AO195" s="140"/>
      <c r="AP195" s="140"/>
      <c r="AQ195" s="140"/>
      <c r="AR195" s="140"/>
    </row>
    <row r="196" spans="1:44" ht="16.5" customHeight="1" x14ac:dyDescent="0.2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  <c r="AD196" s="140"/>
      <c r="AE196" s="140"/>
      <c r="AF196" s="140"/>
      <c r="AG196" s="140"/>
      <c r="AH196" s="140"/>
      <c r="AI196" s="140"/>
      <c r="AJ196" s="140"/>
      <c r="AK196" s="140"/>
      <c r="AL196" s="140"/>
      <c r="AM196" s="140"/>
      <c r="AN196" s="140"/>
      <c r="AO196" s="140"/>
      <c r="AP196" s="140"/>
      <c r="AQ196" s="140"/>
      <c r="AR196" s="140"/>
    </row>
    <row r="197" spans="1:44" ht="16.5" customHeight="1" x14ac:dyDescent="0.2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  <c r="AD197" s="140"/>
      <c r="AE197" s="140"/>
      <c r="AF197" s="140"/>
      <c r="AG197" s="140"/>
      <c r="AH197" s="140"/>
      <c r="AI197" s="140"/>
      <c r="AJ197" s="140"/>
      <c r="AK197" s="140"/>
      <c r="AL197" s="140"/>
      <c r="AM197" s="140"/>
      <c r="AN197" s="140"/>
      <c r="AO197" s="140"/>
      <c r="AP197" s="140"/>
      <c r="AQ197" s="140"/>
      <c r="AR197" s="140"/>
    </row>
    <row r="198" spans="1:44" ht="16.5" customHeight="1" x14ac:dyDescent="0.2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0"/>
      <c r="AG198" s="140"/>
      <c r="AH198" s="140"/>
      <c r="AI198" s="140"/>
      <c r="AJ198" s="140"/>
      <c r="AK198" s="140"/>
      <c r="AL198" s="140"/>
      <c r="AM198" s="140"/>
      <c r="AN198" s="140"/>
      <c r="AO198" s="140"/>
      <c r="AP198" s="140"/>
      <c r="AQ198" s="140"/>
      <c r="AR198" s="140"/>
    </row>
    <row r="199" spans="1:44" ht="16.5" customHeight="1" x14ac:dyDescent="0.2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0"/>
      <c r="AG199" s="140"/>
      <c r="AH199" s="140"/>
      <c r="AI199" s="140"/>
      <c r="AJ199" s="140"/>
      <c r="AK199" s="140"/>
      <c r="AL199" s="140"/>
      <c r="AM199" s="140"/>
      <c r="AN199" s="140"/>
      <c r="AO199" s="140"/>
      <c r="AP199" s="140"/>
      <c r="AQ199" s="140"/>
      <c r="AR199" s="140"/>
    </row>
    <row r="200" spans="1:44" ht="16.5" customHeight="1" x14ac:dyDescent="0.2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  <c r="AE200" s="140"/>
      <c r="AF200" s="140"/>
      <c r="AG200" s="140"/>
      <c r="AH200" s="140"/>
      <c r="AI200" s="140"/>
      <c r="AJ200" s="140"/>
      <c r="AK200" s="140"/>
      <c r="AL200" s="140"/>
      <c r="AM200" s="140"/>
      <c r="AN200" s="140"/>
      <c r="AO200" s="140"/>
      <c r="AP200" s="140"/>
      <c r="AQ200" s="140"/>
      <c r="AR200" s="140"/>
    </row>
    <row r="201" spans="1:44" ht="16.5" customHeight="1" x14ac:dyDescent="0.2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  <c r="AE201" s="140"/>
      <c r="AF201" s="140"/>
      <c r="AG201" s="140"/>
      <c r="AH201" s="140"/>
      <c r="AI201" s="140"/>
      <c r="AJ201" s="140"/>
      <c r="AK201" s="140"/>
      <c r="AL201" s="140"/>
      <c r="AM201" s="140"/>
      <c r="AN201" s="140"/>
      <c r="AO201" s="140"/>
      <c r="AP201" s="140"/>
      <c r="AQ201" s="140"/>
      <c r="AR201" s="140"/>
    </row>
    <row r="202" spans="1:44" ht="16.5" customHeight="1" x14ac:dyDescent="0.2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</row>
    <row r="203" spans="1:44" ht="16.5" customHeight="1" x14ac:dyDescent="0.2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  <c r="AE203" s="140"/>
      <c r="AF203" s="140"/>
      <c r="AG203" s="140"/>
      <c r="AH203" s="140"/>
      <c r="AI203" s="140"/>
      <c r="AJ203" s="140"/>
      <c r="AK203" s="140"/>
      <c r="AL203" s="140"/>
      <c r="AM203" s="140"/>
      <c r="AN203" s="140"/>
      <c r="AO203" s="140"/>
      <c r="AP203" s="140"/>
      <c r="AQ203" s="140"/>
      <c r="AR203" s="140"/>
    </row>
    <row r="204" spans="1:44" ht="16.5" customHeight="1" x14ac:dyDescent="0.2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  <c r="AE204" s="140"/>
      <c r="AF204" s="140"/>
      <c r="AG204" s="140"/>
      <c r="AH204" s="140"/>
      <c r="AI204" s="140"/>
      <c r="AJ204" s="140"/>
      <c r="AK204" s="140"/>
      <c r="AL204" s="140"/>
      <c r="AM204" s="140"/>
      <c r="AN204" s="140"/>
      <c r="AO204" s="140"/>
      <c r="AP204" s="140"/>
      <c r="AQ204" s="140"/>
      <c r="AR204" s="140"/>
    </row>
    <row r="205" spans="1:44" ht="16.5" customHeight="1" x14ac:dyDescent="0.2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  <c r="AE205" s="140"/>
      <c r="AF205" s="140"/>
      <c r="AG205" s="140"/>
      <c r="AH205" s="140"/>
      <c r="AI205" s="140"/>
      <c r="AJ205" s="140"/>
      <c r="AK205" s="140"/>
      <c r="AL205" s="140"/>
      <c r="AM205" s="140"/>
      <c r="AN205" s="140"/>
      <c r="AO205" s="140"/>
      <c r="AP205" s="140"/>
      <c r="AQ205" s="140"/>
      <c r="AR205" s="140"/>
    </row>
    <row r="206" spans="1:44" ht="16.5" customHeight="1" x14ac:dyDescent="0.2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  <c r="AE206" s="140"/>
      <c r="AF206" s="140"/>
      <c r="AG206" s="140"/>
      <c r="AH206" s="140"/>
      <c r="AI206" s="140"/>
      <c r="AJ206" s="140"/>
      <c r="AK206" s="140"/>
      <c r="AL206" s="140"/>
      <c r="AM206" s="140"/>
      <c r="AN206" s="140"/>
      <c r="AO206" s="140"/>
      <c r="AP206" s="140"/>
      <c r="AQ206" s="140"/>
      <c r="AR206" s="140"/>
    </row>
    <row r="207" spans="1:44" ht="16.5" customHeight="1" x14ac:dyDescent="0.2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  <c r="AD207" s="140"/>
      <c r="AE207" s="140"/>
      <c r="AF207" s="140"/>
      <c r="AG207" s="140"/>
      <c r="AH207" s="140"/>
      <c r="AI207" s="140"/>
      <c r="AJ207" s="140"/>
      <c r="AK207" s="140"/>
      <c r="AL207" s="140"/>
      <c r="AM207" s="140"/>
      <c r="AN207" s="140"/>
      <c r="AO207" s="140"/>
      <c r="AP207" s="140"/>
      <c r="AQ207" s="140"/>
      <c r="AR207" s="140"/>
    </row>
    <row r="208" spans="1:44" ht="16.5" customHeight="1" x14ac:dyDescent="0.2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0"/>
      <c r="AG208" s="140"/>
      <c r="AH208" s="140"/>
      <c r="AI208" s="140"/>
      <c r="AJ208" s="140"/>
      <c r="AK208" s="140"/>
      <c r="AL208" s="140"/>
      <c r="AM208" s="140"/>
      <c r="AN208" s="140"/>
      <c r="AO208" s="140"/>
      <c r="AP208" s="140"/>
      <c r="AQ208" s="140"/>
      <c r="AR208" s="140"/>
    </row>
    <row r="209" spans="1:44" ht="16.5" customHeight="1" x14ac:dyDescent="0.2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  <c r="AE209" s="140"/>
      <c r="AF209" s="140"/>
      <c r="AG209" s="140"/>
      <c r="AH209" s="140"/>
      <c r="AI209" s="140"/>
      <c r="AJ209" s="140"/>
      <c r="AK209" s="140"/>
      <c r="AL209" s="140"/>
      <c r="AM209" s="140"/>
      <c r="AN209" s="140"/>
      <c r="AO209" s="140"/>
      <c r="AP209" s="140"/>
      <c r="AQ209" s="140"/>
      <c r="AR209" s="140"/>
    </row>
    <row r="210" spans="1:44" ht="16.5" customHeight="1" x14ac:dyDescent="0.2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0"/>
      <c r="AG210" s="140"/>
      <c r="AH210" s="140"/>
      <c r="AI210" s="140"/>
      <c r="AJ210" s="140"/>
      <c r="AK210" s="140"/>
      <c r="AL210" s="140"/>
      <c r="AM210" s="140"/>
      <c r="AN210" s="140"/>
      <c r="AO210" s="140"/>
      <c r="AP210" s="140"/>
      <c r="AQ210" s="140"/>
      <c r="AR210" s="140"/>
    </row>
    <row r="211" spans="1:44" ht="16.5" customHeight="1" x14ac:dyDescent="0.2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  <c r="AE211" s="140"/>
      <c r="AF211" s="140"/>
      <c r="AG211" s="140"/>
      <c r="AH211" s="140"/>
      <c r="AI211" s="140"/>
      <c r="AJ211" s="140"/>
      <c r="AK211" s="140"/>
      <c r="AL211" s="140"/>
      <c r="AM211" s="140"/>
      <c r="AN211" s="140"/>
      <c r="AO211" s="140"/>
      <c r="AP211" s="140"/>
      <c r="AQ211" s="140"/>
      <c r="AR211" s="140"/>
    </row>
    <row r="212" spans="1:44" ht="16.5" customHeight="1" x14ac:dyDescent="0.2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0"/>
      <c r="AG212" s="140"/>
      <c r="AH212" s="140"/>
      <c r="AI212" s="140"/>
      <c r="AJ212" s="140"/>
      <c r="AK212" s="140"/>
      <c r="AL212" s="140"/>
      <c r="AM212" s="140"/>
      <c r="AN212" s="140"/>
      <c r="AO212" s="140"/>
      <c r="AP212" s="140"/>
      <c r="AQ212" s="140"/>
      <c r="AR212" s="140"/>
    </row>
    <row r="213" spans="1:44" ht="16.5" customHeight="1" x14ac:dyDescent="0.2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  <c r="AD213" s="140"/>
      <c r="AE213" s="140"/>
      <c r="AF213" s="140"/>
      <c r="AG213" s="140"/>
      <c r="AH213" s="140"/>
      <c r="AI213" s="140"/>
      <c r="AJ213" s="140"/>
      <c r="AK213" s="140"/>
      <c r="AL213" s="140"/>
      <c r="AM213" s="140"/>
      <c r="AN213" s="140"/>
      <c r="AO213" s="140"/>
      <c r="AP213" s="140"/>
      <c r="AQ213" s="140"/>
      <c r="AR213" s="140"/>
    </row>
    <row r="214" spans="1:44" ht="16.5" customHeight="1" x14ac:dyDescent="0.2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0"/>
      <c r="AG214" s="140"/>
      <c r="AH214" s="140"/>
      <c r="AI214" s="140"/>
      <c r="AJ214" s="140"/>
      <c r="AK214" s="140"/>
      <c r="AL214" s="140"/>
      <c r="AM214" s="140"/>
      <c r="AN214" s="140"/>
      <c r="AO214" s="140"/>
      <c r="AP214" s="140"/>
      <c r="AQ214" s="140"/>
      <c r="AR214" s="140"/>
    </row>
    <row r="215" spans="1:44" ht="16.5" customHeight="1" x14ac:dyDescent="0.2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  <c r="AE215" s="140"/>
      <c r="AF215" s="140"/>
      <c r="AG215" s="140"/>
      <c r="AH215" s="140"/>
      <c r="AI215" s="140"/>
      <c r="AJ215" s="140"/>
      <c r="AK215" s="140"/>
      <c r="AL215" s="140"/>
      <c r="AM215" s="140"/>
      <c r="AN215" s="140"/>
      <c r="AO215" s="140"/>
      <c r="AP215" s="140"/>
      <c r="AQ215" s="140"/>
      <c r="AR215" s="140"/>
    </row>
    <row r="216" spans="1:44" ht="16.5" customHeight="1" x14ac:dyDescent="0.2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0"/>
      <c r="AG216" s="140"/>
      <c r="AH216" s="140"/>
      <c r="AI216" s="140"/>
      <c r="AJ216" s="140"/>
      <c r="AK216" s="140"/>
      <c r="AL216" s="140"/>
      <c r="AM216" s="140"/>
      <c r="AN216" s="140"/>
      <c r="AO216" s="140"/>
      <c r="AP216" s="140"/>
      <c r="AQ216" s="140"/>
      <c r="AR216" s="140"/>
    </row>
    <row r="217" spans="1:44" ht="16.5" customHeight="1" x14ac:dyDescent="0.2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  <c r="AD217" s="140"/>
      <c r="AE217" s="140"/>
      <c r="AF217" s="140"/>
      <c r="AG217" s="140"/>
      <c r="AH217" s="140"/>
      <c r="AI217" s="140"/>
      <c r="AJ217" s="140"/>
      <c r="AK217" s="140"/>
      <c r="AL217" s="140"/>
      <c r="AM217" s="140"/>
      <c r="AN217" s="140"/>
      <c r="AO217" s="140"/>
      <c r="AP217" s="140"/>
      <c r="AQ217" s="140"/>
      <c r="AR217" s="140"/>
    </row>
    <row r="218" spans="1:44" ht="16.5" customHeight="1" x14ac:dyDescent="0.2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  <c r="AE218" s="140"/>
      <c r="AF218" s="140"/>
      <c r="AG218" s="140"/>
      <c r="AH218" s="140"/>
      <c r="AI218" s="140"/>
      <c r="AJ218" s="140"/>
      <c r="AK218" s="140"/>
      <c r="AL218" s="140"/>
      <c r="AM218" s="140"/>
      <c r="AN218" s="140"/>
      <c r="AO218" s="140"/>
      <c r="AP218" s="140"/>
      <c r="AQ218" s="140"/>
      <c r="AR218" s="140"/>
    </row>
    <row r="219" spans="1:44" ht="16.5" customHeight="1" x14ac:dyDescent="0.2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0"/>
      <c r="AG219" s="140"/>
      <c r="AH219" s="140"/>
      <c r="AI219" s="140"/>
      <c r="AJ219" s="140"/>
      <c r="AK219" s="140"/>
      <c r="AL219" s="140"/>
      <c r="AM219" s="140"/>
      <c r="AN219" s="140"/>
      <c r="AO219" s="140"/>
      <c r="AP219" s="140"/>
      <c r="AQ219" s="140"/>
      <c r="AR219" s="140"/>
    </row>
    <row r="220" spans="1:44" ht="16.5" customHeight="1" x14ac:dyDescent="0.2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0"/>
      <c r="AG220" s="140"/>
      <c r="AH220" s="140"/>
      <c r="AI220" s="140"/>
      <c r="AJ220" s="140"/>
      <c r="AK220" s="140"/>
      <c r="AL220" s="140"/>
      <c r="AM220" s="140"/>
      <c r="AN220" s="140"/>
      <c r="AO220" s="140"/>
      <c r="AP220" s="140"/>
      <c r="AQ220" s="140"/>
      <c r="AR220" s="140"/>
    </row>
    <row r="221" spans="1:44" ht="16.5" customHeight="1" x14ac:dyDescent="0.2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  <c r="AD221" s="140"/>
      <c r="AE221" s="140"/>
      <c r="AF221" s="140"/>
      <c r="AG221" s="140"/>
      <c r="AH221" s="140"/>
      <c r="AI221" s="140"/>
      <c r="AJ221" s="140"/>
      <c r="AK221" s="140"/>
      <c r="AL221" s="140"/>
      <c r="AM221" s="140"/>
      <c r="AN221" s="140"/>
      <c r="AO221" s="140"/>
      <c r="AP221" s="140"/>
      <c r="AQ221" s="140"/>
      <c r="AR221" s="140"/>
    </row>
    <row r="222" spans="1:44" ht="16.5" customHeight="1" x14ac:dyDescent="0.2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0"/>
      <c r="AG222" s="140"/>
      <c r="AH222" s="140"/>
      <c r="AI222" s="140"/>
      <c r="AJ222" s="140"/>
      <c r="AK222" s="140"/>
      <c r="AL222" s="140"/>
      <c r="AM222" s="140"/>
      <c r="AN222" s="140"/>
      <c r="AO222" s="140"/>
      <c r="AP222" s="140"/>
      <c r="AQ222" s="140"/>
      <c r="AR222" s="140"/>
    </row>
    <row r="223" spans="1:44" ht="16.5" customHeight="1" x14ac:dyDescent="0.2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  <c r="AE223" s="140"/>
      <c r="AF223" s="140"/>
      <c r="AG223" s="140"/>
      <c r="AH223" s="140"/>
      <c r="AI223" s="140"/>
      <c r="AJ223" s="140"/>
      <c r="AK223" s="140"/>
      <c r="AL223" s="140"/>
      <c r="AM223" s="140"/>
      <c r="AN223" s="140"/>
      <c r="AO223" s="140"/>
      <c r="AP223" s="140"/>
      <c r="AQ223" s="140"/>
      <c r="AR223" s="140"/>
    </row>
    <row r="224" spans="1:44" ht="16.5" customHeight="1" x14ac:dyDescent="0.2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  <c r="AE224" s="140"/>
      <c r="AF224" s="140"/>
      <c r="AG224" s="140"/>
      <c r="AH224" s="140"/>
      <c r="AI224" s="140"/>
      <c r="AJ224" s="140"/>
      <c r="AK224" s="140"/>
      <c r="AL224" s="140"/>
      <c r="AM224" s="140"/>
      <c r="AN224" s="140"/>
      <c r="AO224" s="140"/>
      <c r="AP224" s="140"/>
      <c r="AQ224" s="140"/>
      <c r="AR224" s="140"/>
    </row>
    <row r="225" spans="1:44" ht="16.5" customHeight="1" x14ac:dyDescent="0.2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0"/>
      <c r="AE225" s="140"/>
      <c r="AF225" s="140"/>
      <c r="AG225" s="140"/>
      <c r="AH225" s="140"/>
      <c r="AI225" s="140"/>
      <c r="AJ225" s="140"/>
      <c r="AK225" s="140"/>
      <c r="AL225" s="140"/>
      <c r="AM225" s="140"/>
      <c r="AN225" s="140"/>
      <c r="AO225" s="140"/>
      <c r="AP225" s="140"/>
      <c r="AQ225" s="140"/>
      <c r="AR225" s="140"/>
    </row>
    <row r="226" spans="1:44" ht="16.5" customHeight="1" x14ac:dyDescent="0.2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  <c r="AE226" s="140"/>
      <c r="AF226" s="140"/>
      <c r="AG226" s="140"/>
      <c r="AH226" s="140"/>
      <c r="AI226" s="140"/>
      <c r="AJ226" s="140"/>
      <c r="AK226" s="140"/>
      <c r="AL226" s="140"/>
      <c r="AM226" s="140"/>
      <c r="AN226" s="140"/>
      <c r="AO226" s="140"/>
      <c r="AP226" s="140"/>
      <c r="AQ226" s="140"/>
      <c r="AR226" s="140"/>
    </row>
    <row r="227" spans="1:44" ht="16.5" customHeight="1" x14ac:dyDescent="0.2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  <c r="AE227" s="140"/>
      <c r="AF227" s="140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</row>
    <row r="228" spans="1:44" ht="16.5" customHeight="1" x14ac:dyDescent="0.2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  <c r="AD228" s="140"/>
      <c r="AE228" s="140"/>
      <c r="AF228" s="140"/>
      <c r="AG228" s="140"/>
      <c r="AH228" s="140"/>
      <c r="AI228" s="140"/>
      <c r="AJ228" s="140"/>
      <c r="AK228" s="140"/>
      <c r="AL228" s="140"/>
      <c r="AM228" s="140"/>
      <c r="AN228" s="140"/>
      <c r="AO228" s="140"/>
      <c r="AP228" s="140"/>
      <c r="AQ228" s="140"/>
      <c r="AR228" s="140"/>
    </row>
    <row r="229" spans="1:44" ht="16.5" customHeight="1" x14ac:dyDescent="0.2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  <c r="AB229" s="140"/>
      <c r="AC229" s="140"/>
      <c r="AD229" s="140"/>
      <c r="AE229" s="140"/>
      <c r="AF229" s="140"/>
      <c r="AG229" s="140"/>
      <c r="AH229" s="140"/>
      <c r="AI229" s="140"/>
      <c r="AJ229" s="140"/>
      <c r="AK229" s="140"/>
      <c r="AL229" s="140"/>
      <c r="AM229" s="140"/>
      <c r="AN229" s="140"/>
      <c r="AO229" s="140"/>
      <c r="AP229" s="140"/>
      <c r="AQ229" s="140"/>
      <c r="AR229" s="140"/>
    </row>
    <row r="230" spans="1:44" ht="16.5" customHeight="1" x14ac:dyDescent="0.2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  <c r="AB230" s="140"/>
      <c r="AC230" s="140"/>
      <c r="AD230" s="140"/>
      <c r="AE230" s="140"/>
      <c r="AF230" s="140"/>
      <c r="AG230" s="140"/>
      <c r="AH230" s="140"/>
      <c r="AI230" s="140"/>
      <c r="AJ230" s="140"/>
      <c r="AK230" s="140"/>
      <c r="AL230" s="140"/>
      <c r="AM230" s="140"/>
      <c r="AN230" s="140"/>
      <c r="AO230" s="140"/>
      <c r="AP230" s="140"/>
      <c r="AQ230" s="140"/>
      <c r="AR230" s="140"/>
    </row>
    <row r="231" spans="1:44" ht="16.5" customHeight="1" x14ac:dyDescent="0.2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0"/>
      <c r="AE231" s="140"/>
      <c r="AF231" s="140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0"/>
    </row>
    <row r="232" spans="1:44" ht="16.5" customHeight="1" x14ac:dyDescent="0.2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0"/>
      <c r="AE232" s="140"/>
      <c r="AF232" s="140"/>
      <c r="AG232" s="140"/>
      <c r="AH232" s="140"/>
      <c r="AI232" s="140"/>
      <c r="AJ232" s="140"/>
      <c r="AK232" s="140"/>
      <c r="AL232" s="140"/>
      <c r="AM232" s="140"/>
      <c r="AN232" s="140"/>
      <c r="AO232" s="140"/>
      <c r="AP232" s="140"/>
      <c r="AQ232" s="140"/>
      <c r="AR232" s="140"/>
    </row>
    <row r="233" spans="1:44" ht="16.5" customHeight="1" x14ac:dyDescent="0.2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0"/>
      <c r="AE233" s="140"/>
      <c r="AF233" s="140"/>
      <c r="AG233" s="140"/>
      <c r="AH233" s="140"/>
      <c r="AI233" s="140"/>
      <c r="AJ233" s="140"/>
      <c r="AK233" s="140"/>
      <c r="AL233" s="140"/>
      <c r="AM233" s="140"/>
      <c r="AN233" s="140"/>
      <c r="AO233" s="140"/>
      <c r="AP233" s="140"/>
      <c r="AQ233" s="140"/>
      <c r="AR233" s="140"/>
    </row>
    <row r="234" spans="1:44" ht="16.5" customHeight="1" x14ac:dyDescent="0.2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  <c r="AD234" s="140"/>
      <c r="AE234" s="140"/>
      <c r="AF234" s="140"/>
      <c r="AG234" s="140"/>
      <c r="AH234" s="140"/>
      <c r="AI234" s="140"/>
      <c r="AJ234" s="140"/>
      <c r="AK234" s="140"/>
      <c r="AL234" s="140"/>
      <c r="AM234" s="140"/>
      <c r="AN234" s="140"/>
      <c r="AO234" s="140"/>
      <c r="AP234" s="140"/>
      <c r="AQ234" s="140"/>
      <c r="AR234" s="140"/>
    </row>
    <row r="235" spans="1:44" ht="16.5" customHeight="1" x14ac:dyDescent="0.2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  <c r="AD235" s="140"/>
      <c r="AE235" s="140"/>
      <c r="AF235" s="140"/>
      <c r="AG235" s="140"/>
      <c r="AH235" s="140"/>
      <c r="AI235" s="140"/>
      <c r="AJ235" s="140"/>
      <c r="AK235" s="140"/>
      <c r="AL235" s="140"/>
      <c r="AM235" s="140"/>
      <c r="AN235" s="140"/>
      <c r="AO235" s="140"/>
      <c r="AP235" s="140"/>
      <c r="AQ235" s="140"/>
      <c r="AR235" s="140"/>
    </row>
    <row r="236" spans="1:44" ht="16.5" customHeight="1" x14ac:dyDescent="0.2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  <c r="AD236" s="140"/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140"/>
      <c r="AR236" s="140"/>
    </row>
    <row r="237" spans="1:44" ht="16.5" customHeight="1" x14ac:dyDescent="0.2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  <c r="AE237" s="140"/>
      <c r="AF237" s="140"/>
      <c r="AG237" s="140"/>
      <c r="AH237" s="140"/>
      <c r="AI237" s="140"/>
      <c r="AJ237" s="140"/>
      <c r="AK237" s="140"/>
      <c r="AL237" s="140"/>
      <c r="AM237" s="140"/>
      <c r="AN237" s="140"/>
      <c r="AO237" s="140"/>
      <c r="AP237" s="140"/>
      <c r="AQ237" s="140"/>
      <c r="AR237" s="140"/>
    </row>
    <row r="238" spans="1:44" ht="16.5" customHeight="1" x14ac:dyDescent="0.2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  <c r="AD238" s="140"/>
      <c r="AE238" s="140"/>
      <c r="AF238" s="140"/>
      <c r="AG238" s="140"/>
      <c r="AH238" s="140"/>
      <c r="AI238" s="140"/>
      <c r="AJ238" s="140"/>
      <c r="AK238" s="140"/>
      <c r="AL238" s="140"/>
      <c r="AM238" s="140"/>
      <c r="AN238" s="140"/>
      <c r="AO238" s="140"/>
      <c r="AP238" s="140"/>
      <c r="AQ238" s="140"/>
      <c r="AR238" s="140"/>
    </row>
    <row r="239" spans="1:44" ht="16.5" customHeight="1" x14ac:dyDescent="0.2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0"/>
      <c r="AE239" s="140"/>
      <c r="AF239" s="140"/>
      <c r="AG239" s="140"/>
      <c r="AH239" s="140"/>
      <c r="AI239" s="140"/>
      <c r="AJ239" s="140"/>
      <c r="AK239" s="140"/>
      <c r="AL239" s="140"/>
      <c r="AM239" s="140"/>
      <c r="AN239" s="140"/>
      <c r="AO239" s="140"/>
      <c r="AP239" s="140"/>
      <c r="AQ239" s="140"/>
      <c r="AR239" s="140"/>
    </row>
    <row r="240" spans="1:44" ht="16.5" customHeight="1" x14ac:dyDescent="0.2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  <c r="AE240" s="140"/>
      <c r="AF240" s="140"/>
      <c r="AG240" s="140"/>
      <c r="AH240" s="140"/>
      <c r="AI240" s="140"/>
      <c r="AJ240" s="140"/>
      <c r="AK240" s="140"/>
      <c r="AL240" s="140"/>
      <c r="AM240" s="140"/>
      <c r="AN240" s="140"/>
      <c r="AO240" s="140"/>
      <c r="AP240" s="140"/>
      <c r="AQ240" s="140"/>
      <c r="AR240" s="140"/>
    </row>
    <row r="241" spans="1:44" ht="16.5" customHeight="1" x14ac:dyDescent="0.2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  <c r="AE241" s="140"/>
      <c r="AF241" s="140"/>
      <c r="AG241" s="140"/>
      <c r="AH241" s="140"/>
      <c r="AI241" s="140"/>
      <c r="AJ241" s="140"/>
      <c r="AK241" s="140"/>
      <c r="AL241" s="140"/>
      <c r="AM241" s="140"/>
      <c r="AN241" s="140"/>
      <c r="AO241" s="140"/>
      <c r="AP241" s="140"/>
      <c r="AQ241" s="140"/>
      <c r="AR241" s="140"/>
    </row>
    <row r="242" spans="1:44" ht="16.5" customHeight="1" x14ac:dyDescent="0.2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  <c r="AE242" s="140"/>
      <c r="AF242" s="140"/>
      <c r="AG242" s="140"/>
      <c r="AH242" s="140"/>
      <c r="AI242" s="140"/>
      <c r="AJ242" s="140"/>
      <c r="AK242" s="140"/>
      <c r="AL242" s="140"/>
      <c r="AM242" s="140"/>
      <c r="AN242" s="140"/>
      <c r="AO242" s="140"/>
      <c r="AP242" s="140"/>
      <c r="AQ242" s="140"/>
      <c r="AR242" s="140"/>
    </row>
    <row r="243" spans="1:44" ht="16.5" customHeight="1" x14ac:dyDescent="0.2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  <c r="AE243" s="140"/>
      <c r="AF243" s="140"/>
      <c r="AG243" s="140"/>
      <c r="AH243" s="140"/>
      <c r="AI243" s="140"/>
      <c r="AJ243" s="140"/>
      <c r="AK243" s="140"/>
      <c r="AL243" s="140"/>
      <c r="AM243" s="140"/>
      <c r="AN243" s="140"/>
      <c r="AO243" s="140"/>
      <c r="AP243" s="140"/>
      <c r="AQ243" s="140"/>
      <c r="AR243" s="140"/>
    </row>
    <row r="244" spans="1:44" ht="16.5" customHeight="1" x14ac:dyDescent="0.2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0"/>
      <c r="AE244" s="140"/>
      <c r="AF244" s="140"/>
      <c r="AG244" s="140"/>
      <c r="AH244" s="140"/>
      <c r="AI244" s="140"/>
      <c r="AJ244" s="140"/>
      <c r="AK244" s="140"/>
      <c r="AL244" s="140"/>
      <c r="AM244" s="140"/>
      <c r="AN244" s="140"/>
      <c r="AO244" s="140"/>
      <c r="AP244" s="140"/>
      <c r="AQ244" s="140"/>
      <c r="AR244" s="140"/>
    </row>
    <row r="245" spans="1:44" ht="16.5" customHeight="1" x14ac:dyDescent="0.2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0"/>
      <c r="AE245" s="140"/>
      <c r="AF245" s="140"/>
      <c r="AG245" s="140"/>
      <c r="AH245" s="140"/>
      <c r="AI245" s="140"/>
      <c r="AJ245" s="140"/>
      <c r="AK245" s="140"/>
      <c r="AL245" s="140"/>
      <c r="AM245" s="140"/>
      <c r="AN245" s="140"/>
      <c r="AO245" s="140"/>
      <c r="AP245" s="140"/>
      <c r="AQ245" s="140"/>
      <c r="AR245" s="140"/>
    </row>
    <row r="246" spans="1:44" ht="16.5" customHeight="1" x14ac:dyDescent="0.2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0"/>
      <c r="AE246" s="140"/>
      <c r="AF246" s="140"/>
      <c r="AG246" s="140"/>
      <c r="AH246" s="140"/>
      <c r="AI246" s="140"/>
      <c r="AJ246" s="140"/>
      <c r="AK246" s="140"/>
      <c r="AL246" s="140"/>
      <c r="AM246" s="140"/>
      <c r="AN246" s="140"/>
      <c r="AO246" s="140"/>
      <c r="AP246" s="140"/>
      <c r="AQ246" s="140"/>
      <c r="AR246" s="140"/>
    </row>
    <row r="247" spans="1:44" ht="16.5" customHeight="1" x14ac:dyDescent="0.2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0"/>
      <c r="AE247" s="140"/>
      <c r="AF247" s="140"/>
      <c r="AG247" s="140"/>
      <c r="AH247" s="140"/>
      <c r="AI247" s="140"/>
      <c r="AJ247" s="140"/>
      <c r="AK247" s="140"/>
      <c r="AL247" s="140"/>
      <c r="AM247" s="140"/>
      <c r="AN247" s="140"/>
      <c r="AO247" s="140"/>
      <c r="AP247" s="140"/>
      <c r="AQ247" s="140"/>
      <c r="AR247" s="140"/>
    </row>
    <row r="248" spans="1:44" ht="16.5" customHeight="1" x14ac:dyDescent="0.2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  <c r="AD248" s="140"/>
      <c r="AE248" s="140"/>
      <c r="AF248" s="140"/>
      <c r="AG248" s="140"/>
      <c r="AH248" s="140"/>
      <c r="AI248" s="140"/>
      <c r="AJ248" s="140"/>
      <c r="AK248" s="140"/>
      <c r="AL248" s="140"/>
      <c r="AM248" s="140"/>
      <c r="AN248" s="140"/>
      <c r="AO248" s="140"/>
      <c r="AP248" s="140"/>
      <c r="AQ248" s="140"/>
      <c r="AR248" s="140"/>
    </row>
    <row r="249" spans="1:44" ht="16.5" customHeight="1" x14ac:dyDescent="0.2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0"/>
      <c r="AE249" s="140"/>
      <c r="AF249" s="140"/>
      <c r="AG249" s="140"/>
      <c r="AH249" s="140"/>
      <c r="AI249" s="140"/>
      <c r="AJ249" s="140"/>
      <c r="AK249" s="140"/>
      <c r="AL249" s="140"/>
      <c r="AM249" s="140"/>
      <c r="AN249" s="140"/>
      <c r="AO249" s="140"/>
      <c r="AP249" s="140"/>
      <c r="AQ249" s="140"/>
      <c r="AR249" s="140"/>
    </row>
    <row r="250" spans="1:44" ht="16.5" customHeight="1" x14ac:dyDescent="0.2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0"/>
      <c r="AE250" s="140"/>
      <c r="AF250" s="140"/>
      <c r="AG250" s="140"/>
      <c r="AH250" s="140"/>
      <c r="AI250" s="140"/>
      <c r="AJ250" s="140"/>
      <c r="AK250" s="140"/>
      <c r="AL250" s="140"/>
      <c r="AM250" s="140"/>
      <c r="AN250" s="140"/>
      <c r="AO250" s="140"/>
      <c r="AP250" s="140"/>
      <c r="AQ250" s="140"/>
      <c r="AR250" s="140"/>
    </row>
    <row r="251" spans="1:44" ht="16.5" customHeight="1" x14ac:dyDescent="0.2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  <c r="AD251" s="140"/>
      <c r="AE251" s="140"/>
      <c r="AF251" s="140"/>
      <c r="AG251" s="140"/>
      <c r="AH251" s="140"/>
      <c r="AI251" s="140"/>
      <c r="AJ251" s="140"/>
      <c r="AK251" s="140"/>
      <c r="AL251" s="140"/>
      <c r="AM251" s="140"/>
      <c r="AN251" s="140"/>
      <c r="AO251" s="140"/>
      <c r="AP251" s="140"/>
      <c r="AQ251" s="140"/>
      <c r="AR251" s="140"/>
    </row>
    <row r="252" spans="1:44" ht="16.5" customHeight="1" x14ac:dyDescent="0.2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  <c r="AD252" s="140"/>
      <c r="AE252" s="140"/>
      <c r="AF252" s="140"/>
      <c r="AG252" s="140"/>
      <c r="AH252" s="140"/>
      <c r="AI252" s="140"/>
      <c r="AJ252" s="140"/>
      <c r="AK252" s="140"/>
      <c r="AL252" s="140"/>
      <c r="AM252" s="140"/>
      <c r="AN252" s="140"/>
      <c r="AO252" s="140"/>
      <c r="AP252" s="140"/>
      <c r="AQ252" s="140"/>
      <c r="AR252" s="140"/>
    </row>
    <row r="253" spans="1:44" ht="16.5" customHeight="1" x14ac:dyDescent="0.2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  <c r="AD253" s="140"/>
      <c r="AE253" s="140"/>
      <c r="AF253" s="140"/>
      <c r="AG253" s="140"/>
      <c r="AH253" s="140"/>
      <c r="AI253" s="140"/>
      <c r="AJ253" s="140"/>
      <c r="AK253" s="140"/>
      <c r="AL253" s="140"/>
      <c r="AM253" s="140"/>
      <c r="AN253" s="140"/>
      <c r="AO253" s="140"/>
      <c r="AP253" s="140"/>
      <c r="AQ253" s="140"/>
      <c r="AR253" s="140"/>
    </row>
    <row r="254" spans="1:44" ht="16.5" customHeight="1" x14ac:dyDescent="0.2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  <c r="AD254" s="140"/>
      <c r="AE254" s="140"/>
      <c r="AF254" s="140"/>
      <c r="AG254" s="140"/>
      <c r="AH254" s="140"/>
      <c r="AI254" s="140"/>
      <c r="AJ254" s="140"/>
      <c r="AK254" s="140"/>
      <c r="AL254" s="140"/>
      <c r="AM254" s="140"/>
      <c r="AN254" s="140"/>
      <c r="AO254" s="140"/>
      <c r="AP254" s="140"/>
      <c r="AQ254" s="140"/>
      <c r="AR254" s="140"/>
    </row>
    <row r="255" spans="1:44" ht="16.5" customHeight="1" x14ac:dyDescent="0.2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  <c r="AE255" s="140"/>
      <c r="AF255" s="140"/>
      <c r="AG255" s="140"/>
      <c r="AH255" s="140"/>
      <c r="AI255" s="140"/>
      <c r="AJ255" s="140"/>
      <c r="AK255" s="140"/>
      <c r="AL255" s="140"/>
      <c r="AM255" s="140"/>
      <c r="AN255" s="140"/>
      <c r="AO255" s="140"/>
      <c r="AP255" s="140"/>
      <c r="AQ255" s="140"/>
      <c r="AR255" s="140"/>
    </row>
    <row r="256" spans="1:44" ht="16.5" customHeight="1" x14ac:dyDescent="0.2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  <c r="AD256" s="140"/>
      <c r="AE256" s="140"/>
      <c r="AF256" s="140"/>
      <c r="AG256" s="140"/>
      <c r="AH256" s="140"/>
      <c r="AI256" s="140"/>
      <c r="AJ256" s="140"/>
      <c r="AK256" s="140"/>
      <c r="AL256" s="140"/>
      <c r="AM256" s="140"/>
      <c r="AN256" s="140"/>
      <c r="AO256" s="140"/>
      <c r="AP256" s="140"/>
      <c r="AQ256" s="140"/>
      <c r="AR256" s="140"/>
    </row>
    <row r="257" spans="1:44" ht="16.5" customHeight="1" x14ac:dyDescent="0.2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  <c r="AD257" s="140"/>
      <c r="AE257" s="140"/>
      <c r="AF257" s="140"/>
      <c r="AG257" s="140"/>
      <c r="AH257" s="140"/>
      <c r="AI257" s="140"/>
      <c r="AJ257" s="140"/>
      <c r="AK257" s="140"/>
      <c r="AL257" s="140"/>
      <c r="AM257" s="140"/>
      <c r="AN257" s="140"/>
      <c r="AO257" s="140"/>
      <c r="AP257" s="140"/>
      <c r="AQ257" s="140"/>
      <c r="AR257" s="140"/>
    </row>
    <row r="258" spans="1:44" ht="16.5" customHeight="1" x14ac:dyDescent="0.2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  <c r="AD258" s="140"/>
      <c r="AE258" s="140"/>
      <c r="AF258" s="140"/>
      <c r="AG258" s="140"/>
      <c r="AH258" s="140"/>
      <c r="AI258" s="140"/>
      <c r="AJ258" s="140"/>
      <c r="AK258" s="140"/>
      <c r="AL258" s="140"/>
      <c r="AM258" s="140"/>
      <c r="AN258" s="140"/>
      <c r="AO258" s="140"/>
      <c r="AP258" s="140"/>
      <c r="AQ258" s="140"/>
      <c r="AR258" s="140"/>
    </row>
    <row r="259" spans="1:44" ht="16.5" customHeight="1" x14ac:dyDescent="0.2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0"/>
      <c r="AG259" s="140"/>
      <c r="AH259" s="140"/>
      <c r="AI259" s="140"/>
      <c r="AJ259" s="140"/>
      <c r="AK259" s="140"/>
      <c r="AL259" s="140"/>
      <c r="AM259" s="140"/>
      <c r="AN259" s="140"/>
      <c r="AO259" s="140"/>
      <c r="AP259" s="140"/>
      <c r="AQ259" s="140"/>
      <c r="AR259" s="140"/>
    </row>
    <row r="260" spans="1:44" ht="16.5" customHeight="1" x14ac:dyDescent="0.2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0"/>
      <c r="AE260" s="140"/>
      <c r="AF260" s="140"/>
      <c r="AG260" s="140"/>
      <c r="AH260" s="140"/>
      <c r="AI260" s="140"/>
      <c r="AJ260" s="140"/>
      <c r="AK260" s="140"/>
      <c r="AL260" s="140"/>
      <c r="AM260" s="140"/>
      <c r="AN260" s="140"/>
      <c r="AO260" s="140"/>
      <c r="AP260" s="140"/>
      <c r="AQ260" s="140"/>
      <c r="AR260" s="140"/>
    </row>
    <row r="261" spans="1:44" ht="15.75" customHeight="1" x14ac:dyDescent="0.2"/>
    <row r="262" spans="1:44" ht="15.75" customHeight="1" x14ac:dyDescent="0.2"/>
    <row r="263" spans="1:44" ht="15.75" customHeight="1" x14ac:dyDescent="0.2"/>
    <row r="264" spans="1:44" ht="15.75" customHeight="1" x14ac:dyDescent="0.2"/>
    <row r="265" spans="1:44" ht="15.75" customHeight="1" x14ac:dyDescent="0.2"/>
    <row r="266" spans="1:44" ht="15.75" customHeight="1" x14ac:dyDescent="0.2"/>
    <row r="267" spans="1:44" ht="15.75" customHeight="1" x14ac:dyDescent="0.2"/>
    <row r="268" spans="1:44" ht="15.75" customHeight="1" x14ac:dyDescent="0.2"/>
    <row r="269" spans="1:44" ht="15.75" customHeight="1" x14ac:dyDescent="0.2"/>
    <row r="270" spans="1:44" ht="15.75" customHeight="1" x14ac:dyDescent="0.2"/>
    <row r="271" spans="1:44" ht="15.75" customHeight="1" x14ac:dyDescent="0.2"/>
    <row r="272" spans="1:4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1">
    <mergeCell ref="AG42:AK42"/>
    <mergeCell ref="AG41:AK41"/>
    <mergeCell ref="AG37:AK37"/>
    <mergeCell ref="AG38:AK38"/>
    <mergeCell ref="P37:Q37"/>
    <mergeCell ref="AG33:AK33"/>
    <mergeCell ref="AG32:AK32"/>
    <mergeCell ref="T31:AF31"/>
    <mergeCell ref="T32:AF32"/>
    <mergeCell ref="P38:Q38"/>
    <mergeCell ref="P39:Q39"/>
    <mergeCell ref="Q33:Q35"/>
    <mergeCell ref="P33:P35"/>
    <mergeCell ref="AL41:AQ41"/>
    <mergeCell ref="AL40:AQ40"/>
    <mergeCell ref="AG40:AK40"/>
    <mergeCell ref="AG39:AK39"/>
    <mergeCell ref="T2:AN2"/>
    <mergeCell ref="T11:AF11"/>
    <mergeCell ref="T12:AF12"/>
    <mergeCell ref="T23:AF23"/>
    <mergeCell ref="T22:AF22"/>
    <mergeCell ref="AG22:AK22"/>
    <mergeCell ref="T21:AQ21"/>
    <mergeCell ref="T6:AF6"/>
    <mergeCell ref="AG6:AN6"/>
    <mergeCell ref="AG11:AN11"/>
    <mergeCell ref="AG12:AN12"/>
    <mergeCell ref="AG9:AN9"/>
    <mergeCell ref="AG10:AN10"/>
    <mergeCell ref="T9:AF9"/>
    <mergeCell ref="T10:AF10"/>
    <mergeCell ref="T14:AN14"/>
    <mergeCell ref="AG7:AN7"/>
    <mergeCell ref="AG8:AN8"/>
    <mergeCell ref="T7:AF7"/>
    <mergeCell ref="T8:AF8"/>
    <mergeCell ref="E59:G59"/>
    <mergeCell ref="B39:F39"/>
    <mergeCell ref="J39:O39"/>
    <mergeCell ref="B38:F38"/>
    <mergeCell ref="E58:G58"/>
    <mergeCell ref="E53:N53"/>
    <mergeCell ref="B53:D53"/>
    <mergeCell ref="B52:D52"/>
    <mergeCell ref="O53:Q53"/>
    <mergeCell ref="O52:Q52"/>
    <mergeCell ref="O51:Q51"/>
    <mergeCell ref="E57:L57"/>
    <mergeCell ref="AL38:AQ38"/>
    <mergeCell ref="AL39:AQ39"/>
    <mergeCell ref="AL37:AQ37"/>
    <mergeCell ref="AL42:AQ42"/>
    <mergeCell ref="E60:G60"/>
    <mergeCell ref="E3:N3"/>
    <mergeCell ref="B2:D2"/>
    <mergeCell ref="B3:D3"/>
    <mergeCell ref="O2:Q2"/>
    <mergeCell ref="E2:N2"/>
    <mergeCell ref="AG3:AN3"/>
    <mergeCell ref="AG4:AN4"/>
    <mergeCell ref="AG5:AN5"/>
    <mergeCell ref="T5:AF5"/>
    <mergeCell ref="E4:N4"/>
    <mergeCell ref="O3:Q3"/>
    <mergeCell ref="O4:Q4"/>
    <mergeCell ref="T3:AF3"/>
    <mergeCell ref="B4:D4"/>
    <mergeCell ref="T4:AF4"/>
    <mergeCell ref="T24:AF24"/>
    <mergeCell ref="T25:AF25"/>
    <mergeCell ref="AL24:AQ24"/>
    <mergeCell ref="B22:O22"/>
    <mergeCell ref="N23:O23"/>
    <mergeCell ref="N24:O24"/>
    <mergeCell ref="N25:O25"/>
    <mergeCell ref="B51:D51"/>
    <mergeCell ref="E52:N52"/>
    <mergeCell ref="E51:N51"/>
    <mergeCell ref="J37:O37"/>
    <mergeCell ref="B37:G37"/>
    <mergeCell ref="T40:AF40"/>
    <mergeCell ref="T41:AF41"/>
    <mergeCell ref="T42:AF42"/>
    <mergeCell ref="T39:AF39"/>
    <mergeCell ref="T38:AF38"/>
    <mergeCell ref="T37:AF37"/>
    <mergeCell ref="J38:O38"/>
    <mergeCell ref="T26:AF26"/>
    <mergeCell ref="T27:AF27"/>
    <mergeCell ref="J30:O30"/>
    <mergeCell ref="J29:O29"/>
    <mergeCell ref="B30:F30"/>
    <mergeCell ref="B29:F29"/>
    <mergeCell ref="T28:AF28"/>
    <mergeCell ref="V15:X15"/>
    <mergeCell ref="T16:AN16"/>
    <mergeCell ref="AF15:AH15"/>
    <mergeCell ref="AC15:AE15"/>
    <mergeCell ref="AG25:AK25"/>
    <mergeCell ref="AG24:AK24"/>
    <mergeCell ref="AL25:AQ25"/>
    <mergeCell ref="AL22:AQ22"/>
    <mergeCell ref="T17:AQ19"/>
    <mergeCell ref="Y15:Z15"/>
    <mergeCell ref="AL15:AM15"/>
    <mergeCell ref="AL23:AQ23"/>
    <mergeCell ref="AG23:AK23"/>
    <mergeCell ref="AG26:AK26"/>
    <mergeCell ref="AL26:AQ26"/>
    <mergeCell ref="AL27:AQ27"/>
    <mergeCell ref="AG28:AK28"/>
    <mergeCell ref="AL28:AQ28"/>
    <mergeCell ref="AG27:AK27"/>
    <mergeCell ref="AG31:AK31"/>
    <mergeCell ref="AL31:AQ31"/>
    <mergeCell ref="AG30:AK30"/>
    <mergeCell ref="AL30:AQ30"/>
    <mergeCell ref="AG29:AK29"/>
    <mergeCell ref="AL29:AQ29"/>
    <mergeCell ref="AL33:AQ33"/>
    <mergeCell ref="T33:AF33"/>
    <mergeCell ref="AL32:AQ32"/>
    <mergeCell ref="T29:AF29"/>
    <mergeCell ref="T30:AF30"/>
    <mergeCell ref="B31:F31"/>
    <mergeCell ref="B32:F32"/>
    <mergeCell ref="B33:F33"/>
    <mergeCell ref="J32:O32"/>
    <mergeCell ref="J31:O31"/>
    <mergeCell ref="J33:O35"/>
  </mergeCells>
  <pageMargins left="0.45" right="0.45" top="0.75" bottom="0.75" header="0" footer="0"/>
  <pageSetup paperSize="9" orientation="portrait" r:id="rId1"/>
  <headerFooter>
    <oddHeader>&amp;LDepartment of CSE, ULAB&amp;CCourse Summary&amp;RPage &amp;P of 3
&amp;"Arial,Regular"&amp;14AC018</oddHeader>
    <oddFooter>&amp;CPage &amp;P of 3&amp;R&amp;11AC018(00)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showGridLines="0" view="pageLayout" zoomScaleNormal="100" workbookViewId="0">
      <selection activeCell="D38" sqref="D38"/>
    </sheetView>
  </sheetViews>
  <sheetFormatPr defaultColWidth="14.42578125" defaultRowHeight="15" customHeight="1" x14ac:dyDescent="0.2"/>
  <cols>
    <col min="1" max="1" width="24.42578125" customWidth="1"/>
    <col min="2" max="2" width="32" customWidth="1"/>
    <col min="3" max="3" width="22.7109375" customWidth="1"/>
    <col min="4" max="4" width="16.85546875" customWidth="1"/>
    <col min="5" max="24" width="9.140625" customWidth="1"/>
  </cols>
  <sheetData>
    <row r="1" spans="1:24" ht="35.25" customHeight="1" x14ac:dyDescent="0.3">
      <c r="A1" s="355" t="s">
        <v>114</v>
      </c>
      <c r="B1" s="286"/>
      <c r="C1" s="286"/>
      <c r="D1" s="287"/>
      <c r="E1" s="145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</row>
    <row r="2" spans="1:24" ht="16.5" x14ac:dyDescent="0.3">
      <c r="A2" s="148" t="s">
        <v>158</v>
      </c>
      <c r="B2" s="149" t="str">
        <f>GradeSheet!$H$2</f>
        <v>CSE 305</v>
      </c>
      <c r="C2" s="150" t="s">
        <v>51</v>
      </c>
      <c r="D2" s="152">
        <f>GradeSheet!$L$2</f>
        <v>1</v>
      </c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ht="16.5" customHeight="1" x14ac:dyDescent="0.3">
      <c r="A3" s="148" t="s">
        <v>158</v>
      </c>
      <c r="B3" s="149" t="str">
        <f>GradeSheet!$H$3</f>
        <v>Algorithms</v>
      </c>
      <c r="C3" s="153" t="s">
        <v>53</v>
      </c>
      <c r="D3" s="154" t="str">
        <f>GradeSheet!$L$3</f>
        <v>Summer 2019</v>
      </c>
      <c r="E3" s="145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</row>
    <row r="4" spans="1:24" ht="16.5" x14ac:dyDescent="0.3">
      <c r="A4" s="148" t="s">
        <v>158</v>
      </c>
      <c r="B4" s="155">
        <f>GradeSheet!$H$4</f>
        <v>3</v>
      </c>
      <c r="C4" s="156" t="s">
        <v>118</v>
      </c>
      <c r="D4" s="157">
        <f>GradeSheet!$H$53</f>
        <v>28</v>
      </c>
      <c r="E4" s="145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</row>
    <row r="5" spans="1:24" ht="16.5" x14ac:dyDescent="0.3">
      <c r="A5" s="145"/>
      <c r="B5" s="145"/>
      <c r="C5" s="145"/>
      <c r="D5" s="145"/>
      <c r="E5" s="145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</row>
    <row r="6" spans="1:24" ht="16.5" x14ac:dyDescent="0.3">
      <c r="A6" s="358" t="s">
        <v>119</v>
      </c>
      <c r="B6" s="359"/>
      <c r="C6" s="159" t="s">
        <v>120</v>
      </c>
      <c r="D6" s="160" t="s">
        <v>67</v>
      </c>
      <c r="E6" s="145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</row>
    <row r="7" spans="1:24" ht="16.5" x14ac:dyDescent="0.3">
      <c r="A7" s="356" t="s">
        <v>19</v>
      </c>
      <c r="B7" s="357"/>
      <c r="C7" s="362" t="s">
        <v>121</v>
      </c>
      <c r="D7" s="161">
        <f>CO_PO_AttainmentAnalysis!$AN$44/GradeSheet!$H$53</f>
        <v>7.1428571428571425E-2</v>
      </c>
      <c r="E7" s="145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</row>
    <row r="8" spans="1:24" ht="16.5" x14ac:dyDescent="0.3">
      <c r="A8" s="358" t="s">
        <v>23</v>
      </c>
      <c r="B8" s="286"/>
      <c r="C8" s="363"/>
      <c r="D8" s="161">
        <f>CO_PO_AttainmentAnalysis!$AO$44/GradeSheet!$H$53</f>
        <v>3.5714285714285712E-2</v>
      </c>
      <c r="E8" s="145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</row>
    <row r="9" spans="1:24" ht="16.5" x14ac:dyDescent="0.3">
      <c r="A9" s="356" t="s">
        <v>26</v>
      </c>
      <c r="B9" s="357"/>
      <c r="C9" s="363"/>
      <c r="D9" s="161">
        <f>CO_PO_AttainmentAnalysis!$AP$44/GradeSheet!$H$53</f>
        <v>0.39285714285714285</v>
      </c>
      <c r="E9" s="145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</row>
    <row r="10" spans="1:24" ht="16.5" x14ac:dyDescent="0.3">
      <c r="A10" s="356" t="s">
        <v>27</v>
      </c>
      <c r="B10" s="357"/>
      <c r="C10" s="363"/>
      <c r="D10" s="161">
        <f>CO_PO_AttainmentAnalysis!$AQ$44/GradeSheet!$H$53</f>
        <v>0.17857142857142858</v>
      </c>
      <c r="E10" s="145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</row>
    <row r="11" spans="1:24" ht="16.5" x14ac:dyDescent="0.3">
      <c r="A11" s="356" t="s">
        <v>28</v>
      </c>
      <c r="B11" s="357"/>
      <c r="C11" s="363"/>
      <c r="D11" s="161">
        <f>CO_PO_AttainmentAnalysis!$AR$44/GradeSheet!$H$53</f>
        <v>0.32142857142857145</v>
      </c>
      <c r="E11" s="145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</row>
    <row r="12" spans="1:24" ht="16.5" x14ac:dyDescent="0.3">
      <c r="A12" s="356" t="s">
        <v>29</v>
      </c>
      <c r="B12" s="357"/>
      <c r="C12" s="364"/>
      <c r="D12" s="161">
        <f>CO_PO_AttainmentAnalysis!$AS$44/GradeSheet!$H$53</f>
        <v>0</v>
      </c>
      <c r="E12" s="145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</row>
    <row r="13" spans="1:24" ht="16.5" x14ac:dyDescent="0.3">
      <c r="A13" s="145"/>
      <c r="B13" s="145"/>
      <c r="C13" s="145"/>
      <c r="D13" s="145"/>
      <c r="E13" s="145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</row>
    <row r="14" spans="1:24" ht="27" customHeight="1" x14ac:dyDescent="0.3">
      <c r="A14" s="365" t="s">
        <v>124</v>
      </c>
      <c r="B14" s="326"/>
      <c r="C14" s="326"/>
      <c r="D14" s="326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</row>
    <row r="15" spans="1:24" ht="16.5" x14ac:dyDescent="0.25">
      <c r="A15" s="361"/>
      <c r="B15" s="315"/>
      <c r="C15" s="315"/>
      <c r="D15" s="316"/>
      <c r="E15" s="165"/>
      <c r="F15" s="167"/>
      <c r="G15" s="167"/>
      <c r="H15" s="167"/>
      <c r="I15" s="167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</row>
    <row r="16" spans="1:24" ht="16.5" customHeight="1" x14ac:dyDescent="0.3">
      <c r="A16" s="360" t="s">
        <v>224</v>
      </c>
      <c r="B16" s="352"/>
      <c r="C16" s="352"/>
      <c r="D16" s="316"/>
      <c r="E16" s="165"/>
      <c r="F16" s="167"/>
      <c r="G16" s="167"/>
      <c r="H16" s="167"/>
      <c r="I16" s="167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</row>
    <row r="17" spans="1:24" ht="16.5" x14ac:dyDescent="0.3">
      <c r="A17" s="351" t="s">
        <v>225</v>
      </c>
      <c r="B17" s="352"/>
      <c r="C17" s="352"/>
      <c r="D17" s="316"/>
      <c r="E17" s="165"/>
      <c r="F17" s="167"/>
      <c r="G17" s="167"/>
      <c r="H17" s="167"/>
      <c r="I17" s="167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</row>
    <row r="18" spans="1:24" ht="16.5" x14ac:dyDescent="0.3">
      <c r="A18" s="351" t="s">
        <v>226</v>
      </c>
      <c r="B18" s="352"/>
      <c r="C18" s="352"/>
      <c r="D18" s="316"/>
      <c r="E18" s="165"/>
      <c r="F18" s="167"/>
      <c r="G18" s="167"/>
      <c r="H18" s="167"/>
      <c r="I18" s="167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</row>
    <row r="19" spans="1:24" ht="16.5" x14ac:dyDescent="0.3">
      <c r="A19" s="169"/>
      <c r="B19" s="170"/>
      <c r="C19" s="170"/>
      <c r="D19" s="171"/>
      <c r="E19" s="165"/>
      <c r="F19" s="167"/>
      <c r="G19" s="167"/>
      <c r="H19" s="167"/>
      <c r="I19" s="167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</row>
    <row r="20" spans="1:24" ht="16.5" x14ac:dyDescent="0.3">
      <c r="A20" s="353"/>
      <c r="B20" s="315"/>
      <c r="C20" s="315"/>
      <c r="D20" s="316"/>
      <c r="E20" s="165"/>
      <c r="F20" s="167"/>
      <c r="G20" s="167"/>
      <c r="H20" s="167"/>
      <c r="I20" s="167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</row>
    <row r="21" spans="1:24" ht="16.5" x14ac:dyDescent="0.3">
      <c r="A21" s="169"/>
      <c r="B21" s="170"/>
      <c r="C21" s="170"/>
      <c r="D21" s="171"/>
      <c r="E21" s="165"/>
      <c r="F21" s="167"/>
      <c r="G21" s="167"/>
      <c r="H21" s="167"/>
      <c r="I21" s="167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</row>
    <row r="22" spans="1:24" ht="16.5" x14ac:dyDescent="0.3">
      <c r="A22" s="353"/>
      <c r="B22" s="315"/>
      <c r="C22" s="315"/>
      <c r="D22" s="316"/>
      <c r="E22" s="165"/>
      <c r="F22" s="167"/>
      <c r="G22" s="167"/>
      <c r="H22" s="167"/>
      <c r="I22" s="167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</row>
    <row r="23" spans="1:24" ht="15.75" customHeight="1" x14ac:dyDescent="0.3">
      <c r="A23" s="354"/>
      <c r="B23" s="315"/>
      <c r="C23" s="315"/>
      <c r="D23" s="316"/>
      <c r="E23" s="145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</row>
    <row r="24" spans="1:24" ht="15.75" customHeight="1" x14ac:dyDescent="0.25">
      <c r="A24" s="354"/>
      <c r="B24" s="315"/>
      <c r="C24" s="315"/>
      <c r="D24" s="31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</row>
    <row r="25" spans="1:24" ht="15.75" customHeight="1" x14ac:dyDescent="0.25">
      <c r="A25" s="354"/>
      <c r="B25" s="315"/>
      <c r="C25" s="315"/>
      <c r="D25" s="31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</row>
    <row r="26" spans="1:24" ht="15.75" customHeight="1" x14ac:dyDescent="0.3">
      <c r="A26" s="146"/>
      <c r="B26" s="146"/>
      <c r="C26" s="146"/>
      <c r="D26" s="172" t="s">
        <v>131</v>
      </c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</row>
    <row r="27" spans="1:24" ht="15.75" customHeight="1" x14ac:dyDescent="0.3">
      <c r="A27" s="146"/>
      <c r="B27" s="146"/>
      <c r="C27" s="146"/>
      <c r="D27" s="172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</row>
    <row r="28" spans="1:24" ht="15.75" customHeight="1" x14ac:dyDescent="0.3">
      <c r="A28" s="146"/>
      <c r="B28" s="146"/>
      <c r="C28" s="146"/>
      <c r="D28" s="172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</row>
    <row r="29" spans="1:24" ht="15.75" customHeight="1" x14ac:dyDescent="0.3">
      <c r="A29" s="146"/>
      <c r="B29" s="146"/>
      <c r="C29" s="146"/>
      <c r="D29" s="172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</row>
    <row r="30" spans="1:24" ht="15.75" customHeight="1" x14ac:dyDescent="0.3">
      <c r="A30" s="146"/>
      <c r="B30" s="146"/>
      <c r="C30" s="146"/>
      <c r="D30" s="172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</row>
    <row r="31" spans="1:24" ht="15.75" customHeight="1" x14ac:dyDescent="0.3">
      <c r="A31" s="146"/>
      <c r="B31" s="146"/>
      <c r="C31" s="146"/>
      <c r="D31" s="172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</row>
    <row r="32" spans="1:24" ht="15.75" customHeight="1" x14ac:dyDescent="0.25">
      <c r="A32" s="146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</row>
    <row r="33" spans="1:24" ht="15.75" customHeight="1" x14ac:dyDescent="0.25">
      <c r="A33" s="173" t="s">
        <v>132</v>
      </c>
      <c r="B33" s="174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</row>
    <row r="34" spans="1:24" ht="15.75" customHeight="1" x14ac:dyDescent="0.25">
      <c r="A34" s="173" t="s">
        <v>133</v>
      </c>
      <c r="B34" s="175" t="str">
        <f>GradeSheet!$H$5</f>
        <v>Mohammad Shahriar Rahman, PhD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</row>
    <row r="35" spans="1:24" ht="15.75" customHeight="1" x14ac:dyDescent="0.25">
      <c r="A35" s="173" t="s">
        <v>134</v>
      </c>
      <c r="B35" s="17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</row>
    <row r="36" spans="1:24" ht="15.75" customHeight="1" x14ac:dyDescent="0.25">
      <c r="A36" s="173"/>
      <c r="B36" s="17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</row>
    <row r="37" spans="1:24" ht="15.75" customHeight="1" x14ac:dyDescent="0.25">
      <c r="A37" s="177"/>
      <c r="B37" s="134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</row>
    <row r="38" spans="1:24" ht="15.75" customHeight="1" x14ac:dyDescent="0.25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</row>
    <row r="39" spans="1:24" ht="15.75" customHeight="1" x14ac:dyDescent="0.25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</row>
    <row r="40" spans="1:24" ht="15.75" customHeight="1" x14ac:dyDescent="0.25">
      <c r="A40" s="146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</row>
    <row r="41" spans="1:24" ht="15.75" customHeight="1" x14ac:dyDescent="0.25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</row>
    <row r="42" spans="1:24" ht="15.75" customHeight="1" x14ac:dyDescent="0.25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</row>
    <row r="43" spans="1:24" ht="15.75" customHeight="1" x14ac:dyDescent="0.25">
      <c r="A43" s="146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</row>
    <row r="44" spans="1:24" ht="15.75" customHeight="1" x14ac:dyDescent="0.25">
      <c r="A44" s="146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</row>
    <row r="45" spans="1:24" ht="15.75" customHeight="1" x14ac:dyDescent="0.25">
      <c r="A45" s="146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</row>
    <row r="46" spans="1:24" ht="15.75" customHeight="1" x14ac:dyDescent="0.25">
      <c r="A46" s="146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</row>
    <row r="47" spans="1:24" ht="15.75" customHeight="1" x14ac:dyDescent="0.25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</row>
    <row r="48" spans="1:24" ht="15.75" customHeight="1" x14ac:dyDescent="0.25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</row>
    <row r="49" spans="1:24" ht="15.75" customHeight="1" x14ac:dyDescent="0.25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</row>
    <row r="50" spans="1:24" ht="15.75" customHeight="1" x14ac:dyDescent="0.25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</row>
    <row r="51" spans="1:24" ht="15.75" customHeight="1" x14ac:dyDescent="0.25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</row>
    <row r="52" spans="1:24" ht="15.75" customHeight="1" x14ac:dyDescent="0.25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</row>
    <row r="53" spans="1:24" ht="15.75" customHeight="1" x14ac:dyDescent="0.25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</row>
    <row r="54" spans="1:24" ht="15.75" customHeight="1" x14ac:dyDescent="0.25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</row>
    <row r="55" spans="1:24" ht="15.75" customHeight="1" x14ac:dyDescent="0.25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</row>
    <row r="56" spans="1:24" ht="15.75" customHeight="1" x14ac:dyDescent="0.25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</row>
    <row r="57" spans="1:24" ht="15.75" customHeight="1" x14ac:dyDescent="0.25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</row>
    <row r="58" spans="1:24" ht="15.75" customHeight="1" x14ac:dyDescent="0.25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</row>
    <row r="59" spans="1:24" ht="15.75" customHeight="1" x14ac:dyDescent="0.25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</row>
    <row r="60" spans="1:24" ht="15.75" customHeight="1" x14ac:dyDescent="0.25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</row>
    <row r="61" spans="1:24" ht="15.75" customHeight="1" x14ac:dyDescent="0.25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</row>
    <row r="62" spans="1:24" ht="15.75" customHeight="1" x14ac:dyDescent="0.25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</row>
    <row r="63" spans="1:24" ht="15.75" customHeight="1" x14ac:dyDescent="0.25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</row>
    <row r="64" spans="1:24" ht="15.75" customHeight="1" x14ac:dyDescent="0.25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</row>
    <row r="65" spans="1:24" ht="15.75" customHeight="1" x14ac:dyDescent="0.25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</row>
    <row r="66" spans="1:24" ht="15.75" customHeight="1" x14ac:dyDescent="0.25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</row>
    <row r="67" spans="1:24" ht="15.75" customHeight="1" x14ac:dyDescent="0.25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</row>
    <row r="68" spans="1:24" ht="15.75" customHeight="1" x14ac:dyDescent="0.25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</row>
    <row r="69" spans="1:24" ht="15.75" customHeight="1" x14ac:dyDescent="0.25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</row>
    <row r="70" spans="1:24" ht="15.75" customHeight="1" x14ac:dyDescent="0.25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</row>
    <row r="71" spans="1:24" ht="15.75" customHeight="1" x14ac:dyDescent="0.25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</row>
    <row r="72" spans="1:24" ht="15.75" customHeight="1" x14ac:dyDescent="0.25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</row>
    <row r="73" spans="1:24" ht="15.75" customHeight="1" x14ac:dyDescent="0.25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</row>
    <row r="74" spans="1:24" ht="15.75" customHeight="1" x14ac:dyDescent="0.25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</row>
    <row r="75" spans="1:24" ht="15.75" customHeight="1" x14ac:dyDescent="0.25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</row>
    <row r="76" spans="1:24" ht="15.75" customHeight="1" x14ac:dyDescent="0.25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</row>
    <row r="77" spans="1:24" ht="15.75" customHeight="1" x14ac:dyDescent="0.25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</row>
    <row r="78" spans="1:24" ht="15.75" customHeight="1" x14ac:dyDescent="0.25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4" ht="15.75" customHeight="1" x14ac:dyDescent="0.25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</row>
    <row r="80" spans="1:24" ht="15.75" customHeight="1" x14ac:dyDescent="0.25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</row>
    <row r="81" spans="1:24" ht="15.75" customHeight="1" x14ac:dyDescent="0.25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</row>
    <row r="82" spans="1:24" ht="15.75" customHeight="1" x14ac:dyDescent="0.25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</row>
    <row r="83" spans="1:24" ht="15.75" customHeight="1" x14ac:dyDescent="0.25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</row>
    <row r="84" spans="1:24" ht="15.75" customHeight="1" x14ac:dyDescent="0.25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</row>
    <row r="85" spans="1:24" ht="15.75" customHeight="1" x14ac:dyDescent="0.25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</row>
    <row r="86" spans="1:24" ht="15.75" customHeight="1" x14ac:dyDescent="0.25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</row>
    <row r="87" spans="1:24" ht="15.75" customHeight="1" x14ac:dyDescent="0.25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</row>
    <row r="88" spans="1:24" ht="15.75" customHeight="1" x14ac:dyDescent="0.25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</row>
    <row r="89" spans="1:24" ht="15.75" customHeight="1" x14ac:dyDescent="0.25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</row>
    <row r="90" spans="1:24" ht="15.75" customHeight="1" x14ac:dyDescent="0.25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</row>
    <row r="91" spans="1:24" ht="15.75" customHeight="1" x14ac:dyDescent="0.25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</row>
    <row r="92" spans="1:24" ht="15.75" customHeight="1" x14ac:dyDescent="0.25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</row>
    <row r="93" spans="1:24" ht="15.75" customHeight="1" x14ac:dyDescent="0.25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</row>
    <row r="94" spans="1:24" ht="15.75" customHeight="1" x14ac:dyDescent="0.25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</row>
    <row r="95" spans="1:24" ht="15.75" customHeight="1" x14ac:dyDescent="0.25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</row>
    <row r="96" spans="1:24" ht="15.75" customHeight="1" x14ac:dyDescent="0.25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</row>
    <row r="97" spans="1:24" ht="15.75" customHeight="1" x14ac:dyDescent="0.25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</row>
    <row r="98" spans="1:24" ht="15.75" customHeight="1" x14ac:dyDescent="0.25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</row>
    <row r="99" spans="1:24" ht="15.75" customHeight="1" x14ac:dyDescent="0.25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</row>
    <row r="100" spans="1:24" ht="15.75" customHeight="1" x14ac:dyDescent="0.25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</row>
    <row r="101" spans="1:24" ht="15.75" customHeight="1" x14ac:dyDescent="0.25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</row>
    <row r="102" spans="1:24" ht="15.75" customHeight="1" x14ac:dyDescent="0.25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</row>
    <row r="103" spans="1:24" ht="15.75" customHeight="1" x14ac:dyDescent="0.25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</row>
    <row r="104" spans="1:24" ht="15.75" customHeight="1" x14ac:dyDescent="0.25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</row>
    <row r="105" spans="1:24" ht="15.75" customHeight="1" x14ac:dyDescent="0.2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</row>
    <row r="106" spans="1:24" ht="15.75" customHeight="1" x14ac:dyDescent="0.25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</row>
    <row r="107" spans="1:24" ht="15.75" customHeight="1" x14ac:dyDescent="0.25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</row>
    <row r="108" spans="1:24" ht="15.75" customHeight="1" x14ac:dyDescent="0.25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</row>
    <row r="109" spans="1:24" ht="15.75" customHeight="1" x14ac:dyDescent="0.25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</row>
    <row r="110" spans="1:24" ht="15.75" customHeight="1" x14ac:dyDescent="0.25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</row>
    <row r="111" spans="1:24" ht="15.75" customHeight="1" x14ac:dyDescent="0.25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</row>
    <row r="112" spans="1:24" ht="15.75" customHeight="1" x14ac:dyDescent="0.25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</row>
    <row r="113" spans="1:24" ht="15.75" customHeight="1" x14ac:dyDescent="0.25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</row>
    <row r="114" spans="1:24" ht="15.75" customHeight="1" x14ac:dyDescent="0.25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</row>
    <row r="115" spans="1:24" ht="15.75" customHeight="1" x14ac:dyDescent="0.2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</row>
    <row r="116" spans="1:24" ht="15.75" customHeight="1" x14ac:dyDescent="0.25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</row>
    <row r="117" spans="1:24" ht="15.75" customHeight="1" x14ac:dyDescent="0.25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</row>
    <row r="118" spans="1:24" ht="15.75" customHeight="1" x14ac:dyDescent="0.25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</row>
    <row r="119" spans="1:24" ht="15.75" customHeight="1" x14ac:dyDescent="0.25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</row>
    <row r="120" spans="1:24" ht="15.75" customHeight="1" x14ac:dyDescent="0.25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</row>
    <row r="121" spans="1:24" ht="15.75" customHeight="1" x14ac:dyDescent="0.25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</row>
    <row r="122" spans="1:24" ht="15.75" customHeight="1" x14ac:dyDescent="0.25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</row>
    <row r="123" spans="1:24" ht="15.75" customHeight="1" x14ac:dyDescent="0.25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</row>
    <row r="124" spans="1:24" ht="15.75" customHeight="1" x14ac:dyDescent="0.25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</row>
    <row r="125" spans="1:24" ht="15.75" customHeight="1" x14ac:dyDescent="0.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</row>
    <row r="126" spans="1:24" ht="15.75" customHeight="1" x14ac:dyDescent="0.25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</row>
    <row r="127" spans="1:24" ht="15.75" customHeight="1" x14ac:dyDescent="0.25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</row>
    <row r="128" spans="1:24" ht="15.75" customHeight="1" x14ac:dyDescent="0.25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</row>
    <row r="129" spans="1:24" ht="15.75" customHeight="1" x14ac:dyDescent="0.25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</row>
    <row r="130" spans="1:24" ht="15.75" customHeight="1" x14ac:dyDescent="0.25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</row>
    <row r="131" spans="1:24" ht="15.75" customHeight="1" x14ac:dyDescent="0.25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</row>
    <row r="132" spans="1:24" ht="15.75" customHeight="1" x14ac:dyDescent="0.25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</row>
    <row r="133" spans="1:24" ht="15.75" customHeight="1" x14ac:dyDescent="0.25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</row>
    <row r="134" spans="1:24" ht="15.75" customHeight="1" x14ac:dyDescent="0.25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</row>
    <row r="135" spans="1:24" ht="15.75" customHeight="1" x14ac:dyDescent="0.2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</row>
    <row r="136" spans="1:24" ht="15.75" customHeight="1" x14ac:dyDescent="0.25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</row>
    <row r="137" spans="1:24" ht="15.75" customHeight="1" x14ac:dyDescent="0.25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</row>
    <row r="138" spans="1:24" ht="15.75" customHeight="1" x14ac:dyDescent="0.25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</row>
    <row r="139" spans="1:24" ht="15.75" customHeight="1" x14ac:dyDescent="0.25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</row>
    <row r="140" spans="1:24" ht="15.75" customHeight="1" x14ac:dyDescent="0.25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</row>
    <row r="141" spans="1:24" ht="15.75" customHeight="1" x14ac:dyDescent="0.25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</row>
    <row r="142" spans="1:24" ht="15.75" customHeight="1" x14ac:dyDescent="0.25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</row>
    <row r="143" spans="1:24" ht="15.75" customHeight="1" x14ac:dyDescent="0.25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</row>
    <row r="144" spans="1:24" ht="15.75" customHeight="1" x14ac:dyDescent="0.25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</row>
    <row r="145" spans="1:24" ht="15.75" customHeight="1" x14ac:dyDescent="0.2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</row>
    <row r="146" spans="1:24" ht="15.75" customHeight="1" x14ac:dyDescent="0.25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</row>
    <row r="147" spans="1:24" ht="15.75" customHeight="1" x14ac:dyDescent="0.25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</row>
    <row r="148" spans="1:24" ht="15.75" customHeight="1" x14ac:dyDescent="0.25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</row>
    <row r="149" spans="1:24" ht="15.75" customHeight="1" x14ac:dyDescent="0.25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</row>
    <row r="150" spans="1:24" ht="15.75" customHeight="1" x14ac:dyDescent="0.25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</row>
    <row r="151" spans="1:24" ht="15.75" customHeight="1" x14ac:dyDescent="0.25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</row>
    <row r="152" spans="1:24" ht="15.75" customHeight="1" x14ac:dyDescent="0.25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</row>
    <row r="153" spans="1:24" ht="15.75" customHeight="1" x14ac:dyDescent="0.25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</row>
    <row r="154" spans="1:24" ht="15.75" customHeight="1" x14ac:dyDescent="0.25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</row>
    <row r="155" spans="1:24" ht="15.75" customHeight="1" x14ac:dyDescent="0.2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</row>
    <row r="156" spans="1:24" ht="15.75" customHeight="1" x14ac:dyDescent="0.25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</row>
    <row r="157" spans="1:24" ht="15.75" customHeight="1" x14ac:dyDescent="0.25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</row>
    <row r="158" spans="1:24" ht="15.75" customHeight="1" x14ac:dyDescent="0.25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</row>
    <row r="159" spans="1:24" ht="15.75" customHeight="1" x14ac:dyDescent="0.25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</row>
    <row r="160" spans="1:24" ht="15.75" customHeight="1" x14ac:dyDescent="0.25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</row>
    <row r="161" spans="1:24" ht="15.75" customHeight="1" x14ac:dyDescent="0.25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</row>
    <row r="162" spans="1:24" ht="15.75" customHeight="1" x14ac:dyDescent="0.25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</row>
    <row r="163" spans="1:24" ht="15.75" customHeight="1" x14ac:dyDescent="0.25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</row>
    <row r="164" spans="1:24" ht="15.75" customHeight="1" x14ac:dyDescent="0.25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</row>
    <row r="165" spans="1:24" ht="15.75" customHeight="1" x14ac:dyDescent="0.2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</row>
    <row r="166" spans="1:24" ht="15.75" customHeight="1" x14ac:dyDescent="0.25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</row>
    <row r="167" spans="1:24" ht="15.75" customHeight="1" x14ac:dyDescent="0.25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</row>
    <row r="168" spans="1:24" ht="15.75" customHeight="1" x14ac:dyDescent="0.25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</row>
    <row r="169" spans="1:24" ht="15.75" customHeight="1" x14ac:dyDescent="0.25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</row>
    <row r="170" spans="1:24" ht="15.75" customHeight="1" x14ac:dyDescent="0.25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</row>
    <row r="171" spans="1:24" ht="15.75" customHeight="1" x14ac:dyDescent="0.25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</row>
    <row r="172" spans="1:24" ht="15.75" customHeight="1" x14ac:dyDescent="0.25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</row>
    <row r="173" spans="1:24" ht="15.75" customHeight="1" x14ac:dyDescent="0.25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</row>
    <row r="174" spans="1:24" ht="15.75" customHeight="1" x14ac:dyDescent="0.25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</row>
    <row r="175" spans="1:24" ht="15.75" customHeight="1" x14ac:dyDescent="0.2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</row>
    <row r="176" spans="1:24" ht="15.75" customHeight="1" x14ac:dyDescent="0.25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</row>
    <row r="177" spans="1:24" ht="15.75" customHeight="1" x14ac:dyDescent="0.25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</row>
    <row r="178" spans="1:24" ht="15.75" customHeight="1" x14ac:dyDescent="0.25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</row>
    <row r="179" spans="1:24" ht="15.75" customHeight="1" x14ac:dyDescent="0.25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</row>
    <row r="180" spans="1:24" ht="15.75" customHeight="1" x14ac:dyDescent="0.25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</row>
    <row r="181" spans="1:24" ht="15.75" customHeight="1" x14ac:dyDescent="0.25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</row>
    <row r="182" spans="1:24" ht="15.75" customHeight="1" x14ac:dyDescent="0.25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</row>
    <row r="183" spans="1:24" ht="15.75" customHeight="1" x14ac:dyDescent="0.25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</row>
    <row r="184" spans="1:24" ht="15.75" customHeight="1" x14ac:dyDescent="0.25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</row>
    <row r="185" spans="1:24" ht="15.75" customHeight="1" x14ac:dyDescent="0.2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</row>
    <row r="186" spans="1:24" ht="15.75" customHeight="1" x14ac:dyDescent="0.25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</row>
    <row r="187" spans="1:24" ht="15.75" customHeight="1" x14ac:dyDescent="0.25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</row>
    <row r="188" spans="1:24" ht="15.75" customHeight="1" x14ac:dyDescent="0.25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</row>
    <row r="189" spans="1:24" ht="15.75" customHeight="1" x14ac:dyDescent="0.25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</row>
    <row r="190" spans="1:24" ht="15.75" customHeight="1" x14ac:dyDescent="0.25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</row>
    <row r="191" spans="1:24" ht="15.75" customHeight="1" x14ac:dyDescent="0.25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</row>
    <row r="192" spans="1:24" ht="15.75" customHeight="1" x14ac:dyDescent="0.25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</row>
    <row r="193" spans="1:24" ht="15.75" customHeight="1" x14ac:dyDescent="0.25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</row>
    <row r="194" spans="1:24" ht="15.75" customHeight="1" x14ac:dyDescent="0.25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</row>
    <row r="195" spans="1:24" ht="15.75" customHeight="1" x14ac:dyDescent="0.2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</row>
    <row r="196" spans="1:24" ht="15.75" customHeight="1" x14ac:dyDescent="0.25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</row>
    <row r="197" spans="1:24" ht="15.75" customHeight="1" x14ac:dyDescent="0.25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</row>
    <row r="198" spans="1:24" ht="15.75" customHeight="1" x14ac:dyDescent="0.25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</row>
    <row r="199" spans="1:24" ht="15.75" customHeight="1" x14ac:dyDescent="0.25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</row>
    <row r="200" spans="1:24" ht="15.75" customHeight="1" x14ac:dyDescent="0.25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</row>
    <row r="201" spans="1:24" ht="15.75" customHeight="1" x14ac:dyDescent="0.25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</row>
    <row r="202" spans="1:24" ht="15.75" customHeight="1" x14ac:dyDescent="0.25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</row>
    <row r="203" spans="1:24" ht="15.75" customHeight="1" x14ac:dyDescent="0.25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</row>
    <row r="204" spans="1:24" ht="15.75" customHeight="1" x14ac:dyDescent="0.25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</row>
    <row r="205" spans="1:24" ht="15.75" customHeight="1" x14ac:dyDescent="0.2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</row>
    <row r="206" spans="1:24" ht="15.75" customHeight="1" x14ac:dyDescent="0.25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</row>
    <row r="207" spans="1:24" ht="15.75" customHeight="1" x14ac:dyDescent="0.25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</row>
    <row r="208" spans="1:24" ht="15.75" customHeight="1" x14ac:dyDescent="0.25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</row>
    <row r="209" spans="1:24" ht="15.75" customHeight="1" x14ac:dyDescent="0.25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</row>
    <row r="210" spans="1:24" ht="15.75" customHeight="1" x14ac:dyDescent="0.25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</row>
    <row r="211" spans="1:24" ht="15.75" customHeight="1" x14ac:dyDescent="0.25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</row>
    <row r="212" spans="1:24" ht="15.75" customHeight="1" x14ac:dyDescent="0.25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</row>
    <row r="213" spans="1:24" ht="15.75" customHeight="1" x14ac:dyDescent="0.25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</row>
    <row r="214" spans="1:24" ht="15.75" customHeight="1" x14ac:dyDescent="0.25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</row>
    <row r="215" spans="1:24" ht="15.75" customHeight="1" x14ac:dyDescent="0.2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</row>
    <row r="216" spans="1:24" ht="15.75" customHeight="1" x14ac:dyDescent="0.25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</row>
    <row r="217" spans="1:24" ht="15.75" customHeight="1" x14ac:dyDescent="0.25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</row>
    <row r="218" spans="1:24" ht="15.75" customHeight="1" x14ac:dyDescent="0.25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</row>
    <row r="219" spans="1:24" ht="15.75" customHeight="1" x14ac:dyDescent="0.25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</row>
    <row r="220" spans="1:24" ht="15.75" customHeight="1" x14ac:dyDescent="0.25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</row>
    <row r="221" spans="1:24" ht="15.75" customHeight="1" x14ac:dyDescent="0.25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</row>
    <row r="222" spans="1:24" ht="15.75" customHeight="1" x14ac:dyDescent="0.25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</row>
    <row r="223" spans="1:24" ht="15.75" customHeight="1" x14ac:dyDescent="0.25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</row>
    <row r="224" spans="1:24" ht="15.75" customHeight="1" x14ac:dyDescent="0.25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</row>
    <row r="225" spans="1:24" ht="15.75" customHeight="1" x14ac:dyDescent="0.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</row>
    <row r="226" spans="1:24" ht="15.75" customHeight="1" x14ac:dyDescent="0.25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</row>
    <row r="227" spans="1:24" ht="15.75" customHeight="1" x14ac:dyDescent="0.25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</row>
    <row r="228" spans="1:24" ht="15.75" customHeight="1" x14ac:dyDescent="0.25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</row>
    <row r="229" spans="1:24" ht="15.75" customHeight="1" x14ac:dyDescent="0.25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</row>
    <row r="230" spans="1:24" ht="15.75" customHeight="1" x14ac:dyDescent="0.25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</row>
    <row r="231" spans="1:24" ht="15.75" customHeight="1" x14ac:dyDescent="0.25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</row>
    <row r="232" spans="1:24" ht="15.75" customHeight="1" x14ac:dyDescent="0.25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</row>
    <row r="233" spans="1:24" ht="15.75" customHeight="1" x14ac:dyDescent="0.25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</row>
    <row r="234" spans="1:24" ht="15.75" customHeight="1" x14ac:dyDescent="0.25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</row>
    <row r="235" spans="1:24" ht="15.75" customHeight="1" x14ac:dyDescent="0.2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</row>
    <row r="236" spans="1:24" ht="15.75" customHeight="1" x14ac:dyDescent="0.2"/>
    <row r="237" spans="1:24" ht="15.75" customHeight="1" x14ac:dyDescent="0.2"/>
    <row r="238" spans="1:24" ht="15.75" customHeight="1" x14ac:dyDescent="0.2"/>
    <row r="239" spans="1:24" ht="15.75" customHeight="1" x14ac:dyDescent="0.2"/>
    <row r="240" spans="1:2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9">
    <mergeCell ref="A1:D1"/>
    <mergeCell ref="A24:D24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  <mergeCell ref="A23:D23"/>
  </mergeCells>
  <dataValidations disablePrompts="1" count="1">
    <dataValidation type="list" allowBlank="1" showErrorMessage="1" sqref="B2:B3">
      <formula1>Course_Code</formula1>
    </dataValidation>
  </dataValidations>
  <pageMargins left="0.7" right="0.7" top="0.75" bottom="0.75" header="0" footer="0"/>
  <pageSetup paperSize="9" orientation="portrait" r:id="rId1"/>
  <headerFooter>
    <oddHeader>&amp;LDepartment of CSE, ULAB&amp;CCQI Form&amp;RPage &amp;P of 1
&amp;"Arial,Regular"&amp;14CSE005</oddHeader>
    <oddFooter xml:space="preserve">&amp;CPage &amp;P of 1&amp;R&amp;11CSE005(00)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Faculty</cp:lastModifiedBy>
  <cp:lastPrinted>2019-09-23T05:55:11Z</cp:lastPrinted>
  <dcterms:created xsi:type="dcterms:W3CDTF">2019-05-06T03:48:27Z</dcterms:created>
  <dcterms:modified xsi:type="dcterms:W3CDTF">2019-09-23T05:56:21Z</dcterms:modified>
</cp:coreProperties>
</file>